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ulia/Dropbox/papers/TEP'sPDAC/Cancers.2020/revisioni/"/>
    </mc:Choice>
  </mc:AlternateContent>
  <xr:revisionPtr revIDLastSave="0" documentId="8_{26126C21-6A0C-5D4E-BC54-66E8C10DC5C4}" xr6:coauthVersionLast="45" xr6:coauthVersionMax="45" xr10:uidLastSave="{00000000-0000-0000-0000-000000000000}"/>
  <bookViews>
    <workbookView xWindow="8540" yWindow="1640" windowWidth="25440" windowHeight="15000" xr2:uid="{1EB7B6F5-77D7-4841-A653-4D680038896C}"/>
  </bookViews>
  <sheets>
    <sheet name="Discovery cohort (DDA counts)" sheetId="1" r:id="rId1"/>
    <sheet name="DDA LFQ" sheetId="3" r:id="rId2"/>
    <sheet name="MaxDIA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344" i="3" l="1"/>
  <c r="K2344" i="3"/>
  <c r="L2343" i="3"/>
  <c r="K2343" i="3"/>
  <c r="L2342" i="3"/>
  <c r="K2342" i="3"/>
  <c r="L2341" i="3"/>
  <c r="K2341" i="3"/>
  <c r="L2340" i="3"/>
  <c r="K2340" i="3"/>
  <c r="L2339" i="3"/>
  <c r="K2339" i="3"/>
  <c r="L2338" i="3"/>
  <c r="K2338" i="3"/>
  <c r="L2337" i="3"/>
  <c r="K2337" i="3"/>
  <c r="L2336" i="3"/>
  <c r="K2336" i="3"/>
  <c r="L2335" i="3"/>
  <c r="K2335" i="3"/>
  <c r="L2334" i="3"/>
  <c r="K2334" i="3"/>
  <c r="L2333" i="3"/>
  <c r="K2333" i="3"/>
  <c r="L2332" i="3"/>
  <c r="K2332" i="3"/>
  <c r="L2331" i="3"/>
  <c r="K2331" i="3"/>
  <c r="L2330" i="3"/>
  <c r="K2330" i="3"/>
  <c r="L2329" i="3"/>
  <c r="K2329" i="3"/>
  <c r="L2328" i="3"/>
  <c r="K2328" i="3"/>
  <c r="L2327" i="3"/>
  <c r="K2327" i="3"/>
  <c r="L2326" i="3"/>
  <c r="K2326" i="3"/>
  <c r="L2325" i="3"/>
  <c r="K2325" i="3"/>
  <c r="L2324" i="3"/>
  <c r="K2324" i="3"/>
  <c r="L2323" i="3"/>
  <c r="K2323" i="3"/>
  <c r="L2322" i="3"/>
  <c r="K2322" i="3"/>
  <c r="L2321" i="3"/>
  <c r="K2321" i="3"/>
  <c r="L2320" i="3"/>
  <c r="K2320" i="3"/>
  <c r="L2319" i="3"/>
  <c r="K2319" i="3"/>
  <c r="L2318" i="3"/>
  <c r="K2318" i="3"/>
  <c r="L2317" i="3"/>
  <c r="K2317" i="3"/>
  <c r="L2316" i="3"/>
  <c r="K2316" i="3"/>
  <c r="L2315" i="3"/>
  <c r="K2315" i="3"/>
  <c r="L2314" i="3"/>
  <c r="K2314" i="3"/>
  <c r="L2313" i="3"/>
  <c r="K2313" i="3"/>
  <c r="L2312" i="3"/>
  <c r="K2312" i="3"/>
  <c r="L2311" i="3"/>
  <c r="K2311" i="3"/>
  <c r="L2310" i="3"/>
  <c r="K2310" i="3"/>
  <c r="L2309" i="3"/>
  <c r="K2309" i="3"/>
  <c r="L2308" i="3"/>
  <c r="K2308" i="3"/>
  <c r="L2307" i="3"/>
  <c r="K2307" i="3"/>
  <c r="L2306" i="3"/>
  <c r="K2306" i="3"/>
  <c r="L2305" i="3"/>
  <c r="K2305" i="3"/>
  <c r="L2304" i="3"/>
  <c r="K2304" i="3"/>
  <c r="L2303" i="3"/>
  <c r="K2303" i="3"/>
  <c r="L2302" i="3"/>
  <c r="K2302" i="3"/>
  <c r="L2301" i="3"/>
  <c r="K2301" i="3"/>
  <c r="L2300" i="3"/>
  <c r="K2300" i="3"/>
  <c r="L2299" i="3"/>
  <c r="K2299" i="3"/>
  <c r="L2298" i="3"/>
  <c r="K2298" i="3"/>
  <c r="L2297" i="3"/>
  <c r="K2297" i="3"/>
  <c r="L2296" i="3"/>
  <c r="K2296" i="3"/>
  <c r="L2295" i="3"/>
  <c r="K2295" i="3"/>
  <c r="L2294" i="3"/>
  <c r="K2294" i="3"/>
  <c r="L2293" i="3"/>
  <c r="K2293" i="3"/>
  <c r="L2292" i="3"/>
  <c r="K2292" i="3"/>
  <c r="L2291" i="3"/>
  <c r="K2291" i="3"/>
  <c r="L2290" i="3"/>
  <c r="K2290" i="3"/>
  <c r="L2289" i="3"/>
  <c r="K2289" i="3"/>
  <c r="L2288" i="3"/>
  <c r="K2288" i="3"/>
  <c r="L2287" i="3"/>
  <c r="K2287" i="3"/>
  <c r="L2286" i="3"/>
  <c r="K2286" i="3"/>
  <c r="L2285" i="3"/>
  <c r="K2285" i="3"/>
  <c r="L2284" i="3"/>
  <c r="K2284" i="3"/>
  <c r="L2283" i="3"/>
  <c r="K2283" i="3"/>
  <c r="L2282" i="3"/>
  <c r="K2282" i="3"/>
  <c r="L2281" i="3"/>
  <c r="K2281" i="3"/>
  <c r="L2280" i="3"/>
  <c r="K2280" i="3"/>
  <c r="L2279" i="3"/>
  <c r="K2279" i="3"/>
  <c r="L2278" i="3"/>
  <c r="K2278" i="3"/>
  <c r="L2277" i="3"/>
  <c r="K2277" i="3"/>
  <c r="L2276" i="3"/>
  <c r="K2276" i="3"/>
  <c r="L2275" i="3"/>
  <c r="K2275" i="3"/>
  <c r="L2274" i="3"/>
  <c r="K2274" i="3"/>
  <c r="L2273" i="3"/>
  <c r="K2273" i="3"/>
  <c r="L2272" i="3"/>
  <c r="K2272" i="3"/>
  <c r="L2271" i="3"/>
  <c r="K2271" i="3"/>
  <c r="L2270" i="3"/>
  <c r="K2270" i="3"/>
  <c r="L2269" i="3"/>
  <c r="K2269" i="3"/>
  <c r="L2268" i="3"/>
  <c r="K2268" i="3"/>
  <c r="L2267" i="3"/>
  <c r="K2267" i="3"/>
  <c r="L2266" i="3"/>
  <c r="K2266" i="3"/>
  <c r="L2265" i="3"/>
  <c r="K2265" i="3"/>
  <c r="L2264" i="3"/>
  <c r="K2264" i="3"/>
  <c r="L2263" i="3"/>
  <c r="K2263" i="3"/>
  <c r="L2262" i="3"/>
  <c r="K2262" i="3"/>
  <c r="L2261" i="3"/>
  <c r="K2261" i="3"/>
  <c r="L2260" i="3"/>
  <c r="K2260" i="3"/>
  <c r="L2259" i="3"/>
  <c r="K2259" i="3"/>
  <c r="L2258" i="3"/>
  <c r="K2258" i="3"/>
  <c r="L2257" i="3"/>
  <c r="K2257" i="3"/>
  <c r="L2256" i="3"/>
  <c r="K2256" i="3"/>
  <c r="L2255" i="3"/>
  <c r="K2255" i="3"/>
  <c r="L2254" i="3"/>
  <c r="K2254" i="3"/>
  <c r="L2253" i="3"/>
  <c r="K2253" i="3"/>
  <c r="L2252" i="3"/>
  <c r="K2252" i="3"/>
  <c r="L2251" i="3"/>
  <c r="K2251" i="3"/>
  <c r="L2250" i="3"/>
  <c r="K2250" i="3"/>
  <c r="L2249" i="3"/>
  <c r="K2249" i="3"/>
  <c r="L2248" i="3"/>
  <c r="K2248" i="3"/>
  <c r="L2247" i="3"/>
  <c r="K2247" i="3"/>
  <c r="L2246" i="3"/>
  <c r="K2246" i="3"/>
  <c r="L2245" i="3"/>
  <c r="K2245" i="3"/>
  <c r="L2244" i="3"/>
  <c r="K2244" i="3"/>
  <c r="L2243" i="3"/>
  <c r="K2243" i="3"/>
  <c r="L2242" i="3"/>
  <c r="K2242" i="3"/>
  <c r="L2241" i="3"/>
  <c r="K2241" i="3"/>
  <c r="L2240" i="3"/>
  <c r="K2240" i="3"/>
  <c r="L2239" i="3"/>
  <c r="K2239" i="3"/>
  <c r="L2238" i="3"/>
  <c r="K2238" i="3"/>
  <c r="L2237" i="3"/>
  <c r="K2237" i="3"/>
  <c r="L2236" i="3"/>
  <c r="K2236" i="3"/>
  <c r="L2235" i="3"/>
  <c r="K2235" i="3"/>
  <c r="L2234" i="3"/>
  <c r="K2234" i="3"/>
  <c r="L2233" i="3"/>
  <c r="K2233" i="3"/>
  <c r="L2232" i="3"/>
  <c r="K2232" i="3"/>
  <c r="L2231" i="3"/>
  <c r="K2231" i="3"/>
  <c r="L2230" i="3"/>
  <c r="K2230" i="3"/>
  <c r="L2229" i="3"/>
  <c r="K2229" i="3"/>
  <c r="L2228" i="3"/>
  <c r="K2228" i="3"/>
  <c r="L2227" i="3"/>
  <c r="K2227" i="3"/>
  <c r="L2226" i="3"/>
  <c r="K2226" i="3"/>
  <c r="L2225" i="3"/>
  <c r="K2225" i="3"/>
  <c r="L2224" i="3"/>
  <c r="K2224" i="3"/>
  <c r="L2220" i="3"/>
  <c r="K2220" i="3"/>
  <c r="L2219" i="3"/>
  <c r="K2219" i="3"/>
  <c r="L2218" i="3"/>
  <c r="K2218" i="3"/>
  <c r="L2217" i="3"/>
  <c r="K2217" i="3"/>
  <c r="L2216" i="3"/>
  <c r="K2216" i="3"/>
  <c r="L2215" i="3"/>
  <c r="K2215" i="3"/>
  <c r="L2214" i="3"/>
  <c r="K2214" i="3"/>
  <c r="L2213" i="3"/>
  <c r="K2213" i="3"/>
  <c r="L2212" i="3"/>
  <c r="K2212" i="3"/>
  <c r="L2211" i="3"/>
  <c r="K2211" i="3"/>
  <c r="L2210" i="3"/>
  <c r="K2210" i="3"/>
  <c r="L2209" i="3"/>
  <c r="K2209" i="3"/>
  <c r="L2208" i="3"/>
  <c r="K2208" i="3"/>
  <c r="L2207" i="3"/>
  <c r="K2207" i="3"/>
  <c r="L2206" i="3"/>
  <c r="K2206" i="3"/>
  <c r="L2205" i="3"/>
  <c r="K2205" i="3"/>
  <c r="L2204" i="3"/>
  <c r="K2204" i="3"/>
  <c r="L2203" i="3"/>
  <c r="K2203" i="3"/>
  <c r="L2202" i="3"/>
  <c r="K2202" i="3"/>
  <c r="L2201" i="3"/>
  <c r="K2201" i="3"/>
  <c r="L2200" i="3"/>
  <c r="K2200" i="3"/>
  <c r="L2199" i="3"/>
  <c r="K2199" i="3"/>
  <c r="L2198" i="3"/>
  <c r="K2198" i="3"/>
  <c r="L2197" i="3"/>
  <c r="K2197" i="3"/>
  <c r="L2196" i="3"/>
  <c r="K2196" i="3"/>
  <c r="L2195" i="3"/>
  <c r="K2195" i="3"/>
  <c r="L2194" i="3"/>
  <c r="K2194" i="3"/>
  <c r="L2193" i="3"/>
  <c r="K2193" i="3"/>
  <c r="L2192" i="3"/>
  <c r="K2192" i="3"/>
  <c r="L2191" i="3"/>
  <c r="K2191" i="3"/>
  <c r="L2190" i="3"/>
  <c r="K2190" i="3"/>
  <c r="L2189" i="3"/>
  <c r="K2189" i="3"/>
  <c r="L2188" i="3"/>
  <c r="K2188" i="3"/>
  <c r="L2187" i="3"/>
  <c r="K2187" i="3"/>
  <c r="L2186" i="3"/>
  <c r="K2186" i="3"/>
  <c r="L2185" i="3"/>
  <c r="K2185" i="3"/>
  <c r="L2184" i="3"/>
  <c r="K2184" i="3"/>
  <c r="L2183" i="3"/>
  <c r="K2183" i="3"/>
  <c r="L2182" i="3"/>
  <c r="K2182" i="3"/>
  <c r="L2181" i="3"/>
  <c r="K2181" i="3"/>
  <c r="L2180" i="3"/>
  <c r="K2180" i="3"/>
  <c r="L2179" i="3"/>
  <c r="K2179" i="3"/>
  <c r="L2178" i="3"/>
  <c r="K2178" i="3"/>
  <c r="L2177" i="3"/>
  <c r="K2177" i="3"/>
  <c r="L2176" i="3"/>
  <c r="K2176" i="3"/>
  <c r="L2175" i="3"/>
  <c r="K2175" i="3"/>
  <c r="L2174" i="3"/>
  <c r="K2174" i="3"/>
  <c r="L2173" i="3"/>
  <c r="K2173" i="3"/>
  <c r="L2172" i="3"/>
  <c r="K2172" i="3"/>
  <c r="L2171" i="3"/>
  <c r="K2171" i="3"/>
  <c r="L2170" i="3"/>
  <c r="K2170" i="3"/>
  <c r="L2169" i="3"/>
  <c r="K2169" i="3"/>
  <c r="L2168" i="3"/>
  <c r="K2168" i="3"/>
  <c r="L2167" i="3"/>
  <c r="K2167" i="3"/>
  <c r="L2166" i="3"/>
  <c r="K2166" i="3"/>
  <c r="L2165" i="3"/>
  <c r="K2165" i="3"/>
  <c r="L2164" i="3"/>
  <c r="K2164" i="3"/>
  <c r="L2163" i="3"/>
  <c r="K2163" i="3"/>
  <c r="L2162" i="3"/>
  <c r="K2162" i="3"/>
  <c r="L2161" i="3"/>
  <c r="K2161" i="3"/>
  <c r="L2160" i="3"/>
  <c r="K2160" i="3"/>
  <c r="L2159" i="3"/>
  <c r="K2159" i="3"/>
  <c r="L2158" i="3"/>
  <c r="K2158" i="3"/>
  <c r="L2157" i="3"/>
  <c r="K2157" i="3"/>
  <c r="L2156" i="3"/>
  <c r="K2156" i="3"/>
  <c r="L2155" i="3"/>
  <c r="K2155" i="3"/>
  <c r="L2154" i="3"/>
  <c r="K2154" i="3"/>
  <c r="L2153" i="3"/>
  <c r="K2153" i="3"/>
  <c r="L2152" i="3"/>
  <c r="K2152" i="3"/>
  <c r="L2151" i="3"/>
  <c r="K2151" i="3"/>
  <c r="L2150" i="3"/>
  <c r="K2150" i="3"/>
  <c r="L2149" i="3"/>
  <c r="K2149" i="3"/>
  <c r="L2148" i="3"/>
  <c r="K2148" i="3"/>
  <c r="L2147" i="3"/>
  <c r="K2147" i="3"/>
  <c r="L2146" i="3"/>
  <c r="K2146" i="3"/>
  <c r="L2145" i="3"/>
  <c r="K2145" i="3"/>
  <c r="L2144" i="3"/>
  <c r="K2144" i="3"/>
  <c r="L2143" i="3"/>
  <c r="K2143" i="3"/>
  <c r="L2141" i="3"/>
  <c r="K2141" i="3"/>
  <c r="L2140" i="3"/>
  <c r="K2140" i="3"/>
  <c r="L2139" i="3"/>
  <c r="K2139" i="3"/>
  <c r="L2138" i="3"/>
  <c r="K2138" i="3"/>
  <c r="L2137" i="3"/>
  <c r="K2137" i="3"/>
  <c r="L2136" i="3"/>
  <c r="K2136" i="3"/>
  <c r="L2135" i="3"/>
  <c r="K2135" i="3"/>
  <c r="L2134" i="3"/>
  <c r="K2134" i="3"/>
  <c r="L2133" i="3"/>
  <c r="K2133" i="3"/>
  <c r="L2132" i="3"/>
  <c r="K2132" i="3"/>
  <c r="L2131" i="3"/>
  <c r="K2131" i="3"/>
  <c r="L2130" i="3"/>
  <c r="K2130" i="3"/>
  <c r="L2129" i="3"/>
  <c r="K2129" i="3"/>
  <c r="L2128" i="3"/>
  <c r="K2128" i="3"/>
  <c r="L2127" i="3"/>
  <c r="K2127" i="3"/>
  <c r="L2126" i="3"/>
  <c r="K2126" i="3"/>
  <c r="L2125" i="3"/>
  <c r="K2125" i="3"/>
  <c r="L2124" i="3"/>
  <c r="K2124" i="3"/>
  <c r="L2123" i="3"/>
  <c r="K2123" i="3"/>
  <c r="L2122" i="3"/>
  <c r="K2122" i="3"/>
  <c r="L2121" i="3"/>
  <c r="K2121" i="3"/>
  <c r="L2120" i="3"/>
  <c r="K2120" i="3"/>
  <c r="L2119" i="3"/>
  <c r="K2119" i="3"/>
  <c r="L2118" i="3"/>
  <c r="K2118" i="3"/>
  <c r="L2117" i="3"/>
  <c r="K2117" i="3"/>
  <c r="L2116" i="3"/>
  <c r="K2116" i="3"/>
  <c r="L2115" i="3"/>
  <c r="K2115" i="3"/>
  <c r="L2114" i="3"/>
  <c r="K2114" i="3"/>
  <c r="L2113" i="3"/>
  <c r="K2113" i="3"/>
  <c r="L2112" i="3"/>
  <c r="K2112" i="3"/>
  <c r="L2111" i="3"/>
  <c r="K2111" i="3"/>
  <c r="L2110" i="3"/>
  <c r="K2110" i="3"/>
  <c r="L2109" i="3"/>
  <c r="K2109" i="3"/>
  <c r="L2108" i="3"/>
  <c r="K2108" i="3"/>
  <c r="L2107" i="3"/>
  <c r="K2107" i="3"/>
  <c r="L2106" i="3"/>
  <c r="K2106" i="3"/>
  <c r="L2104" i="3"/>
  <c r="K2104" i="3"/>
  <c r="L2103" i="3"/>
  <c r="K2103" i="3"/>
  <c r="L2102" i="3"/>
  <c r="K2102" i="3"/>
  <c r="L2100" i="3"/>
  <c r="K2100" i="3"/>
  <c r="L2099" i="3"/>
  <c r="K2099" i="3"/>
  <c r="L2098" i="3"/>
  <c r="K2098" i="3"/>
  <c r="L2097" i="3"/>
  <c r="K2097" i="3"/>
  <c r="L2096" i="3"/>
  <c r="K2096" i="3"/>
  <c r="L2095" i="3"/>
  <c r="K2095" i="3"/>
  <c r="L2094" i="3"/>
  <c r="K2094" i="3"/>
  <c r="L2093" i="3"/>
  <c r="K2093" i="3"/>
  <c r="L2092" i="3"/>
  <c r="K2092" i="3"/>
  <c r="L2091" i="3"/>
  <c r="K2091" i="3"/>
  <c r="L2090" i="3"/>
  <c r="K2090" i="3"/>
  <c r="L2089" i="3"/>
  <c r="K2089" i="3"/>
  <c r="L2088" i="3"/>
  <c r="K2088" i="3"/>
  <c r="L2087" i="3"/>
  <c r="K2087" i="3"/>
  <c r="L2086" i="3"/>
  <c r="K2086" i="3"/>
  <c r="L2085" i="3"/>
  <c r="K2085" i="3"/>
  <c r="L2084" i="3"/>
  <c r="K2084" i="3"/>
  <c r="L2083" i="3"/>
  <c r="K2083" i="3"/>
  <c r="L2082" i="3"/>
  <c r="K2082" i="3"/>
  <c r="L2081" i="3"/>
  <c r="K2081" i="3"/>
  <c r="L2080" i="3"/>
  <c r="K2080" i="3"/>
  <c r="L2079" i="3"/>
  <c r="K2079" i="3"/>
  <c r="L2078" i="3"/>
  <c r="K2078" i="3"/>
  <c r="L2077" i="3"/>
  <c r="K2077" i="3"/>
  <c r="L2076" i="3"/>
  <c r="K2076" i="3"/>
  <c r="L2075" i="3"/>
  <c r="K2075" i="3"/>
  <c r="L2074" i="3"/>
  <c r="K2074" i="3"/>
  <c r="L2073" i="3"/>
  <c r="K2073" i="3"/>
  <c r="L2072" i="3"/>
  <c r="K2072" i="3"/>
  <c r="L2071" i="3"/>
  <c r="K2071" i="3"/>
  <c r="L2070" i="3"/>
  <c r="K2070" i="3"/>
  <c r="L2069" i="3"/>
  <c r="K2069" i="3"/>
  <c r="L2068" i="3"/>
  <c r="K2068" i="3"/>
  <c r="L2067" i="3"/>
  <c r="K2067" i="3"/>
  <c r="L2066" i="3"/>
  <c r="K2066" i="3"/>
  <c r="L2065" i="3"/>
  <c r="K2065" i="3"/>
  <c r="L2064" i="3"/>
  <c r="K2064" i="3"/>
  <c r="L2063" i="3"/>
  <c r="K2063" i="3"/>
  <c r="L2062" i="3"/>
  <c r="K2062" i="3"/>
  <c r="L2061" i="3"/>
  <c r="K2061" i="3"/>
  <c r="L2060" i="3"/>
  <c r="K2060" i="3"/>
  <c r="L2059" i="3"/>
  <c r="K2059" i="3"/>
  <c r="L2058" i="3"/>
  <c r="K2058" i="3"/>
  <c r="L2057" i="3"/>
  <c r="K2057" i="3"/>
  <c r="L2056" i="3"/>
  <c r="K2056" i="3"/>
  <c r="L2055" i="3"/>
  <c r="K2055" i="3"/>
  <c r="L2054" i="3"/>
  <c r="K2054" i="3"/>
  <c r="L2053" i="3"/>
  <c r="K2053" i="3"/>
  <c r="L2052" i="3"/>
  <c r="K2052" i="3"/>
  <c r="L2051" i="3"/>
  <c r="K2051" i="3"/>
  <c r="L2050" i="3"/>
  <c r="K2050" i="3"/>
  <c r="L2049" i="3"/>
  <c r="K2049" i="3"/>
  <c r="L2048" i="3"/>
  <c r="K2048" i="3"/>
  <c r="L2047" i="3"/>
  <c r="K2047" i="3"/>
  <c r="L2046" i="3"/>
  <c r="K2046" i="3"/>
  <c r="L2045" i="3"/>
  <c r="K2045" i="3"/>
  <c r="L2044" i="3"/>
  <c r="K2044" i="3"/>
  <c r="L2043" i="3"/>
  <c r="K2043" i="3"/>
  <c r="L2042" i="3"/>
  <c r="K2042" i="3"/>
  <c r="L2041" i="3"/>
  <c r="K2041" i="3"/>
  <c r="L2040" i="3"/>
  <c r="K2040" i="3"/>
  <c r="L2039" i="3"/>
  <c r="K2039" i="3"/>
  <c r="L2038" i="3"/>
  <c r="K2038" i="3"/>
  <c r="L2036" i="3"/>
  <c r="K2036" i="3"/>
  <c r="L2035" i="3"/>
  <c r="K2035" i="3"/>
  <c r="L2034" i="3"/>
  <c r="K2034" i="3"/>
  <c r="L2033" i="3"/>
  <c r="K2033" i="3"/>
  <c r="L2032" i="3"/>
  <c r="K2032" i="3"/>
  <c r="L2031" i="3"/>
  <c r="K2031" i="3"/>
  <c r="L2030" i="3"/>
  <c r="K2030" i="3"/>
  <c r="L2029" i="3"/>
  <c r="K2029" i="3"/>
  <c r="L2028" i="3"/>
  <c r="K2028" i="3"/>
  <c r="L2027" i="3"/>
  <c r="K2027" i="3"/>
  <c r="L2026" i="3"/>
  <c r="K2026" i="3"/>
  <c r="L2025" i="3"/>
  <c r="K2025" i="3"/>
  <c r="L2024" i="3"/>
  <c r="K2024" i="3"/>
  <c r="L2023" i="3"/>
  <c r="K2023" i="3"/>
  <c r="L2022" i="3"/>
  <c r="K2022" i="3"/>
  <c r="L2021" i="3"/>
  <c r="K2021" i="3"/>
  <c r="L2020" i="3"/>
  <c r="K2020" i="3"/>
  <c r="L2019" i="3"/>
  <c r="K2019" i="3"/>
  <c r="L2018" i="3"/>
  <c r="K2018" i="3"/>
  <c r="L2017" i="3"/>
  <c r="K2017" i="3"/>
  <c r="L2016" i="3"/>
  <c r="K2016" i="3"/>
  <c r="L2015" i="3"/>
  <c r="K2015" i="3"/>
  <c r="L2014" i="3"/>
  <c r="K2014" i="3"/>
  <c r="L2013" i="3"/>
  <c r="K2013" i="3"/>
  <c r="L2011" i="3"/>
  <c r="K2011" i="3"/>
  <c r="L2010" i="3"/>
  <c r="K2010" i="3"/>
  <c r="L2009" i="3"/>
  <c r="K2009" i="3"/>
  <c r="L2008" i="3"/>
  <c r="K2008" i="3"/>
  <c r="L2007" i="3"/>
  <c r="K2007" i="3"/>
  <c r="L2006" i="3"/>
  <c r="K2006" i="3"/>
  <c r="L2005" i="3"/>
  <c r="K2005" i="3"/>
  <c r="L2004" i="3"/>
  <c r="K2004" i="3"/>
  <c r="L2003" i="3"/>
  <c r="K2003" i="3"/>
  <c r="L2002" i="3"/>
  <c r="K2002" i="3"/>
  <c r="L2001" i="3"/>
  <c r="K2001" i="3"/>
  <c r="L2000" i="3"/>
  <c r="K2000" i="3"/>
  <c r="L1999" i="3"/>
  <c r="K1999" i="3"/>
  <c r="L1998" i="3"/>
  <c r="K1998" i="3"/>
  <c r="L1997" i="3"/>
  <c r="K1997" i="3"/>
  <c r="L1996" i="3"/>
  <c r="K1996" i="3"/>
  <c r="L1995" i="3"/>
  <c r="K1995" i="3"/>
  <c r="L1994" i="3"/>
  <c r="K1994" i="3"/>
  <c r="L1993" i="3"/>
  <c r="K1993" i="3"/>
  <c r="L1992" i="3"/>
  <c r="K1992" i="3"/>
  <c r="L1991" i="3"/>
  <c r="K1991" i="3"/>
  <c r="L1990" i="3"/>
  <c r="K1990" i="3"/>
  <c r="L1989" i="3"/>
  <c r="K1989" i="3"/>
  <c r="L1988" i="3"/>
  <c r="K1988" i="3"/>
  <c r="L1987" i="3"/>
  <c r="K1987" i="3"/>
  <c r="L1986" i="3"/>
  <c r="K1986" i="3"/>
  <c r="L1985" i="3"/>
  <c r="K1985" i="3"/>
  <c r="L1984" i="3"/>
  <c r="K1984" i="3"/>
  <c r="L1983" i="3"/>
  <c r="K1983" i="3"/>
  <c r="L1982" i="3"/>
  <c r="K1982" i="3"/>
  <c r="L1981" i="3"/>
  <c r="K1981" i="3"/>
  <c r="L1980" i="3"/>
  <c r="K1980" i="3"/>
  <c r="L1979" i="3"/>
  <c r="K1979" i="3"/>
  <c r="L1978" i="3"/>
  <c r="K1978" i="3"/>
  <c r="L1977" i="3"/>
  <c r="K1977" i="3"/>
  <c r="L1976" i="3"/>
  <c r="K1976" i="3"/>
  <c r="L1975" i="3"/>
  <c r="K1975" i="3"/>
  <c r="L1974" i="3"/>
  <c r="K1974" i="3"/>
  <c r="L1973" i="3"/>
  <c r="K1973" i="3"/>
  <c r="L1972" i="3"/>
  <c r="K1972" i="3"/>
  <c r="L1971" i="3"/>
  <c r="K1971" i="3"/>
  <c r="L1970" i="3"/>
  <c r="K1970" i="3"/>
  <c r="L1969" i="3"/>
  <c r="K1969" i="3"/>
  <c r="L1968" i="3"/>
  <c r="K1968" i="3"/>
  <c r="L1967" i="3"/>
  <c r="K1967" i="3"/>
  <c r="L1966" i="3"/>
  <c r="K1966" i="3"/>
  <c r="L1965" i="3"/>
  <c r="K1965" i="3"/>
  <c r="L1964" i="3"/>
  <c r="K1964" i="3"/>
  <c r="L1963" i="3"/>
  <c r="K1963" i="3"/>
  <c r="L1962" i="3"/>
  <c r="K1962" i="3"/>
  <c r="L1961" i="3"/>
  <c r="K1961" i="3"/>
  <c r="L1960" i="3"/>
  <c r="K1960" i="3"/>
  <c r="L1959" i="3"/>
  <c r="K1959" i="3"/>
  <c r="L1958" i="3"/>
  <c r="K1958" i="3"/>
  <c r="L1957" i="3"/>
  <c r="K1957" i="3"/>
  <c r="L1956" i="3"/>
  <c r="K1956" i="3"/>
  <c r="L1955" i="3"/>
  <c r="K1955" i="3"/>
  <c r="L1954" i="3"/>
  <c r="K1954" i="3"/>
  <c r="L1953" i="3"/>
  <c r="K1953" i="3"/>
  <c r="L1952" i="3"/>
  <c r="K1952" i="3"/>
  <c r="L1951" i="3"/>
  <c r="K1951" i="3"/>
  <c r="L1950" i="3"/>
  <c r="K1950" i="3"/>
  <c r="L1949" i="3"/>
  <c r="K1949" i="3"/>
  <c r="L1948" i="3"/>
  <c r="K1948" i="3"/>
  <c r="L1947" i="3"/>
  <c r="K1947" i="3"/>
  <c r="L1946" i="3"/>
  <c r="K1946" i="3"/>
  <c r="L1945" i="3"/>
  <c r="K1945" i="3"/>
  <c r="L1944" i="3"/>
  <c r="K1944" i="3"/>
  <c r="L1943" i="3"/>
  <c r="K1943" i="3"/>
  <c r="L1942" i="3"/>
  <c r="K1942" i="3"/>
  <c r="L1941" i="3"/>
  <c r="K1941" i="3"/>
  <c r="L1940" i="3"/>
  <c r="K1940" i="3"/>
  <c r="L1939" i="3"/>
  <c r="K1939" i="3"/>
  <c r="L1938" i="3"/>
  <c r="K1938" i="3"/>
  <c r="L1937" i="3"/>
  <c r="K1937" i="3"/>
  <c r="L1936" i="3"/>
  <c r="K1936" i="3"/>
  <c r="L1935" i="3"/>
  <c r="K1935" i="3"/>
  <c r="L1934" i="3"/>
  <c r="K1934" i="3"/>
  <c r="L1933" i="3"/>
  <c r="K1933" i="3"/>
  <c r="L1932" i="3"/>
  <c r="K1932" i="3"/>
  <c r="L1931" i="3"/>
  <c r="K1931" i="3"/>
  <c r="L1929" i="3"/>
  <c r="K1929" i="3"/>
  <c r="L1928" i="3"/>
  <c r="K1928" i="3"/>
  <c r="L1927" i="3"/>
  <c r="K1927" i="3"/>
  <c r="L1926" i="3"/>
  <c r="K1926" i="3"/>
  <c r="L1925" i="3"/>
  <c r="K1925" i="3"/>
  <c r="L1924" i="3"/>
  <c r="K1924" i="3"/>
  <c r="L1923" i="3"/>
  <c r="K1923" i="3"/>
  <c r="L1922" i="3"/>
  <c r="K1922" i="3"/>
  <c r="L1921" i="3"/>
  <c r="K1921" i="3"/>
  <c r="L1920" i="3"/>
  <c r="K1920" i="3"/>
  <c r="L1919" i="3"/>
  <c r="K1919" i="3"/>
  <c r="L1918" i="3"/>
  <c r="K1918" i="3"/>
  <c r="L1917" i="3"/>
  <c r="K1917" i="3"/>
  <c r="L1916" i="3"/>
  <c r="K1916" i="3"/>
  <c r="L1915" i="3"/>
  <c r="K1915" i="3"/>
  <c r="L1914" i="3"/>
  <c r="K1914" i="3"/>
  <c r="L1913" i="3"/>
  <c r="K1913" i="3"/>
  <c r="L1912" i="3"/>
  <c r="K1912" i="3"/>
  <c r="L1911" i="3"/>
  <c r="K1911" i="3"/>
  <c r="L1910" i="3"/>
  <c r="K1910" i="3"/>
  <c r="L1909" i="3"/>
  <c r="K1909" i="3"/>
  <c r="L1908" i="3"/>
  <c r="K1908" i="3"/>
  <c r="L1907" i="3"/>
  <c r="K1907" i="3"/>
  <c r="L1906" i="3"/>
  <c r="K1906" i="3"/>
  <c r="L1905" i="3"/>
  <c r="K1905" i="3"/>
  <c r="L1904" i="3"/>
  <c r="K1904" i="3"/>
  <c r="L1903" i="3"/>
  <c r="K1903" i="3"/>
  <c r="L1902" i="3"/>
  <c r="K1902" i="3"/>
  <c r="L1901" i="3"/>
  <c r="K1901" i="3"/>
  <c r="L1900" i="3"/>
  <c r="K1900" i="3"/>
  <c r="L1899" i="3"/>
  <c r="K1899" i="3"/>
  <c r="L1898" i="3"/>
  <c r="K1898" i="3"/>
  <c r="L1897" i="3"/>
  <c r="K1897" i="3"/>
  <c r="L1896" i="3"/>
  <c r="K1896" i="3"/>
  <c r="L1895" i="3"/>
  <c r="K1895" i="3"/>
  <c r="L1894" i="3"/>
  <c r="K1894" i="3"/>
  <c r="L1893" i="3"/>
  <c r="K1893" i="3"/>
  <c r="L1892" i="3"/>
  <c r="K1892" i="3"/>
  <c r="L1891" i="3"/>
  <c r="K1891" i="3"/>
  <c r="L1890" i="3"/>
  <c r="K1890" i="3"/>
  <c r="L1889" i="3"/>
  <c r="K1889" i="3"/>
  <c r="L1888" i="3"/>
  <c r="K1888" i="3"/>
  <c r="L1887" i="3"/>
  <c r="K1887" i="3"/>
  <c r="L1886" i="3"/>
  <c r="K1886" i="3"/>
  <c r="L1885" i="3"/>
  <c r="K1885" i="3"/>
  <c r="L1884" i="3"/>
  <c r="K1884" i="3"/>
  <c r="L1883" i="3"/>
  <c r="K1883" i="3"/>
  <c r="L1882" i="3"/>
  <c r="K1882" i="3"/>
  <c r="L1881" i="3"/>
  <c r="K1881" i="3"/>
  <c r="L1880" i="3"/>
  <c r="K1880" i="3"/>
  <c r="L1879" i="3"/>
  <c r="K1879" i="3"/>
  <c r="L1878" i="3"/>
  <c r="K1878" i="3"/>
  <c r="L1877" i="3"/>
  <c r="K1877" i="3"/>
  <c r="L1876" i="3"/>
  <c r="K1876" i="3"/>
  <c r="L1875" i="3"/>
  <c r="K1875" i="3"/>
  <c r="L1874" i="3"/>
  <c r="K1874" i="3"/>
  <c r="L1873" i="3"/>
  <c r="K1873" i="3"/>
  <c r="L1872" i="3"/>
  <c r="K1872" i="3"/>
  <c r="L1871" i="3"/>
  <c r="K1871" i="3"/>
  <c r="L1870" i="3"/>
  <c r="K1870" i="3"/>
  <c r="L1869" i="3"/>
  <c r="K1869" i="3"/>
  <c r="L1868" i="3"/>
  <c r="K1868" i="3"/>
  <c r="L1867" i="3"/>
  <c r="K1867" i="3"/>
  <c r="L1866" i="3"/>
  <c r="K1866" i="3"/>
  <c r="L1865" i="3"/>
  <c r="K1865" i="3"/>
  <c r="L1864" i="3"/>
  <c r="K1864" i="3"/>
  <c r="L1863" i="3"/>
  <c r="K1863" i="3"/>
  <c r="L1862" i="3"/>
  <c r="K1862" i="3"/>
  <c r="L1861" i="3"/>
  <c r="K1861" i="3"/>
  <c r="L1860" i="3"/>
  <c r="K1860" i="3"/>
  <c r="L1859" i="3"/>
  <c r="K1859" i="3"/>
  <c r="L1858" i="3"/>
  <c r="K1858" i="3"/>
  <c r="L1857" i="3"/>
  <c r="K1857" i="3"/>
  <c r="L1856" i="3"/>
  <c r="K1856" i="3"/>
  <c r="L1855" i="3"/>
  <c r="K1855" i="3"/>
  <c r="L1854" i="3"/>
  <c r="K1854" i="3"/>
  <c r="L1853" i="3"/>
  <c r="K1853" i="3"/>
  <c r="L1852" i="3"/>
  <c r="K1852" i="3"/>
  <c r="L1851" i="3"/>
  <c r="K1851" i="3"/>
  <c r="L1850" i="3"/>
  <c r="K1850" i="3"/>
  <c r="L1849" i="3"/>
  <c r="K1849" i="3"/>
  <c r="L1848" i="3"/>
  <c r="K1848" i="3"/>
  <c r="L1847" i="3"/>
  <c r="K1847" i="3"/>
  <c r="L1846" i="3"/>
  <c r="K1846" i="3"/>
  <c r="L1845" i="3"/>
  <c r="K1845" i="3"/>
  <c r="L1844" i="3"/>
  <c r="K1844" i="3"/>
  <c r="L1843" i="3"/>
  <c r="K1843" i="3"/>
  <c r="L1842" i="3"/>
  <c r="K1842" i="3"/>
  <c r="L1841" i="3"/>
  <c r="K1841" i="3"/>
  <c r="L1840" i="3"/>
  <c r="K1840" i="3"/>
  <c r="L1839" i="3"/>
  <c r="K1839" i="3"/>
  <c r="L1838" i="3"/>
  <c r="K1838" i="3"/>
  <c r="L1837" i="3"/>
  <c r="K1837" i="3"/>
  <c r="L1836" i="3"/>
  <c r="K1836" i="3"/>
  <c r="L1835" i="3"/>
  <c r="K1835" i="3"/>
  <c r="L1834" i="3"/>
  <c r="K1834" i="3"/>
  <c r="L1833" i="3"/>
  <c r="K1833" i="3"/>
  <c r="L1832" i="3"/>
  <c r="K1832" i="3"/>
  <c r="L1831" i="3"/>
  <c r="K1831" i="3"/>
  <c r="L1830" i="3"/>
  <c r="K1830" i="3"/>
  <c r="L1829" i="3"/>
  <c r="K1829" i="3"/>
  <c r="L1828" i="3"/>
  <c r="K1828" i="3"/>
  <c r="L1827" i="3"/>
  <c r="K1827" i="3"/>
  <c r="L1826" i="3"/>
  <c r="K1826" i="3"/>
  <c r="L1825" i="3"/>
  <c r="K1825" i="3"/>
  <c r="L1824" i="3"/>
  <c r="K1824" i="3"/>
  <c r="L1823" i="3"/>
  <c r="K1823" i="3"/>
  <c r="L1822" i="3"/>
  <c r="K1822" i="3"/>
  <c r="L1821" i="3"/>
  <c r="K1821" i="3"/>
  <c r="L1820" i="3"/>
  <c r="K1820" i="3"/>
  <c r="L1819" i="3"/>
  <c r="K1819" i="3"/>
  <c r="L1818" i="3"/>
  <c r="K1818" i="3"/>
  <c r="L1817" i="3"/>
  <c r="K1817" i="3"/>
  <c r="L1816" i="3"/>
  <c r="K1816" i="3"/>
  <c r="L1815" i="3"/>
  <c r="K1815" i="3"/>
  <c r="L1814" i="3"/>
  <c r="K1814" i="3"/>
  <c r="L1813" i="3"/>
  <c r="K1813" i="3"/>
  <c r="L1812" i="3"/>
  <c r="K1812" i="3"/>
  <c r="L1811" i="3"/>
  <c r="K1811" i="3"/>
  <c r="L1810" i="3"/>
  <c r="K1810" i="3"/>
  <c r="L1809" i="3"/>
  <c r="K1809" i="3"/>
  <c r="L1808" i="3"/>
  <c r="K1808" i="3"/>
  <c r="L1807" i="3"/>
  <c r="K1807" i="3"/>
  <c r="L1806" i="3"/>
  <c r="K1806" i="3"/>
  <c r="L1805" i="3"/>
  <c r="K1805" i="3"/>
  <c r="L1804" i="3"/>
  <c r="K1804" i="3"/>
  <c r="L1803" i="3"/>
  <c r="K1803" i="3"/>
  <c r="L1802" i="3"/>
  <c r="K1802" i="3"/>
  <c r="L1801" i="3"/>
  <c r="K1801" i="3"/>
  <c r="L1800" i="3"/>
  <c r="K1800" i="3"/>
  <c r="L1799" i="3"/>
  <c r="K1799" i="3"/>
  <c r="L1798" i="3"/>
  <c r="K1798" i="3"/>
  <c r="L1797" i="3"/>
  <c r="K1797" i="3"/>
  <c r="L1794" i="3"/>
  <c r="K1794" i="3"/>
  <c r="L1793" i="3"/>
  <c r="K1793" i="3"/>
  <c r="L1792" i="3"/>
  <c r="K1792" i="3"/>
  <c r="L1791" i="3"/>
  <c r="K1791" i="3"/>
  <c r="L1790" i="3"/>
  <c r="K1790" i="3"/>
  <c r="L1789" i="3"/>
  <c r="K1789" i="3"/>
  <c r="L1788" i="3"/>
  <c r="K1788" i="3"/>
  <c r="L1787" i="3"/>
  <c r="K1787" i="3"/>
  <c r="L1786" i="3"/>
  <c r="K1786" i="3"/>
  <c r="L1785" i="3"/>
  <c r="K1785" i="3"/>
  <c r="L1784" i="3"/>
  <c r="K1784" i="3"/>
  <c r="L1783" i="3"/>
  <c r="K1783" i="3"/>
  <c r="L1782" i="3"/>
  <c r="K1782" i="3"/>
  <c r="L1781" i="3"/>
  <c r="K1781" i="3"/>
  <c r="L1780" i="3"/>
  <c r="K1780" i="3"/>
  <c r="L1779" i="3"/>
  <c r="K1779" i="3"/>
  <c r="L1778" i="3"/>
  <c r="K1778" i="3"/>
  <c r="L1777" i="3"/>
  <c r="K1777" i="3"/>
  <c r="L1776" i="3"/>
  <c r="K1776" i="3"/>
  <c r="L1775" i="3"/>
  <c r="K1775" i="3"/>
  <c r="L1774" i="3"/>
  <c r="K1774" i="3"/>
  <c r="L1773" i="3"/>
  <c r="K1773" i="3"/>
  <c r="L1772" i="3"/>
  <c r="K1772" i="3"/>
  <c r="L1771" i="3"/>
  <c r="K1771" i="3"/>
  <c r="L1770" i="3"/>
  <c r="K1770" i="3"/>
  <c r="L1769" i="3"/>
  <c r="K1769" i="3"/>
  <c r="L1768" i="3"/>
  <c r="K1768" i="3"/>
  <c r="L1767" i="3"/>
  <c r="K1767" i="3"/>
  <c r="L1766" i="3"/>
  <c r="K1766" i="3"/>
  <c r="L1765" i="3"/>
  <c r="K1765" i="3"/>
  <c r="L1764" i="3"/>
  <c r="K1764" i="3"/>
  <c r="L1763" i="3"/>
  <c r="K1763" i="3"/>
  <c r="L1762" i="3"/>
  <c r="K1762" i="3"/>
  <c r="L1761" i="3"/>
  <c r="K1761" i="3"/>
  <c r="L1760" i="3"/>
  <c r="K1760" i="3"/>
  <c r="L1759" i="3"/>
  <c r="K1759" i="3"/>
  <c r="L1758" i="3"/>
  <c r="K1758" i="3"/>
  <c r="L1757" i="3"/>
  <c r="K1757" i="3"/>
  <c r="L1756" i="3"/>
  <c r="K1756" i="3"/>
  <c r="L1755" i="3"/>
  <c r="K1755" i="3"/>
  <c r="L1754" i="3"/>
  <c r="K1754" i="3"/>
  <c r="L1753" i="3"/>
  <c r="K1753" i="3"/>
  <c r="L1752" i="3"/>
  <c r="K1752" i="3"/>
  <c r="L1751" i="3"/>
  <c r="K1751" i="3"/>
  <c r="L1750" i="3"/>
  <c r="K1750" i="3"/>
  <c r="L1749" i="3"/>
  <c r="K1749" i="3"/>
  <c r="L1748" i="3"/>
  <c r="K1748" i="3"/>
  <c r="L1747" i="3"/>
  <c r="K1747" i="3"/>
  <c r="L1745" i="3"/>
  <c r="K1745" i="3"/>
  <c r="L1741" i="3"/>
  <c r="K1741" i="3"/>
  <c r="L1740" i="3"/>
  <c r="K1740" i="3"/>
  <c r="L1739" i="3"/>
  <c r="K1739" i="3"/>
  <c r="L1738" i="3"/>
  <c r="K1738" i="3"/>
  <c r="L1737" i="3"/>
  <c r="K1737" i="3"/>
  <c r="L1736" i="3"/>
  <c r="K1736" i="3"/>
  <c r="L1735" i="3"/>
  <c r="K1735" i="3"/>
  <c r="L1734" i="3"/>
  <c r="K1734" i="3"/>
  <c r="L1733" i="3"/>
  <c r="K1733" i="3"/>
  <c r="L1732" i="3"/>
  <c r="K1732" i="3"/>
  <c r="L1731" i="3"/>
  <c r="K1731" i="3"/>
  <c r="L1730" i="3"/>
  <c r="K1730" i="3"/>
  <c r="L1729" i="3"/>
  <c r="K1729" i="3"/>
  <c r="L1728" i="3"/>
  <c r="K1728" i="3"/>
  <c r="L1727" i="3"/>
  <c r="K1727" i="3"/>
  <c r="L1726" i="3"/>
  <c r="K1726" i="3"/>
  <c r="L1725" i="3"/>
  <c r="K1725" i="3"/>
  <c r="L1724" i="3"/>
  <c r="K1724" i="3"/>
  <c r="L1723" i="3"/>
  <c r="K1723" i="3"/>
  <c r="L1722" i="3"/>
  <c r="K1722" i="3"/>
  <c r="L1721" i="3"/>
  <c r="K1721" i="3"/>
  <c r="L1720" i="3"/>
  <c r="K1720" i="3"/>
  <c r="L1719" i="3"/>
  <c r="K1719" i="3"/>
  <c r="L1718" i="3"/>
  <c r="K1718" i="3"/>
  <c r="L1717" i="3"/>
  <c r="K1717" i="3"/>
  <c r="L1716" i="3"/>
  <c r="K1716" i="3"/>
  <c r="L1715" i="3"/>
  <c r="K1715" i="3"/>
  <c r="L1714" i="3"/>
  <c r="K1714" i="3"/>
  <c r="L1713" i="3"/>
  <c r="K1713" i="3"/>
  <c r="L1712" i="3"/>
  <c r="K1712" i="3"/>
  <c r="L1711" i="3"/>
  <c r="K1711" i="3"/>
  <c r="L1710" i="3"/>
  <c r="K1710" i="3"/>
  <c r="L1709" i="3"/>
  <c r="K1709" i="3"/>
  <c r="L1708" i="3"/>
  <c r="K1708" i="3"/>
  <c r="L1707" i="3"/>
  <c r="K1707" i="3"/>
  <c r="L1706" i="3"/>
  <c r="K1706" i="3"/>
  <c r="L1705" i="3"/>
  <c r="K1705" i="3"/>
  <c r="L1704" i="3"/>
  <c r="K1704" i="3"/>
  <c r="L1703" i="3"/>
  <c r="K1703" i="3"/>
  <c r="L1702" i="3"/>
  <c r="K1702" i="3"/>
  <c r="L1701" i="3"/>
  <c r="K1701" i="3"/>
  <c r="L1700" i="3"/>
  <c r="K1700" i="3"/>
  <c r="L1699" i="3"/>
  <c r="K1699" i="3"/>
  <c r="L1698" i="3"/>
  <c r="K1698" i="3"/>
  <c r="L1697" i="3"/>
  <c r="K1697" i="3"/>
  <c r="L1696" i="3"/>
  <c r="K1696" i="3"/>
  <c r="L1695" i="3"/>
  <c r="K1695" i="3"/>
  <c r="L1694" i="3"/>
  <c r="K1694" i="3"/>
  <c r="L1693" i="3"/>
  <c r="K1693" i="3"/>
  <c r="L1692" i="3"/>
  <c r="K1692" i="3"/>
  <c r="L1691" i="3"/>
  <c r="K1691" i="3"/>
  <c r="L1690" i="3"/>
  <c r="K1690" i="3"/>
  <c r="L1689" i="3"/>
  <c r="K1689" i="3"/>
  <c r="L1688" i="3"/>
  <c r="K1688" i="3"/>
  <c r="L1687" i="3"/>
  <c r="K1687" i="3"/>
  <c r="L1686" i="3"/>
  <c r="K1686" i="3"/>
  <c r="L1685" i="3"/>
  <c r="K1685" i="3"/>
  <c r="L1684" i="3"/>
  <c r="K1684" i="3"/>
  <c r="L1683" i="3"/>
  <c r="K1683" i="3"/>
  <c r="L1682" i="3"/>
  <c r="K1682" i="3"/>
  <c r="L1681" i="3"/>
  <c r="K1681" i="3"/>
  <c r="L1680" i="3"/>
  <c r="K1680" i="3"/>
  <c r="L1679" i="3"/>
  <c r="K1679" i="3"/>
  <c r="L1678" i="3"/>
  <c r="K1678" i="3"/>
  <c r="L1677" i="3"/>
  <c r="K1677" i="3"/>
  <c r="L1676" i="3"/>
  <c r="K1676" i="3"/>
  <c r="L1675" i="3"/>
  <c r="K1675" i="3"/>
  <c r="L1674" i="3"/>
  <c r="K1674" i="3"/>
  <c r="L1673" i="3"/>
  <c r="K1673" i="3"/>
  <c r="L1672" i="3"/>
  <c r="K1672" i="3"/>
  <c r="L1671" i="3"/>
  <c r="K1671" i="3"/>
  <c r="L1670" i="3"/>
  <c r="K1670" i="3"/>
  <c r="L1669" i="3"/>
  <c r="K1669" i="3"/>
  <c r="L1668" i="3"/>
  <c r="K1668" i="3"/>
  <c r="L1667" i="3"/>
  <c r="K1667" i="3"/>
  <c r="L1666" i="3"/>
  <c r="K1666" i="3"/>
  <c r="L1665" i="3"/>
  <c r="K1665" i="3"/>
  <c r="L1664" i="3"/>
  <c r="K1664" i="3"/>
  <c r="L1663" i="3"/>
  <c r="K1663" i="3"/>
  <c r="L1662" i="3"/>
  <c r="K1662" i="3"/>
  <c r="L1661" i="3"/>
  <c r="K1661" i="3"/>
  <c r="L1660" i="3"/>
  <c r="K1660" i="3"/>
  <c r="L1659" i="3"/>
  <c r="K1659" i="3"/>
  <c r="L1658" i="3"/>
  <c r="K1658" i="3"/>
  <c r="L1657" i="3"/>
  <c r="K1657" i="3"/>
  <c r="L1656" i="3"/>
  <c r="K1656" i="3"/>
  <c r="L1655" i="3"/>
  <c r="K1655" i="3"/>
  <c r="L1654" i="3"/>
  <c r="K1654" i="3"/>
  <c r="L1653" i="3"/>
  <c r="K1653" i="3"/>
  <c r="L1652" i="3"/>
  <c r="K1652" i="3"/>
  <c r="L1651" i="3"/>
  <c r="K1651" i="3"/>
  <c r="L1650" i="3"/>
  <c r="K1650" i="3"/>
  <c r="L1649" i="3"/>
  <c r="K1649" i="3"/>
  <c r="L1648" i="3"/>
  <c r="K1648" i="3"/>
  <c r="L1647" i="3"/>
  <c r="K1647" i="3"/>
  <c r="L1646" i="3"/>
  <c r="K1646" i="3"/>
  <c r="L1645" i="3"/>
  <c r="K1645" i="3"/>
  <c r="L1644" i="3"/>
  <c r="K1644" i="3"/>
  <c r="L1643" i="3"/>
  <c r="K1643" i="3"/>
  <c r="L1642" i="3"/>
  <c r="K1642" i="3"/>
  <c r="L1641" i="3"/>
  <c r="K1641" i="3"/>
  <c r="L1640" i="3"/>
  <c r="K1640" i="3"/>
  <c r="L1639" i="3"/>
  <c r="K1639" i="3"/>
  <c r="L1638" i="3"/>
  <c r="K1638" i="3"/>
  <c r="L1637" i="3"/>
  <c r="K1637" i="3"/>
  <c r="L1636" i="3"/>
  <c r="K1636" i="3"/>
  <c r="L1635" i="3"/>
  <c r="K1635" i="3"/>
  <c r="L1634" i="3"/>
  <c r="K1634" i="3"/>
  <c r="L1633" i="3"/>
  <c r="K1633" i="3"/>
  <c r="L1632" i="3"/>
  <c r="K1632" i="3"/>
  <c r="L1631" i="3"/>
  <c r="K1631" i="3"/>
  <c r="L1630" i="3"/>
  <c r="K1630" i="3"/>
  <c r="L1629" i="3"/>
  <c r="K1629" i="3"/>
  <c r="L1628" i="3"/>
  <c r="K1628" i="3"/>
  <c r="L1627" i="3"/>
  <c r="K1627" i="3"/>
  <c r="L1626" i="3"/>
  <c r="K1626" i="3"/>
  <c r="L1625" i="3"/>
  <c r="K1625" i="3"/>
  <c r="L1624" i="3"/>
  <c r="K1624" i="3"/>
  <c r="L1623" i="3"/>
  <c r="K1623" i="3"/>
  <c r="L1621" i="3"/>
  <c r="K1621" i="3"/>
  <c r="L1619" i="3"/>
  <c r="K1619" i="3"/>
  <c r="L1618" i="3"/>
  <c r="K1618" i="3"/>
  <c r="L1617" i="3"/>
  <c r="K1617" i="3"/>
  <c r="L1616" i="3"/>
  <c r="K1616" i="3"/>
  <c r="L1615" i="3"/>
  <c r="K1615" i="3"/>
  <c r="L1614" i="3"/>
  <c r="K1614" i="3"/>
  <c r="L1613" i="3"/>
  <c r="K1613" i="3"/>
  <c r="L1612" i="3"/>
  <c r="K1612" i="3"/>
  <c r="L1611" i="3"/>
  <c r="K1611" i="3"/>
  <c r="L1610" i="3"/>
  <c r="K1610" i="3"/>
  <c r="L1609" i="3"/>
  <c r="K1609" i="3"/>
  <c r="L1608" i="3"/>
  <c r="K1608" i="3"/>
  <c r="L1607" i="3"/>
  <c r="K1607" i="3"/>
  <c r="L1606" i="3"/>
  <c r="K1606" i="3"/>
  <c r="L1605" i="3"/>
  <c r="K1605" i="3"/>
  <c r="L1604" i="3"/>
  <c r="K1604" i="3"/>
  <c r="L1603" i="3"/>
  <c r="K1603" i="3"/>
  <c r="L1602" i="3"/>
  <c r="K1602" i="3"/>
  <c r="L1601" i="3"/>
  <c r="K1601" i="3"/>
  <c r="L1600" i="3"/>
  <c r="K1600" i="3"/>
  <c r="L1599" i="3"/>
  <c r="K1599" i="3"/>
  <c r="L1598" i="3"/>
  <c r="K1598" i="3"/>
  <c r="L1597" i="3"/>
  <c r="K1597" i="3"/>
  <c r="L1596" i="3"/>
  <c r="K1596" i="3"/>
  <c r="L1595" i="3"/>
  <c r="K1595" i="3"/>
  <c r="L1594" i="3"/>
  <c r="K1594" i="3"/>
  <c r="L1593" i="3"/>
  <c r="K1593" i="3"/>
  <c r="L1592" i="3"/>
  <c r="K1592" i="3"/>
  <c r="L1591" i="3"/>
  <c r="K1591" i="3"/>
  <c r="L1590" i="3"/>
  <c r="K1590" i="3"/>
  <c r="L1589" i="3"/>
  <c r="K1589" i="3"/>
  <c r="L1588" i="3"/>
  <c r="K1588" i="3"/>
  <c r="L1587" i="3"/>
  <c r="K1587" i="3"/>
  <c r="L1586" i="3"/>
  <c r="K1586" i="3"/>
  <c r="L1585" i="3"/>
  <c r="K1585" i="3"/>
  <c r="L1584" i="3"/>
  <c r="K1584" i="3"/>
  <c r="L1583" i="3"/>
  <c r="K1583" i="3"/>
  <c r="L1582" i="3"/>
  <c r="K1582" i="3"/>
  <c r="L1581" i="3"/>
  <c r="K1581" i="3"/>
  <c r="L1580" i="3"/>
  <c r="K1580" i="3"/>
  <c r="L1579" i="3"/>
  <c r="K1579" i="3"/>
  <c r="L1578" i="3"/>
  <c r="K1578" i="3"/>
  <c r="L1577" i="3"/>
  <c r="K1577" i="3"/>
  <c r="L1576" i="3"/>
  <c r="K1576" i="3"/>
  <c r="L1575" i="3"/>
  <c r="K1575" i="3"/>
  <c r="L1574" i="3"/>
  <c r="K1574" i="3"/>
  <c r="L1573" i="3"/>
  <c r="K1573" i="3"/>
  <c r="L1572" i="3"/>
  <c r="K1572" i="3"/>
  <c r="L1571" i="3"/>
  <c r="K1571" i="3"/>
  <c r="L1570" i="3"/>
  <c r="K1570" i="3"/>
  <c r="L1569" i="3"/>
  <c r="K1569" i="3"/>
  <c r="L1568" i="3"/>
  <c r="K1568" i="3"/>
  <c r="L1567" i="3"/>
  <c r="K1567" i="3"/>
  <c r="L1566" i="3"/>
  <c r="K1566" i="3"/>
  <c r="L1565" i="3"/>
  <c r="K1565" i="3"/>
  <c r="L1564" i="3"/>
  <c r="K1564" i="3"/>
  <c r="L1563" i="3"/>
  <c r="K1563" i="3"/>
  <c r="L1562" i="3"/>
  <c r="K1562" i="3"/>
  <c r="L1561" i="3"/>
  <c r="K1561" i="3"/>
  <c r="L1560" i="3"/>
  <c r="K1560" i="3"/>
  <c r="L1559" i="3"/>
  <c r="K1559" i="3"/>
  <c r="L1558" i="3"/>
  <c r="K1558" i="3"/>
  <c r="L1557" i="3"/>
  <c r="K1557" i="3"/>
  <c r="L1556" i="3"/>
  <c r="K1556" i="3"/>
  <c r="L1555" i="3"/>
  <c r="K1555" i="3"/>
  <c r="L1554" i="3"/>
  <c r="K1554" i="3"/>
  <c r="L1553" i="3"/>
  <c r="K1553" i="3"/>
  <c r="L1552" i="3"/>
  <c r="K1552" i="3"/>
  <c r="L1551" i="3"/>
  <c r="K1551" i="3"/>
  <c r="L1550" i="3"/>
  <c r="K1550" i="3"/>
  <c r="L1549" i="3"/>
  <c r="K1549" i="3"/>
  <c r="L1548" i="3"/>
  <c r="K1548" i="3"/>
  <c r="L1547" i="3"/>
  <c r="K1547" i="3"/>
  <c r="L1546" i="3"/>
  <c r="K1546" i="3"/>
  <c r="L1545" i="3"/>
  <c r="K1545" i="3"/>
  <c r="L1544" i="3"/>
  <c r="K1544" i="3"/>
  <c r="L1542" i="3"/>
  <c r="K1542" i="3"/>
  <c r="L1541" i="3"/>
  <c r="K1541" i="3"/>
  <c r="L1540" i="3"/>
  <c r="K1540" i="3"/>
  <c r="L1539" i="3"/>
  <c r="K1539" i="3"/>
  <c r="L1538" i="3"/>
  <c r="K1538" i="3"/>
  <c r="L1537" i="3"/>
  <c r="K1537" i="3"/>
  <c r="L1536" i="3"/>
  <c r="K1536" i="3"/>
  <c r="L1535" i="3"/>
  <c r="K1535" i="3"/>
  <c r="L1534" i="3"/>
  <c r="K1534" i="3"/>
  <c r="L1533" i="3"/>
  <c r="K1533" i="3"/>
  <c r="L1532" i="3"/>
  <c r="K1532" i="3"/>
  <c r="L1531" i="3"/>
  <c r="K1531" i="3"/>
  <c r="L1530" i="3"/>
  <c r="K1530" i="3"/>
  <c r="L1529" i="3"/>
  <c r="K1529" i="3"/>
  <c r="L1528" i="3"/>
  <c r="K1528" i="3"/>
  <c r="L1527" i="3"/>
  <c r="K1527" i="3"/>
  <c r="L1526" i="3"/>
  <c r="K1526" i="3"/>
  <c r="L1525" i="3"/>
  <c r="K1525" i="3"/>
  <c r="L1524" i="3"/>
  <c r="K1524" i="3"/>
  <c r="L1523" i="3"/>
  <c r="K1523" i="3"/>
  <c r="L1522" i="3"/>
  <c r="K1522" i="3"/>
  <c r="L1521" i="3"/>
  <c r="K1521" i="3"/>
  <c r="L1520" i="3"/>
  <c r="K1520" i="3"/>
  <c r="L1519" i="3"/>
  <c r="K1519" i="3"/>
  <c r="L1518" i="3"/>
  <c r="K1518" i="3"/>
  <c r="L1517" i="3"/>
  <c r="K1517" i="3"/>
  <c r="L1516" i="3"/>
  <c r="K1516" i="3"/>
  <c r="L1515" i="3"/>
  <c r="K1515" i="3"/>
  <c r="L1514" i="3"/>
  <c r="K1514" i="3"/>
  <c r="L1513" i="3"/>
  <c r="K1513" i="3"/>
  <c r="L1512" i="3"/>
  <c r="K1512" i="3"/>
  <c r="L1511" i="3"/>
  <c r="K1511" i="3"/>
  <c r="L1510" i="3"/>
  <c r="K1510" i="3"/>
  <c r="L1509" i="3"/>
  <c r="K1509" i="3"/>
  <c r="L1508" i="3"/>
  <c r="K1508" i="3"/>
  <c r="L1507" i="3"/>
  <c r="K1507" i="3"/>
  <c r="L1506" i="3"/>
  <c r="K1506" i="3"/>
  <c r="L1505" i="3"/>
  <c r="K1505" i="3"/>
  <c r="L1503" i="3"/>
  <c r="K1503" i="3"/>
  <c r="L1502" i="3"/>
  <c r="K1502" i="3"/>
  <c r="L1501" i="3"/>
  <c r="K1501" i="3"/>
  <c r="L1500" i="3"/>
  <c r="K1500" i="3"/>
  <c r="L1499" i="3"/>
  <c r="K1499" i="3"/>
  <c r="L1498" i="3"/>
  <c r="K1498" i="3"/>
  <c r="L1497" i="3"/>
  <c r="K1497" i="3"/>
  <c r="L1496" i="3"/>
  <c r="K1496" i="3"/>
  <c r="L1495" i="3"/>
  <c r="K1495" i="3"/>
  <c r="L1494" i="3"/>
  <c r="K1494" i="3"/>
  <c r="L1493" i="3"/>
  <c r="K1493" i="3"/>
  <c r="L1492" i="3"/>
  <c r="K1492" i="3"/>
  <c r="L1491" i="3"/>
  <c r="K1491" i="3"/>
  <c r="L1490" i="3"/>
  <c r="K1490" i="3"/>
  <c r="L1489" i="3"/>
  <c r="K1489" i="3"/>
  <c r="L1488" i="3"/>
  <c r="K1488" i="3"/>
  <c r="L1487" i="3"/>
  <c r="K1487" i="3"/>
  <c r="L1486" i="3"/>
  <c r="K1486" i="3"/>
  <c r="L1485" i="3"/>
  <c r="K1485" i="3"/>
  <c r="L1484" i="3"/>
  <c r="K1484" i="3"/>
  <c r="L1483" i="3"/>
  <c r="K1483" i="3"/>
  <c r="L1482" i="3"/>
  <c r="K1482" i="3"/>
  <c r="L1481" i="3"/>
  <c r="K1481" i="3"/>
  <c r="L1480" i="3"/>
  <c r="K1480" i="3"/>
  <c r="L1479" i="3"/>
  <c r="K1479" i="3"/>
  <c r="L1478" i="3"/>
  <c r="K1478" i="3"/>
  <c r="L1477" i="3"/>
  <c r="K1477" i="3"/>
  <c r="L1476" i="3"/>
  <c r="K1476" i="3"/>
  <c r="L1475" i="3"/>
  <c r="K1475" i="3"/>
  <c r="L1474" i="3"/>
  <c r="K1474" i="3"/>
  <c r="L1473" i="3"/>
  <c r="K1473" i="3"/>
  <c r="L1471" i="3"/>
  <c r="K1471" i="3"/>
  <c r="L1470" i="3"/>
  <c r="K1470" i="3"/>
  <c r="L1469" i="3"/>
  <c r="K1469" i="3"/>
  <c r="L1468" i="3"/>
  <c r="K1468" i="3"/>
  <c r="L1467" i="3"/>
  <c r="K1467" i="3"/>
  <c r="L1466" i="3"/>
  <c r="K1466" i="3"/>
  <c r="L1465" i="3"/>
  <c r="K1465" i="3"/>
  <c r="L1464" i="3"/>
  <c r="K1464" i="3"/>
  <c r="L1463" i="3"/>
  <c r="K1463" i="3"/>
  <c r="L1462" i="3"/>
  <c r="K1462" i="3"/>
  <c r="L1461" i="3"/>
  <c r="K1461" i="3"/>
  <c r="L1460" i="3"/>
  <c r="K1460" i="3"/>
  <c r="L1459" i="3"/>
  <c r="K1459" i="3"/>
  <c r="L1458" i="3"/>
  <c r="K1458" i="3"/>
  <c r="L1457" i="3"/>
  <c r="K1457" i="3"/>
  <c r="L1456" i="3"/>
  <c r="K1456" i="3"/>
  <c r="L1455" i="3"/>
  <c r="K1455" i="3"/>
  <c r="L1454" i="3"/>
  <c r="K1454" i="3"/>
  <c r="L1453" i="3"/>
  <c r="K1453" i="3"/>
  <c r="L1452" i="3"/>
  <c r="K1452" i="3"/>
  <c r="L1451" i="3"/>
  <c r="K1451" i="3"/>
  <c r="L1450" i="3"/>
  <c r="K1450" i="3"/>
  <c r="L1449" i="3"/>
  <c r="K1449" i="3"/>
  <c r="L1448" i="3"/>
  <c r="K1448" i="3"/>
  <c r="L1447" i="3"/>
  <c r="K1447" i="3"/>
  <c r="L1446" i="3"/>
  <c r="K1446" i="3"/>
  <c r="L1445" i="3"/>
  <c r="K1445" i="3"/>
  <c r="L1444" i="3"/>
  <c r="K1444" i="3"/>
  <c r="L1443" i="3"/>
  <c r="K1443" i="3"/>
  <c r="L1437" i="3"/>
  <c r="K1437" i="3"/>
  <c r="L1436" i="3"/>
  <c r="K1436" i="3"/>
  <c r="L1435" i="3"/>
  <c r="K1435" i="3"/>
  <c r="L1434" i="3"/>
  <c r="K1434" i="3"/>
  <c r="L1433" i="3"/>
  <c r="K1433" i="3"/>
  <c r="L1432" i="3"/>
  <c r="K1432" i="3"/>
  <c r="L1431" i="3"/>
  <c r="K1431" i="3"/>
  <c r="L1430" i="3"/>
  <c r="K1430" i="3"/>
  <c r="L1429" i="3"/>
  <c r="K1429" i="3"/>
  <c r="L1428" i="3"/>
  <c r="K1428" i="3"/>
  <c r="L1427" i="3"/>
  <c r="K1427" i="3"/>
  <c r="L1426" i="3"/>
  <c r="K1426" i="3"/>
  <c r="L1425" i="3"/>
  <c r="K1425" i="3"/>
  <c r="L1424" i="3"/>
  <c r="K1424" i="3"/>
  <c r="L1423" i="3"/>
  <c r="K1423" i="3"/>
  <c r="L1422" i="3"/>
  <c r="K1422" i="3"/>
  <c r="L1421" i="3"/>
  <c r="K1421" i="3"/>
  <c r="L1420" i="3"/>
  <c r="K1420" i="3"/>
  <c r="L1419" i="3"/>
  <c r="K1419" i="3"/>
  <c r="L1418" i="3"/>
  <c r="K1418" i="3"/>
  <c r="L1417" i="3"/>
  <c r="K1417" i="3"/>
  <c r="L1416" i="3"/>
  <c r="K1416" i="3"/>
  <c r="L1415" i="3"/>
  <c r="K1415" i="3"/>
  <c r="L1414" i="3"/>
  <c r="K1414" i="3"/>
  <c r="L1413" i="3"/>
  <c r="K1413" i="3"/>
  <c r="L1412" i="3"/>
  <c r="K1412" i="3"/>
  <c r="L1411" i="3"/>
  <c r="K1411" i="3"/>
  <c r="L1410" i="3"/>
  <c r="K1410" i="3"/>
  <c r="L1409" i="3"/>
  <c r="K1409" i="3"/>
  <c r="L1408" i="3"/>
  <c r="K1408" i="3"/>
  <c r="L1407" i="3"/>
  <c r="K1407" i="3"/>
  <c r="L1406" i="3"/>
  <c r="K1406" i="3"/>
  <c r="L1405" i="3"/>
  <c r="K1405" i="3"/>
  <c r="L1404" i="3"/>
  <c r="K1404" i="3"/>
  <c r="L1402" i="3"/>
  <c r="K1402" i="3"/>
  <c r="L1401" i="3"/>
  <c r="K1401" i="3"/>
  <c r="L1400" i="3"/>
  <c r="K1400" i="3"/>
  <c r="L1399" i="3"/>
  <c r="K1399" i="3"/>
  <c r="L1398" i="3"/>
  <c r="K1398" i="3"/>
  <c r="L1397" i="3"/>
  <c r="K1397" i="3"/>
  <c r="L1396" i="3"/>
  <c r="K1396" i="3"/>
  <c r="L1395" i="3"/>
  <c r="K1395" i="3"/>
  <c r="L1394" i="3"/>
  <c r="K1394" i="3"/>
  <c r="L1393" i="3"/>
  <c r="K1393" i="3"/>
  <c r="L1392" i="3"/>
  <c r="K1392" i="3"/>
  <c r="L1391" i="3"/>
  <c r="K1391" i="3"/>
  <c r="L1390" i="3"/>
  <c r="K1390" i="3"/>
  <c r="L1389" i="3"/>
  <c r="K1389" i="3"/>
  <c r="L1388" i="3"/>
  <c r="K1388" i="3"/>
  <c r="L1387" i="3"/>
  <c r="K1387" i="3"/>
  <c r="L1386" i="3"/>
  <c r="K1386" i="3"/>
  <c r="L1385" i="3"/>
  <c r="K1385" i="3"/>
  <c r="L1384" i="3"/>
  <c r="K1384" i="3"/>
  <c r="L1383" i="3"/>
  <c r="K1383" i="3"/>
  <c r="L1382" i="3"/>
  <c r="K1382" i="3"/>
  <c r="L1381" i="3"/>
  <c r="K1381" i="3"/>
  <c r="L1380" i="3"/>
  <c r="K1380" i="3"/>
  <c r="L1379" i="3"/>
  <c r="K1379" i="3"/>
  <c r="L1378" i="3"/>
  <c r="K1378" i="3"/>
  <c r="L1377" i="3"/>
  <c r="K1377" i="3"/>
  <c r="L1375" i="3"/>
  <c r="K1375" i="3"/>
  <c r="L1374" i="3"/>
  <c r="K1374" i="3"/>
  <c r="L1373" i="3"/>
  <c r="K1373" i="3"/>
  <c r="L1372" i="3"/>
  <c r="K1372" i="3"/>
  <c r="L1371" i="3"/>
  <c r="K1371" i="3"/>
  <c r="L1370" i="3"/>
  <c r="K1370" i="3"/>
  <c r="L1369" i="3"/>
  <c r="K1369" i="3"/>
  <c r="L1368" i="3"/>
  <c r="K1368" i="3"/>
  <c r="L1367" i="3"/>
  <c r="K1367" i="3"/>
  <c r="L1366" i="3"/>
  <c r="K1366" i="3"/>
  <c r="L1365" i="3"/>
  <c r="K1365" i="3"/>
  <c r="L1364" i="3"/>
  <c r="K1364" i="3"/>
  <c r="L1363" i="3"/>
  <c r="K1363" i="3"/>
  <c r="L1362" i="3"/>
  <c r="K1362" i="3"/>
  <c r="L1361" i="3"/>
  <c r="K1361" i="3"/>
  <c r="L1360" i="3"/>
  <c r="K1360" i="3"/>
  <c r="L1359" i="3"/>
  <c r="K1359" i="3"/>
  <c r="L1358" i="3"/>
  <c r="K1358" i="3"/>
  <c r="L1357" i="3"/>
  <c r="K1357" i="3"/>
  <c r="L1356" i="3"/>
  <c r="K1356" i="3"/>
  <c r="L1355" i="3"/>
  <c r="K1355" i="3"/>
  <c r="L1353" i="3"/>
  <c r="K1353" i="3"/>
  <c r="L1352" i="3"/>
  <c r="K1352" i="3"/>
  <c r="L1351" i="3"/>
  <c r="K1351" i="3"/>
  <c r="L1350" i="3"/>
  <c r="K1350" i="3"/>
  <c r="L1349" i="3"/>
  <c r="K1349" i="3"/>
  <c r="L1348" i="3"/>
  <c r="K1348" i="3"/>
  <c r="L1347" i="3"/>
  <c r="K1347" i="3"/>
  <c r="L1346" i="3"/>
  <c r="K1346" i="3"/>
  <c r="L1345" i="3"/>
  <c r="K1345" i="3"/>
  <c r="L1344" i="3"/>
  <c r="K1344" i="3"/>
  <c r="L1343" i="3"/>
  <c r="K1343" i="3"/>
  <c r="L1342" i="3"/>
  <c r="K1342" i="3"/>
  <c r="L1341" i="3"/>
  <c r="K1341" i="3"/>
  <c r="L1340" i="3"/>
  <c r="K1340" i="3"/>
  <c r="L1339" i="3"/>
  <c r="K1339" i="3"/>
  <c r="L1338" i="3"/>
  <c r="K1338" i="3"/>
  <c r="L1337" i="3"/>
  <c r="K1337" i="3"/>
  <c r="L1336" i="3"/>
  <c r="K1336" i="3"/>
  <c r="L1335" i="3"/>
  <c r="K1335" i="3"/>
  <c r="L1334" i="3"/>
  <c r="K1334" i="3"/>
  <c r="L1333" i="3"/>
  <c r="K1333" i="3"/>
  <c r="L1332" i="3"/>
  <c r="K1332" i="3"/>
  <c r="L1331" i="3"/>
  <c r="K1331" i="3"/>
  <c r="L1330" i="3"/>
  <c r="K1330" i="3"/>
  <c r="L1329" i="3"/>
  <c r="K1329" i="3"/>
  <c r="L1328" i="3"/>
  <c r="K1328" i="3"/>
  <c r="L1327" i="3"/>
  <c r="K1327" i="3"/>
  <c r="L1326" i="3"/>
  <c r="K1326" i="3"/>
  <c r="L1325" i="3"/>
  <c r="K1325" i="3"/>
  <c r="L1324" i="3"/>
  <c r="K1324" i="3"/>
  <c r="L1323" i="3"/>
  <c r="K1323" i="3"/>
  <c r="L1322" i="3"/>
  <c r="K1322" i="3"/>
  <c r="L1321" i="3"/>
  <c r="K1321" i="3"/>
  <c r="L1320" i="3"/>
  <c r="K1320" i="3"/>
  <c r="L1319" i="3"/>
  <c r="K1319" i="3"/>
  <c r="L1318" i="3"/>
  <c r="K1318" i="3"/>
  <c r="L1317" i="3"/>
  <c r="K1317" i="3"/>
  <c r="L1316" i="3"/>
  <c r="K1316" i="3"/>
  <c r="L1315" i="3"/>
  <c r="K1315" i="3"/>
  <c r="L1314" i="3"/>
  <c r="K1314" i="3"/>
  <c r="L1313" i="3"/>
  <c r="K1313" i="3"/>
  <c r="L1312" i="3"/>
  <c r="K1312" i="3"/>
  <c r="L1311" i="3"/>
  <c r="K1311" i="3"/>
  <c r="L1310" i="3"/>
  <c r="K1310" i="3"/>
  <c r="L1309" i="3"/>
  <c r="K1309" i="3"/>
  <c r="L1308" i="3"/>
  <c r="K1308" i="3"/>
  <c r="L1307" i="3"/>
  <c r="K1307" i="3"/>
  <c r="L1306" i="3"/>
  <c r="K1306" i="3"/>
  <c r="L1305" i="3"/>
  <c r="K1305" i="3"/>
  <c r="L1304" i="3"/>
  <c r="K1304" i="3"/>
  <c r="L1303" i="3"/>
  <c r="K1303" i="3"/>
  <c r="L1302" i="3"/>
  <c r="K1302" i="3"/>
  <c r="L1301" i="3"/>
  <c r="K1301" i="3"/>
  <c r="L1300" i="3"/>
  <c r="K1300" i="3"/>
  <c r="L1299" i="3"/>
  <c r="K1299" i="3"/>
  <c r="L1298" i="3"/>
  <c r="K1298" i="3"/>
  <c r="L1297" i="3"/>
  <c r="K1297" i="3"/>
  <c r="L1296" i="3"/>
  <c r="K1296" i="3"/>
  <c r="L1295" i="3"/>
  <c r="K1295" i="3"/>
  <c r="L1294" i="3"/>
  <c r="K1294" i="3"/>
  <c r="L1293" i="3"/>
  <c r="K1293" i="3"/>
  <c r="L1292" i="3"/>
  <c r="K1292" i="3"/>
  <c r="L1291" i="3"/>
  <c r="K1291" i="3"/>
  <c r="L1290" i="3"/>
  <c r="K1290" i="3"/>
  <c r="L1289" i="3"/>
  <c r="K1289" i="3"/>
  <c r="L1288" i="3"/>
  <c r="K1288" i="3"/>
  <c r="L1287" i="3"/>
  <c r="K1287" i="3"/>
  <c r="L1286" i="3"/>
  <c r="K1286" i="3"/>
  <c r="L1285" i="3"/>
  <c r="K1285" i="3"/>
  <c r="L1284" i="3"/>
  <c r="K1284" i="3"/>
  <c r="L1283" i="3"/>
  <c r="K1283" i="3"/>
  <c r="L1282" i="3"/>
  <c r="K1282" i="3"/>
  <c r="L1281" i="3"/>
  <c r="K1281" i="3"/>
  <c r="L1280" i="3"/>
  <c r="K1280" i="3"/>
  <c r="L1279" i="3"/>
  <c r="K1279" i="3"/>
  <c r="L1278" i="3"/>
  <c r="K1278" i="3"/>
  <c r="L1277" i="3"/>
  <c r="K1277" i="3"/>
  <c r="L1276" i="3"/>
  <c r="K1276" i="3"/>
  <c r="L1275" i="3"/>
  <c r="K1275" i="3"/>
  <c r="L1274" i="3"/>
  <c r="K1274" i="3"/>
  <c r="L1273" i="3"/>
  <c r="K1273" i="3"/>
  <c r="L1272" i="3"/>
  <c r="K1272" i="3"/>
  <c r="L1271" i="3"/>
  <c r="K1271" i="3"/>
  <c r="L1270" i="3"/>
  <c r="K1270" i="3"/>
  <c r="L1269" i="3"/>
  <c r="K1269" i="3"/>
  <c r="L1268" i="3"/>
  <c r="K1268" i="3"/>
  <c r="L1267" i="3"/>
  <c r="K1267" i="3"/>
  <c r="L1266" i="3"/>
  <c r="K1266" i="3"/>
  <c r="L1265" i="3"/>
  <c r="K1265" i="3"/>
  <c r="L1264" i="3"/>
  <c r="K1264" i="3"/>
  <c r="L1263" i="3"/>
  <c r="K1263" i="3"/>
  <c r="L1262" i="3"/>
  <c r="K1262" i="3"/>
  <c r="L1261" i="3"/>
  <c r="K1261" i="3"/>
  <c r="L1260" i="3"/>
  <c r="K1260" i="3"/>
  <c r="L1259" i="3"/>
  <c r="K1259" i="3"/>
  <c r="L1258" i="3"/>
  <c r="K1258" i="3"/>
  <c r="L1257" i="3"/>
  <c r="K1257" i="3"/>
  <c r="L1256" i="3"/>
  <c r="K1256" i="3"/>
  <c r="L1255" i="3"/>
  <c r="K1255" i="3"/>
  <c r="L1254" i="3"/>
  <c r="K1254" i="3"/>
  <c r="L1253" i="3"/>
  <c r="K1253" i="3"/>
  <c r="L1252" i="3"/>
  <c r="K1252" i="3"/>
  <c r="L1251" i="3"/>
  <c r="K1251" i="3"/>
  <c r="L1250" i="3"/>
  <c r="K1250" i="3"/>
  <c r="L1249" i="3"/>
  <c r="K1249" i="3"/>
  <c r="L1248" i="3"/>
  <c r="K1248" i="3"/>
  <c r="L1247" i="3"/>
  <c r="K1247" i="3"/>
  <c r="L1246" i="3"/>
  <c r="K1246" i="3"/>
  <c r="L1244" i="3"/>
  <c r="K1244" i="3"/>
  <c r="L1243" i="3"/>
  <c r="K1243" i="3"/>
  <c r="L1242" i="3"/>
  <c r="K1242" i="3"/>
  <c r="L1241" i="3"/>
  <c r="K1241" i="3"/>
  <c r="L1240" i="3"/>
  <c r="K1240" i="3"/>
  <c r="L1239" i="3"/>
  <c r="K1239" i="3"/>
  <c r="L1238" i="3"/>
  <c r="K1238" i="3"/>
  <c r="L1237" i="3"/>
  <c r="K1237" i="3"/>
  <c r="L1236" i="3"/>
  <c r="K1236" i="3"/>
  <c r="L1235" i="3"/>
  <c r="K1235" i="3"/>
  <c r="L1234" i="3"/>
  <c r="K1234" i="3"/>
  <c r="L1233" i="3"/>
  <c r="K1233" i="3"/>
  <c r="L1232" i="3"/>
  <c r="K1232" i="3"/>
  <c r="L1231" i="3"/>
  <c r="K1231" i="3"/>
  <c r="L1230" i="3"/>
  <c r="K1230" i="3"/>
  <c r="L1229" i="3"/>
  <c r="K1229" i="3"/>
  <c r="L1226" i="3"/>
  <c r="K1226" i="3"/>
  <c r="L1225" i="3"/>
  <c r="K1225" i="3"/>
  <c r="L1224" i="3"/>
  <c r="K1224" i="3"/>
  <c r="L1223" i="3"/>
  <c r="K1223" i="3"/>
  <c r="L1222" i="3"/>
  <c r="K1222" i="3"/>
  <c r="L1221" i="3"/>
  <c r="K1221" i="3"/>
  <c r="L1220" i="3"/>
  <c r="K1220" i="3"/>
  <c r="L1219" i="3"/>
  <c r="K1219" i="3"/>
  <c r="L1218" i="3"/>
  <c r="K1218" i="3"/>
  <c r="L1217" i="3"/>
  <c r="K1217" i="3"/>
  <c r="L1216" i="3"/>
  <c r="K1216" i="3"/>
  <c r="L1215" i="3"/>
  <c r="K1215" i="3"/>
  <c r="L1214" i="3"/>
  <c r="K1214" i="3"/>
  <c r="L1213" i="3"/>
  <c r="K1213" i="3"/>
  <c r="L1212" i="3"/>
  <c r="K1212" i="3"/>
  <c r="L1211" i="3"/>
  <c r="K1211" i="3"/>
  <c r="L1210" i="3"/>
  <c r="K1210" i="3"/>
  <c r="L1209" i="3"/>
  <c r="K1209" i="3"/>
  <c r="L1208" i="3"/>
  <c r="K1208" i="3"/>
  <c r="L1205" i="3"/>
  <c r="K1205" i="3"/>
  <c r="L1204" i="3"/>
  <c r="K1204" i="3"/>
  <c r="L1203" i="3"/>
  <c r="K1203" i="3"/>
  <c r="L1202" i="3"/>
  <c r="K1202" i="3"/>
  <c r="L1201" i="3"/>
  <c r="K1201" i="3"/>
  <c r="L1200" i="3"/>
  <c r="K1200" i="3"/>
  <c r="L1199" i="3"/>
  <c r="K1199" i="3"/>
  <c r="L1198" i="3"/>
  <c r="K1198" i="3"/>
  <c r="L1197" i="3"/>
  <c r="K1197" i="3"/>
  <c r="L1196" i="3"/>
  <c r="K1196" i="3"/>
  <c r="L1195" i="3"/>
  <c r="K1195" i="3"/>
  <c r="L1194" i="3"/>
  <c r="K1194" i="3"/>
  <c r="L1193" i="3"/>
  <c r="K1193" i="3"/>
  <c r="L1192" i="3"/>
  <c r="K1192" i="3"/>
  <c r="L1191" i="3"/>
  <c r="K1191" i="3"/>
  <c r="L1190" i="3"/>
  <c r="K1190" i="3"/>
  <c r="L1189" i="3"/>
  <c r="K1189" i="3"/>
  <c r="L1188" i="3"/>
  <c r="K1188" i="3"/>
  <c r="L1187" i="3"/>
  <c r="K1187" i="3"/>
  <c r="L1186" i="3"/>
  <c r="K1186" i="3"/>
  <c r="L1185" i="3"/>
  <c r="K1185" i="3"/>
  <c r="L1184" i="3"/>
  <c r="K1184" i="3"/>
  <c r="L1183" i="3"/>
  <c r="K1183" i="3"/>
  <c r="L1182" i="3"/>
  <c r="K1182" i="3"/>
  <c r="L1181" i="3"/>
  <c r="K1181" i="3"/>
  <c r="L1180" i="3"/>
  <c r="K1180" i="3"/>
  <c r="L1179" i="3"/>
  <c r="K1179" i="3"/>
  <c r="L1178" i="3"/>
  <c r="K1178" i="3"/>
  <c r="L1177" i="3"/>
  <c r="K1177" i="3"/>
  <c r="L1176" i="3"/>
  <c r="K1176" i="3"/>
  <c r="L1175" i="3"/>
  <c r="K1175" i="3"/>
  <c r="L1174" i="3"/>
  <c r="K1174" i="3"/>
  <c r="L1173" i="3"/>
  <c r="K1173" i="3"/>
  <c r="L1172" i="3"/>
  <c r="K1172" i="3"/>
  <c r="L1171" i="3"/>
  <c r="K1171" i="3"/>
  <c r="L1170" i="3"/>
  <c r="K1170" i="3"/>
  <c r="L1169" i="3"/>
  <c r="K1169" i="3"/>
  <c r="L1168" i="3"/>
  <c r="K1168" i="3"/>
  <c r="L1167" i="3"/>
  <c r="K1167" i="3"/>
  <c r="L1166" i="3"/>
  <c r="K1166" i="3"/>
  <c r="L1165" i="3"/>
  <c r="K1165" i="3"/>
  <c r="L1164" i="3"/>
  <c r="K1164" i="3"/>
  <c r="L1163" i="3"/>
  <c r="K1163" i="3"/>
  <c r="L1162" i="3"/>
  <c r="K1162" i="3"/>
  <c r="L1161" i="3"/>
  <c r="K1161" i="3"/>
  <c r="L1160" i="3"/>
  <c r="K1160" i="3"/>
  <c r="L1159" i="3"/>
  <c r="K1159" i="3"/>
  <c r="L1158" i="3"/>
  <c r="K1158" i="3"/>
  <c r="L1156" i="3"/>
  <c r="K1156" i="3"/>
  <c r="L1154" i="3"/>
  <c r="K1154" i="3"/>
  <c r="L1153" i="3"/>
  <c r="K1153" i="3"/>
  <c r="L1152" i="3"/>
  <c r="K1152" i="3"/>
  <c r="L1151" i="3"/>
  <c r="K1151" i="3"/>
  <c r="L1150" i="3"/>
  <c r="K1150" i="3"/>
  <c r="L1149" i="3"/>
  <c r="K1149" i="3"/>
  <c r="L1148" i="3"/>
  <c r="K1148" i="3"/>
  <c r="L1147" i="3"/>
  <c r="K1147" i="3"/>
  <c r="L1146" i="3"/>
  <c r="K1146" i="3"/>
  <c r="L1145" i="3"/>
  <c r="K1145" i="3"/>
  <c r="L1144" i="3"/>
  <c r="K1144" i="3"/>
  <c r="L1143" i="3"/>
  <c r="K1143" i="3"/>
  <c r="L1142" i="3"/>
  <c r="K1142" i="3"/>
  <c r="L1141" i="3"/>
  <c r="K1141" i="3"/>
  <c r="L1140" i="3"/>
  <c r="K1140" i="3"/>
  <c r="L1139" i="3"/>
  <c r="K1139" i="3"/>
  <c r="L1138" i="3"/>
  <c r="K1138" i="3"/>
  <c r="L1137" i="3"/>
  <c r="K1137" i="3"/>
  <c r="L1136" i="3"/>
  <c r="K1136" i="3"/>
  <c r="L1135" i="3"/>
  <c r="K1135" i="3"/>
  <c r="L1134" i="3"/>
  <c r="K1134" i="3"/>
  <c r="L1133" i="3"/>
  <c r="K1133" i="3"/>
  <c r="L1132" i="3"/>
  <c r="K1132" i="3"/>
  <c r="L1131" i="3"/>
  <c r="K1131" i="3"/>
  <c r="L1130" i="3"/>
  <c r="K1130" i="3"/>
  <c r="L1129" i="3"/>
  <c r="K1129" i="3"/>
  <c r="L1128" i="3"/>
  <c r="K1128" i="3"/>
  <c r="L1127" i="3"/>
  <c r="K1127" i="3"/>
  <c r="L1126" i="3"/>
  <c r="K1126" i="3"/>
  <c r="L1125" i="3"/>
  <c r="K1125" i="3"/>
  <c r="L1124" i="3"/>
  <c r="K1124" i="3"/>
  <c r="L1123" i="3"/>
  <c r="K1123" i="3"/>
  <c r="L1122" i="3"/>
  <c r="K1122" i="3"/>
  <c r="L1121" i="3"/>
  <c r="K1121" i="3"/>
  <c r="L1120" i="3"/>
  <c r="K1120" i="3"/>
  <c r="L1119" i="3"/>
  <c r="K1119" i="3"/>
  <c r="L1118" i="3"/>
  <c r="K1118" i="3"/>
  <c r="L1117" i="3"/>
  <c r="K1117" i="3"/>
  <c r="L1116" i="3"/>
  <c r="K1116" i="3"/>
  <c r="L1115" i="3"/>
  <c r="K1115" i="3"/>
  <c r="L1114" i="3"/>
  <c r="K1114" i="3"/>
  <c r="L1113" i="3"/>
  <c r="K1113" i="3"/>
  <c r="L1112" i="3"/>
  <c r="K1112" i="3"/>
  <c r="L1111" i="3"/>
  <c r="K1111" i="3"/>
  <c r="L1110" i="3"/>
  <c r="K1110" i="3"/>
  <c r="L1109" i="3"/>
  <c r="K1109" i="3"/>
  <c r="L1108" i="3"/>
  <c r="K1108" i="3"/>
  <c r="L1107" i="3"/>
  <c r="K1107" i="3"/>
  <c r="L1106" i="3"/>
  <c r="K1106" i="3"/>
  <c r="L1105" i="3"/>
  <c r="K1105" i="3"/>
  <c r="L1104" i="3"/>
  <c r="K1104" i="3"/>
  <c r="L1103" i="3"/>
  <c r="K1103" i="3"/>
  <c r="L1102" i="3"/>
  <c r="K1102" i="3"/>
  <c r="L1101" i="3"/>
  <c r="K1101" i="3"/>
  <c r="L1100" i="3"/>
  <c r="K1100" i="3"/>
  <c r="L1099" i="3"/>
  <c r="K1099" i="3"/>
  <c r="L1098" i="3"/>
  <c r="K1098" i="3"/>
  <c r="L1097" i="3"/>
  <c r="K1097" i="3"/>
  <c r="L1096" i="3"/>
  <c r="K1096" i="3"/>
  <c r="L1095" i="3"/>
  <c r="K1095" i="3"/>
  <c r="L1094" i="3"/>
  <c r="K1094" i="3"/>
  <c r="L1093" i="3"/>
  <c r="K1093" i="3"/>
  <c r="L1092" i="3"/>
  <c r="K1092" i="3"/>
  <c r="L1091" i="3"/>
  <c r="K1091" i="3"/>
  <c r="L1090" i="3"/>
  <c r="K1090" i="3"/>
  <c r="L1089" i="3"/>
  <c r="K1089" i="3"/>
  <c r="L1088" i="3"/>
  <c r="K1088" i="3"/>
  <c r="L1087" i="3"/>
  <c r="K1087" i="3"/>
  <c r="L1086" i="3"/>
  <c r="K1086" i="3"/>
  <c r="L1085" i="3"/>
  <c r="K1085" i="3"/>
  <c r="L1084" i="3"/>
  <c r="K1084" i="3"/>
  <c r="L1083" i="3"/>
  <c r="K1083" i="3"/>
  <c r="L1082" i="3"/>
  <c r="K1082" i="3"/>
  <c r="L1081" i="3"/>
  <c r="K1081" i="3"/>
  <c r="L1080" i="3"/>
  <c r="K1080" i="3"/>
  <c r="L1079" i="3"/>
  <c r="K1079" i="3"/>
  <c r="L1078" i="3"/>
  <c r="K1078" i="3"/>
  <c r="L1077" i="3"/>
  <c r="K1077" i="3"/>
  <c r="L1076" i="3"/>
  <c r="K1076" i="3"/>
  <c r="L1075" i="3"/>
  <c r="K1075" i="3"/>
  <c r="L1074" i="3"/>
  <c r="K1074" i="3"/>
  <c r="L1073" i="3"/>
  <c r="K1073" i="3"/>
  <c r="L1072" i="3"/>
  <c r="K1072" i="3"/>
  <c r="L1071" i="3"/>
  <c r="K1071" i="3"/>
  <c r="L1070" i="3"/>
  <c r="K1070" i="3"/>
  <c r="L1069" i="3"/>
  <c r="K1069" i="3"/>
  <c r="L1068" i="3"/>
  <c r="K1068" i="3"/>
  <c r="L1067" i="3"/>
  <c r="K1067" i="3"/>
  <c r="L1065" i="3"/>
  <c r="K1065" i="3"/>
  <c r="L1064" i="3"/>
  <c r="K1064" i="3"/>
  <c r="L1063" i="3"/>
  <c r="K1063" i="3"/>
  <c r="L1062" i="3"/>
  <c r="K1062" i="3"/>
  <c r="L1061" i="3"/>
  <c r="K1061" i="3"/>
  <c r="L1060" i="3"/>
  <c r="K1060" i="3"/>
  <c r="L1059" i="3"/>
  <c r="K1059" i="3"/>
  <c r="L1058" i="3"/>
  <c r="K1058" i="3"/>
  <c r="L1057" i="3"/>
  <c r="K1057" i="3"/>
  <c r="L1056" i="3"/>
  <c r="K1056" i="3"/>
  <c r="L1055" i="3"/>
  <c r="K1055" i="3"/>
  <c r="L1054" i="3"/>
  <c r="K1054" i="3"/>
  <c r="L1053" i="3"/>
  <c r="K1053" i="3"/>
  <c r="L1052" i="3"/>
  <c r="K1052" i="3"/>
  <c r="L1051" i="3"/>
  <c r="K1051" i="3"/>
  <c r="L1050" i="3"/>
  <c r="K1050" i="3"/>
  <c r="L1049" i="3"/>
  <c r="K1049" i="3"/>
  <c r="L1048" i="3"/>
  <c r="K1048" i="3"/>
  <c r="L1047" i="3"/>
  <c r="K1047" i="3"/>
  <c r="L1046" i="3"/>
  <c r="K1046" i="3"/>
  <c r="L1045" i="3"/>
  <c r="K1045" i="3"/>
  <c r="L1044" i="3"/>
  <c r="K1044" i="3"/>
  <c r="L1043" i="3"/>
  <c r="K1043" i="3"/>
  <c r="L1042" i="3"/>
  <c r="K1042" i="3"/>
  <c r="L1041" i="3"/>
  <c r="K1041" i="3"/>
  <c r="L1040" i="3"/>
  <c r="K1040" i="3"/>
  <c r="L1039" i="3"/>
  <c r="K1039" i="3"/>
  <c r="L1038" i="3"/>
  <c r="K1038" i="3"/>
  <c r="L1037" i="3"/>
  <c r="K1037" i="3"/>
  <c r="L1036" i="3"/>
  <c r="K1036" i="3"/>
  <c r="L1035" i="3"/>
  <c r="K1035" i="3"/>
  <c r="L1034" i="3"/>
  <c r="K1034" i="3"/>
  <c r="L1033" i="3"/>
  <c r="K1033" i="3"/>
  <c r="L1032" i="3"/>
  <c r="K1032" i="3"/>
  <c r="L1031" i="3"/>
  <c r="K1031" i="3"/>
  <c r="L1030" i="3"/>
  <c r="K1030" i="3"/>
  <c r="L1029" i="3"/>
  <c r="K1029" i="3"/>
  <c r="L1028" i="3"/>
  <c r="K1028" i="3"/>
  <c r="L1027" i="3"/>
  <c r="K1027" i="3"/>
  <c r="L1026" i="3"/>
  <c r="K1026" i="3"/>
  <c r="L1025" i="3"/>
  <c r="K1025" i="3"/>
  <c r="L1023" i="3"/>
  <c r="K1023" i="3"/>
  <c r="L1022" i="3"/>
  <c r="K1022" i="3"/>
  <c r="L1021" i="3"/>
  <c r="K1021" i="3"/>
  <c r="L1020" i="3"/>
  <c r="K1020" i="3"/>
  <c r="L1019" i="3"/>
  <c r="K1019" i="3"/>
  <c r="L1018" i="3"/>
  <c r="K1018" i="3"/>
  <c r="L1017" i="3"/>
  <c r="K1017" i="3"/>
  <c r="L1016" i="3"/>
  <c r="K1016" i="3"/>
  <c r="L1015" i="3"/>
  <c r="K1015" i="3"/>
  <c r="L1014" i="3"/>
  <c r="K1014" i="3"/>
  <c r="L1013" i="3"/>
  <c r="K1013" i="3"/>
  <c r="L1012" i="3"/>
  <c r="K1012" i="3"/>
  <c r="L1011" i="3"/>
  <c r="K1011" i="3"/>
  <c r="L1010" i="3"/>
  <c r="K1010" i="3"/>
  <c r="L1009" i="3"/>
  <c r="K1009" i="3"/>
  <c r="L1008" i="3"/>
  <c r="K1008" i="3"/>
  <c r="L1007" i="3"/>
  <c r="K1007" i="3"/>
  <c r="L1006" i="3"/>
  <c r="K1006" i="3"/>
  <c r="L1005" i="3"/>
  <c r="K1005" i="3"/>
  <c r="L1004" i="3"/>
  <c r="K1004" i="3"/>
  <c r="L1003" i="3"/>
  <c r="K1003" i="3"/>
  <c r="L1002" i="3"/>
  <c r="K1002" i="3"/>
  <c r="L1001" i="3"/>
  <c r="K1001" i="3"/>
  <c r="L1000" i="3"/>
  <c r="K1000" i="3"/>
  <c r="L999" i="3"/>
  <c r="K999" i="3"/>
  <c r="L998" i="3"/>
  <c r="K998" i="3"/>
  <c r="L997" i="3"/>
  <c r="K997" i="3"/>
  <c r="L996" i="3"/>
  <c r="K996" i="3"/>
  <c r="L995" i="3"/>
  <c r="K995" i="3"/>
  <c r="L994" i="3"/>
  <c r="K994" i="3"/>
  <c r="L993" i="3"/>
  <c r="K993" i="3"/>
  <c r="L992" i="3"/>
  <c r="K992" i="3"/>
  <c r="L991" i="3"/>
  <c r="K991" i="3"/>
  <c r="L990" i="3"/>
  <c r="K990" i="3"/>
  <c r="L988" i="3"/>
  <c r="K988" i="3"/>
  <c r="L987" i="3"/>
  <c r="K987" i="3"/>
  <c r="L986" i="3"/>
  <c r="K986" i="3"/>
  <c r="L985" i="3"/>
  <c r="K985" i="3"/>
  <c r="L984" i="3"/>
  <c r="K984" i="3"/>
  <c r="L983" i="3"/>
  <c r="K983" i="3"/>
  <c r="L982" i="3"/>
  <c r="K982" i="3"/>
  <c r="L981" i="3"/>
  <c r="K981" i="3"/>
  <c r="L980" i="3"/>
  <c r="K980" i="3"/>
  <c r="L979" i="3"/>
  <c r="K979" i="3"/>
  <c r="L978" i="3"/>
  <c r="K978" i="3"/>
  <c r="L977" i="3"/>
  <c r="K977" i="3"/>
  <c r="L976" i="3"/>
  <c r="K976" i="3"/>
  <c r="L975" i="3"/>
  <c r="K975" i="3"/>
  <c r="L974" i="3"/>
  <c r="K974" i="3"/>
  <c r="L973" i="3"/>
  <c r="K973" i="3"/>
  <c r="L972" i="3"/>
  <c r="K972" i="3"/>
  <c r="L971" i="3"/>
  <c r="K971" i="3"/>
  <c r="L970" i="3"/>
  <c r="K970" i="3"/>
  <c r="L969" i="3"/>
  <c r="K969" i="3"/>
  <c r="L968" i="3"/>
  <c r="K968" i="3"/>
  <c r="L967" i="3"/>
  <c r="K967" i="3"/>
  <c r="L966" i="3"/>
  <c r="K966" i="3"/>
  <c r="L965" i="3"/>
  <c r="K965" i="3"/>
  <c r="L964" i="3"/>
  <c r="K964" i="3"/>
  <c r="L963" i="3"/>
  <c r="K963" i="3"/>
  <c r="L962" i="3"/>
  <c r="K962" i="3"/>
  <c r="L961" i="3"/>
  <c r="K961" i="3"/>
  <c r="L960" i="3"/>
  <c r="K960" i="3"/>
  <c r="L959" i="3"/>
  <c r="K959" i="3"/>
  <c r="L958" i="3"/>
  <c r="K958" i="3"/>
  <c r="L957" i="3"/>
  <c r="K957" i="3"/>
  <c r="L955" i="3"/>
  <c r="K955" i="3"/>
  <c r="L954" i="3"/>
  <c r="K954" i="3"/>
  <c r="L953" i="3"/>
  <c r="K953" i="3"/>
  <c r="L952" i="3"/>
  <c r="K952" i="3"/>
  <c r="L951" i="3"/>
  <c r="K951" i="3"/>
  <c r="L950" i="3"/>
  <c r="K950" i="3"/>
  <c r="L949" i="3"/>
  <c r="K949" i="3"/>
  <c r="L948" i="3"/>
  <c r="K948" i="3"/>
  <c r="L947" i="3"/>
  <c r="K947" i="3"/>
  <c r="L946" i="3"/>
  <c r="K946" i="3"/>
  <c r="L945" i="3"/>
  <c r="K945" i="3"/>
  <c r="L944" i="3"/>
  <c r="K944" i="3"/>
  <c r="L943" i="3"/>
  <c r="K943" i="3"/>
  <c r="L942" i="3"/>
  <c r="K942" i="3"/>
  <c r="L941" i="3"/>
  <c r="K941" i="3"/>
  <c r="L940" i="3"/>
  <c r="K940" i="3"/>
  <c r="L939" i="3"/>
  <c r="K939" i="3"/>
  <c r="L938" i="3"/>
  <c r="K938" i="3"/>
  <c r="L937" i="3"/>
  <c r="K937" i="3"/>
  <c r="L936" i="3"/>
  <c r="K936" i="3"/>
  <c r="L935" i="3"/>
  <c r="K935" i="3"/>
  <c r="L934" i="3"/>
  <c r="K934" i="3"/>
  <c r="L933" i="3"/>
  <c r="K933" i="3"/>
  <c r="L932" i="3"/>
  <c r="K932" i="3"/>
  <c r="L931" i="3"/>
  <c r="K931" i="3"/>
  <c r="L930" i="3"/>
  <c r="K930" i="3"/>
  <c r="L929" i="3"/>
  <c r="K929" i="3"/>
  <c r="L928" i="3"/>
  <c r="K928" i="3"/>
  <c r="L927" i="3"/>
  <c r="K927" i="3"/>
  <c r="L926" i="3"/>
  <c r="K926" i="3"/>
  <c r="L925" i="3"/>
  <c r="K925" i="3"/>
  <c r="L924" i="3"/>
  <c r="K924" i="3"/>
  <c r="L923" i="3"/>
  <c r="K923" i="3"/>
  <c r="L922" i="3"/>
  <c r="K922" i="3"/>
  <c r="L921" i="3"/>
  <c r="K921" i="3"/>
  <c r="L920" i="3"/>
  <c r="K920" i="3"/>
  <c r="L919" i="3"/>
  <c r="K919" i="3"/>
  <c r="L918" i="3"/>
  <c r="K918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L909" i="3"/>
  <c r="K909" i="3"/>
  <c r="L908" i="3"/>
  <c r="K908" i="3"/>
  <c r="L907" i="3"/>
  <c r="K907" i="3"/>
  <c r="L905" i="3"/>
  <c r="K905" i="3"/>
  <c r="L904" i="3"/>
  <c r="K904" i="3"/>
  <c r="L903" i="3"/>
  <c r="K903" i="3"/>
  <c r="L902" i="3"/>
  <c r="K902" i="3"/>
  <c r="L901" i="3"/>
  <c r="K901" i="3"/>
  <c r="L900" i="3"/>
  <c r="K900" i="3"/>
  <c r="L899" i="3"/>
  <c r="K899" i="3"/>
  <c r="L898" i="3"/>
  <c r="K898" i="3"/>
  <c r="L897" i="3"/>
  <c r="K897" i="3"/>
  <c r="L896" i="3"/>
  <c r="K896" i="3"/>
  <c r="L895" i="3"/>
  <c r="K895" i="3"/>
  <c r="L894" i="3"/>
  <c r="K894" i="3"/>
  <c r="L892" i="3"/>
  <c r="K892" i="3"/>
  <c r="L891" i="3"/>
  <c r="K891" i="3"/>
  <c r="L890" i="3"/>
  <c r="K890" i="3"/>
  <c r="L889" i="3"/>
  <c r="K889" i="3"/>
  <c r="L888" i="3"/>
  <c r="K888" i="3"/>
  <c r="L887" i="3"/>
  <c r="K887" i="3"/>
  <c r="L886" i="3"/>
  <c r="K886" i="3"/>
  <c r="L885" i="3"/>
  <c r="K885" i="3"/>
  <c r="L884" i="3"/>
  <c r="K884" i="3"/>
  <c r="L883" i="3"/>
  <c r="K883" i="3"/>
  <c r="L882" i="3"/>
  <c r="K882" i="3"/>
  <c r="L881" i="3"/>
  <c r="K881" i="3"/>
  <c r="L880" i="3"/>
  <c r="K880" i="3"/>
  <c r="L879" i="3"/>
  <c r="K879" i="3"/>
  <c r="L878" i="3"/>
  <c r="K878" i="3"/>
  <c r="L877" i="3"/>
  <c r="K877" i="3"/>
  <c r="L875" i="3"/>
  <c r="K875" i="3"/>
  <c r="L874" i="3"/>
  <c r="K874" i="3"/>
  <c r="L873" i="3"/>
  <c r="K873" i="3"/>
  <c r="L872" i="3"/>
  <c r="K872" i="3"/>
  <c r="L871" i="3"/>
  <c r="K871" i="3"/>
  <c r="L870" i="3"/>
  <c r="K870" i="3"/>
  <c r="L869" i="3"/>
  <c r="K869" i="3"/>
  <c r="L868" i="3"/>
  <c r="K868" i="3"/>
  <c r="L867" i="3"/>
  <c r="K867" i="3"/>
  <c r="L866" i="3"/>
  <c r="K866" i="3"/>
  <c r="L865" i="3"/>
  <c r="K865" i="3"/>
  <c r="L864" i="3"/>
  <c r="K864" i="3"/>
  <c r="L863" i="3"/>
  <c r="K863" i="3"/>
  <c r="L862" i="3"/>
  <c r="K862" i="3"/>
  <c r="L860" i="3"/>
  <c r="K860" i="3"/>
  <c r="L859" i="3"/>
  <c r="K859" i="3"/>
  <c r="L858" i="3"/>
  <c r="K858" i="3"/>
  <c r="L857" i="3"/>
  <c r="K857" i="3"/>
  <c r="L856" i="3"/>
  <c r="K856" i="3"/>
  <c r="L855" i="3"/>
  <c r="K855" i="3"/>
  <c r="L854" i="3"/>
  <c r="K854" i="3"/>
  <c r="L853" i="3"/>
  <c r="K853" i="3"/>
  <c r="L852" i="3"/>
  <c r="K852" i="3"/>
  <c r="L851" i="3"/>
  <c r="K851" i="3"/>
  <c r="L850" i="3"/>
  <c r="K850" i="3"/>
  <c r="L849" i="3"/>
  <c r="K849" i="3"/>
  <c r="L848" i="3"/>
  <c r="K848" i="3"/>
  <c r="L847" i="3"/>
  <c r="K847" i="3"/>
  <c r="L846" i="3"/>
  <c r="K846" i="3"/>
  <c r="L845" i="3"/>
  <c r="K845" i="3"/>
  <c r="L844" i="3"/>
  <c r="K844" i="3"/>
  <c r="L843" i="3"/>
  <c r="K843" i="3"/>
  <c r="L842" i="3"/>
  <c r="K842" i="3"/>
  <c r="L841" i="3"/>
  <c r="K841" i="3"/>
  <c r="L840" i="3"/>
  <c r="K840" i="3"/>
  <c r="L839" i="3"/>
  <c r="K839" i="3"/>
  <c r="L838" i="3"/>
  <c r="K838" i="3"/>
  <c r="L837" i="3"/>
  <c r="K837" i="3"/>
  <c r="L836" i="3"/>
  <c r="K836" i="3"/>
  <c r="L834" i="3"/>
  <c r="K834" i="3"/>
  <c r="L833" i="3"/>
  <c r="K833" i="3"/>
  <c r="L832" i="3"/>
  <c r="K832" i="3"/>
  <c r="L831" i="3"/>
  <c r="K831" i="3"/>
  <c r="L830" i="3"/>
  <c r="K830" i="3"/>
  <c r="L829" i="3"/>
  <c r="K829" i="3"/>
  <c r="L828" i="3"/>
  <c r="K828" i="3"/>
  <c r="L827" i="3"/>
  <c r="K827" i="3"/>
  <c r="L826" i="3"/>
  <c r="K826" i="3"/>
  <c r="L825" i="3"/>
  <c r="K825" i="3"/>
  <c r="L824" i="3"/>
  <c r="K824" i="3"/>
  <c r="L823" i="3"/>
  <c r="K823" i="3"/>
  <c r="L822" i="3"/>
  <c r="K822" i="3"/>
  <c r="L821" i="3"/>
  <c r="K821" i="3"/>
  <c r="L820" i="3"/>
  <c r="K820" i="3"/>
  <c r="L819" i="3"/>
  <c r="K819" i="3"/>
  <c r="L818" i="3"/>
  <c r="K818" i="3"/>
  <c r="L817" i="3"/>
  <c r="K817" i="3"/>
  <c r="L816" i="3"/>
  <c r="K816" i="3"/>
  <c r="L815" i="3"/>
  <c r="K815" i="3"/>
  <c r="L813" i="3"/>
  <c r="K813" i="3"/>
  <c r="L812" i="3"/>
  <c r="K812" i="3"/>
  <c r="L811" i="3"/>
  <c r="K811" i="3"/>
  <c r="L810" i="3"/>
  <c r="K810" i="3"/>
  <c r="L809" i="3"/>
  <c r="K809" i="3"/>
  <c r="L808" i="3"/>
  <c r="K808" i="3"/>
  <c r="L806" i="3"/>
  <c r="K806" i="3"/>
  <c r="L805" i="3"/>
  <c r="K805" i="3"/>
  <c r="L804" i="3"/>
  <c r="K804" i="3"/>
  <c r="L803" i="3"/>
  <c r="K803" i="3"/>
  <c r="L802" i="3"/>
  <c r="K802" i="3"/>
  <c r="L801" i="3"/>
  <c r="K801" i="3"/>
  <c r="L800" i="3"/>
  <c r="K800" i="3"/>
  <c r="L799" i="3"/>
  <c r="K799" i="3"/>
  <c r="L798" i="3"/>
  <c r="K798" i="3"/>
  <c r="L797" i="3"/>
  <c r="K797" i="3"/>
  <c r="L796" i="3"/>
  <c r="K796" i="3"/>
  <c r="L795" i="3"/>
  <c r="K795" i="3"/>
  <c r="L794" i="3"/>
  <c r="K794" i="3"/>
  <c r="L793" i="3"/>
  <c r="K793" i="3"/>
  <c r="L792" i="3"/>
  <c r="K792" i="3"/>
  <c r="L791" i="3"/>
  <c r="K791" i="3"/>
  <c r="L790" i="3"/>
  <c r="K790" i="3"/>
  <c r="L789" i="3"/>
  <c r="K789" i="3"/>
  <c r="L788" i="3"/>
  <c r="K788" i="3"/>
  <c r="L787" i="3"/>
  <c r="K787" i="3"/>
  <c r="L786" i="3"/>
  <c r="K786" i="3"/>
  <c r="L785" i="3"/>
  <c r="K785" i="3"/>
  <c r="L784" i="3"/>
  <c r="K784" i="3"/>
  <c r="L783" i="3"/>
  <c r="K783" i="3"/>
  <c r="L782" i="3"/>
  <c r="K782" i="3"/>
  <c r="L781" i="3"/>
  <c r="K781" i="3"/>
  <c r="L780" i="3"/>
  <c r="K780" i="3"/>
  <c r="L779" i="3"/>
  <c r="K779" i="3"/>
  <c r="L778" i="3"/>
  <c r="K778" i="3"/>
  <c r="L777" i="3"/>
  <c r="K777" i="3"/>
  <c r="L775" i="3"/>
  <c r="K775" i="3"/>
  <c r="L774" i="3"/>
  <c r="K774" i="3"/>
  <c r="L773" i="3"/>
  <c r="K773" i="3"/>
  <c r="L772" i="3"/>
  <c r="K772" i="3"/>
  <c r="L771" i="3"/>
  <c r="K771" i="3"/>
  <c r="L770" i="3"/>
  <c r="K770" i="3"/>
  <c r="L769" i="3"/>
  <c r="K769" i="3"/>
  <c r="L768" i="3"/>
  <c r="K768" i="3"/>
  <c r="L767" i="3"/>
  <c r="K767" i="3"/>
  <c r="L766" i="3"/>
  <c r="K766" i="3"/>
  <c r="L765" i="3"/>
  <c r="K765" i="3"/>
  <c r="L764" i="3"/>
  <c r="K764" i="3"/>
  <c r="L763" i="3"/>
  <c r="K763" i="3"/>
  <c r="L762" i="3"/>
  <c r="K762" i="3"/>
  <c r="L761" i="3"/>
  <c r="K761" i="3"/>
  <c r="L759" i="3"/>
  <c r="K759" i="3"/>
  <c r="L758" i="3"/>
  <c r="K758" i="3"/>
  <c r="L757" i="3"/>
  <c r="K757" i="3"/>
  <c r="L756" i="3"/>
  <c r="K756" i="3"/>
  <c r="L755" i="3"/>
  <c r="K755" i="3"/>
  <c r="L754" i="3"/>
  <c r="K754" i="3"/>
  <c r="L753" i="3"/>
  <c r="K753" i="3"/>
  <c r="L752" i="3"/>
  <c r="K752" i="3"/>
  <c r="L751" i="3"/>
  <c r="K751" i="3"/>
  <c r="L750" i="3"/>
  <c r="K750" i="3"/>
  <c r="L749" i="3"/>
  <c r="K749" i="3"/>
  <c r="L748" i="3"/>
  <c r="K748" i="3"/>
  <c r="L747" i="3"/>
  <c r="K747" i="3"/>
  <c r="L746" i="3"/>
  <c r="K746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L733" i="3"/>
  <c r="K733" i="3"/>
  <c r="L732" i="3"/>
  <c r="K732" i="3"/>
  <c r="L731" i="3"/>
  <c r="K731" i="3"/>
  <c r="L730" i="3"/>
  <c r="K730" i="3"/>
  <c r="L729" i="3"/>
  <c r="K729" i="3"/>
  <c r="L728" i="3"/>
  <c r="K728" i="3"/>
  <c r="L727" i="3"/>
  <c r="K727" i="3"/>
  <c r="L726" i="3"/>
  <c r="K726" i="3"/>
  <c r="L725" i="3"/>
  <c r="K725" i="3"/>
  <c r="L724" i="3"/>
  <c r="K724" i="3"/>
  <c r="L723" i="3"/>
  <c r="K723" i="3"/>
  <c r="L722" i="3"/>
  <c r="K722" i="3"/>
  <c r="L721" i="3"/>
  <c r="K721" i="3"/>
  <c r="L720" i="3"/>
  <c r="K720" i="3"/>
  <c r="L719" i="3"/>
  <c r="K719" i="3"/>
  <c r="L718" i="3"/>
  <c r="K718" i="3"/>
  <c r="L717" i="3"/>
  <c r="K717" i="3"/>
  <c r="L716" i="3"/>
  <c r="K716" i="3"/>
  <c r="L715" i="3"/>
  <c r="K715" i="3"/>
  <c r="L714" i="3"/>
  <c r="K714" i="3"/>
  <c r="L713" i="3"/>
  <c r="K713" i="3"/>
  <c r="L712" i="3"/>
  <c r="K712" i="3"/>
  <c r="L711" i="3"/>
  <c r="K711" i="3"/>
  <c r="L710" i="3"/>
  <c r="K710" i="3"/>
  <c r="L709" i="3"/>
  <c r="K709" i="3"/>
  <c r="L708" i="3"/>
  <c r="K708" i="3"/>
  <c r="L707" i="3"/>
  <c r="K707" i="3"/>
  <c r="L706" i="3"/>
  <c r="K706" i="3"/>
  <c r="L705" i="3"/>
  <c r="K705" i="3"/>
  <c r="L704" i="3"/>
  <c r="K704" i="3"/>
  <c r="L703" i="3"/>
  <c r="K703" i="3"/>
  <c r="L702" i="3"/>
  <c r="K702" i="3"/>
  <c r="L701" i="3"/>
  <c r="K701" i="3"/>
  <c r="L700" i="3"/>
  <c r="K700" i="3"/>
  <c r="L699" i="3"/>
  <c r="K699" i="3"/>
  <c r="L697" i="3"/>
  <c r="K697" i="3"/>
  <c r="L696" i="3"/>
  <c r="K696" i="3"/>
  <c r="L695" i="3"/>
  <c r="K695" i="3"/>
  <c r="L694" i="3"/>
  <c r="K694" i="3"/>
  <c r="L693" i="3"/>
  <c r="K693" i="3"/>
  <c r="L692" i="3"/>
  <c r="K692" i="3"/>
  <c r="L691" i="3"/>
  <c r="K691" i="3"/>
  <c r="L690" i="3"/>
  <c r="K690" i="3"/>
  <c r="L689" i="3"/>
  <c r="K689" i="3"/>
  <c r="L688" i="3"/>
  <c r="K688" i="3"/>
  <c r="L687" i="3"/>
  <c r="K687" i="3"/>
  <c r="L686" i="3"/>
  <c r="K686" i="3"/>
  <c r="L685" i="3"/>
  <c r="K685" i="3"/>
  <c r="L684" i="3"/>
  <c r="K684" i="3"/>
  <c r="L683" i="3"/>
  <c r="K683" i="3"/>
  <c r="L682" i="3"/>
  <c r="K682" i="3"/>
  <c r="L681" i="3"/>
  <c r="K681" i="3"/>
  <c r="L680" i="3"/>
  <c r="K680" i="3"/>
  <c r="L679" i="3"/>
  <c r="K679" i="3"/>
  <c r="L678" i="3"/>
  <c r="K678" i="3"/>
  <c r="L677" i="3"/>
  <c r="K677" i="3"/>
  <c r="L676" i="3"/>
  <c r="K676" i="3"/>
  <c r="L675" i="3"/>
  <c r="K675" i="3"/>
  <c r="L674" i="3"/>
  <c r="K674" i="3"/>
  <c r="L673" i="3"/>
  <c r="K673" i="3"/>
  <c r="L672" i="3"/>
  <c r="K672" i="3"/>
  <c r="L671" i="3"/>
  <c r="K671" i="3"/>
  <c r="L670" i="3"/>
  <c r="K670" i="3"/>
  <c r="L669" i="3"/>
  <c r="K669" i="3"/>
  <c r="L668" i="3"/>
  <c r="K668" i="3"/>
  <c r="L667" i="3"/>
  <c r="K667" i="3"/>
  <c r="L666" i="3"/>
  <c r="K666" i="3"/>
  <c r="L665" i="3"/>
  <c r="K665" i="3"/>
  <c r="L664" i="3"/>
  <c r="K664" i="3"/>
  <c r="L663" i="3"/>
  <c r="K663" i="3"/>
  <c r="L662" i="3"/>
  <c r="K662" i="3"/>
  <c r="L661" i="3"/>
  <c r="K661" i="3"/>
  <c r="L660" i="3"/>
  <c r="K660" i="3"/>
  <c r="L659" i="3"/>
  <c r="K659" i="3"/>
  <c r="L658" i="3"/>
  <c r="K658" i="3"/>
  <c r="L657" i="3"/>
  <c r="K657" i="3"/>
  <c r="L656" i="3"/>
  <c r="K656" i="3"/>
  <c r="L655" i="3"/>
  <c r="K655" i="3"/>
  <c r="L654" i="3"/>
  <c r="K654" i="3"/>
  <c r="L653" i="3"/>
  <c r="K653" i="3"/>
  <c r="L652" i="3"/>
  <c r="K652" i="3"/>
  <c r="L651" i="3"/>
  <c r="K651" i="3"/>
  <c r="L650" i="3"/>
  <c r="K650" i="3"/>
  <c r="L649" i="3"/>
  <c r="K649" i="3"/>
  <c r="L648" i="3"/>
  <c r="K648" i="3"/>
  <c r="L647" i="3"/>
  <c r="K647" i="3"/>
  <c r="L646" i="3"/>
  <c r="K646" i="3"/>
  <c r="L644" i="3"/>
  <c r="K644" i="3"/>
  <c r="L643" i="3"/>
  <c r="K643" i="3"/>
  <c r="L642" i="3"/>
  <c r="K642" i="3"/>
  <c r="L641" i="3"/>
  <c r="K641" i="3"/>
  <c r="L640" i="3"/>
  <c r="K640" i="3"/>
  <c r="L639" i="3"/>
  <c r="K639" i="3"/>
  <c r="L638" i="3"/>
  <c r="K638" i="3"/>
  <c r="L637" i="3"/>
  <c r="K637" i="3"/>
  <c r="L636" i="3"/>
  <c r="K636" i="3"/>
  <c r="L635" i="3"/>
  <c r="K635" i="3"/>
  <c r="L633" i="3"/>
  <c r="K633" i="3"/>
  <c r="L632" i="3"/>
  <c r="K632" i="3"/>
  <c r="L631" i="3"/>
  <c r="K631" i="3"/>
  <c r="L630" i="3"/>
  <c r="K630" i="3"/>
  <c r="L629" i="3"/>
  <c r="K629" i="3"/>
  <c r="L628" i="3"/>
  <c r="K628" i="3"/>
  <c r="L627" i="3"/>
  <c r="K627" i="3"/>
  <c r="L626" i="3"/>
  <c r="K626" i="3"/>
  <c r="L625" i="3"/>
  <c r="K625" i="3"/>
  <c r="L624" i="3"/>
  <c r="K624" i="3"/>
  <c r="L623" i="3"/>
  <c r="K623" i="3"/>
  <c r="L622" i="3"/>
  <c r="K622" i="3"/>
  <c r="L621" i="3"/>
  <c r="K621" i="3"/>
  <c r="L620" i="3"/>
  <c r="K620" i="3"/>
  <c r="L619" i="3"/>
  <c r="K619" i="3"/>
  <c r="L618" i="3"/>
  <c r="K618" i="3"/>
  <c r="L617" i="3"/>
  <c r="K617" i="3"/>
  <c r="L616" i="3"/>
  <c r="K616" i="3"/>
  <c r="L615" i="3"/>
  <c r="K615" i="3"/>
  <c r="L614" i="3"/>
  <c r="K614" i="3"/>
  <c r="L613" i="3"/>
  <c r="K613" i="3"/>
  <c r="L612" i="3"/>
  <c r="K612" i="3"/>
  <c r="L611" i="3"/>
  <c r="K611" i="3"/>
  <c r="L610" i="3"/>
  <c r="K610" i="3"/>
  <c r="L609" i="3"/>
  <c r="K609" i="3"/>
  <c r="L608" i="3"/>
  <c r="K608" i="3"/>
  <c r="L607" i="3"/>
  <c r="K607" i="3"/>
  <c r="L606" i="3"/>
  <c r="K606" i="3"/>
  <c r="L604" i="3"/>
  <c r="K604" i="3"/>
  <c r="L603" i="3"/>
  <c r="K603" i="3"/>
  <c r="L602" i="3"/>
  <c r="K602" i="3"/>
  <c r="L601" i="3"/>
  <c r="K601" i="3"/>
  <c r="L600" i="3"/>
  <c r="K600" i="3"/>
  <c r="L599" i="3"/>
  <c r="K599" i="3"/>
  <c r="L598" i="3"/>
  <c r="K598" i="3"/>
  <c r="L597" i="3"/>
  <c r="K597" i="3"/>
  <c r="L596" i="3"/>
  <c r="K596" i="3"/>
  <c r="L595" i="3"/>
  <c r="K595" i="3"/>
  <c r="L594" i="3"/>
  <c r="K594" i="3"/>
  <c r="L593" i="3"/>
  <c r="K593" i="3"/>
  <c r="L592" i="3"/>
  <c r="K592" i="3"/>
  <c r="L591" i="3"/>
  <c r="K591" i="3"/>
  <c r="L590" i="3"/>
  <c r="K590" i="3"/>
  <c r="L589" i="3"/>
  <c r="K589" i="3"/>
  <c r="L588" i="3"/>
  <c r="K588" i="3"/>
  <c r="L587" i="3"/>
  <c r="K587" i="3"/>
  <c r="L586" i="3"/>
  <c r="K586" i="3"/>
  <c r="L585" i="3"/>
  <c r="K585" i="3"/>
  <c r="L584" i="3"/>
  <c r="K584" i="3"/>
  <c r="L583" i="3"/>
  <c r="K583" i="3"/>
  <c r="L582" i="3"/>
  <c r="K582" i="3"/>
  <c r="L581" i="3"/>
  <c r="K581" i="3"/>
  <c r="L580" i="3"/>
  <c r="K580" i="3"/>
  <c r="L579" i="3"/>
  <c r="K579" i="3"/>
  <c r="L578" i="3"/>
  <c r="K578" i="3"/>
  <c r="L577" i="3"/>
  <c r="K577" i="3"/>
  <c r="L576" i="3"/>
  <c r="K576" i="3"/>
  <c r="L575" i="3"/>
  <c r="K575" i="3"/>
  <c r="L574" i="3"/>
  <c r="K574" i="3"/>
  <c r="L573" i="3"/>
  <c r="K573" i="3"/>
  <c r="L572" i="3"/>
  <c r="K572" i="3"/>
  <c r="L571" i="3"/>
  <c r="K571" i="3"/>
  <c r="L570" i="3"/>
  <c r="K570" i="3"/>
  <c r="L569" i="3"/>
  <c r="K569" i="3"/>
  <c r="L568" i="3"/>
  <c r="K568" i="3"/>
  <c r="L567" i="3"/>
  <c r="K567" i="3"/>
  <c r="L566" i="3"/>
  <c r="K566" i="3"/>
  <c r="L565" i="3"/>
  <c r="K565" i="3"/>
  <c r="L564" i="3"/>
  <c r="K564" i="3"/>
  <c r="L563" i="3"/>
  <c r="K563" i="3"/>
  <c r="L562" i="3"/>
  <c r="K562" i="3"/>
  <c r="L561" i="3"/>
  <c r="K561" i="3"/>
  <c r="L560" i="3"/>
  <c r="K560" i="3"/>
  <c r="L559" i="3"/>
  <c r="K559" i="3"/>
  <c r="L558" i="3"/>
  <c r="K558" i="3"/>
  <c r="L557" i="3"/>
  <c r="K557" i="3"/>
  <c r="L556" i="3"/>
  <c r="K556" i="3"/>
  <c r="L555" i="3"/>
  <c r="K555" i="3"/>
  <c r="L554" i="3"/>
  <c r="K554" i="3"/>
  <c r="L553" i="3"/>
  <c r="K553" i="3"/>
  <c r="L552" i="3"/>
  <c r="K552" i="3"/>
  <c r="L551" i="3"/>
  <c r="K551" i="3"/>
  <c r="L550" i="3"/>
  <c r="K550" i="3"/>
  <c r="L549" i="3"/>
  <c r="K549" i="3"/>
  <c r="L548" i="3"/>
  <c r="K548" i="3"/>
  <c r="L547" i="3"/>
  <c r="K547" i="3"/>
  <c r="L546" i="3"/>
  <c r="K546" i="3"/>
  <c r="L545" i="3"/>
  <c r="K545" i="3"/>
  <c r="L544" i="3"/>
  <c r="K544" i="3"/>
  <c r="L543" i="3"/>
  <c r="K543" i="3"/>
  <c r="L542" i="3"/>
  <c r="K542" i="3"/>
  <c r="L541" i="3"/>
  <c r="K541" i="3"/>
  <c r="L540" i="3"/>
  <c r="K540" i="3"/>
  <c r="L539" i="3"/>
  <c r="K539" i="3"/>
  <c r="L538" i="3"/>
  <c r="K538" i="3"/>
  <c r="L537" i="3"/>
  <c r="K537" i="3"/>
  <c r="L536" i="3"/>
  <c r="K536" i="3"/>
  <c r="L535" i="3"/>
  <c r="K535" i="3"/>
  <c r="L534" i="3"/>
  <c r="K534" i="3"/>
  <c r="L533" i="3"/>
  <c r="K533" i="3"/>
  <c r="L532" i="3"/>
  <c r="K532" i="3"/>
  <c r="L531" i="3"/>
  <c r="K531" i="3"/>
  <c r="L530" i="3"/>
  <c r="K530" i="3"/>
  <c r="L529" i="3"/>
  <c r="K529" i="3"/>
  <c r="L528" i="3"/>
  <c r="K528" i="3"/>
  <c r="L527" i="3"/>
  <c r="K527" i="3"/>
  <c r="L526" i="3"/>
  <c r="K526" i="3"/>
  <c r="L525" i="3"/>
  <c r="K525" i="3"/>
  <c r="L524" i="3"/>
  <c r="K524" i="3"/>
  <c r="L523" i="3"/>
  <c r="K523" i="3"/>
  <c r="L522" i="3"/>
  <c r="K522" i="3"/>
  <c r="L521" i="3"/>
  <c r="K521" i="3"/>
  <c r="L520" i="3"/>
  <c r="K520" i="3"/>
  <c r="L519" i="3"/>
  <c r="K519" i="3"/>
  <c r="L518" i="3"/>
  <c r="K518" i="3"/>
  <c r="L517" i="3"/>
  <c r="K517" i="3"/>
  <c r="L516" i="3"/>
  <c r="K516" i="3"/>
  <c r="L515" i="3"/>
  <c r="K515" i="3"/>
  <c r="L514" i="3"/>
  <c r="K514" i="3"/>
  <c r="L513" i="3"/>
  <c r="K513" i="3"/>
  <c r="L512" i="3"/>
  <c r="K512" i="3"/>
  <c r="L511" i="3"/>
  <c r="K511" i="3"/>
  <c r="L510" i="3"/>
  <c r="K510" i="3"/>
  <c r="L509" i="3"/>
  <c r="K509" i="3"/>
  <c r="L508" i="3"/>
  <c r="K508" i="3"/>
  <c r="L507" i="3"/>
  <c r="K507" i="3"/>
  <c r="L506" i="3"/>
  <c r="K506" i="3"/>
  <c r="L505" i="3"/>
  <c r="K505" i="3"/>
  <c r="L504" i="3"/>
  <c r="K504" i="3"/>
  <c r="L503" i="3"/>
  <c r="K503" i="3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79" i="3"/>
  <c r="K479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L2344" i="1" l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4" i="1"/>
  <c r="K2104" i="1"/>
  <c r="L2103" i="1"/>
  <c r="K2103" i="1"/>
  <c r="L2102" i="1"/>
  <c r="K2102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5" i="1"/>
  <c r="K1745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1" i="1"/>
  <c r="K1621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6" i="1"/>
  <c r="K1156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79" i="1"/>
  <c r="K479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<sst xmlns="http://schemas.openxmlformats.org/spreadsheetml/2006/main" count="29535" uniqueCount="12943">
  <si>
    <t>Normalised count (C) Healthy.VUmc.Pt82</t>
  </si>
  <si>
    <t>Normalised count (E) PDAC.VUmc.Pt94</t>
  </si>
  <si>
    <t>Normalised count (H) PDAC.VUmc.Pt95</t>
  </si>
  <si>
    <t>Normalised count (K) PDAC.VUmc.Pt8</t>
  </si>
  <si>
    <t>Normalised count (M) Healthy.VUmc.Pt10</t>
  </si>
  <si>
    <t>Normalised count (N) PDAC.VUmc.Pt18</t>
  </si>
  <si>
    <t>Normalised count (P) PDAC.VUmc.Pt91</t>
  </si>
  <si>
    <t>Normalised count (Q) Healthy.VUmc.Pt97</t>
  </si>
  <si>
    <t>Normalised count (R) PDAC.VUmc.Pt22</t>
  </si>
  <si>
    <t>Normalised count (S) Healthy.VUmc.Pt40</t>
  </si>
  <si>
    <t>Normalised count (W) Healthy.VUmc.Pt2</t>
  </si>
  <si>
    <t>Normalised count (Y) Healthy.VUmc.Pt35.1</t>
  </si>
  <si>
    <t>MaxQuant pgID</t>
  </si>
  <si>
    <t>Protein IDs short</t>
  </si>
  <si>
    <t>Proteins count</t>
  </si>
  <si>
    <t>Fasta headers (first 255 characters)</t>
  </si>
  <si>
    <t>Peptides count</t>
  </si>
  <si>
    <t>Razor+unique peptides count</t>
  </si>
  <si>
    <t>Unique peptides count</t>
  </si>
  <si>
    <t>First accession</t>
  </si>
  <si>
    <t>Percentage sequence coverage</t>
  </si>
  <si>
    <t>Mol. weight [kDa]</t>
  </si>
  <si>
    <t>Gene names</t>
  </si>
  <si>
    <t>HGNC+ Gene Names</t>
  </si>
  <si>
    <t>P35579;P35580;P35580-5;P35580-2;P35580-3;P35580-4;P35749-4;P35749-3;P35749;P35749-2;REV__Q9UKV3-5;REV__Q9UKV3</t>
  </si>
  <si>
    <t>&gt;sp|P35579|MYH9_HUMAN Myosin-9 OS=Homo sapiens GN=MYH9 PE=1 SV=4</t>
  </si>
  <si>
    <t>P35579</t>
  </si>
  <si>
    <t>Q9Y490</t>
  </si>
  <si>
    <t>&gt;sp|Q9Y490|TLN1_HUMAN Talin-1 OS=Homo sapiens GN=TLN1 PE=1 SV=3</t>
  </si>
  <si>
    <t>P60709</t>
  </si>
  <si>
    <t>&gt;sp|P60709|ACTB_HUMAN Actin, cytoplasmic 1 OS=Homo sapiens GN=ACTB PE=1 SV=1</t>
  </si>
  <si>
    <t>P21333-2;P21333</t>
  </si>
  <si>
    <t>&gt;sp|P21333-2|FLNA_HUMAN Isoform 2 of Filamin-A OS=Homo sapiens GN=FLNA</t>
  </si>
  <si>
    <t>P21333-2</t>
  </si>
  <si>
    <t>P01024;CON__Q2UVX4;O95568</t>
  </si>
  <si>
    <t>&gt;sp|P01024|CO3_HUMAN Complement C3 OS=Homo sapiens GN=C3 PE=1 SV=2</t>
  </si>
  <si>
    <t>P01024</t>
  </si>
  <si>
    <t>P02675</t>
  </si>
  <si>
    <t>&gt;sp|P02675|FIBB_HUMAN Fibrinogen beta chain OS=Homo sapiens GN=FGB PE=1 SV=2</t>
  </si>
  <si>
    <t>P04114</t>
  </si>
  <si>
    <t>&gt;sp|P04114|APOB_HUMAN Apolipoprotein B-100 OS=Homo sapiens GN=APOB PE=1 SV=2</t>
  </si>
  <si>
    <t>P01023</t>
  </si>
  <si>
    <t>&gt;sp|P01023|A2MG_HUMAN Alpha-2-macroglobulin OS=Homo sapiens GN=A2M PE=1 SV=3</t>
  </si>
  <si>
    <t>P02787;CON__Q2HJF0</t>
  </si>
  <si>
    <t>&gt;sp|P02787|TRFE_HUMAN Serotransferrin OS=Homo sapiens GN=TF PE=1 SV=3</t>
  </si>
  <si>
    <t>P02787</t>
  </si>
  <si>
    <t>P02671;P02671-2;CON__P02672</t>
  </si>
  <si>
    <t>&gt;sp|P02671|FIBA_HUMAN Fibrinogen alpha chain OS=Homo sapiens GN=FGA PE=1 SV=2</t>
  </si>
  <si>
    <t>P02671</t>
  </si>
  <si>
    <t>P12814</t>
  </si>
  <si>
    <t>&gt;sp|P12814|ACTN1_HUMAN Alpha-actinin-1 OS=Homo sapiens GN=ACTN1 PE=1 SV=2</t>
  </si>
  <si>
    <t>P01009;P01009-2;P01009-3;P20848</t>
  </si>
  <si>
    <t>&gt;sp|P01009|A1AT_HUMAN Alpha-1-antitrypsin OS=Homo sapiens GN=SERPINA1 PE=1 SV=3</t>
  </si>
  <si>
    <t>P01009</t>
  </si>
  <si>
    <t>P01857</t>
  </si>
  <si>
    <t>&gt;sp|P01857|IGHG1_HUMAN Ig gamma-1 chain C region OS=Homo sapiens GN=IGHG1 PE=1 SV=1</t>
  </si>
  <si>
    <t>P18206-2;P18206;P18206-3</t>
  </si>
  <si>
    <t>&gt;sp|P18206-2|VINC_HUMAN Isoform 1 of Vinculin OS=Homo sapiens GN=VCL</t>
  </si>
  <si>
    <t>P18206-2</t>
  </si>
  <si>
    <t>P02679-2;P02679</t>
  </si>
  <si>
    <t>&gt;sp|P02679-2|FIBG_HUMAN Isoform Gamma-A of Fibrinogen gamma chain OS=Homo sapiens GN=FGG</t>
  </si>
  <si>
    <t>P02679-2</t>
  </si>
  <si>
    <t>P08514;P08514-2;P08514-3</t>
  </si>
  <si>
    <t>&gt;sp|P08514|ITA2B_HUMAN Integrin alpha-IIb OS=Homo sapiens GN=ITGA2B PE=1 SV=3</t>
  </si>
  <si>
    <t>P08514</t>
  </si>
  <si>
    <t>P07996;P07996-2</t>
  </si>
  <si>
    <t>&gt;sp|P07996|TSP1_HUMAN Thrombospondin-1 OS=Homo sapiens GN=THBS1 PE=1 SV=2</t>
  </si>
  <si>
    <t>P07996</t>
  </si>
  <si>
    <t>P02647;CON__P15497</t>
  </si>
  <si>
    <t>&gt;sp|P02647|APOA1_HUMAN Apolipoprotein A-I OS=Homo sapiens GN=APOA1 PE=1 SV=1</t>
  </si>
  <si>
    <t>P02647</t>
  </si>
  <si>
    <t>Q9H4B7</t>
  </si>
  <si>
    <t>&gt;sp|Q9H4B7|TBB1_HUMAN Tubulin beta-1 chain OS=Homo sapiens GN=TUBB1 PE=1 SV=1</t>
  </si>
  <si>
    <t>Q86UX7-2;Q86UX7;Q9BQL6-3;Q9BQL6</t>
  </si>
  <si>
    <t>&gt;sp|Q86UX7-2|URP2_HUMAN Isoform 2 of Fermitin family homolog 3 OS=Homo sapiens GN=FERMT3</t>
  </si>
  <si>
    <t>Q86UX7-2</t>
  </si>
  <si>
    <t>P00488</t>
  </si>
  <si>
    <t>&gt;sp|P00488|F13A_HUMAN Coagulation factor XIII A chain OS=Homo sapiens GN=F13A1 PE=1 SV=4</t>
  </si>
  <si>
    <t>P0C0L5;CON__ENSEMBL:ENSBTAP00000007350</t>
  </si>
  <si>
    <t>&gt;sp|P0C0L5|CO4B_HUMAN Complement C4-B OS=Homo sapiens GN=C4B PE=1 SV=2</t>
  </si>
  <si>
    <t>P0C0L5</t>
  </si>
  <si>
    <t>P68363;P68363-2;A6NHL2-2;A6NHL2;Q9H853</t>
  </si>
  <si>
    <t>&gt;sp|P68363|TBA1B_HUMAN Tubulin alpha-1B chain OS=Homo sapiens GN=TUBA1B PE=1 SV=1</t>
  </si>
  <si>
    <t>P68363</t>
  </si>
  <si>
    <t>P06396</t>
  </si>
  <si>
    <t>&gt;sp|P06396|GELS_HUMAN Gelsolin OS=Homo sapiens GN=GSN PE=1 SV=1</t>
  </si>
  <si>
    <t>P02751;P02751-8;P02751-3;P02751-15;P02751-14;P02751-17;P02751-11;P02751-7;P02751-9;P02751-10;P02751-6;P02751-5;P02751-13;P02751-12;P02751-4;P02751-16;P02751-2</t>
  </si>
  <si>
    <t>&gt;sp|P02751|FINC_HUMAN Fibronectin OS=Homo sapiens GN=FN1 PE=1 SV=4</t>
  </si>
  <si>
    <t>P02751</t>
  </si>
  <si>
    <t>P00738;P00738-2</t>
  </si>
  <si>
    <t>&gt;sp|P00738|HPT_HUMAN Haptoglobin OS=Homo sapiens GN=HP PE=1 SV=1</t>
  </si>
  <si>
    <t>P00738</t>
  </si>
  <si>
    <t>P01859</t>
  </si>
  <si>
    <t>&gt;sp|P01859|IGHG2_HUMAN Ig gamma-2 chain C region OS=Homo sapiens GN=IGHG2 PE=1 SV=2</t>
  </si>
  <si>
    <t>P01834</t>
  </si>
  <si>
    <t>&gt;sp|P01834|IGKC_HUMAN Ig kappa chain C region OS=Homo sapiens GN=IGKC PE=1 SV=1</t>
  </si>
  <si>
    <t>P14618;P14618-3</t>
  </si>
  <si>
    <t>&gt;sp|P14618|KPYM_HUMAN Pyruvate kinase PKM OS=Homo sapiens GN=PKM PE=1 SV=4</t>
  </si>
  <si>
    <t>P14618</t>
  </si>
  <si>
    <t>P02790</t>
  </si>
  <si>
    <t>&gt;sp|P02790|HEMO_HUMAN Hemopexin OS=Homo sapiens GN=HPX PE=1 SV=2</t>
  </si>
  <si>
    <t>P08603;P08603-2;Q02985-2;Q02985</t>
  </si>
  <si>
    <t>&gt;sp|P08603|CFAH_HUMAN Complement factor H OS=Homo sapiens GN=CFH PE=1 SV=4</t>
  </si>
  <si>
    <t>P08603</t>
  </si>
  <si>
    <t>P00450</t>
  </si>
  <si>
    <t>&gt;sp|P00450|CERU_HUMAN Ceruloplasmin OS=Homo sapiens GN=CP PE=1 SV=1</t>
  </si>
  <si>
    <t>P04406;P04406-2;O14556</t>
  </si>
  <si>
    <t>&gt;sp|P04406|G3P_HUMAN Glyceraldehyde-3-phosphate dehydrogenase OS=Homo sapiens GN=GAPDH PE=1 SV=3</t>
  </si>
  <si>
    <t>P04406</t>
  </si>
  <si>
    <t>P05106;P05106-2;P05106-3</t>
  </si>
  <si>
    <t>&gt;sp|P05106|ITB3_HUMAN Integrin beta-3 OS=Homo sapiens GN=ITGB3 PE=1 SV=2</t>
  </si>
  <si>
    <t>P05106</t>
  </si>
  <si>
    <t>P68371;P04350;A6NNZ2</t>
  </si>
  <si>
    <t>&gt;sp|P68371|TBB4B_HUMAN Tubulin beta-4B chain OS=Homo sapiens GN=TUBB4B PE=1 SV=1</t>
  </si>
  <si>
    <t>P68371</t>
  </si>
  <si>
    <t>P01876</t>
  </si>
  <si>
    <t>&gt;sp|P01876|IGHA1_HUMAN Ig alpha-1 chain C region OS=Homo sapiens GN=IGHA1 PE=1 SV=2</t>
  </si>
  <si>
    <t>Q00610-2;Q00610;P53675-2;P53675</t>
  </si>
  <si>
    <t>&gt;sp|Q00610-2|CLH1_HUMAN Isoform 2 of Clathrin heavy chain 1 OS=Homo sapiens GN=CLTC</t>
  </si>
  <si>
    <t>Q00610-2</t>
  </si>
  <si>
    <t>P67936</t>
  </si>
  <si>
    <t>&gt;sp|P67936|TPM4_HUMAN Tropomyosin alpha-4 chain OS=Homo sapiens GN=TPM4 PE=1 SV=3</t>
  </si>
  <si>
    <t>Q13418;Q13418-3;Q13418-2</t>
  </si>
  <si>
    <t>&gt;sp|Q13418|ILK_HUMAN Integrin-linked protein kinase OS=Homo sapiens GN=ILK PE=1 SV=2</t>
  </si>
  <si>
    <t>Q13418</t>
  </si>
  <si>
    <t>P68871;CON__Q3SX09;CON__P02070;P69892;P69891;P02100</t>
  </si>
  <si>
    <t>&gt;sp|P68871|HBB_HUMAN Hemoglobin subunit beta OS=Homo sapiens GN=HBB PE=1 SV=2</t>
  </si>
  <si>
    <t>P68871</t>
  </si>
  <si>
    <t>P07737</t>
  </si>
  <si>
    <t>&gt;sp|P07737|PROF1_HUMAN Profilin-1 OS=Homo sapiens GN=PFN1 PE=1 SV=2</t>
  </si>
  <si>
    <t>P11142;P11142-2</t>
  </si>
  <si>
    <t>&gt;sp|P11142|HSP7C_HUMAN Heat shock cognate 71 kDa protein OS=Homo sapiens GN=HSPA8 PE=1 SV=1</t>
  </si>
  <si>
    <t>P11142</t>
  </si>
  <si>
    <t>P02774;P02774-3;P02774-2;CON__Q3MHN5;CON__ENSEMBL:ENSBTAP00000018229</t>
  </si>
  <si>
    <t>&gt;sp|P02774|VTDB_HUMAN Vitamin D-binding protein OS=Homo sapiens GN=GC PE=1 SV=1</t>
  </si>
  <si>
    <t>P02774</t>
  </si>
  <si>
    <t>P69905;P02008</t>
  </si>
  <si>
    <t>&gt;sp|P69905|HBA_HUMAN Hemoglobin subunit alpha OS=Homo sapiens GN=HBA1 PE=1 SV=2</t>
  </si>
  <si>
    <t>P69905</t>
  </si>
  <si>
    <t>O75083;O75083-3</t>
  </si>
  <si>
    <t>&gt;sp|O75083|WDR1_HUMAN WD repeat-containing protein 1 OS=Homo sapiens GN=WDR1 PE=1 SV=4</t>
  </si>
  <si>
    <t>O75083</t>
  </si>
  <si>
    <t>P37802;P37802-2;Q9UI15</t>
  </si>
  <si>
    <t>&gt;sp|P37802|TAGL2_HUMAN Transgelin-2 OS=Homo sapiens GN=TAGLN2 PE=1 SV=3</t>
  </si>
  <si>
    <t>P37802</t>
  </si>
  <si>
    <t>P00747;CON__P06868;Q15195;Q02325</t>
  </si>
  <si>
    <t>&gt;sp|P00747|PLMN_HUMAN Plasminogen OS=Homo sapiens GN=PLG PE=1 SV=2</t>
  </si>
  <si>
    <t>P00747</t>
  </si>
  <si>
    <t>P08567</t>
  </si>
  <si>
    <t>&gt;sp|P08567|PLEK_HUMAN Pleckstrin OS=Homo sapiens GN=PLEK PE=1 SV=3</t>
  </si>
  <si>
    <t>P04275;P04275-2</t>
  </si>
  <si>
    <t>&gt;sp|P04275|VWF_HUMAN von Willebrand factor OS=Homo sapiens GN=VWF PE=1 SV=4</t>
  </si>
  <si>
    <t>P04275</t>
  </si>
  <si>
    <t>P68032;P63267;P62736;P63267-2</t>
  </si>
  <si>
    <t>&gt;sp|P68032|ACTC_HUMAN Actin, alpha cardiac muscle 1 OS=Homo sapiens GN=ACTC1 PE=1 SV=1</t>
  </si>
  <si>
    <t>P68032</t>
  </si>
  <si>
    <t>P26038</t>
  </si>
  <si>
    <t>&gt;sp|P26038|MOES_HUMAN Moesin OS=Homo sapiens GN=MSN PE=1 SV=3</t>
  </si>
  <si>
    <t>P63104;P63104-2</t>
  </si>
  <si>
    <t>&gt;sp|P63104|1433Z_HUMAN 14-3-3 protein zeta/delta OS=Homo sapiens GN=YWHAZ PE=1 SV=1</t>
  </si>
  <si>
    <t>P63104</t>
  </si>
  <si>
    <t>Q9HBI1-3;Q9HBI1;Q9HBI1-2;Q9NVD7</t>
  </si>
  <si>
    <t>&gt;sp|Q9HBI1-3|PARVB_HUMAN Isoform 3 of Beta-parvin OS=Homo sapiens GN=PARVB</t>
  </si>
  <si>
    <t>Q9HBI1-3</t>
  </si>
  <si>
    <t>P04075;P04075-2;P05062</t>
  </si>
  <si>
    <t>&gt;sp|P04075|ALDOA_HUMAN Fructose-bisphosphate aldolase A OS=Homo sapiens GN=ALDOA PE=1 SV=2</t>
  </si>
  <si>
    <t>P04075</t>
  </si>
  <si>
    <t>P01008;CON__P41361</t>
  </si>
  <si>
    <t>&gt;sp|P01008|ANT3_HUMAN Antithrombin-III OS=Homo sapiens GN=SERPINC1 PE=1 SV=1</t>
  </si>
  <si>
    <t>P01008</t>
  </si>
  <si>
    <t>P06733;P06733-2</t>
  </si>
  <si>
    <t>&gt;sp|P06733|ENOA_HUMAN Alpha-enolase OS=Homo sapiens GN=ENO1 PE=1 SV=2</t>
  </si>
  <si>
    <t>P06733</t>
  </si>
  <si>
    <t>P01011;P01011-2;P01011-3</t>
  </si>
  <si>
    <t>&gt;sp|P01011|AACT_HUMAN Alpha-1-antichymotrypsin OS=Homo sapiens GN=SERPINA3 PE=1 SV=2</t>
  </si>
  <si>
    <t>P01011</t>
  </si>
  <si>
    <t>P01871;P01871-2</t>
  </si>
  <si>
    <t>&gt;sp|P01871|IGHM_HUMAN Ig mu chain C region OS=Homo sapiens GN=IGHM PE=1 SV=3</t>
  </si>
  <si>
    <t>P01871</t>
  </si>
  <si>
    <t>Q15942;Q15942-2</t>
  </si>
  <si>
    <t>&gt;sp|Q15942|ZYX_HUMAN Zyxin OS=Homo sapiens GN=ZYX PE=1 SV=1</t>
  </si>
  <si>
    <t>Q15942</t>
  </si>
  <si>
    <t>P04003;CON__Q28065</t>
  </si>
  <si>
    <t>&gt;sp|P04003|C4BPA_HUMAN C4b-binding protein alpha chain OS=Homo sapiens GN=C4BPA PE=1 SV=2</t>
  </si>
  <si>
    <t>P04003</t>
  </si>
  <si>
    <t>Q01518;Q01518-2;P40123-3;P40123-2;P40123</t>
  </si>
  <si>
    <t>&gt;sp|Q01518|CAP1_HUMAN Adenylyl cyclase-associated protein 1 OS=Homo sapiens GN=CAP1 PE=1 SV=5</t>
  </si>
  <si>
    <t>Q01518</t>
  </si>
  <si>
    <t>P00751;P00751-2</t>
  </si>
  <si>
    <t>&gt;sp|P00751|CFAB_HUMAN Complement factor B OS=Homo sapiens GN=CFB PE=1 SV=2</t>
  </si>
  <si>
    <t>P00751</t>
  </si>
  <si>
    <t>P30101</t>
  </si>
  <si>
    <t>&gt;sp|P30101|PDIA3_HUMAN Protein disulfide-isomerase A3 OS=Homo sapiens GN=PDIA3 PE=1 SV=4</t>
  </si>
  <si>
    <t>P61224;P61224-3;P61224-2;P61224-4;A6NIZ1</t>
  </si>
  <si>
    <t>&gt;sp|P61224|RAP1B_HUMAN Ras-related protein Rap-1b OS=Homo sapiens GN=RAP1B PE=1 SV=1</t>
  </si>
  <si>
    <t>P61224</t>
  </si>
  <si>
    <t>P11021</t>
  </si>
  <si>
    <t>&gt;sp|P11021|GRP78_HUMAN 78 kDa glucose-regulated protein OS=Homo sapiens GN=HSPA5 PE=1 SV=2</t>
  </si>
  <si>
    <t>Q14624;Q14624-3;Q14624-2;Q14624-4</t>
  </si>
  <si>
    <t>&gt;sp|Q14624|ITIH4_HUMAN Inter-alpha-trypsin inhibitor heavy chain H4 OS=Homo sapiens GN=ITIH4 PE=1 SV=4</t>
  </si>
  <si>
    <t>Q14624</t>
  </si>
  <si>
    <t>Q9NZN3;Q9NZN3-2</t>
  </si>
  <si>
    <t>&gt;sp|Q9NZN3|EHD3_HUMAN EH domain-containing protein 3 OS=Homo sapiens GN=EHD3 PE=1 SV=2</t>
  </si>
  <si>
    <t>Q9NZN3</t>
  </si>
  <si>
    <t>P14625;Q58FF3</t>
  </si>
  <si>
    <t>&gt;sp|P14625|ENPL_HUMAN Endoplasmin OS=Homo sapiens GN=HSP90B1 PE=1 SV=1</t>
  </si>
  <si>
    <t>P14625</t>
  </si>
  <si>
    <t>Q13201;Q13201-2</t>
  </si>
  <si>
    <t>&gt;sp|Q13201|MMRN1_HUMAN Multimerin-1 OS=Homo sapiens GN=MMRN1 PE=1 SV=3</t>
  </si>
  <si>
    <t>Q13201</t>
  </si>
  <si>
    <t>P06727;CON__Q32PJ2</t>
  </si>
  <si>
    <t>&gt;sp|P06727|APOA4_HUMAN Apolipoprotein A-IV OS=Homo sapiens GN=APOA4 PE=1 SV=3</t>
  </si>
  <si>
    <t>P06727</t>
  </si>
  <si>
    <t>O00151</t>
  </si>
  <si>
    <t>&gt;sp|O00151|PDLI1_HUMAN PDZ and LIM domain protein 1 OS=Homo sapiens GN=PDLIM1 PE=1 SV=4</t>
  </si>
  <si>
    <t>P19823;CON__Q9TRI1</t>
  </si>
  <si>
    <t>&gt;sp|P19823|ITIH2_HUMAN Inter-alpha-trypsin inhibitor heavy chain H2 OS=Homo sapiens GN=ITIH2 PE=1 SV=2</t>
  </si>
  <si>
    <t>P19823</t>
  </si>
  <si>
    <t>P00734;CON__P00735</t>
  </si>
  <si>
    <t>&gt;sp|P00734|THRB_HUMAN Prothrombin OS=Homo sapiens GN=F2 PE=1 SV=2</t>
  </si>
  <si>
    <t>P00734</t>
  </si>
  <si>
    <t>P07900;P07900-2;Q14568;Q58FF6;Q58FG1</t>
  </si>
  <si>
    <t>&gt;sp|P07900|HS90A_HUMAN Heat shock protein HSP 90-alpha OS=Homo sapiens GN=HSP90AA1 PE=1 SV=5</t>
  </si>
  <si>
    <t>P07900</t>
  </si>
  <si>
    <t>P23528</t>
  </si>
  <si>
    <t>&gt;sp|P23528|COF1_HUMAN Cofilin-1 OS=Homo sapiens GN=CFL1 PE=1 SV=3</t>
  </si>
  <si>
    <t>P0CG05;P0CF74</t>
  </si>
  <si>
    <t>&gt;sp|P0CG05|LAC2_HUMAN Ig lambda-2 chain C regions OS=Homo sapiens GN=IGLC2 PE=1 SV=1</t>
  </si>
  <si>
    <t>P0CG05</t>
  </si>
  <si>
    <t>P06753-2;P06753-3;P06753-6</t>
  </si>
  <si>
    <t>&gt;sp|P06753-2|TPM3_HUMAN Isoform 2 of Tropomyosin alpha-3 chain OS=Homo sapiens GN=TPM3</t>
  </si>
  <si>
    <t>P06753-2</t>
  </si>
  <si>
    <t>P48059;P48059-4;P48059-2;P48059-5;P48059-3;Q7Z4I7-3;Q7Z4I7;Q7Z4I7-5;Q7Z4I7-2;Q7Z4I7-4;P0CW19-2</t>
  </si>
  <si>
    <t>&gt;sp|P48059|LIMS1_HUMAN LIM and senescent cell antigen-like-containing domain protein 1 OS=Homo sapiens GN=LIMS1 PE=1 SV=4</t>
  </si>
  <si>
    <t>P48059</t>
  </si>
  <si>
    <t>P01042-2;P01042-3;CON__P01045-1;CON__Q2KJ62;CON__P01044-1</t>
  </si>
  <si>
    <t>&gt;sp|P01042-2|KNG1_HUMAN Isoform LMW of Kininogen-1 OS=Homo sapiens GN=KNG1</t>
  </si>
  <si>
    <t>P01042-2</t>
  </si>
  <si>
    <t>P00558;P00558-2;P07205</t>
  </si>
  <si>
    <t>&gt;sp|P00558|PGK1_HUMAN Phosphoglycerate kinase 1 OS=Homo sapiens GN=PGK1 PE=1 SV=3</t>
  </si>
  <si>
    <t>P00558</t>
  </si>
  <si>
    <t>P55072</t>
  </si>
  <si>
    <t>&gt;sp|P55072|TERA_HUMAN Transitional endoplasmic reticulum ATPase OS=Homo sapiens GN=VCP PE=1 SV=4</t>
  </si>
  <si>
    <t>P61158;Q9P1U1-2;Q9P1U1;Q9P1U1-3;Q9C0K3</t>
  </si>
  <si>
    <t>&gt;sp|P61158|ARP3_HUMAN Actin-related protein 3 OS=Homo sapiens GN=ACTR3 PE=1 SV=3</t>
  </si>
  <si>
    <t>P61158</t>
  </si>
  <si>
    <t>O43707;O43707-2;O43707-3;Q9H254-2</t>
  </si>
  <si>
    <t>&gt;sp|O43707|ACTN4_HUMAN Alpha-actinin-4 OS=Homo sapiens GN=ACTN4 PE=1 SV=2</t>
  </si>
  <si>
    <t>O43707</t>
  </si>
  <si>
    <t>P01031;CON__Q1A7A4</t>
  </si>
  <si>
    <t>&gt;sp|P01031|CO5_HUMAN Complement C5 OS=Homo sapiens GN=C5 PE=1 SV=4</t>
  </si>
  <si>
    <t>P01031</t>
  </si>
  <si>
    <t>P02766</t>
  </si>
  <si>
    <t>&gt;sp|P02766|TTHY_HUMAN Transthyretin OS=Homo sapiens GN=TTR PE=1 SV=1</t>
  </si>
  <si>
    <t>P06576</t>
  </si>
  <si>
    <t>&gt;sp|P06576|ATPB_HUMAN ATP synthase subunit beta, mitochondrial OS=Homo sapiens GN=ATP5B PE=1 SV=3</t>
  </si>
  <si>
    <t>Q93084-4;Q93084-2;Q93084-3;Q93084-7;Q93084;Q93084-6;Q93084-5</t>
  </si>
  <si>
    <t>&gt;sp|Q93084-4|AT2A3_HUMAN Isoform SERCA3G of Sarcoplasmic/endoplasmic reticulum calcium ATPase 3 OS=Homo sapiens GN=ATP2A3</t>
  </si>
  <si>
    <t>Q93084-4</t>
  </si>
  <si>
    <t>P48735;P48735-2</t>
  </si>
  <si>
    <t>&gt;sp|P48735|IDHP_HUMAN Isocitrate dehydrogenase [NADP], mitochondrial OS=Homo sapiens GN=IDH2 PE=1 SV=2</t>
  </si>
  <si>
    <t>P48735</t>
  </si>
  <si>
    <t>P07384</t>
  </si>
  <si>
    <t>&gt;sp|P07384|CAN1_HUMAN Calpain-1 catalytic subunit OS=Homo sapiens GN=CAPN1 PE=1 SV=1</t>
  </si>
  <si>
    <t>Q14766;Q14766-4;Q14766-2;Q14766-5</t>
  </si>
  <si>
    <t>&gt;sp|Q14766|LTBP1_HUMAN Latent-transforming growth factor beta-binding protein 1 OS=Homo sapiens GN=LTBP1 PE=1 SV=4</t>
  </si>
  <si>
    <t>Q14766</t>
  </si>
  <si>
    <t>O95810</t>
  </si>
  <si>
    <t>&gt;sp|O95810|SDPR_HUMAN Serum deprivation-response protein OS=Homo sapiens GN=SDPR PE=1 SV=3</t>
  </si>
  <si>
    <t>P07237</t>
  </si>
  <si>
    <t>&gt;sp|P07237|PDIA1_HUMAN Protein disulfide-isomerase OS=Homo sapiens GN=P4HB PE=1 SV=3</t>
  </si>
  <si>
    <t>P62937;Q9Y536;F5H284;A2BFH1</t>
  </si>
  <si>
    <t>&gt;sp|P62937|PPIA_HUMAN Peptidyl-prolyl cis-trans isomerase A OS=Homo sapiens GN=PPIA PE=1 SV=2</t>
  </si>
  <si>
    <t>P62937</t>
  </si>
  <si>
    <t>Q9ULV4;Q9ULV4-2;Q9ULV4-3;Q6QEF8-4;Q6QEF8-3;Q6QEF8-2;Q6QEF8-5;Q6QEF8</t>
  </si>
  <si>
    <t>&gt;sp|Q9ULV4|COR1C_HUMAN Coronin-1C OS=Homo sapiens GN=CORO1C PE=1 SV=1</t>
  </si>
  <si>
    <t>Q9ULV4</t>
  </si>
  <si>
    <t>Q05682-4;Q05682-5;Q05682-6;Q05682-2;Q05682;Q05682-3;REV__O75334-6;REV__O75334-5;REV__Q13136-2;REV__Q13136;REV__O75334-2;REV__O75334-4;REV__O75334-3;REV__O75334</t>
  </si>
  <si>
    <t>&gt;sp|Q05682-4|CALD1_HUMAN Isoform 4 of Caldesmon OS=Homo sapiens GN=CALD1</t>
  </si>
  <si>
    <t>Q05682-4</t>
  </si>
  <si>
    <t>Q13576;Q13576-3;Q13576-2</t>
  </si>
  <si>
    <t>&gt;sp|Q13576|IQGA2_HUMAN Ras GTPase-activating-like protein IQGAP2 OS=Homo sapiens GN=IQGAP2 PE=1 SV=4</t>
  </si>
  <si>
    <t>Q13576</t>
  </si>
  <si>
    <t>P50552</t>
  </si>
  <si>
    <t>&gt;sp|P50552|VASP_HUMAN Vasodilator-stimulated phosphoprotein OS=Homo sapiens GN=VASP PE=1 SV=3</t>
  </si>
  <si>
    <t>P19827;P19827-2;P19827-3;CON__Q0VCM5</t>
  </si>
  <si>
    <t>&gt;sp|P19827|ITIH1_HUMAN Inter-alpha-trypsin inhibitor heavy chain H1 OS=Homo sapiens GN=ITIH1 PE=1 SV=3</t>
  </si>
  <si>
    <t>P19827</t>
  </si>
  <si>
    <t>P01861</t>
  </si>
  <si>
    <t>&gt;sp|P01861|IGHG4_HUMAN Ig gamma-4 chain C region OS=Homo sapiens GN=IGHG4 PE=1 SV=1</t>
  </si>
  <si>
    <t>P04217;P04217-2;CON__Q2KJF1</t>
  </si>
  <si>
    <t>&gt;sp|P04217|A1BG_HUMAN Alpha-1B-glycoprotein OS=Homo sapiens GN=A1BG PE=1 SV=4</t>
  </si>
  <si>
    <t>P04217</t>
  </si>
  <si>
    <t>Q15149-5;Q15149-7;Q15149-8;Q15149-9;Q15149-4;Q15149-6;Q15149-3;Q15149-2;Q15149;P58107</t>
  </si>
  <si>
    <t>&gt;sp|Q15149-5|PLEC_HUMAN Isoform 5 of Plectin OS=Homo sapiens GN=PLEC</t>
  </si>
  <si>
    <t>Q15149-5</t>
  </si>
  <si>
    <t>P12259</t>
  </si>
  <si>
    <t>&gt;sp|P12259|FA5_HUMAN Coagulation factor V OS=Homo sapiens GN=F5 PE=1 SV=4</t>
  </si>
  <si>
    <t>P27797</t>
  </si>
  <si>
    <t>&gt;sp|P27797|CALR_HUMAN Calreticulin OS=Homo sapiens GN=CALR PE=1 SV=1</t>
  </si>
  <si>
    <t>P10909-4;P10909;P10909-5;P10909-2;P10909-3</t>
  </si>
  <si>
    <t>&gt;sp|P10909-4|CLUS_HUMAN Isoform 4 of Clusterin OS=Homo sapiens GN=CLU</t>
  </si>
  <si>
    <t>P10909-4</t>
  </si>
  <si>
    <t>P25705;P25705-2;P25705-3</t>
  </si>
  <si>
    <t>&gt;sp|P25705|ATPA_HUMAN ATP synthase subunit alpha, mitochondrial OS=Homo sapiens GN=ATP5A1 PE=1 SV=1</t>
  </si>
  <si>
    <t>P25705</t>
  </si>
  <si>
    <t>P04196</t>
  </si>
  <si>
    <t>&gt;sp|P04196|HRG_HUMAN Histidine-rich glycoprotein OS=Homo sapiens GN=HRG PE=1 SV=1</t>
  </si>
  <si>
    <t>P11216</t>
  </si>
  <si>
    <t>&gt;sp|P11216|PYGB_HUMAN Glycogen phosphorylase, brain form OS=Homo sapiens GN=PYGB PE=1 SV=5</t>
  </si>
  <si>
    <t>O00429-3;O00429;O00429-4;O00429-5;O00429-2;O00429-6;O00429-8;O00429-7</t>
  </si>
  <si>
    <t>&gt;sp|O00429-3|DNM1L_HUMAN Isoform 2 of Dynamin-1-like protein OS=Homo sapiens GN=DNM1L</t>
  </si>
  <si>
    <t>O00429-3</t>
  </si>
  <si>
    <t>P30041</t>
  </si>
  <si>
    <t>&gt;sp|P30041|PRDX6_HUMAN Peroxiredoxin-6 OS=Homo sapiens GN=PRDX6 PE=1 SV=3</t>
  </si>
  <si>
    <t>Q14697;Q14697-2;Q14697-3</t>
  </si>
  <si>
    <t>&gt;sp|Q14697|GANAB_HUMAN Neutral alpha-glucosidase AB OS=Homo sapiens GN=GANAB PE=1 SV=3</t>
  </si>
  <si>
    <t>Q14697</t>
  </si>
  <si>
    <t>P27105;P27105-2;Q8TAV4-2;Q8TAV4</t>
  </si>
  <si>
    <t>&gt;sp|P27105|STOM_HUMAN Erythrocyte band 7 integral membrane protein OS=Homo sapiens GN=STOM PE=1 SV=3</t>
  </si>
  <si>
    <t>P27105</t>
  </si>
  <si>
    <t>Q9UBW5;Q9UBW5-2;O00499-9;O00499-10;O00499-7;O00499-8;O00499-4;O00499-6;O00499-11;O00499-3;O00499-2;O00499-5;O00499;P49418-2;P49418</t>
  </si>
  <si>
    <t>&gt;sp|Q9UBW5|BIN2_HUMAN Bridging integrator 2 OS=Homo sapiens GN=BIN2 PE=1 SV=3</t>
  </si>
  <si>
    <t>Q9UBW5</t>
  </si>
  <si>
    <t>P00491</t>
  </si>
  <si>
    <t>&gt;sp|P00491|PNPH_HUMAN Purine nucleoside phosphorylase OS=Homo sapiens GN=PNP PE=1 SV=2</t>
  </si>
  <si>
    <t>P19367;P19367-4;P19367-2;P19367-3;P52789;P52790;Q2TB90-3;Q2TB90-2</t>
  </si>
  <si>
    <t>&gt;sp|P19367|HXK1_HUMAN Hexokinase-1 OS=Homo sapiens GN=HK1 PE=1 SV=3</t>
  </si>
  <si>
    <t>P19367</t>
  </si>
  <si>
    <t>Q70J99;Q70J99-3;Q70J99-2</t>
  </si>
  <si>
    <t>&gt;sp|Q70J99|UN13D_HUMAN Protein unc-13 homolog D OS=Homo sapiens GN=UNC13D PE=1 SV=1</t>
  </si>
  <si>
    <t>Q70J99</t>
  </si>
  <si>
    <t>P02749</t>
  </si>
  <si>
    <t>&gt;sp|P02749|APOH_HUMAN Beta-2-glycoprotein 1 OS=Homo sapiens GN=APOH PE=1 SV=3</t>
  </si>
  <si>
    <t>P02775</t>
  </si>
  <si>
    <t>&gt;sp|P02775|CXCL7_HUMAN Platelet basic protein OS=Homo sapiens GN=PPBP PE=1 SV=3</t>
  </si>
  <si>
    <t>O60610-2;O60610-3;O60610;Q8IUG5-2;Q8IUG5</t>
  </si>
  <si>
    <t>&gt;sp|O60610-2|DIAP1_HUMAN Isoform 2 of Protein diaphanous homolog 1 OS=Homo sapiens GN=DIAPH1</t>
  </si>
  <si>
    <t>O60610-2</t>
  </si>
  <si>
    <t>P60174-1;P60174;P60174-4</t>
  </si>
  <si>
    <t>&gt;sp|P60174-1|TPIS_HUMAN Isoform 2 of Triosephosphate isomerase OS=Homo sapiens GN=TPI1</t>
  </si>
  <si>
    <t>P60174-1</t>
  </si>
  <si>
    <t>P47756-2;P47756</t>
  </si>
  <si>
    <t>&gt;sp|P47756-2|CAPZB_HUMAN Isoform 2 of F-actin-capping protein subunit beta OS=Homo sapiens GN=CAPZB</t>
  </si>
  <si>
    <t>P47756-2</t>
  </si>
  <si>
    <t>P05155-2;P05155;P05155-3;CON__P50448</t>
  </si>
  <si>
    <t>&gt;sp|P05155-2|IC1_HUMAN Isoform 2 of Plasma protease C1 inhibitor OS=Homo sapiens GN=SERPING1</t>
  </si>
  <si>
    <t>P05155-2</t>
  </si>
  <si>
    <t>P0DMV9;P0DMV8;P0DMV8-2</t>
  </si>
  <si>
    <t>&gt;sp|P0DMV9|HS71B_HUMAN Heat shock 70 kDa protein 1B OS=Homo sapiens GN=HSPA1B PE=1 SV=1</t>
  </si>
  <si>
    <t>P0DMV9</t>
  </si>
  <si>
    <t>P23229-4;P23229-2;P23229-9;P23229-6;P23229-5;P23229-3;P23229;P23229-7</t>
  </si>
  <si>
    <t>&gt;sp|P23229-4|ITA6_HUMAN Isoform Alpha-6X2A of Integrin alpha-6 OS=Homo sapiens GN=ITGA6</t>
  </si>
  <si>
    <t>P23229-4</t>
  </si>
  <si>
    <t>P07359</t>
  </si>
  <si>
    <t>&gt;sp|P07359|GP1BA_HUMAN Platelet glycoprotein Ib alpha chain OS=Homo sapiens GN=GP1BA PE=1 SV=2</t>
  </si>
  <si>
    <t>P01860</t>
  </si>
  <si>
    <t>&gt;sp|P01860|IGHG3_HUMAN Ig gamma-3 chain C region OS=Homo sapiens GN=IGHG3 PE=1 SV=2</t>
  </si>
  <si>
    <t>P52566</t>
  </si>
  <si>
    <t>&gt;sp|P52566|GDIR2_HUMAN Rho GDP-dissociation inhibitor 2 OS=Homo sapiens GN=ARHGDIB PE=1 SV=3</t>
  </si>
  <si>
    <t>P27824;P27824-2;P27824-3</t>
  </si>
  <si>
    <t>&gt;sp|P27824|CALX_HUMAN Calnexin OS=Homo sapiens GN=CANX PE=1 SV=2</t>
  </si>
  <si>
    <t>P27824</t>
  </si>
  <si>
    <t>Q14247-3;Q14247;Q14247-2</t>
  </si>
  <si>
    <t>&gt;sp|Q14247-3|SRC8_HUMAN Isoform 3 of Src substrate cortactin OS=Homo sapiens GN=CTTN</t>
  </si>
  <si>
    <t>Q14247-3</t>
  </si>
  <si>
    <t>P23284</t>
  </si>
  <si>
    <t>&gt;sp|P23284|PPIB_HUMAN Peptidyl-prolyl cis-trans isomerase B OS=Homo sapiens GN=PPIB PE=1 SV=2</t>
  </si>
  <si>
    <t>P30740;P30740-2;O75830</t>
  </si>
  <si>
    <t>&gt;sp|P30740|ILEU_HUMAN Leukocyte elastase inhibitor OS=Homo sapiens GN=SERPINB1 PE=1 SV=1</t>
  </si>
  <si>
    <t>P30740</t>
  </si>
  <si>
    <t>P02649;CON__Q03247</t>
  </si>
  <si>
    <t>&gt;sp|P02649|APOE_HUMAN Apolipoprotein E OS=Homo sapiens GN=APOE PE=1 SV=1</t>
  </si>
  <si>
    <t>P02649</t>
  </si>
  <si>
    <t>P02765</t>
  </si>
  <si>
    <t>&gt;sp|P02765|FETUA_HUMAN Alpha-2-HS-glycoprotein OS=Homo sapiens GN=AHSG PE=1 SV=1</t>
  </si>
  <si>
    <t>P00338;P00338-3;P00338-5;P00338-4;P00338-2;Q6ZMR3</t>
  </si>
  <si>
    <t>&gt;sp|P00338|LDHA_HUMAN L-lactate dehydrogenase A chain OS=Homo sapiens GN=LDHA PE=1 SV=2</t>
  </si>
  <si>
    <t>P00338</t>
  </si>
  <si>
    <t>P11413;P11413-2;P11413-3</t>
  </si>
  <si>
    <t>&gt;sp|P11413|G6PD_HUMAN Glucose-6-phosphate 1-dehydrogenase OS=Homo sapiens GN=G6PD PE=1 SV=4</t>
  </si>
  <si>
    <t>P11413</t>
  </si>
  <si>
    <t>O00299</t>
  </si>
  <si>
    <t>&gt;sp|O00299|CLIC1_HUMAN Chloride intracellular channel protein 1 OS=Homo sapiens GN=CLIC1 PE=1 SV=4</t>
  </si>
  <si>
    <t>P19105;O14950</t>
  </si>
  <si>
    <t>&gt;sp|P19105|ML12A_HUMAN Myosin regulatory light chain 12A OS=Homo sapiens GN=MYL12A PE=1 SV=2</t>
  </si>
  <si>
    <t>P19105</t>
  </si>
  <si>
    <t>P24557;P24557-3;P24557-4;P24557-2</t>
  </si>
  <si>
    <t>&gt;sp|P24557|THAS_HUMAN Thromboxane-A synthase OS=Homo sapiens GN=TBXAS1 PE=1 SV=3</t>
  </si>
  <si>
    <t>P24557</t>
  </si>
  <si>
    <t>P43652;CON__REFSEQ:XP_585019</t>
  </si>
  <si>
    <t>&gt;sp|P43652|AFAM_HUMAN Afamin OS=Homo sapiens GN=AFM PE=1 SV=1</t>
  </si>
  <si>
    <t>P43652</t>
  </si>
  <si>
    <t>O15143</t>
  </si>
  <si>
    <t>&gt;sp|O15143|ARC1B_HUMAN Actin-related protein 2/3 complex subunit 1B OS=Homo sapiens GN=ARPC1B PE=1 SV=3</t>
  </si>
  <si>
    <t>O15144</t>
  </si>
  <si>
    <t>&gt;sp|O15144|ARPC2_HUMAN Actin-related protein 2/3 complex subunit 2 OS=Homo sapiens GN=ARPC2 PE=1 SV=1</t>
  </si>
  <si>
    <t>Q01813;Q01813-2</t>
  </si>
  <si>
    <t>&gt;sp|Q01813|PFKAP_HUMAN ATP-dependent 6-phosphofructokinase, platelet type OS=Homo sapiens GN=PFKP PE=1 SV=2</t>
  </si>
  <si>
    <t>Q01813</t>
  </si>
  <si>
    <t>P07195</t>
  </si>
  <si>
    <t>&gt;sp|P07195|LDHB_HUMAN L-lactate dehydrogenase B chain OS=Homo sapiens GN=LDHB PE=1 SV=2</t>
  </si>
  <si>
    <t>P09493-8;P09493-7;P09493-6</t>
  </si>
  <si>
    <t>&gt;sp|P09493-8|TPM1_HUMAN Isoform 8 of Tropomyosin alpha-1 chain OS=Homo sapiens GN=TPM1</t>
  </si>
  <si>
    <t>P09493-8</t>
  </si>
  <si>
    <t>Q15833;Q15833-2;Q15833-3</t>
  </si>
  <si>
    <t>&gt;sp|Q15833|STXB2_HUMAN Syntaxin-binding protein 2 OS=Homo sapiens GN=STXBP2 PE=1 SV=2</t>
  </si>
  <si>
    <t>Q15833</t>
  </si>
  <si>
    <t>P04040</t>
  </si>
  <si>
    <t>&gt;sp|P04040|CATA_HUMAN Catalase OS=Homo sapiens GN=CAT PE=1 SV=3</t>
  </si>
  <si>
    <t>P61160;P61160-2</t>
  </si>
  <si>
    <t>&gt;sp|P61160|ARP2_HUMAN Actin-related protein 2 OS=Homo sapiens GN=ACTR2 PE=1 SV=1</t>
  </si>
  <si>
    <t>P61160</t>
  </si>
  <si>
    <t>P40197</t>
  </si>
  <si>
    <t>&gt;sp|P40197|GPV_HUMAN Platelet glycoprotein V OS=Homo sapiens GN=GP5 PE=1 SV=1</t>
  </si>
  <si>
    <t>P04792</t>
  </si>
  <si>
    <t>&gt;sp|P04792|HSPB1_HUMAN Heat shock protein beta-1 OS=Homo sapiens GN=HSPB1 PE=1 SV=2</t>
  </si>
  <si>
    <t>Q27J81-2;Q27J81;Q27J81-3</t>
  </si>
  <si>
    <t>&gt;sp|Q27J81-2|INF2_HUMAN Isoform 2 of Inverted formin-2 OS=Homo sapiens GN=INF2</t>
  </si>
  <si>
    <t>Q27J81-2</t>
  </si>
  <si>
    <t>P00387-2;P00387;P00387-3</t>
  </si>
  <si>
    <t>&gt;sp|P00387-2|NB5R3_HUMAN Isoform 2 of NADH-cytochrome b5 reductase 3 OS=Homo sapiens GN=CYB5R3</t>
  </si>
  <si>
    <t>P00387-2</t>
  </si>
  <si>
    <t>P01892</t>
  </si>
  <si>
    <t>&gt;sp|P01892|1A02_HUMAN HLA class I histocompatibility antigen, A-2 alpha chain OS=Homo sapiens GN=HLA-A PE=1 SV=1</t>
  </si>
  <si>
    <t>Q7L576;Q7L576-2;Q7L576-3</t>
  </si>
  <si>
    <t>&gt;sp|Q7L576|CYFP1_HUMAN Cytoplasmic FMR1-interacting protein 1 OS=Homo sapiens GN=CYFIP1 PE=1 SV=1</t>
  </si>
  <si>
    <t>Q7L576</t>
  </si>
  <si>
    <t>Q15084-3;Q15084;Q15084-4;Q15084-5;Q15084-2</t>
  </si>
  <si>
    <t>&gt;sp|Q15084-3|PDIA6_HUMAN Isoform 3 of Protein disulfide-isomerase A6 OS=Homo sapiens GN=PDIA6</t>
  </si>
  <si>
    <t>Q15084-3</t>
  </si>
  <si>
    <t>P04004;CON__Q3ZBS7</t>
  </si>
  <si>
    <t>&gt;sp|P04004|VTNC_HUMAN Vitronectin OS=Homo sapiens GN=VTN PE=1 SV=1</t>
  </si>
  <si>
    <t>P04004</t>
  </si>
  <si>
    <t>P78417;P78417-3;P78417-2</t>
  </si>
  <si>
    <t>&gt;sp|P78417|GSTO1_HUMAN Glutathione S-transferase omega-1 OS=Homo sapiens GN=GSTO1 PE=1 SV=2</t>
  </si>
  <si>
    <t>P78417</t>
  </si>
  <si>
    <t>P84077;P61204;P61204-2</t>
  </si>
  <si>
    <t>&gt;sp|P84077|ARF1_HUMAN ADP-ribosylation factor 1 OS=Homo sapiens GN=ARF1 PE=1 SV=2</t>
  </si>
  <si>
    <t>P84077</t>
  </si>
  <si>
    <t>O76074;O76074-2</t>
  </si>
  <si>
    <t>&gt;sp|O76074|PDE5A_HUMAN cGMP-specific 3,5-cyclic phosphodiesterase OS=Homo sapiens GN=PDE5A PE=1 SV=2</t>
  </si>
  <si>
    <t>O76074</t>
  </si>
  <si>
    <t>P50395;P50395-2</t>
  </si>
  <si>
    <t>&gt;sp|P50395|GDIB_HUMAN Rab GDP dissociation inhibitor beta OS=Homo sapiens GN=GDI2 PE=1 SV=2</t>
  </si>
  <si>
    <t>P50395</t>
  </si>
  <si>
    <t>P08697;P08697-2;CON__P28800</t>
  </si>
  <si>
    <t>&gt;sp|P08697|A2AP_HUMAN Alpha-2-antiplasmin OS=Homo sapiens GN=SERPINF2 PE=1 SV=3</t>
  </si>
  <si>
    <t>P08697</t>
  </si>
  <si>
    <t>P00736</t>
  </si>
  <si>
    <t>&gt;sp|P00736|C1R_HUMAN Complement C1r subcomponent OS=Homo sapiens GN=C1R PE=1 SV=2</t>
  </si>
  <si>
    <t>P12931;P12931-2;P42685-2;Q9H3Y6;P42685;Q04912-2;P08581;Q04912;P08581-2</t>
  </si>
  <si>
    <t>&gt;sp|P12931|SRC_HUMAN Proto-oncogene tyrosine-protein kinase Src OS=Homo sapiens GN=SRC PE=1 SV=3</t>
  </si>
  <si>
    <t>P12931</t>
  </si>
  <si>
    <t>O00194</t>
  </si>
  <si>
    <t>&gt;sp|O00194|RB27B_HUMAN Ras-related protein Rab-27B OS=Homo sapiens GN=RAB27B PE=1 SV=4</t>
  </si>
  <si>
    <t>P06744;P06744-2;Q8N196</t>
  </si>
  <si>
    <t>&gt;sp|P06744|G6PI_HUMAN Glucose-6-phosphate isomerase OS=Homo sapiens GN=GPI PE=1 SV=4</t>
  </si>
  <si>
    <t>P06744</t>
  </si>
  <si>
    <t>Q15404;Q15404-2</t>
  </si>
  <si>
    <t>&gt;sp|Q15404|RSU1_HUMAN Ras suppressor protein 1 OS=Homo sapiens GN=RSU1 PE=1 SV=3</t>
  </si>
  <si>
    <t>Q15404</t>
  </si>
  <si>
    <t>P23219-3;P23219-2;P23219;P23219-6;P23219-5;P23219-4;P35354</t>
  </si>
  <si>
    <t>&gt;sp|P23219-3|PGH1_HUMAN Isoform 3 of Prostaglandin G/H synthase 1 OS=Homo sapiens GN=PTGS1</t>
  </si>
  <si>
    <t>P23219-3</t>
  </si>
  <si>
    <t>Q99439;Q99439-2;Q15417-3;Q15417</t>
  </si>
  <si>
    <t>&gt;sp|Q99439|CNN2_HUMAN Calponin-2 OS=Homo sapiens GN=CNN2 PE=1 SV=4</t>
  </si>
  <si>
    <t>Q99439</t>
  </si>
  <si>
    <t>P43304;P43304-2</t>
  </si>
  <si>
    <t>&gt;sp|P43304|GPDM_HUMAN Glycerol-3-phosphate dehydrogenase, mitochondrial OS=Homo sapiens GN=GPD2 PE=1 SV=3</t>
  </si>
  <si>
    <t>P43304</t>
  </si>
  <si>
    <t>Q16181-2;Q16181;Q6ZU15</t>
  </si>
  <si>
    <t>&gt;sp|Q16181-2|SEPT7_HUMAN Isoform 2 of Septin-7 OS=Homo sapiens GN=SEPT7</t>
  </si>
  <si>
    <t>Q16181-2</t>
  </si>
  <si>
    <t>P04206</t>
  </si>
  <si>
    <t>&gt;sp|P04206|KV307_HUMAN Ig kappa chain V-III region GOL OS=Homo sapiens PE=1 SV=1</t>
  </si>
  <si>
    <t>IGKV3-20</t>
  </si>
  <si>
    <t>O15117-2;O15117-3;O15117</t>
  </si>
  <si>
    <t>&gt;sp|O15117-2|FYB_HUMAN Isoform FYB-130 of FYN-binding protein OS=Homo sapiens GN=FYB</t>
  </si>
  <si>
    <t>O15117-2</t>
  </si>
  <si>
    <t>Q86YW5;Q86YW5-3</t>
  </si>
  <si>
    <t>&gt;sp|Q86YW5|TRML1_HUMAN Trem-like transcript 1 protein OS=Homo sapiens GN=TREML1 PE=1 SV=2</t>
  </si>
  <si>
    <t>Q86YW5</t>
  </si>
  <si>
    <t>P18054</t>
  </si>
  <si>
    <t>&gt;sp|P18054|LOX12_HUMAN Arachidonate 12-lipoxygenase, 12S-type OS=Homo sapiens GN=ALOX12 PE=1 SV=4</t>
  </si>
  <si>
    <t>P09486</t>
  </si>
  <si>
    <t>&gt;sp|P09486|SPRC_HUMAN SPARC OS=Homo sapiens GN=SPARC PE=1 SV=1</t>
  </si>
  <si>
    <t>P05546;CON__ENSEMBL:ENSBTAP00000018574</t>
  </si>
  <si>
    <t>&gt;sp|P05546|HEP2_HUMAN Heparin cofactor 2 OS=Homo sapiens GN=SERPIND1 PE=1 SV=3</t>
  </si>
  <si>
    <t>P05546</t>
  </si>
  <si>
    <t>P62258;P62258-2</t>
  </si>
  <si>
    <t>&gt;sp|P62258|1433E_HUMAN 14-3-3 protein epsilon OS=Homo sapiens GN=YWHAE PE=1 SV=1</t>
  </si>
  <si>
    <t>P62258</t>
  </si>
  <si>
    <t>P07437</t>
  </si>
  <si>
    <t>&gt;sp|P07437|TBB5_HUMAN Tubulin beta chain OS=Homo sapiens GN=TUBB PE=1 SV=2</t>
  </si>
  <si>
    <t>P00918</t>
  </si>
  <si>
    <t>&gt;sp|P00918|CAH2_HUMAN Carbonic anhydrase 2 OS=Homo sapiens GN=CA2 PE=1 SV=2</t>
  </si>
  <si>
    <t>P52209-2;P52209</t>
  </si>
  <si>
    <t>&gt;sp|P52209-2|6PGD_HUMAN Isoform 2 of 6-phosphogluconate dehydrogenase, decarboxylating OS=Homo sapiens GN=PGD</t>
  </si>
  <si>
    <t>P52209-2</t>
  </si>
  <si>
    <t>P04899;P04899-6;P04899-3;P04899-5;P04899-2;P04899-4;P09471-2;P09471;P11488;P19087;A8MTJ3;P38405-3;P38405;P38405-2</t>
  </si>
  <si>
    <t>&gt;sp|P04899|GNAI2_HUMAN Guanine nucleotide-binding protein G(i) subunit alpha-2 OS=Homo sapiens GN=GNAI2 PE=1 SV=3</t>
  </si>
  <si>
    <t>P04899</t>
  </si>
  <si>
    <t>Q9H4M9</t>
  </si>
  <si>
    <t>&gt;sp|Q9H4M9|EHD1_HUMAN EH domain-containing protein 1 OS=Homo sapiens GN=EHD1 PE=1 SV=2</t>
  </si>
  <si>
    <t>P06737-2;P06737</t>
  </si>
  <si>
    <t>&gt;sp|P06737-2|PYGL_HUMAN Isoform 2 of Glycogen phosphorylase, liver form OS=Homo sapiens GN=PYGL</t>
  </si>
  <si>
    <t>P06737-2</t>
  </si>
  <si>
    <t>O75116</t>
  </si>
  <si>
    <t>&gt;sp|O75116|ROCK2_HUMAN Rho-associated protein kinase 2 OS=Homo sapiens GN=ROCK2 PE=1 SV=4</t>
  </si>
  <si>
    <t>P25311</t>
  </si>
  <si>
    <t>&gt;sp|P25311|ZA2G_HUMAN Zinc-alpha-2-glycoprotein OS=Homo sapiens GN=AZGP1 PE=1 SV=2</t>
  </si>
  <si>
    <t>Q15746-2;Q15746;Q15746-6;Q15746-4;Q15746-3;Q15746-7;Q15746-5;Q15746-9;Q15746-11;Q15746-8;Q15746-10</t>
  </si>
  <si>
    <t>&gt;sp|Q15746-2|MYLK_HUMAN Isoform 2 of Myosin light chain kinase, smooth muscle OS=Homo sapiens GN=MYLK</t>
  </si>
  <si>
    <t>Q15746-2</t>
  </si>
  <si>
    <t>Q13642-1;Q13642-5;Q13642-4;Q13642;Q13642-3</t>
  </si>
  <si>
    <t>&gt;sp|Q13642-1|FHL1_HUMAN Isoform 1 of Four and a half LIM domains protein 1 OS=Homo sapiens GN=FHL1</t>
  </si>
  <si>
    <t>Q13642-1</t>
  </si>
  <si>
    <t>Q96C24;Q96C24-2</t>
  </si>
  <si>
    <t>&gt;sp|Q96C24|SYTL4_HUMAN Synaptotagmin-like protein 4 OS=Homo sapiens GN=SYTL4 PE=1 SV=2</t>
  </si>
  <si>
    <t>Q96C24</t>
  </si>
  <si>
    <t>P11169;Q8TDB8-4;Q8TDB8-2;Q8TDB8;Q8TDB8-5;Q8TDB8-3</t>
  </si>
  <si>
    <t>&gt;sp|P11169|GTR3_HUMAN Solute carrier family 2, facilitated glucose transporter member 3 OS=Homo sapiens GN=SLC2A3 PE=2 SV=1</t>
  </si>
  <si>
    <t>P11169</t>
  </si>
  <si>
    <t>P09211</t>
  </si>
  <si>
    <t>&gt;sp|P09211|GSTP1_HUMAN Glutathione S-transferase P OS=Homo sapiens GN=GSTP1 PE=1 SV=2</t>
  </si>
  <si>
    <t>P22314-2;P22314</t>
  </si>
  <si>
    <t>&gt;sp|P22314-2|UBA1_HUMAN Isoform 2 of Ubiquitin-like modifier-activating enzyme 1 OS=Homo sapiens GN=UBA1</t>
  </si>
  <si>
    <t>P22314-2</t>
  </si>
  <si>
    <t>Q15555-4;Q15555-5;Q15555-3;Q15555;Q15555-2</t>
  </si>
  <si>
    <t>&gt;sp|Q15555-4|MARE2_HUMAN Isoform 4 of Microtubule-associated protein RP/EB family member 2 OS=Homo sapiens GN=MAPRE2</t>
  </si>
  <si>
    <t>Q15555-4</t>
  </si>
  <si>
    <t>P02776</t>
  </si>
  <si>
    <t>&gt;sp|P02776|PLF4_HUMAN Platelet factor 4 OS=Homo sapiens GN=PF4 PE=1 SV=2</t>
  </si>
  <si>
    <t>Q14644;Q14644-2</t>
  </si>
  <si>
    <t>&gt;sp|Q14644|RASA3_HUMAN Ras GTPase-activating protein 3 OS=Homo sapiens GN=RASA3 PE=1 SV=3</t>
  </si>
  <si>
    <t>Q14644</t>
  </si>
  <si>
    <t>Q15907;Q15907-2;P62491-2;P62491;P57735</t>
  </si>
  <si>
    <t>&gt;sp|Q15907|RB11B_HUMAN Ras-related protein Rab-11B OS=Homo sapiens GN=RAB11B PE=1 SV=4</t>
  </si>
  <si>
    <t>Q15907</t>
  </si>
  <si>
    <t>Q9UDY2-3;Q9UDY2;Q9UDY2-7;Q9UDY2-6;Q9UDY2-4;Q9UDY2-2;Q9UDY2-5</t>
  </si>
  <si>
    <t>&gt;sp|Q9UDY2-3|ZO2_HUMAN Isoform C1 of Tight junction protein ZO-2 OS=Homo sapiens GN=TJP2</t>
  </si>
  <si>
    <t>Q9UDY2-3</t>
  </si>
  <si>
    <t>P53396-2;P53396;P53396-3</t>
  </si>
  <si>
    <t>&gt;sp|P53396-2|ACLY_HUMAN Isoform 2 of ATP-citrate synthase OS=Homo sapiens GN=ACLY</t>
  </si>
  <si>
    <t>P53396-2</t>
  </si>
  <si>
    <t>P26641;P26641-2</t>
  </si>
  <si>
    <t>&gt;sp|P26641|EF1G_HUMAN Elongation factor 1-gamma OS=Homo sapiens GN=EEF1G PE=1 SV=3</t>
  </si>
  <si>
    <t>P26641</t>
  </si>
  <si>
    <t>P40926;P40926-2</t>
  </si>
  <si>
    <t>&gt;sp|P40926|MDHM_HUMAN Malate dehydrogenase, mitochondrial OS=Homo sapiens GN=MDH2 PE=1 SV=3</t>
  </si>
  <si>
    <t>P40926</t>
  </si>
  <si>
    <t>P49368;P49368-2</t>
  </si>
  <si>
    <t>&gt;sp|P49368|TCPG_HUMAN T-complex protein 1 subunit gamma OS=Homo sapiens GN=CCT3 PE=1 SV=4</t>
  </si>
  <si>
    <t>P49368</t>
  </si>
  <si>
    <t>P02748;REV__Q4AC99</t>
  </si>
  <si>
    <t>&gt;sp|P02748|CO9_HUMAN Complement component C9 OS=Homo sapiens GN=C9 PE=1 SV=2</t>
  </si>
  <si>
    <t>P02748</t>
  </si>
  <si>
    <t>P61586</t>
  </si>
  <si>
    <t>&gt;sp|P61586|RHOA_HUMAN Transforming protein RhoA OS=Homo sapiens GN=RHOA PE=1 SV=1</t>
  </si>
  <si>
    <t>Q07960</t>
  </si>
  <si>
    <t>&gt;sp|Q07960|RHG01_HUMAN Rho GTPase-activating protein 1 OS=Homo sapiens GN=ARHGAP1 PE=1 SV=1</t>
  </si>
  <si>
    <t>Q9Y613</t>
  </si>
  <si>
    <t>&gt;sp|Q9Y613|FHOD1_HUMAN FH1/FH2 domain-containing protein 1 OS=Homo sapiens GN=FHOD1 PE=1 SV=3</t>
  </si>
  <si>
    <t>Q6IBS0;Q12792-4;Q12792;Q12792-3</t>
  </si>
  <si>
    <t>&gt;sp|Q6IBS0|TWF2_HUMAN Twinfilin-2 OS=Homo sapiens GN=TWF2 PE=1 SV=2</t>
  </si>
  <si>
    <t>Q6IBS0</t>
  </si>
  <si>
    <t>P04179;P04179-4;P04179-2;P04179-3</t>
  </si>
  <si>
    <t>&gt;sp|P04179|SODM_HUMAN Superoxide dismutase [Mn], mitochondrial OS=Homo sapiens GN=SOD2 PE=1 SV=2</t>
  </si>
  <si>
    <t>P04179</t>
  </si>
  <si>
    <t>P51659;P51659-3;P51659-2</t>
  </si>
  <si>
    <t>&gt;sp|P51659|DHB4_HUMAN Peroxisomal multifunctional enzyme type 2 OS=Homo sapiens GN=HSD17B4 PE=1 SV=3</t>
  </si>
  <si>
    <t>P51659</t>
  </si>
  <si>
    <t>P68366;P68366-2</t>
  </si>
  <si>
    <t>&gt;sp|P68366|TBA4A_HUMAN Tubulin alpha-4A chain OS=Homo sapiens GN=TUBA4A PE=1 SV=1</t>
  </si>
  <si>
    <t>P68366</t>
  </si>
  <si>
    <t>O00139-2;O00139-1;O00139-5;Q99661-2;Q8N4N8;Q99661</t>
  </si>
  <si>
    <t>&gt;sp|O00139-2|KIF2A_HUMAN Isoform 2 of Kinesin-like protein KIF2A OS=Homo sapiens GN=KIF2A</t>
  </si>
  <si>
    <t>O00139-2</t>
  </si>
  <si>
    <t>P31146</t>
  </si>
  <si>
    <t>&gt;sp|P31146|COR1A_HUMAN Coronin-1A OS=Homo sapiens GN=CORO1A PE=1 SV=4</t>
  </si>
  <si>
    <t>P04843</t>
  </si>
  <si>
    <t>&gt;sp|P04843|RPN1_HUMAN Dolichyl-diphosphooligosaccharide--protein glycosyltransferase subunit 1 OS=Homo sapiens GN=RPN1 PE=1 SV=1</t>
  </si>
  <si>
    <t>P08238;Q58FF7</t>
  </si>
  <si>
    <t>&gt;sp|P08238|HS90B_HUMAN Heat shock protein HSP 90-beta OS=Homo sapiens GN=HSP90AB1 PE=1 SV=4</t>
  </si>
  <si>
    <t>P08238</t>
  </si>
  <si>
    <t>P10809;P10809-2</t>
  </si>
  <si>
    <t>&gt;sp|P10809|CH60_HUMAN 60 kDa heat shock protein, mitochondrial OS=Homo sapiens GN=HSPD1 PE=1 SV=2</t>
  </si>
  <si>
    <t>P10809</t>
  </si>
  <si>
    <t>Q04917</t>
  </si>
  <si>
    <t>&gt;sp|Q04917|1433F_HUMAN 14-3-3 protein eta OS=Homo sapiens GN=YWHAH PE=1 SV=4</t>
  </si>
  <si>
    <t>Q9NQ75;Q9NQ75-2;Q9NQ75-3</t>
  </si>
  <si>
    <t>&gt;sp|Q9NQ75|CASS4_HUMAN Cas scaffolding protein family member 4 OS=Homo sapiens GN=CASS4 PE=1 SV=2</t>
  </si>
  <si>
    <t>Q9NQ75</t>
  </si>
  <si>
    <t>Q9UJU6;Q9UJU6-5</t>
  </si>
  <si>
    <t>&gt;sp|Q9UJU6|DBNL_HUMAN Drebrin-like protein OS=Homo sapiens GN=DBNL PE=1 SV=1</t>
  </si>
  <si>
    <t>Q9UJU6</t>
  </si>
  <si>
    <t>Q0ZGT2-4;Q0ZGT2;Q0ZGT2-3</t>
  </si>
  <si>
    <t>&gt;sp|Q0ZGT2-4|NEXN_HUMAN Isoform 4 of Nexilin OS=Homo sapiens GN=NEXN</t>
  </si>
  <si>
    <t>Q0ZGT2-4</t>
  </si>
  <si>
    <t>P22392-2;P22392;O60361</t>
  </si>
  <si>
    <t>&gt;sp|P22392-2|NDKB_HUMAN Isoform 3 of Nucleoside diphosphate kinase B OS=Homo sapiens GN=NME2</t>
  </si>
  <si>
    <t>P22392-2</t>
  </si>
  <si>
    <t>Q01082;Q01082-3;Q01082-2</t>
  </si>
  <si>
    <t>&gt;sp|Q01082|SPTB2_HUMAN Spectrin beta chain, non-erythrocytic 1 OS=Homo sapiens GN=SPTBN1 PE=1 SV=2</t>
  </si>
  <si>
    <t>Q01082</t>
  </si>
  <si>
    <t>P29144</t>
  </si>
  <si>
    <t>&gt;sp|P29144|TPP2_HUMAN Tripeptidyl-peptidase 2 OS=Homo sapiens GN=TPP2 PE=1 SV=4</t>
  </si>
  <si>
    <t>Q9H939;Q9H939-2</t>
  </si>
  <si>
    <t>&gt;sp|Q9H939|PPIP2_HUMAN Proline-serine-threonine phosphatase-interacting protein 2 OS=Homo sapiens GN=PSTPIP2 PE=1 SV=4</t>
  </si>
  <si>
    <t>Q9H939</t>
  </si>
  <si>
    <t>P10643</t>
  </si>
  <si>
    <t>&gt;sp|P10643|CO7_HUMAN Complement component C7 OS=Homo sapiens GN=C7 PE=1 SV=2</t>
  </si>
  <si>
    <t>P14543-2;P14543</t>
  </si>
  <si>
    <t>&gt;sp|P14543-2|NID1_HUMAN Isoform 2 of Nidogen-1 OS=Homo sapiens GN=NID1</t>
  </si>
  <si>
    <t>P14543-2</t>
  </si>
  <si>
    <t>P51149</t>
  </si>
  <si>
    <t>&gt;sp|P51149|RAB7A_HUMAN Ras-related protein Rab-7a OS=Homo sapiens GN=RAB7A PE=1 SV=1</t>
  </si>
  <si>
    <t>Q9NR12;Q9NR12-5;Q9NR12-6;Q9NR12-4;Q9NR12-3</t>
  </si>
  <si>
    <t>&gt;sp|Q9NR12|PDLI7_HUMAN PDZ and LIM domain protein 7 OS=Homo sapiens GN=PDLIM7 PE=1 SV=1</t>
  </si>
  <si>
    <t>Q9NR12</t>
  </si>
  <si>
    <t>Q5JSH3-2;Q5JSH3;Q5JSH3-4;Q5JSH3-3</t>
  </si>
  <si>
    <t>&gt;sp|Q5JSH3-2|WDR44_HUMAN Isoform 2 of WD repeat-containing protein 44 OS=Homo sapiens GN=WDR44</t>
  </si>
  <si>
    <t>Q5JSH3-2</t>
  </si>
  <si>
    <t>Q7LDG7;Q7LDG7-4;Q7LDG7-2;Q7LDG7-3</t>
  </si>
  <si>
    <t>&gt;sp|Q7LDG7|GRP2_HUMAN RAS guanyl-releasing protein 2 OS=Homo sapiens GN=RASGRP2 PE=1 SV=1</t>
  </si>
  <si>
    <t>Q7LDG7</t>
  </si>
  <si>
    <t>P49327</t>
  </si>
  <si>
    <t>&gt;sp|P49327|FAS_HUMAN Fatty acid synthase OS=Homo sapiens GN=FASN PE=1 SV=3</t>
  </si>
  <si>
    <t>Q3ZCW2</t>
  </si>
  <si>
    <t>&gt;sp|Q3ZCW2|LEGL_HUMAN Galectin-related protein OS=Homo sapiens GN=LGALSL PE=1 SV=2</t>
  </si>
  <si>
    <t>Q86VP6;Q86VP6-2;Q86VP6-3;O75155-2;O75155</t>
  </si>
  <si>
    <t>&gt;sp|Q86VP6|CAND1_HUMAN Cullin-associated NEDD8-dissociated protein 1 OS=Homo sapiens GN=CAND1 PE=1 SV=2</t>
  </si>
  <si>
    <t>Q86VP6</t>
  </si>
  <si>
    <t>P60842;P60842-2;P38919</t>
  </si>
  <si>
    <t>&gt;sp|P60842|IF4A1_HUMAN Eukaryotic initiation factor 4A-I OS=Homo sapiens GN=EIF4A1 PE=1 SV=1</t>
  </si>
  <si>
    <t>P60842</t>
  </si>
  <si>
    <t>Q9Y277;Q9Y277-2</t>
  </si>
  <si>
    <t>&gt;sp|Q9Y277|VDAC3_HUMAN Voltage-dependent anion-selective channel protein 3 OS=Homo sapiens GN=VDAC3 PE=1 SV=1</t>
  </si>
  <si>
    <t>Q9Y277</t>
  </si>
  <si>
    <t>P21291</t>
  </si>
  <si>
    <t>&gt;sp|P21291|CSRP1_HUMAN Cysteine and glycine-rich protein 1 OS=Homo sapiens GN=CSRP1 PE=1 SV=3</t>
  </si>
  <si>
    <t>P01766;P01777</t>
  </si>
  <si>
    <t>&gt;sp|P01766|HV305_HUMAN Ig heavy chain V-III region BRO OS=Homo sapiens PE=1 SV=1</t>
  </si>
  <si>
    <t>P01766</t>
  </si>
  <si>
    <t>IGHV3-13</t>
  </si>
  <si>
    <t>P29350;P29350-3;P29350-4;P29350-2</t>
  </si>
  <si>
    <t>&gt;sp|P29350|PTN6_HUMAN Tyrosine-protein phosphatase non-receptor type 6 OS=Homo sapiens GN=PTPN6 PE=1 SV=1</t>
  </si>
  <si>
    <t>P29350</t>
  </si>
  <si>
    <t>P31150</t>
  </si>
  <si>
    <t>&gt;sp|P31150|GDIA_HUMAN Rab GDP dissociation inhibitor alpha OS=Homo sapiens GN=GDI1 PE=1 SV=2</t>
  </si>
  <si>
    <t>Q9BSJ8;Q9BSJ8-2</t>
  </si>
  <si>
    <t>&gt;sp|Q9BSJ8|ESYT1_HUMAN Extended synaptotagmin-1 OS=Homo sapiens GN=ESYT1 PE=1 SV=1</t>
  </si>
  <si>
    <t>Q9BSJ8</t>
  </si>
  <si>
    <t>P02760;CON__P00978</t>
  </si>
  <si>
    <t>&gt;sp|P02760|AMBP_HUMAN Protein AMBP OS=Homo sapiens GN=AMBP PE=1 SV=1</t>
  </si>
  <si>
    <t>P02760</t>
  </si>
  <si>
    <t>P50851-2;P50851;Q8NFP9;Q8NFP9-3</t>
  </si>
  <si>
    <t>&gt;sp|P50851-2|LRBA_HUMAN Isoform 2 of Lipopolysaccharide-responsive and beige-like anchor protein OS=Homo sapiens GN=LRBA</t>
  </si>
  <si>
    <t>P50851-2</t>
  </si>
  <si>
    <t>P16284-3;P16284;P16284-2;P16284-6;P16284-5;P16284-4</t>
  </si>
  <si>
    <t>&gt;sp|P16284-3|PECA1_HUMAN Isoform Delta13 of Platelet endothelial cell adhesion molecule OS=Homo sapiens GN=PECAM1</t>
  </si>
  <si>
    <t>P16284-3</t>
  </si>
  <si>
    <t>P78371;P78371-2</t>
  </si>
  <si>
    <t>&gt;sp|P78371|TCPB_HUMAN T-complex protein 1 subunit beta OS=Homo sapiens GN=CCT2 PE=1 SV=4</t>
  </si>
  <si>
    <t>P78371</t>
  </si>
  <si>
    <t>Q14847;Q14847-2;Q14847-3;O76041-2</t>
  </si>
  <si>
    <t>&gt;sp|Q14847|LASP1_HUMAN LIM and SH3 domain protein 1 OS=Homo sapiens GN=LASP1 PE=1 SV=2</t>
  </si>
  <si>
    <t>Q14847</t>
  </si>
  <si>
    <t>P29401;P29401-2</t>
  </si>
  <si>
    <t>&gt;sp|P29401|TKT_HUMAN Transketolase OS=Homo sapiens GN=TKT PE=1 SV=3</t>
  </si>
  <si>
    <t>P29401</t>
  </si>
  <si>
    <t>P31948;P31948-2;P31948-3</t>
  </si>
  <si>
    <t>&gt;sp|P31948|STIP1_HUMAN Stress-induced-phosphoprotein 1 OS=Homo sapiens GN=STIP1 PE=1 SV=1</t>
  </si>
  <si>
    <t>P31948</t>
  </si>
  <si>
    <t>P48426;P48426-2</t>
  </si>
  <si>
    <t>&gt;sp|P48426|PI42A_HUMAN Phosphatidylinositol 5-phosphate 4-kinase type-2 alpha OS=Homo sapiens GN=PIP4K2A PE=1 SV=2</t>
  </si>
  <si>
    <t>P48426</t>
  </si>
  <si>
    <t>O75636;O75636-2</t>
  </si>
  <si>
    <t>&gt;sp|O75636|FCN3_HUMAN Ficolin-3 OS=Homo sapiens GN=FCN3 PE=1 SV=2</t>
  </si>
  <si>
    <t>O75636</t>
  </si>
  <si>
    <t>Q8WUM4;Q8WUM4-2;Q8WUM4-3</t>
  </si>
  <si>
    <t>&gt;sp|Q8WUM4|PDC6I_HUMAN Programmed cell death 6-interacting protein OS=Homo sapiens GN=PDCD6IP PE=1 SV=1</t>
  </si>
  <si>
    <t>Q8WUM4</t>
  </si>
  <si>
    <t>P50990;P50990-2;P50990-3</t>
  </si>
  <si>
    <t>&gt;sp|P50990|TCPQ_HUMAN T-complex protein 1 subunit theta OS=Homo sapiens GN=CCT8 PE=1 SV=4</t>
  </si>
  <si>
    <t>P50990</t>
  </si>
  <si>
    <t>P52907</t>
  </si>
  <si>
    <t>&gt;sp|P52907|CAZA1_HUMAN F-actin-capping protein subunit alpha-1 OS=Homo sapiens GN=CAPZA1 PE=1 SV=3</t>
  </si>
  <si>
    <t>P60660-2;P60660</t>
  </si>
  <si>
    <t>&gt;sp|P60660-2|MYL6_HUMAN Isoform Smooth muscle of Myosin light polypeptide 6 OS=Homo sapiens GN=MYL6</t>
  </si>
  <si>
    <t>P60660-2</t>
  </si>
  <si>
    <t>P07225;CON__P07224</t>
  </si>
  <si>
    <t>&gt;sp|P07225|PROS_HUMAN Vitamin K-dependent protein S OS=Homo sapiens GN=PROS1 PE=1 SV=1</t>
  </si>
  <si>
    <t>P07225</t>
  </si>
  <si>
    <t>P01137</t>
  </si>
  <si>
    <t>&gt;sp|P01137|TGFB1_HUMAN Transforming growth factor beta-1 OS=Homo sapiens GN=TGFB1 PE=1 SV=2</t>
  </si>
  <si>
    <t>Q8N392;Q8N392-2</t>
  </si>
  <si>
    <t>&gt;sp|Q8N392|RHG18_HUMAN Rho GTPase-activating protein 18 OS=Homo sapiens GN=ARHGAP18 PE=1 SV=3</t>
  </si>
  <si>
    <t>Q8N392</t>
  </si>
  <si>
    <t>P63000;P63000-2;P60763</t>
  </si>
  <si>
    <t>&gt;sp|P63000|RAC1_HUMAN Ras-related C3 botulinum toxin substrate 1 OS=Homo sapiens GN=RAC1 PE=1 SV=1</t>
  </si>
  <si>
    <t>P63000</t>
  </si>
  <si>
    <t>P11277-2;P11277;P11277-3</t>
  </si>
  <si>
    <t>&gt;sp|P11277-2|SPTB1_HUMAN Isoform 2 of Spectrin beta chain, erythrocytic OS=Homo sapiens GN=SPTB</t>
  </si>
  <si>
    <t>P11277-2</t>
  </si>
  <si>
    <t>P13667</t>
  </si>
  <si>
    <t>&gt;sp|P13667|PDIA4_HUMAN Protein disulfide-isomerase A4 OS=Homo sapiens GN=PDIA4 PE=1 SV=2</t>
  </si>
  <si>
    <t>P55209-2;P55209;P55209-3</t>
  </si>
  <si>
    <t>&gt;sp|P55209-2|NP1L1_HUMAN Isoform 2 of Nucleosome assembly protein 1-like 1 OS=Homo sapiens GN=NAP1L1</t>
  </si>
  <si>
    <t>P55209-2</t>
  </si>
  <si>
    <t>P02753</t>
  </si>
  <si>
    <t>&gt;sp|P02753|RET4_HUMAN Retinol-binding protein 4 OS=Homo sapiens GN=RBP4 PE=1 SV=3</t>
  </si>
  <si>
    <t>P54920;Q9H115-3;Q9H115-2;Q9H115</t>
  </si>
  <si>
    <t>&gt;sp|P54920|SNAA_HUMAN Alpha-soluble NSF attachment protein OS=Homo sapiens GN=NAPA PE=1 SV=3</t>
  </si>
  <si>
    <t>P54920</t>
  </si>
  <si>
    <t>Q9NQC3-2;Q9NQC3-5;Q9NQC3;Q9NQC3-4</t>
  </si>
  <si>
    <t>&gt;sp|Q9NQC3-2|RTN4_HUMAN Isoform 2 of Reticulon-4 OS=Homo sapiens GN=RTN4</t>
  </si>
  <si>
    <t>Q9NQC3-2</t>
  </si>
  <si>
    <t>B9A064;P0CG04</t>
  </si>
  <si>
    <t>&gt;sp|B9A064|IGLL5_HUMAN Immunoglobulin lambda-like polypeptide 5 OS=Homo sapiens GN=IGLL5 PE=2 SV=2</t>
  </si>
  <si>
    <t>B9A064</t>
  </si>
  <si>
    <t>P01019</t>
  </si>
  <si>
    <t>&gt;sp|P01019|ANGT_HUMAN Angiotensinogen OS=Homo sapiens GN=AGT PE=1 SV=1</t>
  </si>
  <si>
    <t>P27169</t>
  </si>
  <si>
    <t>&gt;sp|P27169|PON1_HUMAN Serum paraoxonase/arylesterase 1 OS=Homo sapiens GN=PON1 PE=1 SV=3</t>
  </si>
  <si>
    <t>P05067-11;P05067-8;P05067;P05067-7;P05067-9;P05067-4;P05067-6;P05067-10;P05067-3;P05067-5;P05067-2</t>
  </si>
  <si>
    <t>&gt;sp|P05067-11|A4_HUMAN Isoform 11 of Amyloid beta A4 protein OS=Homo sapiens GN=APP</t>
  </si>
  <si>
    <t>P05067-11</t>
  </si>
  <si>
    <t>P07948-2;P08631-3;P08631-2;P08631-4;P08631</t>
  </si>
  <si>
    <t>&gt;sp|P07948-2|LYN_HUMAN Isoform 2 of Tyrosine-protein kinase Lyn OS=Homo sapiens GN=LYN</t>
  </si>
  <si>
    <t>P07948-2</t>
  </si>
  <si>
    <t>O43182-4;O43182;O43182-5;O43182-2;O43182-3</t>
  </si>
  <si>
    <t>&gt;sp|O43182-4|RHG06_HUMAN Isoform 4 of Rho GTPase-activating protein 6 OS=Homo sapiens GN=ARHGAP6</t>
  </si>
  <si>
    <t>O43182-4</t>
  </si>
  <si>
    <t>Q99497</t>
  </si>
  <si>
    <t>&gt;sp|Q99497|PARK7_HUMAN Protein deglycase DJ-1 OS=Homo sapiens GN=PARK7 PE=1 SV=2</t>
  </si>
  <si>
    <t>P05771-2</t>
  </si>
  <si>
    <t>&gt;sp|P05771-2|KPCB_HUMAN Isoform Beta-II of Protein kinase C beta type OS=Homo sapiens GN=PRKCB</t>
  </si>
  <si>
    <t>P13671</t>
  </si>
  <si>
    <t>&gt;sp|P13671|CO6_HUMAN Complement component C6 OS=Homo sapiens GN=C6 PE=1 SV=3</t>
  </si>
  <si>
    <t>P61106</t>
  </si>
  <si>
    <t>&gt;sp|P61106|RAB14_HUMAN Ras-related protein Rab-14 OS=Homo sapiens GN=RAB14 PE=1 SV=4</t>
  </si>
  <si>
    <t>Q14019</t>
  </si>
  <si>
    <t>&gt;sp|Q14019|COTL1_HUMAN Coactosin-like protein OS=Homo sapiens GN=COTL1 PE=1 SV=3</t>
  </si>
  <si>
    <t>P38606-2;P38606</t>
  </si>
  <si>
    <t>&gt;sp|P38606-2|VATA_HUMAN Isoform 2 of V-type proton ATPase catalytic subunit A OS=Homo sapiens GN=ATP6V1A</t>
  </si>
  <si>
    <t>P38606-2</t>
  </si>
  <si>
    <t>P41226</t>
  </si>
  <si>
    <t>&gt;sp|P41226|UBA7_HUMAN Ubiquitin-like modifier-activating enzyme 7 OS=Homo sapiens GN=UBA7 PE=1 SV=2</t>
  </si>
  <si>
    <t>Q06830</t>
  </si>
  <si>
    <t>&gt;sp|Q06830|PRDX1_HUMAN Peroxiredoxin-1 OS=Homo sapiens GN=PRDX1 PE=1 SV=1</t>
  </si>
  <si>
    <t>Q9NYL9;P28289-2;P28289</t>
  </si>
  <si>
    <t>&gt;sp|Q9NYL9|TMOD3_HUMAN Tropomodulin-3 OS=Homo sapiens GN=TMOD3 PE=1 SV=1</t>
  </si>
  <si>
    <t>Q9NYL9</t>
  </si>
  <si>
    <t>P35237</t>
  </si>
  <si>
    <t>&gt;sp|P35237|SPB6_HUMAN Serpin B6 OS=Homo sapiens GN=SERPINB6 PE=1 SV=3</t>
  </si>
  <si>
    <t>P36871;P36871-2;P36871-3</t>
  </si>
  <si>
    <t>&gt;sp|P36871|PGM1_HUMAN Phosphoglucomutase-1 OS=Homo sapiens GN=PGM1 PE=1 SV=3</t>
  </si>
  <si>
    <t>P36871</t>
  </si>
  <si>
    <t>Q99685;Q99685-2</t>
  </si>
  <si>
    <t>&gt;sp|Q99685|MGLL_HUMAN Monoglyceride lipase OS=Homo sapiens GN=MGLL PE=1 SV=2</t>
  </si>
  <si>
    <t>Q99685</t>
  </si>
  <si>
    <t>P00748</t>
  </si>
  <si>
    <t>&gt;sp|P00748|FA12_HUMAN Coagulation factor XII OS=Homo sapiens GN=F12 PE=1 SV=3</t>
  </si>
  <si>
    <t>P09871</t>
  </si>
  <si>
    <t>&gt;sp|P09871|C1S_HUMAN Complement C1s subcomponent OS=Homo sapiens GN=C1S PE=1 SV=1</t>
  </si>
  <si>
    <t>P63241;P63241-2;Q6IS14;Q9GZV4</t>
  </si>
  <si>
    <t>&gt;sp|P63241|IF5A1_HUMAN Eukaryotic translation initiation factor 5A-1 OS=Homo sapiens GN=EIF5A PE=1 SV=2</t>
  </si>
  <si>
    <t>P63241</t>
  </si>
  <si>
    <t>Q9NVA2;Q9NVA2-2;Q92599-3;Q92599-2;Q92599-4;Q92599;Q9P0V9-3;Q9P0V9;Q9P0V9-2</t>
  </si>
  <si>
    <t>&gt;sp|Q9NVA2|SEP11_HUMAN Septin-11 OS=Homo sapiens GN=SEPT11 PE=1 SV=3</t>
  </si>
  <si>
    <t>Q9NVA2</t>
  </si>
  <si>
    <t>Q92619;Q92619-2</t>
  </si>
  <si>
    <t>&gt;sp|Q92619|HMHA1_HUMAN Minor histocompatibility protein HA-1 OS=Homo sapiens GN=HMHA1 PE=1 SV=2</t>
  </si>
  <si>
    <t>Q92619</t>
  </si>
  <si>
    <t>Q99832;Q99832-3;Q99832-4;Q99832-2</t>
  </si>
  <si>
    <t>&gt;sp|Q99832|TCPH_HUMAN T-complex protein 1 subunit eta OS=Homo sapiens GN=CCT7 PE=1 SV=2</t>
  </si>
  <si>
    <t>Q99832</t>
  </si>
  <si>
    <t>O43866</t>
  </si>
  <si>
    <t>&gt;sp|O43866|CD5L_HUMAN CD5 antigen-like OS=Homo sapiens GN=CD5L PE=1 SV=1</t>
  </si>
  <si>
    <t>P52565;P52565-2</t>
  </si>
  <si>
    <t>&gt;sp|P52565|GDIR1_HUMAN Rho GDP-dissociation inhibitor 1 OS=Homo sapiens GN=ARHGDIA PE=1 SV=3</t>
  </si>
  <si>
    <t>P52565</t>
  </si>
  <si>
    <t>Q14554;Q14554-2</t>
  </si>
  <si>
    <t>&gt;sp|Q14554|PDIA5_HUMAN Protein disulfide-isomerase A5 OS=Homo sapiens GN=PDIA5 PE=1 SV=1</t>
  </si>
  <si>
    <t>Q14554</t>
  </si>
  <si>
    <t>Q7KZF4</t>
  </si>
  <si>
    <t>&gt;sp|Q7KZF4|SND1_HUMAN Staphylococcal nuclease domain-containing protein 1 OS=Homo sapiens GN=SND1 PE=1 SV=1</t>
  </si>
  <si>
    <t>P05556;P05556-2;P05556-5;P05556-4;P05556-3</t>
  </si>
  <si>
    <t>&gt;sp|P05556|ITB1_HUMAN Integrin beta-1 OS=Homo sapiens GN=ITGB1 PE=1 SV=2</t>
  </si>
  <si>
    <t>P05556</t>
  </si>
  <si>
    <t>P16109</t>
  </si>
  <si>
    <t>&gt;sp|P16109|LYAM3_HUMAN P-selectin OS=Homo sapiens GN=SELP PE=1 SV=3</t>
  </si>
  <si>
    <t>P48643;P48643-2</t>
  </si>
  <si>
    <t>&gt;sp|P48643|TCPE_HUMAN T-complex protein 1 subunit epsilon OS=Homo sapiens GN=CCT5 PE=1 SV=1</t>
  </si>
  <si>
    <t>P48643</t>
  </si>
  <si>
    <t>P22694-2</t>
  </si>
  <si>
    <t>&gt;sp|P22694-2|KAPCB_HUMAN Isoform 2 of cAMP-dependent protein kinase catalytic subunit beta OS=Homo sapiens GN=PRKACB</t>
  </si>
  <si>
    <t>P62873-2;P62873</t>
  </si>
  <si>
    <t>&gt;sp|P62873-2|GBB1_HUMAN Isoform 2 of Guanine nucleotide-binding protein G(I)/G(S)/G(T) subunit beta-1 OS=Homo sapiens GN=GNB1</t>
  </si>
  <si>
    <t>P62873-2</t>
  </si>
  <si>
    <t>Q16643;Q16643-2;Q16643-3</t>
  </si>
  <si>
    <t>&gt;sp|Q16643|DREB_HUMAN Drebrin OS=Homo sapiens GN=DBN1 PE=1 SV=4</t>
  </si>
  <si>
    <t>Q16643</t>
  </si>
  <si>
    <t>Q9NTJ5;Q9NTJ5-2</t>
  </si>
  <si>
    <t>&gt;sp|Q9NTJ5|SAC1_HUMAN Phosphatidylinositide phosphatase SAC1 OS=Homo sapiens GN=SACM1L PE=1 SV=2</t>
  </si>
  <si>
    <t>Q9NTJ5</t>
  </si>
  <si>
    <t>P07203;P07203-2</t>
  </si>
  <si>
    <t>&gt;sp|P07203|GPX1_HUMAN Glutathione peroxidase 1 OS=Homo sapiens GN=GPX1 PE=1 SV=4</t>
  </si>
  <si>
    <t>P07203</t>
  </si>
  <si>
    <t>P13224;P13224-2</t>
  </si>
  <si>
    <t>&gt;sp|P13224|GP1BB_HUMAN Platelet glycoprotein Ib beta chain OS=Homo sapiens GN=GP1BB PE=1 SV=1</t>
  </si>
  <si>
    <t>P13224</t>
  </si>
  <si>
    <t>P62136;P62136-2;P62136-3</t>
  </si>
  <si>
    <t>&gt;sp|P62136|PP1A_HUMAN Serine/threonine-protein phosphatase PP1-alpha catalytic subunit OS=Homo sapiens GN=PPP1CA PE=1 SV=1</t>
  </si>
  <si>
    <t>P62136</t>
  </si>
  <si>
    <t>O43294-2;O43294</t>
  </si>
  <si>
    <t>&gt;sp|O43294-2|TGFI1_HUMAN Isoform 2 of Transforming growth factor beta-1-induced transcript 1 protein OS=Homo sapiens GN=TGFB1I1</t>
  </si>
  <si>
    <t>O43294-2</t>
  </si>
  <si>
    <t>P06681;P06681-3;P06681-2</t>
  </si>
  <si>
    <t>&gt;sp|P06681|CO2_HUMAN Complement C2 OS=Homo sapiens GN=C2 PE=1 SV=2</t>
  </si>
  <si>
    <t>P06681</t>
  </si>
  <si>
    <t>Q9Y624;Q9Y624-2</t>
  </si>
  <si>
    <t>&gt;sp|Q9Y624|JAM1_HUMAN Junctional adhesion molecule A OS=Homo sapiens GN=F11R PE=1 SV=1</t>
  </si>
  <si>
    <t>Q9Y624</t>
  </si>
  <si>
    <t>P40939;P40939-2</t>
  </si>
  <si>
    <t>&gt;sp|P40939|ECHA_HUMAN Trifunctional enzyme subunit alpha, mitochondrial OS=Homo sapiens GN=HADHA PE=1 SV=2</t>
  </si>
  <si>
    <t>P40939</t>
  </si>
  <si>
    <t>Q96PD5;Q96PD5-2;CON__ENSEMBL:ENSBTAP00000016285</t>
  </si>
  <si>
    <t>&gt;sp|Q96PD5|PGRP2_HUMAN N-acetylmuramoyl-L-alanine amidase OS=Homo sapiens GN=PGLYRP2 PE=1 SV=1</t>
  </si>
  <si>
    <t>Q96PD5</t>
  </si>
  <si>
    <t>P02750</t>
  </si>
  <si>
    <t>&gt;sp|P02750|A2GL_HUMAN Leucine-rich alpha-2-glycoprotein OS=Homo sapiens GN=LRG1 PE=1 SV=2</t>
  </si>
  <si>
    <t>Q14008-2;Q14008;Q14008-3</t>
  </si>
  <si>
    <t>&gt;sp|Q14008-2|CKAP5_HUMAN Isoform 2 of Cytoskeleton-associated protein 5 OS=Homo sapiens GN=CKAP5</t>
  </si>
  <si>
    <t>Q14008-2</t>
  </si>
  <si>
    <t>P29622</t>
  </si>
  <si>
    <t>&gt;sp|P29622|KAIN_HUMAN Kallistatin OS=Homo sapiens GN=SERPINA4 PE=1 SV=3</t>
  </si>
  <si>
    <t>P17987</t>
  </si>
  <si>
    <t>&gt;sp|P17987|TCPA_HUMAN T-complex protein 1 subunit alpha OS=Homo sapiens GN=TCP1 PE=1 SV=1</t>
  </si>
  <si>
    <t>P62993;P62993-2</t>
  </si>
  <si>
    <t>&gt;sp|P62993|GRB2_HUMAN Growth factor receptor-bound protein 2 OS=Homo sapiens GN=GRB2 PE=1 SV=1</t>
  </si>
  <si>
    <t>P62993</t>
  </si>
  <si>
    <t>Q13045;Q13045-3;Q13045-2</t>
  </si>
  <si>
    <t>&gt;sp|Q13045|FLII_HUMAN Protein flightless-1 homolog OS=Homo sapiens GN=FLII PE=1 SV=2</t>
  </si>
  <si>
    <t>Q13045</t>
  </si>
  <si>
    <t>P68104;Q5VTE0;P68104-2;Q05639</t>
  </si>
  <si>
    <t>&gt;sp|P68104|EF1A1_HUMAN Elongation factor 1-alpha 1 OS=Homo sapiens GN=EEF1A1 PE=1 SV=1</t>
  </si>
  <si>
    <t>P68104</t>
  </si>
  <si>
    <t>Q15019;Q15019-2;Q15019-3</t>
  </si>
  <si>
    <t>&gt;sp|Q15019|SEPT2_HUMAN Septin-2 OS=Homo sapiens GN=SEPT2 PE=1 SV=1</t>
  </si>
  <si>
    <t>Q15019</t>
  </si>
  <si>
    <t>P16671;P16671-3;P16671-4;P16671-2</t>
  </si>
  <si>
    <t>&gt;sp|P16671|CD36_HUMAN Platelet glycoprotein 4 OS=Homo sapiens GN=CD36 PE=1 SV=2</t>
  </si>
  <si>
    <t>P16671</t>
  </si>
  <si>
    <t>P50148;P29992</t>
  </si>
  <si>
    <t>&gt;sp|P50148|GNAQ_HUMAN Guanine nucleotide-binding protein G(q) subunit alpha OS=Homo sapiens GN=GNAQ PE=1 SV=4</t>
  </si>
  <si>
    <t>P50148</t>
  </si>
  <si>
    <t>P10644;P10644-2</t>
  </si>
  <si>
    <t>&gt;sp|P10644|KAP0_HUMAN cAMP-dependent protein kinase type I-alpha regulatory subunit OS=Homo sapiens GN=PRKAR1A PE=1 SV=1</t>
  </si>
  <si>
    <t>P10644</t>
  </si>
  <si>
    <t>P17301</t>
  </si>
  <si>
    <t>&gt;sp|P17301|ITA2_HUMAN Integrin alpha-2 OS=Homo sapiens GN=ITGA2 PE=1 SV=1</t>
  </si>
  <si>
    <t>P01625</t>
  </si>
  <si>
    <t>&gt;sp|P01625|KV402_HUMAN Ig kappa chain V-IV region Len OS=Homo sapiens PE=1 SV=2</t>
  </si>
  <si>
    <t>IGKV4-1</t>
  </si>
  <si>
    <t>Q6S8J3;A5A3E0;P0CG38;Q6S8J3-3;Q6S8J3-2;Q6S8J7-2;Q6S5H5-2;Q6S8J7;Q6S5H5;A6NI47;Q6S545</t>
  </si>
  <si>
    <t>&gt;sp|Q6S8J3|POTEE_HUMAN POTE ankyrin domain family member E OS=Homo sapiens GN=POTEE PE=1 SV=3</t>
  </si>
  <si>
    <t>Q6S8J3</t>
  </si>
  <si>
    <t>P04632;Q96L46</t>
  </si>
  <si>
    <t>&gt;sp|P04632|CPNS1_HUMAN Calpain small subunit 1 OS=Homo sapiens GN=CAPNS1 PE=1 SV=1</t>
  </si>
  <si>
    <t>P04632</t>
  </si>
  <si>
    <t>Q08495;Q08495-2;Q08495-4;Q08495-3</t>
  </si>
  <si>
    <t>&gt;sp|Q08495|DEMA_HUMAN Dematin OS=Homo sapiens GN=DMTN PE=1 SV=3</t>
  </si>
  <si>
    <t>Q08495</t>
  </si>
  <si>
    <t>Q6ZNJ1-3;Q6ZNJ1;Q6ZNJ1-2</t>
  </si>
  <si>
    <t>&gt;sp|Q6ZNJ1-3|NBEL2_HUMAN Isoform 3 of Neurobeachin-like protein 2 OS=Homo sapiens GN=NBEAL2</t>
  </si>
  <si>
    <t>Q6ZNJ1-3</t>
  </si>
  <si>
    <t>P07358</t>
  </si>
  <si>
    <t>&gt;sp|P07358|CO8B_HUMAN Complement component C8 beta chain OS=Homo sapiens GN=C8B PE=1 SV=3</t>
  </si>
  <si>
    <t>P30153;P30154-4;P30154;P30154-2;P30154-5;P30154-3</t>
  </si>
  <si>
    <t>&gt;sp|P30153|2AAA_HUMAN Serine/threonine-protein phosphatase 2A 65 kDa regulatory subunit A alpha isoform OS=Homo sapiens GN=PPP2R1A PE=1 SV=4</t>
  </si>
  <si>
    <t>P30153</t>
  </si>
  <si>
    <t>P53621;P53621-2</t>
  </si>
  <si>
    <t>&gt;sp|P53621|COPA_HUMAN Coatomer subunit alpha OS=Homo sapiens GN=COPA PE=1 SV=2</t>
  </si>
  <si>
    <t>P53621</t>
  </si>
  <si>
    <t>P01781;P01782</t>
  </si>
  <si>
    <t>&gt;sp|P01781|HV320_HUMAN Ig heavy chain V-III region GAL OS=Homo sapiens PE=1 SV=1</t>
  </si>
  <si>
    <t>P01781</t>
  </si>
  <si>
    <t>IGHV3-7</t>
  </si>
  <si>
    <t>P02746</t>
  </si>
  <si>
    <t>&gt;sp|P02746|C1QB_HUMAN Complement C1q subcomponent subunit B OS=Homo sapiens GN=C1QB PE=1 SV=3</t>
  </si>
  <si>
    <t>P43405;P43405-2;P43403-2;P43403-3;P43403;Q8NFD2</t>
  </si>
  <si>
    <t>&gt;sp|P43405|KSYK_HUMAN Tyrosine-protein kinase SYK OS=Homo sapiens GN=SYK PE=1 SV=1</t>
  </si>
  <si>
    <t>P43405</t>
  </si>
  <si>
    <t>P00915</t>
  </si>
  <si>
    <t>&gt;sp|P00915|CAH1_HUMAN Carbonic anhydrase 1 OS=Homo sapiens GN=CA1 PE=1 SV=2</t>
  </si>
  <si>
    <t>P55786;P55786-2;A6NEC2;A6NEC2-2;A6NEC2-3</t>
  </si>
  <si>
    <t>&gt;sp|P55786|PSA_HUMAN Puromycin-sensitive aminopeptidase OS=Homo sapiens GN=NPEPPS PE=1 SV=2</t>
  </si>
  <si>
    <t>P55786</t>
  </si>
  <si>
    <t>P30405;P30405-2;Q9UNP9-2;Q9UNP9;Q9UNP9-3;P49792</t>
  </si>
  <si>
    <t>&gt;sp|P30405|PPIF_HUMAN Peptidyl-prolyl cis-trans isomerase F, mitochondrial OS=Homo sapiens GN=PPIF PE=1 SV=1</t>
  </si>
  <si>
    <t>P30405</t>
  </si>
  <si>
    <t>P61006;P61006-2;P20337</t>
  </si>
  <si>
    <t>&gt;sp|P61006|RAB8A_HUMAN Ras-related protein Rab-8A OS=Homo sapiens GN=RAB8A PE=1 SV=1</t>
  </si>
  <si>
    <t>P61006</t>
  </si>
  <si>
    <t>P62158;P27482;P02585</t>
  </si>
  <si>
    <t>&gt;sp|P62158|CALM_HUMAN Calmodulin OS=Homo sapiens GN=CALM1 PE=1 SV=2</t>
  </si>
  <si>
    <t>P62158</t>
  </si>
  <si>
    <t>P50991;P50991-2</t>
  </si>
  <si>
    <t>&gt;sp|P50991|TCPD_HUMAN T-complex protein 1 subunit delta OS=Homo sapiens GN=CCT4 PE=1 SV=4</t>
  </si>
  <si>
    <t>P50991</t>
  </si>
  <si>
    <t>Q10567-2;Q10567</t>
  </si>
  <si>
    <t>&gt;sp|Q10567-2|AP1B1_HUMAN Isoform B of AP-1 complex subunit beta-1 OS=Homo sapiens GN=AP1B1</t>
  </si>
  <si>
    <t>Q10567-2</t>
  </si>
  <si>
    <t>Q96KP4;Q96KP4-2</t>
  </si>
  <si>
    <t>&gt;sp|Q96KP4|CNDP2_HUMAN Cytosolic non-specific dipeptidase OS=Homo sapiens GN=CNDP2 PE=1 SV=2</t>
  </si>
  <si>
    <t>Q96KP4</t>
  </si>
  <si>
    <t>Q9NYU2-2;Q9NYU2;Q9NYU1</t>
  </si>
  <si>
    <t>&gt;sp|Q9NYU2-2|UGGG1_HUMAN Isoform 2 of UDP-glucose:glycoprotein glucosyltransferase 1 OS=Homo sapiens GN=UGGT1</t>
  </si>
  <si>
    <t>Q9NYU2-2</t>
  </si>
  <si>
    <t>Q9Y251-2;Q9Y251;Q9Y251-3;Q9Y251-4</t>
  </si>
  <si>
    <t>&gt;sp|Q9Y251-2|HPSE_HUMAN Isoform 2 of Heparanase OS=Homo sapiens GN=HPSE</t>
  </si>
  <si>
    <t>Q9Y251-2</t>
  </si>
  <si>
    <t>Q15691</t>
  </si>
  <si>
    <t>&gt;sp|Q15691|MARE1_HUMAN Microtubule-associated protein RP/EB family member 1 OS=Homo sapiens GN=MAPRE1 PE=1 SV=3</t>
  </si>
  <si>
    <t>P01764</t>
  </si>
  <si>
    <t>&gt;sp|P01764|HV303_HUMAN Ig heavy chain V-III region 23 OS=Homo sapiens GN=IGHV3-23 PE=1 SV=2</t>
  </si>
  <si>
    <t>P59998;P59998-3;P59998-2;P59998-4</t>
  </si>
  <si>
    <t>&gt;sp|P59998|ARPC4_HUMAN Actin-related protein 2/3 complex subunit 4 OS=Homo sapiens GN=ARPC4 PE=1 SV=3</t>
  </si>
  <si>
    <t>P59998</t>
  </si>
  <si>
    <t>Q9H0U4;Q92928</t>
  </si>
  <si>
    <t>&gt;sp|Q9H0U4|RAB1B_HUMAN Ras-related protein Rab-1B OS=Homo sapiens GN=RAB1B PE=1 SV=1</t>
  </si>
  <si>
    <t>Q9H0U4</t>
  </si>
  <si>
    <t>O75563</t>
  </si>
  <si>
    <t>&gt;sp|O75563|SKAP2_HUMAN Src kinase-associated phosphoprotein 2 OS=Homo sapiens GN=SKAP2 PE=1 SV=1</t>
  </si>
  <si>
    <t>Q9Y6E0-2;Q9Y6E0;O00506-3;O00506-2;O00506</t>
  </si>
  <si>
    <t>&gt;sp|Q9Y6E0-2|STK24_HUMAN Isoform A of Serine/threonine-protein kinase 24 OS=Homo sapiens GN=STK24</t>
  </si>
  <si>
    <t>Q9Y6E0-2</t>
  </si>
  <si>
    <t>P40227;P40227-2</t>
  </si>
  <si>
    <t>&gt;sp|P40227|TCPZ_HUMAN T-complex protein 1 subunit zeta OS=Homo sapiens GN=CCT6A PE=1 SV=3</t>
  </si>
  <si>
    <t>P40227</t>
  </si>
  <si>
    <t>P61981</t>
  </si>
  <si>
    <t>&gt;sp|P61981|1433G_HUMAN 14-3-3 protein gamma OS=Homo sapiens GN=YWHAG PE=1 SV=2</t>
  </si>
  <si>
    <t>P21796</t>
  </si>
  <si>
    <t>&gt;sp|P21796|VDAC1_HUMAN Voltage-dependent anion-selective channel protein 1 OS=Homo sapiens GN=VDAC1 PE=1 SV=2</t>
  </si>
  <si>
    <t>Q06187;Q06187-2;Q9UF33-2;Q9UF33-3;P54762-5;P54756-3;P29317;P29320;P54762;P54760;Q15375-2;Q15375-4;Q15375;P54753;P29322;P54756-2;Q9UF33;P54756</t>
  </si>
  <si>
    <t>&gt;sp|Q06187|BTK_HUMAN Tyrosine-protein kinase BTK OS=Homo sapiens GN=BTK PE=1 SV=3</t>
  </si>
  <si>
    <t>Q06187</t>
  </si>
  <si>
    <t>O75390</t>
  </si>
  <si>
    <t>&gt;sp|O75390|CISY_HUMAN Citrate synthase, mitochondrial OS=Homo sapiens GN=CS PE=1 SV=2</t>
  </si>
  <si>
    <t>Q99798</t>
  </si>
  <si>
    <t>&gt;sp|Q99798|ACON_HUMAN Aconitate hydratase, mitochondrial OS=Homo sapiens GN=ACO2 PE=1 SV=2</t>
  </si>
  <si>
    <t>P27338;P27338-2;P21397-2;P21397</t>
  </si>
  <si>
    <t>&gt;sp|P27338|AOFB_HUMAN Amine oxidase [flavin-containing] B OS=Homo sapiens GN=MAOB PE=1 SV=3</t>
  </si>
  <si>
    <t>P27338</t>
  </si>
  <si>
    <t>Q8TF42</t>
  </si>
  <si>
    <t>&gt;sp|Q8TF42|UBS3B_HUMAN Ubiquitin-associated and SH3 domain-containing protein B OS=Homo sapiens GN=UBASH3B PE=1 SV=2</t>
  </si>
  <si>
    <t>Q9Y6C2;Q9Y6C2-2</t>
  </si>
  <si>
    <t>&gt;sp|Q9Y6C2|EMIL1_HUMAN EMILIN-1 OS=Homo sapiens GN=EMILIN1 PE=1 SV=2</t>
  </si>
  <si>
    <t>Q9Y6C2</t>
  </si>
  <si>
    <t>O15145</t>
  </si>
  <si>
    <t>&gt;sp|O15145|ARPC3_HUMAN Actin-related protein 2/3 complex subunit 3 OS=Homo sapiens GN=ARPC3 PE=1 SV=3</t>
  </si>
  <si>
    <t>P02763</t>
  </si>
  <si>
    <t>&gt;sp|P02763|A1AG1_HUMAN Alpha-1-acid glycoprotein 1 OS=Homo sapiens GN=ORM1 PE=1 SV=1</t>
  </si>
  <si>
    <t>Q13586;Q13586-2;Q9P246-3;Q9P246;Q9P246-2</t>
  </si>
  <si>
    <t>&gt;sp|Q13586|STIM1_HUMAN Stromal interaction molecule 1 OS=Homo sapiens GN=STIM1 PE=1 SV=3</t>
  </si>
  <si>
    <t>Q13586</t>
  </si>
  <si>
    <t>Q13423</t>
  </si>
  <si>
    <t>&gt;sp|Q13423|NNTM_HUMAN NAD(P) transhydrogenase, mitochondrial OS=Homo sapiens GN=NNT PE=1 SV=3</t>
  </si>
  <si>
    <t>P05090</t>
  </si>
  <si>
    <t>&gt;sp|P05090|APOD_HUMAN Apolipoprotein D OS=Homo sapiens GN=APOD PE=1 SV=1</t>
  </si>
  <si>
    <t>P14770</t>
  </si>
  <si>
    <t>&gt;sp|P14770|GPIX_HUMAN Platelet glycoprotein IX OS=Homo sapiens GN=GP9 PE=1 SV=3</t>
  </si>
  <si>
    <t>P27348</t>
  </si>
  <si>
    <t>&gt;sp|P27348|1433T_HUMAN 14-3-3 protein theta OS=Homo sapiens GN=YWHAQ PE=1 SV=1</t>
  </si>
  <si>
    <t>P28838-2;P28838</t>
  </si>
  <si>
    <t>&gt;sp|P28838-2|AMPL_HUMAN Isoform 2 of Cytosol aminopeptidase OS=Homo sapiens GN=LAP3</t>
  </si>
  <si>
    <t>P28838-2</t>
  </si>
  <si>
    <t>P37837</t>
  </si>
  <si>
    <t>&gt;sp|P37837|TALDO_HUMAN Transaldolase OS=Homo sapiens GN=TALDO1 PE=1 SV=2</t>
  </si>
  <si>
    <t>P38646</t>
  </si>
  <si>
    <t>&gt;sp|P38646|GRP75_HUMAN Stress-70 protein, mitochondrial OS=Homo sapiens GN=HSPA9 PE=1 SV=2</t>
  </si>
  <si>
    <t>Q9NRW1;Q9NRW1-2;Q9H0N0</t>
  </si>
  <si>
    <t>&gt;sp|Q9NRW1|RAB6B_HUMAN Ras-related protein Rab-6B OS=Homo sapiens GN=RAB6B PE=1 SV=1</t>
  </si>
  <si>
    <t>Q9NRW1</t>
  </si>
  <si>
    <t>P05156;CON__Q32PI4</t>
  </si>
  <si>
    <t>&gt;sp|P05156|CFAI_HUMAN Complement factor I OS=Homo sapiens GN=CFI PE=1 SV=2</t>
  </si>
  <si>
    <t>P05156</t>
  </si>
  <si>
    <t>P51692</t>
  </si>
  <si>
    <t>&gt;sp|P51692|STA5B_HUMAN Signal transducer and activator of transcription 5B OS=Homo sapiens GN=STAT5B PE=1 SV=2</t>
  </si>
  <si>
    <t>Q05209;Q05209-2;Q05209-3</t>
  </si>
  <si>
    <t>&gt;sp|Q05209|PTN12_HUMAN Tyrosine-protein phosphatase non-receptor type 12 OS=Homo sapiens GN=PTPN12 PE=1 SV=3</t>
  </si>
  <si>
    <t>Q05209</t>
  </si>
  <si>
    <t>P41240;P42679-3;P42679;P42679-2</t>
  </si>
  <si>
    <t>&gt;sp|P41240|CSK_HUMAN Tyrosine-protein kinase CSK OS=Homo sapiens GN=CSK PE=1 SV=1</t>
  </si>
  <si>
    <t>P41240</t>
  </si>
  <si>
    <t>P50570-5;P50570;P50570-2;P50570-4;P50570-3</t>
  </si>
  <si>
    <t>&gt;sp|P50570-5|DYN2_HUMAN Isoform 5 of Dynamin-2 OS=Homo sapiens GN=DNM2</t>
  </si>
  <si>
    <t>P50570-5</t>
  </si>
  <si>
    <t>P60953;P60953-1;Q9H4E5-2;P17081;Q9H4E5</t>
  </si>
  <si>
    <t>&gt;sp|P60953|CDC42_HUMAN Cell division control protein 42 homolog OS=Homo sapiens GN=CDC42 PE=1 SV=2</t>
  </si>
  <si>
    <t>P60953</t>
  </si>
  <si>
    <t>Q96HC4;Q96HC4-4;Q96HC4-7;Q96HC4-6;Q96HC4-3;Q96HC4-2</t>
  </si>
  <si>
    <t>&gt;sp|Q96HC4|PDLI5_HUMAN PDZ and LIM domain protein 5 OS=Homo sapiens GN=PDLIM5 PE=1 SV=5</t>
  </si>
  <si>
    <t>Q96HC4</t>
  </si>
  <si>
    <t>P13716;P13716-2</t>
  </si>
  <si>
    <t>&gt;sp|P13716|HEM2_HUMAN Delta-aminolevulinic acid dehydratase OS=Homo sapiens GN=ALAD PE=1 SV=1</t>
  </si>
  <si>
    <t>P13716</t>
  </si>
  <si>
    <t>Q9Y696;O15247</t>
  </si>
  <si>
    <t>&gt;sp|Q9Y696|CLIC4_HUMAN Chloride intracellular channel protein 4 OS=Homo sapiens GN=CLIC4 PE=1 SV=4</t>
  </si>
  <si>
    <t>Q9Y696</t>
  </si>
  <si>
    <t>P54577</t>
  </si>
  <si>
    <t>&gt;sp|P54577|SYYC_HUMAN Tyrosine--tRNA ligase, cytoplasmic OS=Homo sapiens GN=YARS PE=1 SV=4</t>
  </si>
  <si>
    <t>P49407-2;P49407;P32121-5;P32121-2;P32121;P32121-3;P32121-4;P10523</t>
  </si>
  <si>
    <t>&gt;sp|P49407-2|ARRB1_HUMAN Isoform 1B of Beta-arrestin-1 OS=Homo sapiens GN=ARRB1</t>
  </si>
  <si>
    <t>P49407-2</t>
  </si>
  <si>
    <t>O95870;O95870-2</t>
  </si>
  <si>
    <t>&gt;sp|O95870|ABHGA_HUMAN Abhydrolase domain-containing protein 16A OS=Homo sapiens GN=ABHD16A PE=1 SV=3</t>
  </si>
  <si>
    <t>O95870</t>
  </si>
  <si>
    <t>P36955;CON__Q95121</t>
  </si>
  <si>
    <t>&gt;sp|P36955|PEDF_HUMAN Pigment epithelium-derived factor OS=Homo sapiens GN=SERPINF1 PE=1 SV=4</t>
  </si>
  <si>
    <t>P36955</t>
  </si>
  <si>
    <t>Q9BR76;A9Z1Z3-3;A9Z1Z3</t>
  </si>
  <si>
    <t>&gt;sp|Q9BR76|COR1B_HUMAN Coronin-1B OS=Homo sapiens GN=CORO1B PE=1 SV=1</t>
  </si>
  <si>
    <t>Q9BR76</t>
  </si>
  <si>
    <t>P47755;P47755-2</t>
  </si>
  <si>
    <t>&gt;sp|P47755|CAZA2_HUMAN F-actin-capping protein subunit alpha-2 OS=Homo sapiens GN=CAPZA2 PE=1 SV=3</t>
  </si>
  <si>
    <t>P47755</t>
  </si>
  <si>
    <t>P30086</t>
  </si>
  <si>
    <t>&gt;sp|P30086|PEBP1_HUMAN Phosphatidylethanolamine-binding protein 1 OS=Homo sapiens GN=PEBP1 PE=1 SV=3</t>
  </si>
  <si>
    <t>P50453;P50452-3</t>
  </si>
  <si>
    <t>&gt;sp|P50453|SPB9_HUMAN Serpin B9 OS=Homo sapiens GN=SERPINB9 PE=1 SV=1</t>
  </si>
  <si>
    <t>P50453</t>
  </si>
  <si>
    <t>Q13094</t>
  </si>
  <si>
    <t>&gt;sp|Q13094|LCP2_HUMAN Lymphocyte cytosolic protein 2 OS=Homo sapiens GN=LCP2 PE=1 SV=1</t>
  </si>
  <si>
    <t>P03952</t>
  </si>
  <si>
    <t>&gt;sp|P03952|KLKB1_HUMAN Plasma kallikrein OS=Homo sapiens GN=KLKB1 PE=1 SV=1</t>
  </si>
  <si>
    <t>Q16555-2;Q16555;Q14195;Q14194;Q14195-2;Q14194-2</t>
  </si>
  <si>
    <t>&gt;sp|Q16555-2|DPYL2_HUMAN Isoform 2 of Dihydropyrimidinase-related protein 2 OS=Homo sapiens GN=DPYSL2</t>
  </si>
  <si>
    <t>Q16555-2</t>
  </si>
  <si>
    <t>Q3ZCM7</t>
  </si>
  <si>
    <t>&gt;sp|Q3ZCM7|TBB8_HUMAN Tubulin beta-8 chain OS=Homo sapiens GN=TUBB8 PE=1 SV=2</t>
  </si>
  <si>
    <t>Q9NY65;Q9NY65-2</t>
  </si>
  <si>
    <t>&gt;sp|Q9NY65|TBA8_HUMAN Tubulin alpha-8 chain OS=Homo sapiens GN=TUBA8 PE=1 SV=1</t>
  </si>
  <si>
    <t>Q9NY65</t>
  </si>
  <si>
    <t>P61163</t>
  </si>
  <si>
    <t>&gt;sp|P61163|ACTZ_HUMAN Alpha-centractin OS=Homo sapiens GN=ACTR1A PE=1 SV=1</t>
  </si>
  <si>
    <t>P21926</t>
  </si>
  <si>
    <t>&gt;sp|P21926|CD9_HUMAN CD9 antigen OS=Homo sapiens GN=CD9 PE=1 SV=4</t>
  </si>
  <si>
    <t>P61026</t>
  </si>
  <si>
    <t>&gt;sp|P61026|RAB10_HUMAN Ras-related protein Rab-10 OS=Homo sapiens GN=RAB10 PE=1 SV=1</t>
  </si>
  <si>
    <t>P46109</t>
  </si>
  <si>
    <t>&gt;sp|P46109|CRKL_HUMAN Crk-like protein OS=Homo sapiens GN=CRKL PE=1 SV=1</t>
  </si>
  <si>
    <t>O60229-6;O60229-4;O60229-5;O60229;Q86VW2-2;Q86VW2;Q86VW2-3</t>
  </si>
  <si>
    <t>&gt;sp|O60229-6|KALRN_HUMAN Isoform 6 of Kalirin OS=Homo sapiens GN=KALRN</t>
  </si>
  <si>
    <t>O60229-6</t>
  </si>
  <si>
    <t>P14868;P14868-2</t>
  </si>
  <si>
    <t>&gt;sp|P14868|SYDC_HUMAN Aspartate--tRNA ligase, cytoplasmic OS=Homo sapiens GN=DARS PE=1 SV=2</t>
  </si>
  <si>
    <t>P14868</t>
  </si>
  <si>
    <t>Q05655;Q05655-2</t>
  </si>
  <si>
    <t>&gt;sp|Q05655|KPCD_HUMAN Protein kinase C delta type OS=Homo sapiens GN=PRKCD PE=1 SV=2</t>
  </si>
  <si>
    <t>Q05655</t>
  </si>
  <si>
    <t>Q13637;O14966</t>
  </si>
  <si>
    <t>&gt;sp|Q13637|RAB32_HUMAN Ras-related protein Rab-32 OS=Homo sapiens GN=RAB32 PE=1 SV=3</t>
  </si>
  <si>
    <t>Q13637</t>
  </si>
  <si>
    <t>O94919</t>
  </si>
  <si>
    <t>&gt;sp|O94919|ENDD1_HUMAN Endonuclease domain-containing 1 protein OS=Homo sapiens GN=ENDOD1 PE=1 SV=2</t>
  </si>
  <si>
    <t>P0DMN0;P0DMM9;P0DMM9-3;P0DMM9-2</t>
  </si>
  <si>
    <t>&gt;sp|P0DMN0|ST1A4_HUMAN Sulfotransferase 1A4 OS=Homo sapiens GN=SULT1A4 PE=1 SV=1</t>
  </si>
  <si>
    <t>P0DMN0</t>
  </si>
  <si>
    <t>P07360</t>
  </si>
  <si>
    <t>&gt;sp|P07360|CO8G_HUMAN Complement component C8 gamma chain OS=Homo sapiens GN=C8G PE=1 SV=3</t>
  </si>
  <si>
    <t>Q13561;Q13561-3;Q13561-2</t>
  </si>
  <si>
    <t>&gt;sp|Q13561|DCTN2_HUMAN Dynactin subunit 2 OS=Homo sapiens GN=DCTN2 PE=1 SV=4</t>
  </si>
  <si>
    <t>Q13561</t>
  </si>
  <si>
    <t>Q9Y4L1;Q9Y4L1-2;Q9BXT5</t>
  </si>
  <si>
    <t>&gt;sp|Q9Y4L1|HYOU1_HUMAN Hypoxia up-regulated protein 1 OS=Homo sapiens GN=HYOU1 PE=1 SV=1</t>
  </si>
  <si>
    <t>Q9Y4L1</t>
  </si>
  <si>
    <t>P24844;P24844-2</t>
  </si>
  <si>
    <t>&gt;sp|P24844|MYL9_HUMAN Myosin regulatory light polypeptide 9 OS=Homo sapiens GN=MYL9 PE=1 SV=4</t>
  </si>
  <si>
    <t>P24844</t>
  </si>
  <si>
    <t>Q5SQ64;Q5SQ64-2</t>
  </si>
  <si>
    <t>&gt;sp|Q5SQ64|LY66F_HUMAN Lymphocyte antigen 6 complex locus protein G6f OS=Homo sapiens GN=LY6G6F PE=1 SV=2</t>
  </si>
  <si>
    <t>Q5SQ64</t>
  </si>
  <si>
    <t>P14314-2;P14314</t>
  </si>
  <si>
    <t>&gt;sp|P14314-2|GLU2B_HUMAN Isoform 2 of Glucosidase 2 subunit beta OS=Homo sapiens GN=PRKCSH</t>
  </si>
  <si>
    <t>P14314-2</t>
  </si>
  <si>
    <t>P16615;P16615-5;P16615-2;P16615-3;P16615-4</t>
  </si>
  <si>
    <t>&gt;sp|P16615|AT2A2_HUMAN Sarcoplasmic/endoplasmic reticulum calcium ATPase 2 OS=Homo sapiens GN=ATP2A2 PE=1 SV=1</t>
  </si>
  <si>
    <t>P16615</t>
  </si>
  <si>
    <t>Q14203-3;Q14203-4;Q14203-6;Q14203;Q14203-5;Q14203-2</t>
  </si>
  <si>
    <t>&gt;sp|Q14203-3|DCTN1_HUMAN Isoform 3 of Dynactin subunit 1 OS=Homo sapiens GN=DCTN1</t>
  </si>
  <si>
    <t>Q14203-3</t>
  </si>
  <si>
    <t>Q6PJW8;Q6PJW8-2;Q6PJW8-3</t>
  </si>
  <si>
    <t>&gt;sp|Q6PJW8|CNST_HUMAN Consortin OS=Homo sapiens GN=CNST PE=1 SV=3</t>
  </si>
  <si>
    <t>Q6PJW8</t>
  </si>
  <si>
    <t>O43747;O43747-2</t>
  </si>
  <si>
    <t>&gt;sp|O43747|AP1G1_HUMAN AP-1 complex subunit gamma-1 OS=Homo sapiens GN=AP1G1 PE=1 SV=5</t>
  </si>
  <si>
    <t>O43747</t>
  </si>
  <si>
    <t>P08185</t>
  </si>
  <si>
    <t>&gt;sp|P08185|CBG_HUMAN Corticosteroid-binding globulin OS=Homo sapiens GN=SERPINA6 PE=1 SV=1</t>
  </si>
  <si>
    <t>P02743</t>
  </si>
  <si>
    <t>&gt;sp|P02743|SAMP_HUMAN Serum amyloid P-component OS=Homo sapiens GN=APCS PE=1 SV=2</t>
  </si>
  <si>
    <t>Q00013;Q00013-2;Q00013-3</t>
  </si>
  <si>
    <t>&gt;sp|Q00013|EM55_HUMAN 55 kDa erythrocyte membrane protein OS=Homo sapiens GN=MPP1 PE=1 SV=2</t>
  </si>
  <si>
    <t>Q00013</t>
  </si>
  <si>
    <t>Q13976-2;Q13976;Q13976-3;Q13237-2;Q13237</t>
  </si>
  <si>
    <t>&gt;sp|Q13976-2|KGP1_HUMAN Isoform Beta of cGMP-dependent protein kinase 1 OS=Homo sapiens GN=PRKG1</t>
  </si>
  <si>
    <t>Q13976-2</t>
  </si>
  <si>
    <t>Q96P48-3;Q96P48;Q96P48-2;Q96P48-4;Q96P48-1;Q96P48-7;Q96P48-5</t>
  </si>
  <si>
    <t>&gt;sp|Q96P48-3|ARAP1_HUMAN Isoform 3 of Arf-GAP with Rho-GAP domain, ANK repeat and PH domain-containing protein 1 OS=Homo sapiens GN=ARAP1</t>
  </si>
  <si>
    <t>Q96P48-3</t>
  </si>
  <si>
    <t>Q9BXS5;Q9BXS5-2;Q9Y6Q5;Q9Y6Q5-2</t>
  </si>
  <si>
    <t>&gt;sp|Q9BXS5|AP1M1_HUMAN AP-1 complex subunit mu-1 OS=Homo sapiens GN=AP1M1 PE=1 SV=3</t>
  </si>
  <si>
    <t>Q9BXS5</t>
  </si>
  <si>
    <t>O75558</t>
  </si>
  <si>
    <t>&gt;sp|O75558|STX11_HUMAN Syntaxin-11 OS=Homo sapiens GN=STX11 PE=1 SV=1</t>
  </si>
  <si>
    <t>Q14974;Q14974-2</t>
  </si>
  <si>
    <t>&gt;sp|Q14974|IMB1_HUMAN Importin subunit beta-1 OS=Homo sapiens GN=KPNB1 PE=1 SV=2</t>
  </si>
  <si>
    <t>Q14974</t>
  </si>
  <si>
    <t>P28482;P28482-2</t>
  </si>
  <si>
    <t>&gt;sp|P28482|MK01_HUMAN Mitogen-activated protein kinase 1 OS=Homo sapiens GN=MAPK1 PE=1 SV=3</t>
  </si>
  <si>
    <t>P28482</t>
  </si>
  <si>
    <t>Q01433;Q01433-2;Q01433-5;Q01433-3;Q01433-4</t>
  </si>
  <si>
    <t>&gt;sp|Q01433|AMPD2_HUMAN AMP deaminase 2 OS=Homo sapiens GN=AMPD2 PE=1 SV=2</t>
  </si>
  <si>
    <t>Q01433</t>
  </si>
  <si>
    <t>Q15365;P57723-2;P57723</t>
  </si>
  <si>
    <t>&gt;sp|Q15365|PCBP1_HUMAN Poly(rC)-binding protein 1 OS=Homo sapiens GN=PCBP1 PE=1 SV=2</t>
  </si>
  <si>
    <t>Q15365</t>
  </si>
  <si>
    <t>P11234;P11234-3;P11234-2</t>
  </si>
  <si>
    <t>&gt;sp|P11234|RALB_HUMAN Ras-related protein Ral-B OS=Homo sapiens GN=RALB PE=1 SV=1</t>
  </si>
  <si>
    <t>P11234</t>
  </si>
  <si>
    <t>O43488;Q8NHP1</t>
  </si>
  <si>
    <t>&gt;sp|O43488|ARK72_HUMAN Aflatoxin B1 aldehyde reductase member 2 OS=Homo sapiens GN=AKR7A2 PE=1 SV=3</t>
  </si>
  <si>
    <t>O43488</t>
  </si>
  <si>
    <t>Q9BS26</t>
  </si>
  <si>
    <t>&gt;sp|Q9BS26|ERP44_HUMAN Endoplasmic reticulum resident protein 44 OS=Homo sapiens GN=ERP44 PE=1 SV=1</t>
  </si>
  <si>
    <t>P35858;P35858-2</t>
  </si>
  <si>
    <t>&gt;sp|P35858|ALS_HUMAN Insulin-like growth factor-binding protein complex acid labile subunit OS=Homo sapiens GN=IGFALS PE=1 SV=1</t>
  </si>
  <si>
    <t>P35858</t>
  </si>
  <si>
    <t>P49748-2;P49748;P49748-3</t>
  </si>
  <si>
    <t>&gt;sp|P49748-2|ACADV_HUMAN Isoform 2 of Very long-chain specific acyl-CoA dehydrogenase, mitochondrial OS=Homo sapiens GN=ACADVL</t>
  </si>
  <si>
    <t>P49748-2</t>
  </si>
  <si>
    <t>Q06033-2;Q06033;CON__Q0V8M9</t>
  </si>
  <si>
    <t>&gt;sp|Q06033-2|ITIH3_HUMAN Isoform 2 of Inter-alpha-trypsin inhibitor heavy chain H3 OS=Homo sapiens GN=ITIH3</t>
  </si>
  <si>
    <t>Q06033-2</t>
  </si>
  <si>
    <t>Q9C0C9</t>
  </si>
  <si>
    <t>&gt;sp|Q9C0C9|UBE2O_HUMAN E2/E3 hybrid ubiquitin-protein ligase UBE2O OS=Homo sapiens GN=UBE2O PE=1 SV=3</t>
  </si>
  <si>
    <t>P08670;P17661;P41219;P41219-2;P14136-3;P14136;P14136-2;Q16352;P07197-2;P07196;P07197</t>
  </si>
  <si>
    <t>&gt;sp|P08670|VIME_HUMAN Vimentin OS=Homo sapiens GN=VIM PE=1 SV=4</t>
  </si>
  <si>
    <t>P08670</t>
  </si>
  <si>
    <t>P13489</t>
  </si>
  <si>
    <t>&gt;sp|P13489|RINI_HUMAN Ribonuclease inhibitor OS=Homo sapiens GN=RNH1 PE=1 SV=2</t>
  </si>
  <si>
    <t>P51452;P51452-2</t>
  </si>
  <si>
    <t>&gt;sp|P51452|DUS3_HUMAN Dual specificity protein phosphatase 3 OS=Homo sapiens GN=DUSP3 PE=1 SV=1</t>
  </si>
  <si>
    <t>P51452</t>
  </si>
  <si>
    <t>P22695</t>
  </si>
  <si>
    <t>&gt;sp|P22695|QCR2_HUMAN Cytochrome b-c1 complex subunit 2, mitochondrial OS=Homo sapiens GN=UQCRC2 PE=1 SV=3</t>
  </si>
  <si>
    <t>P31946-2</t>
  </si>
  <si>
    <t>&gt;sp|P31946-2|1433B_HUMAN Isoform Short of 14-3-3 protein beta/alpha OS=Homo sapiens GN=YWHAB</t>
  </si>
  <si>
    <t>P35606-2;P35606</t>
  </si>
  <si>
    <t>&gt;sp|P35606-2|COPB2_HUMAN Isoform 2 of Coatomer subunit beta OS=Homo sapiens GN=COPB2</t>
  </si>
  <si>
    <t>P35606-2</t>
  </si>
  <si>
    <t>Q7Z406;Q7Z406-6;Q7Z406-2;Q7Z406-5;Q7Z406-4</t>
  </si>
  <si>
    <t>&gt;sp|Q7Z406|MYH14_HUMAN Myosin-14 OS=Homo sapiens GN=MYH14 PE=1 SV=2</t>
  </si>
  <si>
    <t>Q7Z406</t>
  </si>
  <si>
    <t>Q9BQE3</t>
  </si>
  <si>
    <t>&gt;sp|Q9BQE3|TBA1C_HUMAN Tubulin alpha-1C chain OS=Homo sapiens GN=TUBA1C PE=1 SV=1</t>
  </si>
  <si>
    <t>O75874</t>
  </si>
  <si>
    <t>&gt;sp|O75874|IDHC_HUMAN Isocitrate dehydrogenase [NADP] cytoplasmic OS=Homo sapiens GN=IDH1 PE=1 SV=2</t>
  </si>
  <si>
    <t>P06132</t>
  </si>
  <si>
    <t>&gt;sp|P06132|DCUP_HUMAN Uroporphyrinogen decarboxylase OS=Homo sapiens GN=UROD PE=1 SV=2</t>
  </si>
  <si>
    <t>Q9UQ80-2;Q9UQ80</t>
  </si>
  <si>
    <t>&gt;sp|Q9UQ80-2|PA2G4_HUMAN Isoform 2 of Proliferation-associated protein 2G4 OS=Homo sapiens GN=PA2G4</t>
  </si>
  <si>
    <t>Q9UQ80-2</t>
  </si>
  <si>
    <t>Q14165</t>
  </si>
  <si>
    <t>&gt;sp|Q14165|MLEC_HUMAN Malectin OS=Homo sapiens GN=MLEC PE=1 SV=1</t>
  </si>
  <si>
    <t>P07357</t>
  </si>
  <si>
    <t>&gt;sp|P07357|CO8A_HUMAN Complement component C8 alpha chain OS=Homo sapiens GN=C8A PE=1 SV=2</t>
  </si>
  <si>
    <t>P30085;P30085-2</t>
  </si>
  <si>
    <t>&gt;sp|P30085|KCY_HUMAN UMP-CMP kinase OS=Homo sapiens GN=CMPK1 PE=1 SV=3</t>
  </si>
  <si>
    <t>P30085</t>
  </si>
  <si>
    <t>O14672;O14672-2</t>
  </si>
  <si>
    <t>&gt;sp|O14672|ADA10_HUMAN Disintegrin and metalloproteinase domain-containing protein 10 OS=Homo sapiens GN=ADAM10 PE=1 SV=1</t>
  </si>
  <si>
    <t>O14672</t>
  </si>
  <si>
    <t>P00568;Q9Y6K8-2;Q9Y6K8-3;Q9Y6K8</t>
  </si>
  <si>
    <t>&gt;sp|P00568|KAD1_HUMAN Adenylate kinase isoenzyme 1 OS=Homo sapiens GN=AK1 PE=1 SV=3</t>
  </si>
  <si>
    <t>P00568</t>
  </si>
  <si>
    <t>Q7L591</t>
  </si>
  <si>
    <t>&gt;sp|Q7L591|DOK3_HUMAN Docking protein 3 OS=Homo sapiens GN=DOK3 PE=1 SV=2</t>
  </si>
  <si>
    <t>P01610</t>
  </si>
  <si>
    <t>&gt;sp|P01610|KV118_HUMAN Ig kappa chain V-I region WEA OS=Homo sapiens PE=1 SV=1</t>
  </si>
  <si>
    <t>IGKV1-17</t>
  </si>
  <si>
    <t>P05121;P05121-2</t>
  </si>
  <si>
    <t>&gt;sp|P05121|PAI1_HUMAN Plasminogen activator inhibitor 1 OS=Homo sapiens GN=SERPINE1 PE=1 SV=1</t>
  </si>
  <si>
    <t>P05121</t>
  </si>
  <si>
    <t>P09972</t>
  </si>
  <si>
    <t>&gt;sp|P09972|ALDOC_HUMAN Fructose-bisphosphate aldolase C OS=Homo sapiens GN=ALDOC PE=1 SV=2</t>
  </si>
  <si>
    <t>Q14677;Q14677-3;Q14677-2</t>
  </si>
  <si>
    <t>&gt;sp|Q14677|EPN4_HUMAN Clathrin interactor 1 OS=Homo sapiens GN=CLINT1 PE=1 SV=1</t>
  </si>
  <si>
    <t>Q14677</t>
  </si>
  <si>
    <t>P08758</t>
  </si>
  <si>
    <t>&gt;sp|P08758|ANXA5_HUMAN Annexin A5 OS=Homo sapiens GN=ANXA5 PE=1 SV=2</t>
  </si>
  <si>
    <t>P53618</t>
  </si>
  <si>
    <t>&gt;sp|P53618|COPB_HUMAN Coatomer subunit beta OS=Homo sapiens GN=COPB1 PE=1 SV=3</t>
  </si>
  <si>
    <t>P19971;P19971-2</t>
  </si>
  <si>
    <t>&gt;sp|P19971|TYPH_HUMAN Thymidine phosphorylase OS=Homo sapiens GN=TYMP PE=1 SV=2</t>
  </si>
  <si>
    <t>P19971</t>
  </si>
  <si>
    <t>P23368;P23368-2;Q16798-2;Q16798</t>
  </si>
  <si>
    <t>&gt;sp|P23368|MAOM_HUMAN NAD-dependent malic enzyme, mitochondrial OS=Homo sapiens GN=ME2 PE=1 SV=1</t>
  </si>
  <si>
    <t>P23368</t>
  </si>
  <si>
    <t>Q13162</t>
  </si>
  <si>
    <t>&gt;sp|Q13162|PRDX4_HUMAN Peroxiredoxin-4 OS=Homo sapiens GN=PRDX4 PE=1 SV=1</t>
  </si>
  <si>
    <t>P12236;P12235;Q9H0C2</t>
  </si>
  <si>
    <t>&gt;sp|P12236|ADT3_HUMAN ADP/ATP translocase 3 OS=Homo sapiens GN=SLC25A6 PE=1 SV=4</t>
  </si>
  <si>
    <t>P12236</t>
  </si>
  <si>
    <t>P30048-2;P30048</t>
  </si>
  <si>
    <t>&gt;sp|P30048-2|PRDX3_HUMAN Isoform 2 of Thioredoxin-dependent peroxide reductase, mitochondrial OS=Homo sapiens GN=PRDX3</t>
  </si>
  <si>
    <t>P30048-2</t>
  </si>
  <si>
    <t>P35813;P35813-3;P35813-2</t>
  </si>
  <si>
    <t>&gt;sp|P35813|PPM1A_HUMAN Protein phosphatase 1A OS=Homo sapiens GN=PPM1A PE=1 SV=1</t>
  </si>
  <si>
    <t>P35813</t>
  </si>
  <si>
    <t>P48444;P48444-2</t>
  </si>
  <si>
    <t>&gt;sp|P48444|COPD_HUMAN Coatomer subunit delta OS=Homo sapiens GN=ARCN1 PE=1 SV=1</t>
  </si>
  <si>
    <t>P48444</t>
  </si>
  <si>
    <t>Q00325-2;Q00325</t>
  </si>
  <si>
    <t>&gt;sp|Q00325-2|MPCP_HUMAN Isoform B of Phosphate carrier protein, mitochondrial OS=Homo sapiens GN=SLC25A3</t>
  </si>
  <si>
    <t>Q00325-2</t>
  </si>
  <si>
    <t>Q96AP7</t>
  </si>
  <si>
    <t>&gt;sp|Q96AP7|ESAM_HUMAN Endothelial cell-selective adhesion molecule OS=Homo sapiens GN=ESAM PE=1 SV=1</t>
  </si>
  <si>
    <t>Q9NR31;Q9NR31-2;Q9Y6B6</t>
  </si>
  <si>
    <t>&gt;sp|Q9NR31|SAR1A_HUMAN GTP-binding protein SAR1a OS=Homo sapiens GN=SAR1A PE=1 SV=1</t>
  </si>
  <si>
    <t>Q9NR31</t>
  </si>
  <si>
    <t>P41250</t>
  </si>
  <si>
    <t>&gt;sp|P41250|SYG_HUMAN Glycine--tRNA ligase OS=Homo sapiens GN=GARS PE=1 SV=3</t>
  </si>
  <si>
    <t>P30040;P30040-2</t>
  </si>
  <si>
    <t>&gt;sp|P30040|ERP29_HUMAN Endoplasmic reticulum resident protein 29 OS=Homo sapiens GN=ERP29 PE=1 SV=4</t>
  </si>
  <si>
    <t>P30040</t>
  </si>
  <si>
    <t>P31939-2;P31939</t>
  </si>
  <si>
    <t>&gt;sp|P31939-2|PUR9_HUMAN Isoform 2 of Bifunctional purine biosynthesis protein PURH OS=Homo sapiens GN=ATIC</t>
  </si>
  <si>
    <t>P31939-2</t>
  </si>
  <si>
    <t>P00390-2;P00390-3;P00390;P00390-5;P00390-4</t>
  </si>
  <si>
    <t>&gt;sp|P00390-2|GSHR_HUMAN Isoform Cytoplasmic of Glutathione reductase, mitochondrial OS=Homo sapiens GN=GSR</t>
  </si>
  <si>
    <t>P00390-2</t>
  </si>
  <si>
    <t>P18669;P15259;Q8N0Y7</t>
  </si>
  <si>
    <t>&gt;sp|P18669|PGAM1_HUMAN Phosphoglycerate mutase 1 OS=Homo sapiens GN=PGAM1 PE=1 SV=2</t>
  </si>
  <si>
    <t>P18669</t>
  </si>
  <si>
    <t>P40925;P40925-3;P40925-2</t>
  </si>
  <si>
    <t>&gt;sp|P40925|MDHC_HUMAN Malate dehydrogenase, cytoplasmic OS=Homo sapiens GN=MDH1 PE=1 SV=4</t>
  </si>
  <si>
    <t>P40925</t>
  </si>
  <si>
    <t>P62826</t>
  </si>
  <si>
    <t>&gt;sp|P62826|RAN_HUMAN GTP-binding nuclear protein Ran OS=Homo sapiens GN=RAN PE=1 SV=3</t>
  </si>
  <si>
    <t>Q08380</t>
  </si>
  <si>
    <t>&gt;sp|Q08380|LG3BP_HUMAN Galectin-3-binding protein OS=Homo sapiens GN=LGALS3BP PE=1 SV=1</t>
  </si>
  <si>
    <t>P02042</t>
  </si>
  <si>
    <t>&gt;sp|P02042|HBD_HUMAN Hemoglobin subunit delta OS=Homo sapiens GN=HBD PE=1 SV=2</t>
  </si>
  <si>
    <t>P05543;CON__Q9TT36</t>
  </si>
  <si>
    <t>&gt;sp|P05543|THBG_HUMAN Thyroxine-binding globulin OS=Homo sapiens GN=SERPINA7 PE=1 SV=2</t>
  </si>
  <si>
    <t>P05543</t>
  </si>
  <si>
    <t>P10619-2;P10619</t>
  </si>
  <si>
    <t>&gt;sp|P10619-2|PPGB_HUMAN Isoform 2 of Lysosomal protective protein OS=Homo sapiens GN=CTSA</t>
  </si>
  <si>
    <t>P10619-2</t>
  </si>
  <si>
    <t>Q96FW1;Q96FW1-2</t>
  </si>
  <si>
    <t>&gt;sp|Q96FW1|OTUB1_HUMAN Ubiquitin thioesterase OTUB1 OS=Homo sapiens GN=OTUB1 PE=1 SV=2</t>
  </si>
  <si>
    <t>Q96FW1</t>
  </si>
  <si>
    <t>P02747</t>
  </si>
  <si>
    <t>&gt;sp|P02747|C1QC_HUMAN Complement C1q subcomponent subunit C OS=Homo sapiens GN=C1QC PE=1 SV=3</t>
  </si>
  <si>
    <t>P49411</t>
  </si>
  <si>
    <t>&gt;sp|P49411|EFTU_HUMAN Elongation factor Tu, mitochondrial OS=Homo sapiens GN=TUFM PE=1 SV=2</t>
  </si>
  <si>
    <t>Q8NEU8;Q8NEU8-2;Q8NEU8-3</t>
  </si>
  <si>
    <t>&gt;sp|Q8NEU8|DP13B_HUMAN DCC-interacting protein 13-beta OS=Homo sapiens GN=APPL2 PE=1 SV=3</t>
  </si>
  <si>
    <t>Q8NEU8</t>
  </si>
  <si>
    <t>O43665-3;O43665-2;O43665</t>
  </si>
  <si>
    <t>&gt;sp|O43665-3|RGS10_HUMAN Isoform 3 of Regulator of G-protein signaling 10 OS=Homo sapiens GN=RGS10</t>
  </si>
  <si>
    <t>O43665-3</t>
  </si>
  <si>
    <t>Q8TC12;Q8TC12-2;Q8TC12-3;Q96NR8</t>
  </si>
  <si>
    <t>&gt;sp|Q8TC12|RDH11_HUMAN Retinol dehydrogenase 11 OS=Homo sapiens GN=RDH11 PE=1 SV=2</t>
  </si>
  <si>
    <t>Q8TC12</t>
  </si>
  <si>
    <t>P05160;CON__Q2TBQ1</t>
  </si>
  <si>
    <t>&gt;sp|P05160|F13B_HUMAN Coagulation factor XIII B chain OS=Homo sapiens GN=F13B PE=1 SV=3</t>
  </si>
  <si>
    <t>P05160</t>
  </si>
  <si>
    <t>P17858;P17858-2</t>
  </si>
  <si>
    <t>&gt;sp|P17858|PFKAL_HUMAN ATP-dependent 6-phosphofructokinase, liver type OS=Homo sapiens GN=PFKL PE=1 SV=6</t>
  </si>
  <si>
    <t>P17858</t>
  </si>
  <si>
    <t>P16152;P16152-2</t>
  </si>
  <si>
    <t>&gt;sp|P16152|CBR1_HUMAN Carbonyl reductase [NADPH] 1 OS=Homo sapiens GN=CBR1 PE=1 SV=3</t>
  </si>
  <si>
    <t>P16152</t>
  </si>
  <si>
    <t>P19086;Q03113-3;Q03113-2;Q03113</t>
  </si>
  <si>
    <t>&gt;sp|P19086|GNAZ_HUMAN Guanine nucleotide-binding protein G(z) subunit alpha OS=Homo sapiens GN=GNAZ PE=2 SV=3</t>
  </si>
  <si>
    <t>P19086</t>
  </si>
  <si>
    <t>Q96G03;Q96G03-2</t>
  </si>
  <si>
    <t>&gt;sp|Q96G03|PGM2_HUMAN Phosphoglucomutase-2 OS=Homo sapiens GN=PGM2 PE=1 SV=4</t>
  </si>
  <si>
    <t>Q96G03</t>
  </si>
  <si>
    <t>O43150;O43150-2</t>
  </si>
  <si>
    <t>&gt;sp|O43150|ASAP2_HUMAN Arf-GAP with SH3 domain, ANK repeat and PH domain-containing protein 2 OS=Homo sapiens GN=ASAP2 PE=1 SV=3</t>
  </si>
  <si>
    <t>O43150</t>
  </si>
  <si>
    <t>P01617;P01614;P06309</t>
  </si>
  <si>
    <t>&gt;sp|P01617|KV204_HUMAN Ig kappa chain V-II region TEW OS=Homo sapiens PE=1 SV=1</t>
  </si>
  <si>
    <t>P01617</t>
  </si>
  <si>
    <t>IGKV2D-28</t>
  </si>
  <si>
    <t>P19652</t>
  </si>
  <si>
    <t>&gt;sp|P19652|A1AG2_HUMAN Alpha-1-acid glycoprotein 2 OS=Homo sapiens GN=ORM2 PE=1 SV=2</t>
  </si>
  <si>
    <t>P01765;P01774</t>
  </si>
  <si>
    <t>&gt;sp|P01765|HV304_HUMAN Ig heavy chain V-III region TIL OS=Homo sapiens PE=1 SV=1</t>
  </si>
  <si>
    <t>P01765</t>
  </si>
  <si>
    <t>IGHV3-23</t>
  </si>
  <si>
    <t>P04220</t>
  </si>
  <si>
    <t>&gt;sp|P04220|MUCB_HUMAN Ig mu heavy chain disease protein OS=Homo sapiens PE=1 SV=1</t>
  </si>
  <si>
    <t>IGHM</t>
  </si>
  <si>
    <t>P39656-3;P39656;P39656-2</t>
  </si>
  <si>
    <t>&gt;sp|P39656-3|OST48_HUMAN Isoform 3 of Dolichyl-diphosphooligosaccharide--protein glycosyltransferase 48 kDa subunit OS=Homo sapiens GN=DDOST</t>
  </si>
  <si>
    <t>P39656-3</t>
  </si>
  <si>
    <t>P55145</t>
  </si>
  <si>
    <t>&gt;sp|P55145|MANF_HUMAN Mesencephalic astrocyte-derived neurotrophic factor OS=Homo sapiens GN=MANF PE=1 SV=3</t>
  </si>
  <si>
    <t>Q14344;Q14344-2</t>
  </si>
  <si>
    <t>&gt;sp|Q14344|GNA13_HUMAN Guanine nucleotide-binding protein subunit alpha-13 OS=Homo sapiens GN=GNA13 PE=1 SV=2</t>
  </si>
  <si>
    <t>Q14344</t>
  </si>
  <si>
    <t>Q8IZP0-10;Q8IZP0-8;Q8IZP0-7;Q8IZP0-2;Q8IZP0-4;Q8IZP0-3;Q8IZP0-5;Q8IZP0-6;Q8IZP0-9;Q8IZP0;Q8IZP0-12;Q8IZP0-11;Q9NYB9-2;Q9NYB9-4;Q9NYB9;Q9NYB9-3</t>
  </si>
  <si>
    <t>&gt;sp|Q8IZP0-10|ABI1_HUMAN Isoform 10 of Abl interactor 1 OS=Homo sapiens GN=ABI1</t>
  </si>
  <si>
    <t>Q8IZP0-10</t>
  </si>
  <si>
    <t>P00505;P00505-2</t>
  </si>
  <si>
    <t>&gt;sp|P00505|AATM_HUMAN Aspartate aminotransferase, mitochondrial OS=Homo sapiens GN=GOT2 PE=1 SV=3</t>
  </si>
  <si>
    <t>P00505</t>
  </si>
  <si>
    <t>P61088;Q5JXB2</t>
  </si>
  <si>
    <t>&gt;sp|P61088|UBE2N_HUMAN Ubiquitin-conjugating enzyme E2 N OS=Homo sapiens GN=UBE2N PE=1 SV=1</t>
  </si>
  <si>
    <t>P61088</t>
  </si>
  <si>
    <t>Q8NE86-3;Q8NE86;Q8NE86-2</t>
  </si>
  <si>
    <t>&gt;sp|Q8NE86-3|MCU_HUMAN Isoform 3 of Calcium uniporter protein, mitochondrial OS=Homo sapiens GN=MCU</t>
  </si>
  <si>
    <t>Q8NE86-3</t>
  </si>
  <si>
    <t>Q9NXH8</t>
  </si>
  <si>
    <t>&gt;sp|Q9NXH8|TOR4A_HUMAN Torsin-4A OS=Homo sapiens GN=TOR4A PE=1 SV=2</t>
  </si>
  <si>
    <t>O00161;O00161-2</t>
  </si>
  <si>
    <t>&gt;sp|O00161|SNP23_HUMAN Synaptosomal-associated protein 23 OS=Homo sapiens GN=SNAP23 PE=1 SV=1</t>
  </si>
  <si>
    <t>O00161</t>
  </si>
  <si>
    <t>P15170-2;P15170-3;P15170;Q8IYD1</t>
  </si>
  <si>
    <t>&gt;sp|P15170-2|ERF3A_HUMAN Isoform 2 of Eukaryotic peptide chain release factor GTP-binding subunit ERF3A OS=Homo sapiens GN=GSPT1</t>
  </si>
  <si>
    <t>P15170-2</t>
  </si>
  <si>
    <t>P01877</t>
  </si>
  <si>
    <t>&gt;sp|P01877|IGHA2_HUMAN Ig alpha-2 chain C region OS=Homo sapiens GN=IGHA2 PE=1 SV=3</t>
  </si>
  <si>
    <t>P09622;P09622-3;P09622-2</t>
  </si>
  <si>
    <t>&gt;sp|P09622|DLDH_HUMAN Dihydrolipoyl dehydrogenase, mitochondrial OS=Homo sapiens GN=DLD PE=1 SV=2</t>
  </si>
  <si>
    <t>P09622</t>
  </si>
  <si>
    <t>Q16762</t>
  </si>
  <si>
    <t>&gt;sp|Q16762|THTR_HUMAN Thiosulfate sulfurtransferase OS=Homo sapiens GN=TST PE=1 SV=4</t>
  </si>
  <si>
    <t>Q16891-3;Q16891-2;Q16891-4;Q16891</t>
  </si>
  <si>
    <t>&gt;sp|Q16891-3|MIC60_HUMAN Isoform 3 of MICOS complex subunit MIC60 OS=Homo sapiens GN=IMMT</t>
  </si>
  <si>
    <t>Q16891-3</t>
  </si>
  <si>
    <t>Q96AG4</t>
  </si>
  <si>
    <t>&gt;sp|Q96AG4|LRC59_HUMAN Leucine-rich repeat-containing protein 59 OS=Homo sapiens GN=LRRC59 PE=1 SV=1</t>
  </si>
  <si>
    <t>O14745;O14745-2</t>
  </si>
  <si>
    <t>&gt;sp|O14745|NHRF1_HUMAN Na(+)/H(+) exchange regulatory cofactor NHE-RF1 OS=Homo sapiens GN=SLC9A3R1 PE=1 SV=4</t>
  </si>
  <si>
    <t>O14745</t>
  </si>
  <si>
    <t>Q9NZ08;Q9NZ08-2</t>
  </si>
  <si>
    <t>&gt;sp|Q9NZ08|ERAP1_HUMAN Endoplasmic reticulum aminopeptidase 1 OS=Homo sapiens GN=ERAP1 PE=1 SV=3</t>
  </si>
  <si>
    <t>Q9NZ08</t>
  </si>
  <si>
    <t>O14791-3;O14791;O14791-2</t>
  </si>
  <si>
    <t>&gt;sp|O14791-3|APOL1_HUMAN Isoform 3 of Apolipoprotein L1 OS=Homo sapiens GN=APOL1</t>
  </si>
  <si>
    <t>O14791-3</t>
  </si>
  <si>
    <t>O43639</t>
  </si>
  <si>
    <t>&gt;sp|O43639|NCK2_HUMAN Cytoplasmic protein NCK2 OS=Homo sapiens GN=NCK2 PE=1 SV=2</t>
  </si>
  <si>
    <t>O75396</t>
  </si>
  <si>
    <t>&gt;sp|O75396|SC22B_HUMAN Vesicle-trafficking protein SEC22b OS=Homo sapiens GN=SEC22B PE=1 SV=4</t>
  </si>
  <si>
    <t>P00739;P00739-2</t>
  </si>
  <si>
    <t>&gt;sp|P00739|HPTR_HUMAN Haptoglobin-related protein OS=Homo sapiens GN=HPR PE=2 SV=2</t>
  </si>
  <si>
    <t>P00739</t>
  </si>
  <si>
    <t>Q14141-2;Q14141-4;Q14141;Q14141-3</t>
  </si>
  <si>
    <t>&gt;sp|Q14141-2|SEPT6_HUMAN Isoform I of Septin-6 OS=Homo sapiens GN=SEPT6</t>
  </si>
  <si>
    <t>Q14141-2</t>
  </si>
  <si>
    <t>P22792</t>
  </si>
  <si>
    <t>&gt;sp|P22792|CPN2_HUMAN Carboxypeptidase N subunit 2 OS=Homo sapiens GN=CPN2 PE=1 SV=3</t>
  </si>
  <si>
    <t>P30044-2;P30044;P30044-3;P30044-4</t>
  </si>
  <si>
    <t>&gt;sp|P30044-2|PRDX5_HUMAN Isoform Cytoplasmic+peroxisomal of Peroxiredoxin-5, mitochondrial OS=Homo sapiens GN=PRDX5</t>
  </si>
  <si>
    <t>P30044-2</t>
  </si>
  <si>
    <t>P49591</t>
  </si>
  <si>
    <t>&gt;sp|P49591|SYSC_HUMAN Serine--tRNA ligase, cytoplasmic OS=Homo sapiens GN=SARS PE=1 SV=3</t>
  </si>
  <si>
    <t>Q86TP1;Q86TP1-2;Q86TP1-5;Q86TP1-4;Q86TP1-3;Q86TP1-6;Q86TP1-7</t>
  </si>
  <si>
    <t>&gt;sp|Q86TP1|PRUNE_HUMAN Protein prune homolog OS=Homo sapiens GN=PRUNE PE=1 SV=2</t>
  </si>
  <si>
    <t>Q86TP1</t>
  </si>
  <si>
    <t>O95866-2;O95866-7;O95866-4</t>
  </si>
  <si>
    <t>&gt;sp|O95866-2|G6B_HUMAN Isoform A of Protein G6b OS=Homo sapiens GN=G6B</t>
  </si>
  <si>
    <t>O95866-2</t>
  </si>
  <si>
    <t>P53004</t>
  </si>
  <si>
    <t>&gt;sp|P53004|BIEA_HUMAN Biliverdin reductase A OS=Homo sapiens GN=BLVRA PE=1 SV=2</t>
  </si>
  <si>
    <t>P22061;P22061-2</t>
  </si>
  <si>
    <t>&gt;sp|P22061|PIMT_HUMAN Protein-L-isoaspartate(D-aspartate) O-methyltransferase OS=Homo sapiens GN=PCMT1 PE=1 SV=4</t>
  </si>
  <si>
    <t>P22061</t>
  </si>
  <si>
    <t>P30486;Q31610</t>
  </si>
  <si>
    <t>&gt;sp|P30486|1B48_HUMAN HLA class I histocompatibility antigen, B-48 alpha chain OS=Homo sapiens GN=HLA-B PE=1 SV=1</t>
  </si>
  <si>
    <t>P30486</t>
  </si>
  <si>
    <t>Q99719</t>
  </si>
  <si>
    <t>&gt;sp|Q99719|SEPT5_HUMAN Septin-5 OS=Homo sapiens GN=SEPT5 PE=1 SV=1</t>
  </si>
  <si>
    <t>P62987;P62979;P0CG47;P0CG48</t>
  </si>
  <si>
    <t>&gt;sp|P62987|RL40_HUMAN Ubiquitin-60S ribosomal protein L40 OS=Homo sapiens GN=UBA52 PE=1 SV=2</t>
  </si>
  <si>
    <t>P62987</t>
  </si>
  <si>
    <t>P11766</t>
  </si>
  <si>
    <t>&gt;sp|P11766|ADHX_HUMAN Alcohol dehydrogenase class-3 OS=Homo sapiens GN=ADH5 PE=1 SV=4</t>
  </si>
  <si>
    <t>P23381;P23381-2</t>
  </si>
  <si>
    <t>&gt;sp|P23381|SYWC_HUMAN Tryptophan--tRNA ligase, cytoplasmic OS=Homo sapiens GN=WARS PE=1 SV=2</t>
  </si>
  <si>
    <t>P23381</t>
  </si>
  <si>
    <t>Q16836;Q16836-3;Q16836-2</t>
  </si>
  <si>
    <t>&gt;sp|Q16836|HCDH_HUMAN Hydroxyacyl-coenzyme A dehydrogenase, mitochondrial OS=Homo sapiens GN=HADH PE=1 SV=3</t>
  </si>
  <si>
    <t>Q16836</t>
  </si>
  <si>
    <t>Q8WWA1;Q8WWA1-2;Q8WWA1-3</t>
  </si>
  <si>
    <t>&gt;sp|Q8WWA1|TMM40_HUMAN Transmembrane protein 40 OS=Homo sapiens GN=TMEM40 PE=1 SV=2</t>
  </si>
  <si>
    <t>Q8WWA1</t>
  </si>
  <si>
    <t>Q99733;Q99733-2</t>
  </si>
  <si>
    <t>&gt;sp|Q99733|NP1L4_HUMAN Nucleosome assembly protein 1-like 4 OS=Homo sapiens GN=NAP1L4 PE=1 SV=1</t>
  </si>
  <si>
    <t>Q99733</t>
  </si>
  <si>
    <t>P20073-2;P20073</t>
  </si>
  <si>
    <t>&gt;sp|P20073-2|ANXA7_HUMAN Isoform 2 of Annexin A7 OS=Homo sapiens GN=ANXA7</t>
  </si>
  <si>
    <t>P20073-2</t>
  </si>
  <si>
    <t>Q9Y678</t>
  </si>
  <si>
    <t>&gt;sp|Q9Y678|COPG1_HUMAN Coatomer subunit gamma-1 OS=Homo sapiens GN=COPG1 PE=1 SV=1</t>
  </si>
  <si>
    <t>P49755</t>
  </si>
  <si>
    <t>&gt;sp|P49755|TMEDA_HUMAN Transmembrane emp24 domain-containing protein 10 OS=Homo sapiens GN=TMED10 PE=1 SV=2</t>
  </si>
  <si>
    <t>P50995-2;P50995</t>
  </si>
  <si>
    <t>&gt;sp|P50995-2|ANX11_HUMAN Isoform 2 of Annexin A11 OS=Homo sapiens GN=ANXA11</t>
  </si>
  <si>
    <t>P50995-2</t>
  </si>
  <si>
    <t>P51148;P51148-2</t>
  </si>
  <si>
    <t>&gt;sp|P51148|RAB5C_HUMAN Ras-related protein Rab-5C OS=Homo sapiens GN=RAB5C PE=1 SV=2</t>
  </si>
  <si>
    <t>P51148</t>
  </si>
  <si>
    <t>Q16531;Q16531-2</t>
  </si>
  <si>
    <t>&gt;sp|Q16531|DDB1_HUMAN DNA damage-binding protein 1 OS=Homo sapiens GN=DDB1 PE=1 SV=1</t>
  </si>
  <si>
    <t>Q16531</t>
  </si>
  <si>
    <t>Q9UNF0;Q9UNF0-2</t>
  </si>
  <si>
    <t>&gt;sp|Q9UNF0|PACN2_HUMAN Protein kinase C and casein kinase substrate in neurons protein 2 OS=Homo sapiens GN=PACSIN2 PE=1 SV=2</t>
  </si>
  <si>
    <t>Q9UNF0</t>
  </si>
  <si>
    <t>O14818;O14818-2;Q8TAA3-2;Q8TAA3-5;Q8TAA3;O14818-4</t>
  </si>
  <si>
    <t>&gt;sp|O14818|PSA7_HUMAN Proteasome subunit alpha type-7 OS=Homo sapiens GN=PSMA7 PE=1 SV=1</t>
  </si>
  <si>
    <t>O14818</t>
  </si>
  <si>
    <t>O00410;O00410-3;O00410-2;O60518</t>
  </si>
  <si>
    <t>&gt;sp|O00410|IPO5_HUMAN Importin-5 OS=Homo sapiens GN=IPO5 PE=1 SV=4</t>
  </si>
  <si>
    <t>O00410</t>
  </si>
  <si>
    <t>P54578-2;P54578;P54578-3</t>
  </si>
  <si>
    <t>&gt;sp|P54578-2|UBP14_HUMAN Isoform 2 of Ubiquitin carboxyl-terminal hydrolase 14 OS=Homo sapiens GN=USP14</t>
  </si>
  <si>
    <t>P54578-2</t>
  </si>
  <si>
    <t>Q99623;Q99623-2</t>
  </si>
  <si>
    <t>&gt;sp|Q99623|PHB2_HUMAN Prohibitin-2 OS=Homo sapiens GN=PHB2 PE=1 SV=2</t>
  </si>
  <si>
    <t>Q99623</t>
  </si>
  <si>
    <t>Q9Y2Q3;Q9Y2Q3-3;Q9Y2Q3-2;Q9Y2Q3-4</t>
  </si>
  <si>
    <t>&gt;sp|Q9Y2Q3|GSTK1_HUMAN Glutathione S-transferase kappa 1 OS=Homo sapiens GN=GSTK1 PE=1 SV=3</t>
  </si>
  <si>
    <t>Q9Y2Q3</t>
  </si>
  <si>
    <t>O15511;O15511-2;Q9BPX5</t>
  </si>
  <si>
    <t>&gt;sp|O15511|ARPC5_HUMAN Actin-related protein 2/3 complex subunit 5 OS=Homo sapiens GN=ARPC5 PE=1 SV=3</t>
  </si>
  <si>
    <t>O15511</t>
  </si>
  <si>
    <t>P01591</t>
  </si>
  <si>
    <t>&gt;sp|P01591|IGJ_HUMAN Immunoglobulin J chain OS=Homo sapiens GN=IGJ PE=1 SV=4</t>
  </si>
  <si>
    <t>Q9P0L0;Q9P0L0-2</t>
  </si>
  <si>
    <t>&gt;sp|Q9P0L0|VAPA_HUMAN Vesicle-associated membrane protein-associated protein A OS=Homo sapiens GN=VAPA PE=1 SV=3</t>
  </si>
  <si>
    <t>Q9P0L0</t>
  </si>
  <si>
    <t>P16930;P16930-2</t>
  </si>
  <si>
    <t>&gt;sp|P16930|FAAA_HUMAN Fumarylacetoacetase OS=Homo sapiens GN=FAH PE=1 SV=2</t>
  </si>
  <si>
    <t>P16930</t>
  </si>
  <si>
    <t>P60981;P60981-2</t>
  </si>
  <si>
    <t>&gt;sp|P60981|DEST_HUMAN Destrin OS=Homo sapiens GN=DSTN PE=1 SV=3</t>
  </si>
  <si>
    <t>P60981</t>
  </si>
  <si>
    <t>P99999;CON__P62894</t>
  </si>
  <si>
    <t>&gt;sp|P99999|CYC_HUMAN Cytochrome c OS=Homo sapiens GN=CYCS PE=1 SV=2</t>
  </si>
  <si>
    <t>P99999</t>
  </si>
  <si>
    <t>O43396</t>
  </si>
  <si>
    <t>&gt;sp|O43396|TXNL1_HUMAN Thioredoxin-like protein 1 OS=Homo sapiens GN=TXNL1 PE=1 SV=3</t>
  </si>
  <si>
    <t>O75955;O75955-2</t>
  </si>
  <si>
    <t>&gt;sp|O75955|FLOT1_HUMAN Flotillin-1 OS=Homo sapiens GN=FLOT1 PE=1 SV=3</t>
  </si>
  <si>
    <t>O75955</t>
  </si>
  <si>
    <t>O60268-3;O60268;O60268-2</t>
  </si>
  <si>
    <t>&gt;sp|O60268-3|K0513_HUMAN Isoform 3 of Uncharacterized protein KIAA0513 OS=Homo sapiens GN=KIAA0513</t>
  </si>
  <si>
    <t>O60268-3</t>
  </si>
  <si>
    <t>P06396-2;P06396-4;P06396-3;REV__Q6TDU7-4;REV__Q6TDU7-2</t>
  </si>
  <si>
    <t>&gt;sp|P06396-2|GELS_HUMAN Isoform 2 of Gelsolin OS=Homo sapiens GN=GSN</t>
  </si>
  <si>
    <t>P06396-2</t>
  </si>
  <si>
    <t>P20742;P20742-2</t>
  </si>
  <si>
    <t>&gt;sp|P20742|PZP_HUMAN Pregnancy zone protein OS=Homo sapiens GN=PZP PE=1 SV=4</t>
  </si>
  <si>
    <t>P20742</t>
  </si>
  <si>
    <t>P22234;P22234-2</t>
  </si>
  <si>
    <t>&gt;sp|P22234|PUR6_HUMAN Multifunctional protein ADE2 OS=Homo sapiens GN=PAICS PE=1 SV=3</t>
  </si>
  <si>
    <t>P22234</t>
  </si>
  <si>
    <t>Q9UIB8-3;Q9UIB8-2;Q9UIB8;Q9UIB8-6;Q9UIB8-5;Q9UIB8-4;Q9UIB8-7</t>
  </si>
  <si>
    <t>&gt;sp|Q9UIB8-3|SLAF5_HUMAN Isoform 3 of SLAM family member 5 OS=Homo sapiens GN=CD84</t>
  </si>
  <si>
    <t>Q9UIB8-3</t>
  </si>
  <si>
    <t>O75915</t>
  </si>
  <si>
    <t>&gt;sp|O75915|PRAF3_HUMAN PRA1 family protein 3 OS=Homo sapiens GN=ARL6IP5 PE=1 SV=1</t>
  </si>
  <si>
    <t>P31323</t>
  </si>
  <si>
    <t>&gt;sp|P31323|KAP3_HUMAN cAMP-dependent protein kinase type II-beta regulatory subunit OS=Homo sapiens GN=PRKAR2B PE=1 SV=3</t>
  </si>
  <si>
    <t>Q8NBM8</t>
  </si>
  <si>
    <t>&gt;sp|Q8NBM8|PCYXL_HUMAN Prenylcysteine oxidase-like OS=Homo sapiens GN=PCYOX1L PE=1 SV=2</t>
  </si>
  <si>
    <t>P50416-2;P50416</t>
  </si>
  <si>
    <t>&gt;sp|P50416-2|CPT1A_HUMAN Isoform 2 of Carnitine O-palmitoyltransferase 1, liver isoform OS=Homo sapiens GN=CPT1A</t>
  </si>
  <si>
    <t>P50416-2</t>
  </si>
  <si>
    <t>Q14204</t>
  </si>
  <si>
    <t>&gt;sp|Q14204|DYHC1_HUMAN Cytoplasmic dynein 1 heavy chain 1 OS=Homo sapiens GN=DYNC1H1 PE=1 SV=5</t>
  </si>
  <si>
    <t>Q9NTK5;Q9NTK5-3;Q9NTK5-2</t>
  </si>
  <si>
    <t>&gt;sp|Q9NTK5|OLA1_HUMAN Obg-like ATPase 1 OS=Homo sapiens GN=OLA1 PE=1 SV=2</t>
  </si>
  <si>
    <t>Q9NTK5</t>
  </si>
  <si>
    <t>P23142;CON__ENSEMBL:ENSBTAP00000016046;P23142-2;P23142-3</t>
  </si>
  <si>
    <t>&gt;sp|P23142|FBLN1_HUMAN Fibulin-1 OS=Homo sapiens GN=FBLN1 PE=1 SV=4</t>
  </si>
  <si>
    <t>P23142</t>
  </si>
  <si>
    <t>Q9BX10;Q9BX10-4;Q9BX10-2;Q9BX10-3</t>
  </si>
  <si>
    <t>&gt;sp|Q9BX10|GTPB2_HUMAN GTP-binding protein 2 OS=Homo sapiens GN=GTPBP2 PE=1 SV=1</t>
  </si>
  <si>
    <t>Q9BX10</t>
  </si>
  <si>
    <t>P04844-2;P04844</t>
  </si>
  <si>
    <t>&gt;sp|P04844-2|RPN2_HUMAN Isoform 2 of Dolichyl-diphosphooligosaccharide--protein glycosyltransferase subunit 2 OS=Homo sapiens GN=RPN2</t>
  </si>
  <si>
    <t>P04844-2</t>
  </si>
  <si>
    <t>P55084-2;P55084</t>
  </si>
  <si>
    <t>&gt;sp|P55084-2|ECHB_HUMAN Isoform 2 of Trifunctional enzyme subunit beta, mitochondrial OS=Homo sapiens GN=HADHB</t>
  </si>
  <si>
    <t>P55084-2</t>
  </si>
  <si>
    <t>Q14643-4;Q14643-3;Q14643-8;Q14643-7;Q14643-5;Q14643-6;Q14643-2;Q14643</t>
  </si>
  <si>
    <t>&gt;sp|Q14643-4|ITPR1_HUMAN Isoform 4 of Inositol 1,4,5-trisphosphate receptor type 1 OS=Homo sapiens GN=ITPR1</t>
  </si>
  <si>
    <t>Q14643-4</t>
  </si>
  <si>
    <t>Q16851;Q16851-2</t>
  </si>
  <si>
    <t>&gt;sp|Q16851|UGPA_HUMAN UTP--glucose-1-phosphate uridylyltransferase OS=Homo sapiens GN=UGP2 PE=1 SV=5</t>
  </si>
  <si>
    <t>Q16851</t>
  </si>
  <si>
    <t>Q8NBS9;Q8NBS9-2</t>
  </si>
  <si>
    <t>&gt;sp|Q8NBS9|TXND5_HUMAN Thioredoxin domain-containing protein 5 OS=Homo sapiens GN=TXNDC5 PE=1 SV=2</t>
  </si>
  <si>
    <t>Q8NBS9</t>
  </si>
  <si>
    <t>P45974-2;P45974;Q92995-2;Q92995</t>
  </si>
  <si>
    <t>&gt;sp|P45974-2|UBP5_HUMAN Isoform Short of Ubiquitin carboxyl-terminal hydrolase 5 OS=Homo sapiens GN=USP5</t>
  </si>
  <si>
    <t>P45974-2</t>
  </si>
  <si>
    <t>Q03591</t>
  </si>
  <si>
    <t>&gt;sp|Q03591|FHR1_HUMAN Complement factor H-related protein 1 OS=Homo sapiens GN=CFHR1 PE=1 SV=2</t>
  </si>
  <si>
    <t>P50454</t>
  </si>
  <si>
    <t>&gt;sp|P50454|SERPH_HUMAN Serpin H1 OS=Homo sapiens GN=SERPINH1 PE=1 SV=2</t>
  </si>
  <si>
    <t>Q14012;Q8IU85-2;Q8IU85</t>
  </si>
  <si>
    <t>&gt;sp|Q14012|KCC1A_HUMAN Calcium/calmodulin-dependent protein kinase type 1 OS=Homo sapiens GN=CAMK1 PE=1 SV=1</t>
  </si>
  <si>
    <t>Q14012</t>
  </si>
  <si>
    <t>P00441</t>
  </si>
  <si>
    <t>&gt;sp|P00441|SODC_HUMAN Superoxide dismutase [Cu-Zn] OS=Homo sapiens GN=SOD1 PE=1 SV=2</t>
  </si>
  <si>
    <t>P45880;P45880-2;P45880-1</t>
  </si>
  <si>
    <t>&gt;sp|P45880|VDAC2_HUMAN Voltage-dependent anion-selective channel protein 2 OS=Homo sapiens GN=VDAC2 PE=1 SV=2</t>
  </si>
  <si>
    <t>P45880</t>
  </si>
  <si>
    <t>Q9H479</t>
  </si>
  <si>
    <t>&gt;sp|Q9H479|FN3K_HUMAN Fructosamine-3-kinase OS=Homo sapiens GN=FN3K PE=1 SV=1</t>
  </si>
  <si>
    <t>P07339</t>
  </si>
  <si>
    <t>&gt;sp|P07339|CATD_HUMAN Cathepsin D OS=Homo sapiens GN=CTSD PE=1 SV=1</t>
  </si>
  <si>
    <t>Q13884;Q13884-2</t>
  </si>
  <si>
    <t>&gt;sp|Q13884|SNTB1_HUMAN Beta-1-syntrophin OS=Homo sapiens GN=SNTB1 PE=1 SV=3</t>
  </si>
  <si>
    <t>Q13884</t>
  </si>
  <si>
    <t>Q96IY4;Q96IY4-2;CON__Q2KIG3</t>
  </si>
  <si>
    <t>&gt;sp|Q96IY4|CBPB2_HUMAN Carboxypeptidase B2 OS=Homo sapiens GN=CPB2 PE=1 SV=2</t>
  </si>
  <si>
    <t>Q96IY4</t>
  </si>
  <si>
    <t>P05534</t>
  </si>
  <si>
    <t>&gt;sp|P05534|1A24_HUMAN HLA class I histocompatibility antigen, A-24 alpha chain OS=Homo sapiens GN=HLA-A PE=1 SV=2</t>
  </si>
  <si>
    <t>P40763-3;P40763;P40763-2</t>
  </si>
  <si>
    <t>&gt;sp|P40763-3|STAT3_HUMAN Isoform 3 of Signal transducer and activator of transcription 3 OS=Homo sapiens GN=STAT3</t>
  </si>
  <si>
    <t>P40763-3</t>
  </si>
  <si>
    <t>Q04637-6;Q04637-7;Q04637-5;Q04637-4;Q04637-3;Q04637;Q04637-8;Q04637-9;REV__Q8NEG2-2;REV__Q8NEG2</t>
  </si>
  <si>
    <t>&gt;sp|Q04637-6|IF4G1_HUMAN Isoform E of Eukaryotic translation initiation factor 4 gamma 1 OS=Homo sapiens GN=EIF4G1</t>
  </si>
  <si>
    <t>Q04637-6</t>
  </si>
  <si>
    <t>O60313;O60313-2</t>
  </si>
  <si>
    <t>&gt;sp|O60313|OPA1_HUMAN Dynamin-like 120 kDa protein, mitochondrial OS=Homo sapiens GN=OPA1 PE=1 SV=3</t>
  </si>
  <si>
    <t>O60313</t>
  </si>
  <si>
    <t>Q9H299</t>
  </si>
  <si>
    <t>&gt;sp|Q9H299|SH3L3_HUMAN SH3 domain-binding glutamic acid-rich-like protein 3 OS=Homo sapiens GN=SH3BGRL3 PE=1 SV=1</t>
  </si>
  <si>
    <t>P32119;P32119-2</t>
  </si>
  <si>
    <t>&gt;sp|P32119|PRDX2_HUMAN Peroxiredoxin-2 OS=Homo sapiens GN=PRDX2 PE=1 SV=5</t>
  </si>
  <si>
    <t>P32119</t>
  </si>
  <si>
    <t>P33176</t>
  </si>
  <si>
    <t>&gt;sp|P33176|KINH_HUMAN Kinesin-1 heavy chain OS=Homo sapiens GN=KIF5B PE=1 SV=1</t>
  </si>
  <si>
    <t>P34932;P34932-2;O95757</t>
  </si>
  <si>
    <t>&gt;sp|P34932|HSP74_HUMAN Heat shock 70 kDa protein 4 OS=Homo sapiens GN=HSPA4 PE=1 SV=4</t>
  </si>
  <si>
    <t>P34932</t>
  </si>
  <si>
    <t>Q16539;Q16539-3;Q16539-5;Q16539-4</t>
  </si>
  <si>
    <t>&gt;sp|Q16539|MK14_HUMAN Mitogen-activated protein kinase 14 OS=Homo sapiens GN=MAPK14 PE=1 SV=3</t>
  </si>
  <si>
    <t>Q16539</t>
  </si>
  <si>
    <t>P0C0L4;P0C0L4-2</t>
  </si>
  <si>
    <t>&gt;sp|P0C0L4|CO4A_HUMAN Complement C4-A OS=Homo sapiens GN=C4A PE=1 SV=2</t>
  </si>
  <si>
    <t>P0C0L4</t>
  </si>
  <si>
    <t>P12429</t>
  </si>
  <si>
    <t>&gt;sp|P12429|ANXA3_HUMAN Annexin A3 OS=Homo sapiens GN=ANXA3 PE=1 SV=3</t>
  </si>
  <si>
    <t>P15153</t>
  </si>
  <si>
    <t>&gt;sp|P15153|RAC2_HUMAN Ras-related C3 botulinum toxin substrate 2 OS=Homo sapiens GN=RAC2 PE=1 SV=1</t>
  </si>
  <si>
    <t>P35542</t>
  </si>
  <si>
    <t>&gt;sp|P35542|SAA4_HUMAN Serum amyloid A-4 protein OS=Homo sapiens GN=SAA4 PE=1 SV=2</t>
  </si>
  <si>
    <t>P35611-2;P35611-6;P35611;P35611-3;P35611-4;P35611-5;P35612-2;P35612-8;P35612-9;P35612-4;P35612-3;P35612</t>
  </si>
  <si>
    <t>&gt;sp|P35611-2|ADDA_HUMAN Isoform 2 of Alpha-adducin OS=Homo sapiens GN=ADD1</t>
  </si>
  <si>
    <t>P35611-2</t>
  </si>
  <si>
    <t>P49588;P49588-2</t>
  </si>
  <si>
    <t>&gt;sp|P49588|SYAC_HUMAN Alanine--tRNA ligase, cytoplasmic OS=Homo sapiens GN=AARS PE=1 SV=2</t>
  </si>
  <si>
    <t>P49588</t>
  </si>
  <si>
    <t>Q12913;Q12913-2</t>
  </si>
  <si>
    <t>&gt;sp|Q12913|PTPRJ_HUMAN Receptor-type tyrosine-protein phosphatase eta OS=Homo sapiens GN=PTPRJ PE=1 SV=3</t>
  </si>
  <si>
    <t>Q12913</t>
  </si>
  <si>
    <t>Q8IY22-3;Q8IY22-2;Q8IY22</t>
  </si>
  <si>
    <t>&gt;sp|Q8IY22-3|CMIP_HUMAN Isoform 3 of C-Maf-inducing protein OS=Homo sapiens GN=CMIP</t>
  </si>
  <si>
    <t>Q8IY22-3</t>
  </si>
  <si>
    <t>P09104;P09104-2;P13929-2;P13929;P13929-3</t>
  </si>
  <si>
    <t>&gt;sp|P09104|ENOG_HUMAN Gamma-enolase OS=Homo sapiens GN=ENO2 PE=1 SV=3</t>
  </si>
  <si>
    <t>P09104</t>
  </si>
  <si>
    <t>Q9Y376;Q9H9S4</t>
  </si>
  <si>
    <t>&gt;sp|Q9Y376|CAB39_HUMAN Calcium-binding protein 39 OS=Homo sapiens GN=CAB39 PE=1 SV=1</t>
  </si>
  <si>
    <t>Q9Y376</t>
  </si>
  <si>
    <t>O75351;Q6PIW4-2;Q6PIW4</t>
  </si>
  <si>
    <t>&gt;sp|O75351|VPS4B_HUMAN Vacuolar protein sorting-associated protein 4B OS=Homo sapiens GN=VPS4B PE=1 SV=2</t>
  </si>
  <si>
    <t>O75351</t>
  </si>
  <si>
    <t>O95445;O95445-2</t>
  </si>
  <si>
    <t>&gt;sp|O95445|APOM_HUMAN Apolipoprotein M OS=Homo sapiens GN=APOM PE=1 SV=2</t>
  </si>
  <si>
    <t>O95445</t>
  </si>
  <si>
    <t>P08519;Q16609</t>
  </si>
  <si>
    <t>&gt;sp|P08519|APOA_HUMAN Apolipoprotein(a) OS=Homo sapiens GN=LPA PE=1 SV=1</t>
  </si>
  <si>
    <t>P08519</t>
  </si>
  <si>
    <t>P11940-2;P11940;Q9H361;Q4VXU2;Q13310-2;Q13310;Q13310-3;Q4VXU2-2;Q5JQF8;Q96DU9-2;Q96DU9</t>
  </si>
  <si>
    <t>&gt;sp|P11940-2|PABP1_HUMAN Isoform 2 of Polyadenylate-binding protein 1 OS=Homo sapiens GN=PABPC1</t>
  </si>
  <si>
    <t>P11940-2</t>
  </si>
  <si>
    <t>P50402</t>
  </si>
  <si>
    <t>&gt;sp|P50402|EMD_HUMAN Emerin OS=Homo sapiens GN=EMD PE=1 SV=1</t>
  </si>
  <si>
    <t>P61019;P61019-2;Q8WUD1;Q8WUD1-2</t>
  </si>
  <si>
    <t>&gt;sp|P61019|RAB2A_HUMAN Ras-related protein Rab-2A OS=Homo sapiens GN=RAB2A PE=1 SV=1</t>
  </si>
  <si>
    <t>P61019</t>
  </si>
  <si>
    <t>Q96BM9</t>
  </si>
  <si>
    <t>&gt;sp|Q96BM9|ARL8A_HUMAN ADP-ribosylation factor-like protein 8A OS=Homo sapiens GN=ARL8A PE=1 SV=1</t>
  </si>
  <si>
    <t>P55160;P55160-2</t>
  </si>
  <si>
    <t>&gt;sp|P55160|NCKPL_HUMAN Nck-associated protein 1-like OS=Homo sapiens GN=NCKAP1L PE=1 SV=3</t>
  </si>
  <si>
    <t>P55160</t>
  </si>
  <si>
    <t>P00492</t>
  </si>
  <si>
    <t>&gt;sp|P00492|HPRT_HUMAN Hypoxanthine-guanine phosphoribosyltransferase OS=Homo sapiens GN=HPRT1 PE=1 SV=2</t>
  </si>
  <si>
    <t>Q06323-3;Q06323;Q06323-2</t>
  </si>
  <si>
    <t>&gt;sp|Q06323-3|PSME1_HUMAN Isoform 3 of Proteasome activator complex subunit 1 OS=Homo sapiens GN=PSME1</t>
  </si>
  <si>
    <t>Q06323-3</t>
  </si>
  <si>
    <t>Q14520-2;Q14520</t>
  </si>
  <si>
    <t>&gt;sp|Q14520-2|HABP2_HUMAN Isoform 2 of Hyaluronan-binding protein 2 OS=Homo sapiens GN=HABP2</t>
  </si>
  <si>
    <t>Q14520-2</t>
  </si>
  <si>
    <t>Q71U36;Q71U36-2</t>
  </si>
  <si>
    <t>&gt;sp|Q71U36|TBA1A_HUMAN Tubulin alpha-1A chain OS=Homo sapiens GN=TUBA1A PE=1 SV=1</t>
  </si>
  <si>
    <t>Q71U36</t>
  </si>
  <si>
    <t>Q7Z434;Q7Z434-4;Q7Z434-5;Q7Z434-2;Q7Z434-3;Q7Z434-6</t>
  </si>
  <si>
    <t>&gt;sp|Q7Z434|MAVS_HUMAN Mitochondrial antiviral-signaling protein OS=Homo sapiens GN=MAVS PE=1 SV=2</t>
  </si>
  <si>
    <t>Q7Z434</t>
  </si>
  <si>
    <t>Q9Y4D1-2;Q9Y4D1;Q9Y4D1-3;Q86T65-4;Q86T65</t>
  </si>
  <si>
    <t>&gt;sp|Q9Y4D1-2|DAAM1_HUMAN Isoform 2 of Disheveled-associated activator of morphogenesis 1 OS=Homo sapiens GN=DAAM1</t>
  </si>
  <si>
    <t>Q9Y4D1-2</t>
  </si>
  <si>
    <t>Q9Y6F6-3;Q9Y6F6-5;Q9Y6F6;Q9Y6F6-2;Q9Y6F6-4;Q9Y6F6-9;Q9Y6F6-7;Q9Y6F6-6;Q9Y6F6-8</t>
  </si>
  <si>
    <t>&gt;sp|Q9Y6F6-3|MRVI1_HUMAN Isoform 3 of Protein MRVI1 OS=Homo sapiens GN=MRVI1</t>
  </si>
  <si>
    <t>Q9Y6F6-3</t>
  </si>
  <si>
    <t>O14773-2;O14773</t>
  </si>
  <si>
    <t>&gt;sp|O14773-2|TPP1_HUMAN Isoform 2 of Tripeptidyl-peptidase 1 OS=Homo sapiens GN=TPP1</t>
  </si>
  <si>
    <t>O14773-2</t>
  </si>
  <si>
    <t>P61978-3;P61978;P61978-2</t>
  </si>
  <si>
    <t>&gt;sp|P61978-3|HNRPK_HUMAN Isoform 3 of Heterogeneous nuclear ribonucleoprotein K OS=Homo sapiens GN=HNRNPK</t>
  </si>
  <si>
    <t>P61978-3</t>
  </si>
  <si>
    <t>P62879;P62879-2;P16520-2;P16520</t>
  </si>
  <si>
    <t>&gt;sp|P62879|GBB2_HUMAN Guanine nucleotide-binding protein G(I)/G(S)/G(T) subunit beta-2 OS=Homo sapiens GN=GNB2 PE=1 SV=3</t>
  </si>
  <si>
    <t>P62879</t>
  </si>
  <si>
    <t>Q02108;Q02108-2</t>
  </si>
  <si>
    <t>&gt;sp|Q02108|GCYA3_HUMAN Guanylate cyclase soluble subunit alpha-3 OS=Homo sapiens GN=GUCY1A3 PE=1 SV=2</t>
  </si>
  <si>
    <t>Q02108</t>
  </si>
  <si>
    <t>P01598</t>
  </si>
  <si>
    <t>&gt;sp|P01598|KV106_HUMAN Ig kappa chain V-I region EU OS=Homo sapiens PE=1 SV=1</t>
  </si>
  <si>
    <t>IGKV1-5</t>
  </si>
  <si>
    <t>P16157-2;P16157-11;P16157-9;P16157-6;P16157-7;P16157-4;P16157-13;P16157-10;P16157-15;P16157-8;P16157-5;P16157-16;P16157-3;P16157;P16157-12;P16157-14;P16157-21</t>
  </si>
  <si>
    <t>&gt;sp|P16157-2|ANK1_HUMAN Isoform Er16 of Ankyrin-1 OS=Homo sapiens GN=ANK1</t>
  </si>
  <si>
    <t>P16157-2</t>
  </si>
  <si>
    <t>Q9NQW7-2;Q9NQW7;Q9NQW7-4;Q9NQW7-3;O00462</t>
  </si>
  <si>
    <t>&gt;sp|Q9NQW7-2|XPP1_HUMAN Isoform 2 of Xaa-Pro aminopeptidase 1 OS=Homo sapiens GN=XPNPEP1</t>
  </si>
  <si>
    <t>Q9NQW7-2</t>
  </si>
  <si>
    <t>P62805</t>
  </si>
  <si>
    <t>&gt;sp|P62805|H4_HUMAN Histone H4 OS=Homo sapiens GN=HIST1H4A PE=1 SV=2</t>
  </si>
  <si>
    <t>Q15067-2;Q15067;Q15067-3</t>
  </si>
  <si>
    <t>&gt;sp|Q15067-2|ACOX1_HUMAN Isoform 2 of Peroxisomal acyl-coenzyme A oxidase 1 OS=Homo sapiens GN=ACOX1</t>
  </si>
  <si>
    <t>Q15067-2</t>
  </si>
  <si>
    <t>Q3LXA3;Q3LXA3-2</t>
  </si>
  <si>
    <t>&gt;sp|Q3LXA3|DHAK_HUMAN Bifunctional ATP-dependent dihydroxyacetone kinase/FAD-AMP lyase (cyclizing) OS=Homo sapiens GN=DAK PE=1 SV=2</t>
  </si>
  <si>
    <t>Q3LXA3</t>
  </si>
  <si>
    <t>Q9UBQ7;Q9UBQ7-2</t>
  </si>
  <si>
    <t>&gt;sp|Q9UBQ7|GRHPR_HUMAN Glyoxylate reductase/hydroxypyruvate reductase OS=Homo sapiens GN=GRHPR PE=1 SV=1</t>
  </si>
  <si>
    <t>Q9UBQ7</t>
  </si>
  <si>
    <t>P50225;P50225-2;P50226</t>
  </si>
  <si>
    <t>&gt;sp|P50225|ST1A1_HUMAN Sulfotransferase 1A1 OS=Homo sapiens GN=SULT1A1 PE=1 SV=3</t>
  </si>
  <si>
    <t>P50225</t>
  </si>
  <si>
    <t>Q13177;O75914-2;O75914;O75914-4;O75914-3;Q13153;Q13153-2</t>
  </si>
  <si>
    <t>&gt;sp|Q13177|PAK2_HUMAN Serine/threonine-protein kinase PAK 2 OS=Homo sapiens GN=PAK2 PE=1 SV=3</t>
  </si>
  <si>
    <t>Q13177</t>
  </si>
  <si>
    <t>Q6XQN6;Q6XQN6-3;Q6XQN6-2</t>
  </si>
  <si>
    <t>&gt;sp|Q6XQN6|PNCB_HUMAN Nicotinate phosphoribosyltransferase OS=Homo sapiens GN=NAPRT PE=1 SV=2</t>
  </si>
  <si>
    <t>Q6XQN6</t>
  </si>
  <si>
    <t>Q8WVM8;Q8WVM8-2;Q8WVM8-3</t>
  </si>
  <si>
    <t>&gt;sp|Q8WVM8|SCFD1_HUMAN Sec1 family domain-containing protein 1 OS=Homo sapiens GN=SCFD1 PE=1 SV=4</t>
  </si>
  <si>
    <t>Q8WVM8</t>
  </si>
  <si>
    <t>P10768</t>
  </si>
  <si>
    <t>&gt;sp|P10768|ESTD_HUMAN S-formylglutathione hydrolase OS=Homo sapiens GN=ESD PE=1 SV=2</t>
  </si>
  <si>
    <t>P25786;P25786-2</t>
  </si>
  <si>
    <t>&gt;sp|P25786|PSA1_HUMAN Proteasome subunit alpha type-1 OS=Homo sapiens GN=PSMA1 PE=1 SV=1</t>
  </si>
  <si>
    <t>P25786</t>
  </si>
  <si>
    <t>P51884;CON__Q05443</t>
  </si>
  <si>
    <t>&gt;sp|P51884|LUM_HUMAN Lumican OS=Homo sapiens GN=LUM PE=1 SV=2</t>
  </si>
  <si>
    <t>P51884</t>
  </si>
  <si>
    <t>Q9UBC2-3;Q9UBC2;Q9UBC2-2;Q9UBC2-4</t>
  </si>
  <si>
    <t>&gt;sp|Q9UBC2-3|EP15R_HUMAN Isoform 3 of Epidermal growth factor receptor substrate 15-like 1 OS=Homo sapiens GN=EPS15L1</t>
  </si>
  <si>
    <t>Q9UBC2-3</t>
  </si>
  <si>
    <t>Q13043;Q13043-2</t>
  </si>
  <si>
    <t>&gt;sp|Q13043|STK4_HUMAN Serine/threonine-protein kinase 4 OS=Homo sapiens GN=STK4 PE=1 SV=2</t>
  </si>
  <si>
    <t>Q13043</t>
  </si>
  <si>
    <t>P11586</t>
  </si>
  <si>
    <t>&gt;sp|P11586|C1TC_HUMAN C-1-tetrahydrofolate synthase, cytoplasmic OS=Homo sapiens GN=MTHFD1 PE=1 SV=3</t>
  </si>
  <si>
    <t>P16885</t>
  </si>
  <si>
    <t>&gt;sp|P16885|PLCG2_HUMAN 1-phosphatidylinositol 4,5-bisphosphate phosphodiesterase gamma-2 OS=Homo sapiens GN=PLCG2 PE=1 SV=4</t>
  </si>
  <si>
    <t>P35232;P35232-2</t>
  </si>
  <si>
    <t>&gt;sp|P35232|PHB_HUMAN Prohibitin OS=Homo sapiens GN=PHB PE=1 SV=1</t>
  </si>
  <si>
    <t>P35232</t>
  </si>
  <si>
    <t>Q93052</t>
  </si>
  <si>
    <t>&gt;sp|Q93052|LPP_HUMAN Lipoma-preferred partner OS=Homo sapiens GN=LPP PE=1 SV=1</t>
  </si>
  <si>
    <t>Q9UHQ9</t>
  </si>
  <si>
    <t>&gt;sp|Q9UHQ9|NB5R1_HUMAN NADH-cytochrome b5 reductase 1 OS=Homo sapiens GN=CYB5R1 PE=1 SV=1</t>
  </si>
  <si>
    <t>O43852;O43852-3;O43852-2;O43852-4;O43852-6;O43852-15;O43852-10;O43852-5;O43852-13;O43852-14;O43852-9;O43852-11;O43852-8;O43852-12;O43852-7</t>
  </si>
  <si>
    <t>&gt;sp|O43852|CALU_HUMAN Calumenin OS=Homo sapiens GN=CALU PE=1 SV=2</t>
  </si>
  <si>
    <t>O43852</t>
  </si>
  <si>
    <t>O95831-3;O95831;O95831-2;O95831-6;O95831-4;O95831-5</t>
  </si>
  <si>
    <t>&gt;sp|O95831-3|AIFM1_HUMAN Isoform 3 of Apoptosis-inducing factor 1, mitochondrial OS=Homo sapiens GN=AIFM1</t>
  </si>
  <si>
    <t>O95831-3</t>
  </si>
  <si>
    <t>P21399</t>
  </si>
  <si>
    <t>&gt;sp|P21399|ACOC_HUMAN Cytoplasmic aconitate hydratase OS=Homo sapiens GN=ACO1 PE=1 SV=3</t>
  </si>
  <si>
    <t>P24539</t>
  </si>
  <si>
    <t>&gt;sp|P24539|AT5F1_HUMAN ATP synthase F(0) complex subunit B1, mitochondrial OS=Homo sapiens GN=ATP5F1 PE=1 SV=2</t>
  </si>
  <si>
    <t>Q9H3N1</t>
  </si>
  <si>
    <t>&gt;sp|Q9H3N1|TMX1_HUMAN Thioredoxin-related transmembrane protein 1 OS=Homo sapiens GN=TMX1 PE=1 SV=1</t>
  </si>
  <si>
    <t>Q9Y3F4;Q9Y3F4-2</t>
  </si>
  <si>
    <t>&gt;sp|Q9Y3F4|STRAP_HUMAN Serine-threonine kinase receptor-associated protein OS=Homo sapiens GN=STRAP PE=1 SV=1</t>
  </si>
  <si>
    <t>Q9Y3F4</t>
  </si>
  <si>
    <t>Q9Y5S2;Q5VT25-3;Q5VT25-4;Q5VT25-5;Q5VT25;Q5VT25-2;Q5VT25-6</t>
  </si>
  <si>
    <t>&gt;sp|Q9Y5S2|MRCKB_HUMAN Serine/threonine-protein kinase MRCK beta OS=Homo sapiens GN=CDC42BPB PE=1 SV=2</t>
  </si>
  <si>
    <t>Q9Y5S2</t>
  </si>
  <si>
    <t>P00367;P00367-3;P00367-2;P49448</t>
  </si>
  <si>
    <t>&gt;sp|P00367|DHE3_HUMAN Glutamate dehydrogenase 1, mitochondrial OS=Homo sapiens GN=GLUD1 PE=1 SV=2</t>
  </si>
  <si>
    <t>P00367</t>
  </si>
  <si>
    <t>P01714</t>
  </si>
  <si>
    <t>&gt;sp|P01714|LV301_HUMAN Ig lambda chain V-III region SH OS=Homo sapiens PE=1 SV=1</t>
  </si>
  <si>
    <t>IGLV3-19</t>
  </si>
  <si>
    <t>P05198</t>
  </si>
  <si>
    <t>&gt;sp|P05198|IF2A_HUMAN Eukaryotic translation initiation factor 2 subunit 1 OS=Homo sapiens GN=EIF2S1 PE=1 SV=3</t>
  </si>
  <si>
    <t>P25788-2;P25788</t>
  </si>
  <si>
    <t>&gt;sp|P25788-2|PSA3_HUMAN Isoform 2 of Proteasome subunit alpha type-3 OS=Homo sapiens GN=PSMA3</t>
  </si>
  <si>
    <t>P25788-2</t>
  </si>
  <si>
    <t>P78344;P78344-2</t>
  </si>
  <si>
    <t>&gt;sp|P78344|IF4G2_HUMAN Eukaryotic translation initiation factor 4 gamma 2 OS=Homo sapiens GN=EIF4G2 PE=1 SV=1</t>
  </si>
  <si>
    <t>P78344</t>
  </si>
  <si>
    <t>Q4KMQ2-3;Q4KMQ2;Q4KMQ2-2;Q4KMQ2-4</t>
  </si>
  <si>
    <t>&gt;sp|Q4KMQ2-3|ANO6_HUMAN Isoform 3 of Anoctamin-6 OS=Homo sapiens GN=ANO6</t>
  </si>
  <si>
    <t>Q4KMQ2-3</t>
  </si>
  <si>
    <t>Q96QK1</t>
  </si>
  <si>
    <t>&gt;sp|Q96QK1|VPS35_HUMAN Vacuolar protein sorting-associated protein 35 OS=Homo sapiens GN=VPS35 PE=1 SV=2</t>
  </si>
  <si>
    <t>Q9Y2A7;Q9Y2A7-2</t>
  </si>
  <si>
    <t>&gt;sp|Q9Y2A7|NCKP1_HUMAN Nck-associated protein 1 OS=Homo sapiens GN=NCKAP1 PE=1 SV=1</t>
  </si>
  <si>
    <t>Q9Y2A7</t>
  </si>
  <si>
    <t>P02656</t>
  </si>
  <si>
    <t>&gt;sp|P02656|APOC3_HUMAN Apolipoprotein C-III OS=Homo sapiens GN=APOC3 PE=1 SV=1</t>
  </si>
  <si>
    <t>P80108;P80108-2</t>
  </si>
  <si>
    <t>&gt;sp|P80108|PHLD_HUMAN Phosphatidylinositol-glycan-specific phospholipase D OS=Homo sapiens GN=GPLD1 PE=1 SV=3</t>
  </si>
  <si>
    <t>P80108</t>
  </si>
  <si>
    <t>Q9BUL8</t>
  </si>
  <si>
    <t>&gt;sp|Q9BUL8|PDC10_HUMAN Programmed cell death protein 10 OS=Homo sapiens GN=PDCD10 PE=1 SV=1</t>
  </si>
  <si>
    <t>O00231;O00231-2</t>
  </si>
  <si>
    <t>&gt;sp|O00231|PSD11_HUMAN 26S proteasome non-ATPase regulatory subunit 11 OS=Homo sapiens GN=PSMD11 PE=1 SV=3</t>
  </si>
  <si>
    <t>O00231</t>
  </si>
  <si>
    <t>P06331;P01825</t>
  </si>
  <si>
    <t>&gt;sp|P06331|HV209_HUMAN Ig heavy chain V-II region ARH-77 OS=Homo sapiens PE=4 SV=1</t>
  </si>
  <si>
    <t>P06331</t>
  </si>
  <si>
    <t>IGHV4-34</t>
  </si>
  <si>
    <t>O00264;O00264-2</t>
  </si>
  <si>
    <t>&gt;sp|O00264|PGRC1_HUMAN Membrane-associated progesterone receptor component 1 OS=Homo sapiens GN=PGRMC1 PE=1 SV=3</t>
  </si>
  <si>
    <t>O00264</t>
  </si>
  <si>
    <t>O75791;O75791-2</t>
  </si>
  <si>
    <t>&gt;sp|O75791|GRAP2_HUMAN GRB2-related adapter protein 2 OS=Homo sapiens GN=GRAP2 PE=1 SV=1</t>
  </si>
  <si>
    <t>O75791</t>
  </si>
  <si>
    <t>P37840-2;P37840;P37840-3;Q16143</t>
  </si>
  <si>
    <t>&gt;sp|P37840-2|SYUA_HUMAN Isoform 2-4 of Alpha-synuclein OS=Homo sapiens GN=SNCA</t>
  </si>
  <si>
    <t>P37840-2</t>
  </si>
  <si>
    <t>P48047</t>
  </si>
  <si>
    <t>&gt;sp|P48047|ATPO_HUMAN ATP synthase subunit O, mitochondrial OS=Homo sapiens GN=ATP5O PE=1 SV=1</t>
  </si>
  <si>
    <t>Q99704;Q99704-3;Q99704-2</t>
  </si>
  <si>
    <t>&gt;sp|Q99704|DOK1_HUMAN Docking protein 1 OS=Homo sapiens GN=DOK1 PE=1 SV=1</t>
  </si>
  <si>
    <t>Q99704</t>
  </si>
  <si>
    <t>Q9NZQ3-3;Q9NZQ3;Q9NZQ3-4;Q9NZQ3-2;Q9NZQ3-5</t>
  </si>
  <si>
    <t>&gt;sp|Q9NZQ3-3|SPN90_HUMAN Isoform 3 of NCK-interacting protein with SH3 domain OS=Homo sapiens GN=NCKIPSD</t>
  </si>
  <si>
    <t>Q9NZQ3-3</t>
  </si>
  <si>
    <t>O60664-4;O60664-3;O60664;O60664-2</t>
  </si>
  <si>
    <t>&gt;sp|O60664-4|PLIN3_HUMAN Isoform 4 of Perilipin-3 OS=Homo sapiens GN=PLIN3</t>
  </si>
  <si>
    <t>O60664-4</t>
  </si>
  <si>
    <t>O75844</t>
  </si>
  <si>
    <t>&gt;sp|O75844|FACE1_HUMAN CAAX prenyl protease 1 homolog OS=Homo sapiens GN=ZMPSTE24 PE=1 SV=2</t>
  </si>
  <si>
    <t>P29692;P29692-3;P29692-2;P29692-4</t>
  </si>
  <si>
    <t>&gt;sp|P29692|EF1D_HUMAN Elongation factor 1-delta OS=Homo sapiens GN=EEF1D PE=1 SV=5</t>
  </si>
  <si>
    <t>P29692</t>
  </si>
  <si>
    <t>P30042;P30042-2</t>
  </si>
  <si>
    <t>&gt;sp|P30042|ES1_HUMAN ES1 protein homolog, mitochondrial OS=Homo sapiens GN=C21orf33 PE=1 SV=3</t>
  </si>
  <si>
    <t>P30042</t>
  </si>
  <si>
    <t>P51572;P51572-2</t>
  </si>
  <si>
    <t>&gt;sp|P51572|BAP31_HUMAN B-cell receptor-associated protein 31 OS=Homo sapiens GN=BCAP31 PE=1 SV=3</t>
  </si>
  <si>
    <t>P51572</t>
  </si>
  <si>
    <t>Q6DD88</t>
  </si>
  <si>
    <t>&gt;sp|Q6DD88|ATLA3_HUMAN Atlastin-3 OS=Homo sapiens GN=ATL3 PE=1 SV=1</t>
  </si>
  <si>
    <t>P02652</t>
  </si>
  <si>
    <t>&gt;sp|P02652|APOA2_HUMAN Apolipoprotein A-II OS=Homo sapiens GN=APOA2 PE=1 SV=1</t>
  </si>
  <si>
    <t>P31930;O75439</t>
  </si>
  <si>
    <t>&gt;sp|P31930|QCR1_HUMAN Cytochrome b-c1 complex subunit 1, mitochondrial OS=Homo sapiens GN=UQCRC1 PE=1 SV=3</t>
  </si>
  <si>
    <t>P31930</t>
  </si>
  <si>
    <t>P62714;P60510</t>
  </si>
  <si>
    <t>&gt;sp|P62714|PP2AB_HUMAN Serine/threonine-protein phosphatase 2A catalytic subunit beta isoform OS=Homo sapiens GN=PPP2CB PE=1 SV=1</t>
  </si>
  <si>
    <t>P62714</t>
  </si>
  <si>
    <t>Q14254</t>
  </si>
  <si>
    <t>&gt;sp|Q14254|FLOT2_HUMAN Flotillin-2 OS=Homo sapiens GN=FLOT2 PE=1 SV=2</t>
  </si>
  <si>
    <t>Q15008;Q15008-4;Q15008-3;Q15008-2</t>
  </si>
  <si>
    <t>&gt;sp|Q15008|PSMD6_HUMAN 26S proteasome non-ATPase regulatory subunit 6 OS=Homo sapiens GN=PSMD6 PE=1 SV=1</t>
  </si>
  <si>
    <t>Q15008</t>
  </si>
  <si>
    <t>Q16698-2;Q16698</t>
  </si>
  <si>
    <t>&gt;sp|Q16698-2|DECR_HUMAN Isoform 2 of 2,4-dienoyl-CoA reductase, mitochondrial OS=Homo sapiens GN=DECR1</t>
  </si>
  <si>
    <t>Q16698-2</t>
  </si>
  <si>
    <t>Q9HB71;Q9HB71-3;Q9HB71-2</t>
  </si>
  <si>
    <t>&gt;sp|Q9HB71|CYBP_HUMAN Calcyclin-binding protein OS=Homo sapiens GN=CACYBP PE=1 SV=2</t>
  </si>
  <si>
    <t>Q9HB71</t>
  </si>
  <si>
    <t>Q9NS28</t>
  </si>
  <si>
    <t>&gt;sp|Q9NS28|RGS18_HUMAN Regulator of G-protein signaling 18 OS=Homo sapiens GN=RGS18 PE=1 SV=1</t>
  </si>
  <si>
    <t>P01743;A6NJS3</t>
  </si>
  <si>
    <t>&gt;sp|P01743|HV102_HUMAN Ig heavy chain V-I region HG3 OS=Homo sapiens PE=3 SV=1</t>
  </si>
  <si>
    <t>P01743</t>
  </si>
  <si>
    <t>P26639;P26639-2</t>
  </si>
  <si>
    <t>&gt;sp|P26639|SYTC_HUMAN Threonine--tRNA ligase, cytoplasmic OS=Homo sapiens GN=TARS PE=1 SV=3</t>
  </si>
  <si>
    <t>P26639</t>
  </si>
  <si>
    <t>P43034;P43034-2</t>
  </si>
  <si>
    <t>&gt;sp|P43034|LIS1_HUMAN Platelet-activating factor acetylhydrolase IB subunit alpha OS=Homo sapiens GN=PAFAH1B1 PE=1 SV=2</t>
  </si>
  <si>
    <t>P43034</t>
  </si>
  <si>
    <t>P01880;P01880-2</t>
  </si>
  <si>
    <t>&gt;sp|P01880|IGHD_HUMAN Ig delta chain C region OS=Homo sapiens GN=IGHD PE=1 SV=2</t>
  </si>
  <si>
    <t>P01880</t>
  </si>
  <si>
    <t>Q9UEY8-2;Q9UEY8</t>
  </si>
  <si>
    <t>&gt;sp|Q9UEY8-2|ADDG_HUMAN Isoform 1 of Gamma-adducin OS=Homo sapiens GN=ADD3</t>
  </si>
  <si>
    <t>Q9UEY8-2</t>
  </si>
  <si>
    <t>O75947;O75947-2</t>
  </si>
  <si>
    <t>&gt;sp|O75947|ATP5H_HUMAN ATP synthase subunit d, mitochondrial OS=Homo sapiens GN=ATP5H PE=1 SV=3</t>
  </si>
  <si>
    <t>O75947</t>
  </si>
  <si>
    <t>O95834;O95834-2;O95834-3;O00423;O00423-3</t>
  </si>
  <si>
    <t>&gt;sp|O95834|EMAL2_HUMAN Echinoderm microtubule-associated protein-like 2 OS=Homo sapiens GN=EML2 PE=1 SV=1</t>
  </si>
  <si>
    <t>O95834</t>
  </si>
  <si>
    <t>P14324-2;P14324</t>
  </si>
  <si>
    <t>&gt;sp|P14324-2|FPPS_HUMAN Isoform 2 of Farnesyl pyrophosphate synthase OS=Homo sapiens GN=FDPS</t>
  </si>
  <si>
    <t>P14324-2</t>
  </si>
  <si>
    <t>P38117;P38117-2</t>
  </si>
  <si>
    <t>&gt;sp|P38117|ETFB_HUMAN Electron transfer flavoprotein subunit beta OS=Homo sapiens GN=ETFB PE=1 SV=3</t>
  </si>
  <si>
    <t>P38117</t>
  </si>
  <si>
    <t>P42574</t>
  </si>
  <si>
    <t>&gt;sp|P42574|CASP3_HUMAN Caspase-3 OS=Homo sapiens GN=CASP3 PE=1 SV=2</t>
  </si>
  <si>
    <t>P62495;P62495-2</t>
  </si>
  <si>
    <t>&gt;sp|P62495|ERF1_HUMAN Eukaryotic peptide chain release factor subunit 1 OS=Homo sapiens GN=ETF1 PE=1 SV=3</t>
  </si>
  <si>
    <t>P62495</t>
  </si>
  <si>
    <t>P62820;P62820-2;P62820-3;P59190-2;P59190</t>
  </si>
  <si>
    <t>&gt;sp|P62820|RAB1A_HUMAN Ras-related protein Rab-1A OS=Homo sapiens GN=RAB1A PE=1 SV=3</t>
  </si>
  <si>
    <t>P62820</t>
  </si>
  <si>
    <t>O95336</t>
  </si>
  <si>
    <t>&gt;sp|O95336|6PGL_HUMAN 6-phosphogluconolactonase OS=Homo sapiens GN=PGLS PE=1 SV=2</t>
  </si>
  <si>
    <t>P15169;CON__Q2KJ83</t>
  </si>
  <si>
    <t>&gt;sp|P15169|CBPN_HUMAN Carboxypeptidase N catalytic chain OS=Homo sapiens GN=CPN1 PE=1 SV=1</t>
  </si>
  <si>
    <t>P15169</t>
  </si>
  <si>
    <t>P68036-2;P68036;P68036-3</t>
  </si>
  <si>
    <t>&gt;sp|P68036-2|UB2L3_HUMAN Isoform 2 of Ubiquitin-conjugating enzyme E2 L3 OS=Homo sapiens GN=UBE2L3</t>
  </si>
  <si>
    <t>P68036-2</t>
  </si>
  <si>
    <t>Q8N5J2;Q8N5J2-3;Q8N5J2-4;Q8N5J2-2</t>
  </si>
  <si>
    <t>&gt;sp|Q8N5J2|FA63A_HUMAN Protein FAM63A OS=Homo sapiens GN=FAM63A PE=1 SV=2</t>
  </si>
  <si>
    <t>Q8N5J2</t>
  </si>
  <si>
    <t>Q92614-2;Q92614-3;Q92614-4;Q92614;Q92614-5</t>
  </si>
  <si>
    <t>&gt;sp|Q92614-2|MY18A_HUMAN Isoform 2 of Unconventional myosin-XVIIIa OS=Homo sapiens GN=MYO18A</t>
  </si>
  <si>
    <t>Q92614-2</t>
  </si>
  <si>
    <t>O95373</t>
  </si>
  <si>
    <t>&gt;sp|O95373|IPO7_HUMAN Importin-7 OS=Homo sapiens GN=IPO7 PE=1 SV=1</t>
  </si>
  <si>
    <t>P13804;P13804-2</t>
  </si>
  <si>
    <t>&gt;sp|P13804|ETFA_HUMAN Electron transfer flavoprotein subunit alpha, mitochondrial OS=Homo sapiens GN=ETFA PE=1 SV=1</t>
  </si>
  <si>
    <t>P13804</t>
  </si>
  <si>
    <t>P36957;P36957-2</t>
  </si>
  <si>
    <t>&gt;sp|P36957|ODO2_HUMAN Dihydrolipoyllysine-residue succinyltransferase component of 2-oxoglutarate dehydrogenase complex, mitochondrial OS=Homo sapiens GN=DLST PE=1 SV=4</t>
  </si>
  <si>
    <t>P36957</t>
  </si>
  <si>
    <t>P63010;P63010-2;P63010-3</t>
  </si>
  <si>
    <t>&gt;sp|P63010|AP2B1_HUMAN AP-2 complex subunit beta OS=Homo sapiens GN=AP2B1 PE=1 SV=1</t>
  </si>
  <si>
    <t>P63010</t>
  </si>
  <si>
    <t>Q7L7X3;Q7L7X3-3;Q7L7X3-2;Q9UL54-2;Q9UL54-4;Q9UL54;Q9UL54-3</t>
  </si>
  <si>
    <t>&gt;sp|Q7L7X3|TAOK1_HUMAN Serine/threonine-protein kinase TAO1 OS=Homo sapiens GN=TAOK1 PE=1 SV=1</t>
  </si>
  <si>
    <t>Q7L7X3</t>
  </si>
  <si>
    <t>Q99879;Q99877;Q93079;Q5QNW6;P62807;P58876;P57053;O60814;Q5QNW6-2;Q99880;Q8N257;Q96A08</t>
  </si>
  <si>
    <t>&gt;sp|Q99879|H2B1M_HUMAN Histone H2B type 1-M OS=Homo sapiens GN=HIST1H2BM PE=1 SV=3</t>
  </si>
  <si>
    <t>Q99879</t>
  </si>
  <si>
    <t>P05154</t>
  </si>
  <si>
    <t>&gt;sp|P05154|IPSP_HUMAN Plasma serine protease inhibitor OS=Homo sapiens GN=SERPINA5 PE=1 SV=3</t>
  </si>
  <si>
    <t>P31040;P31040-2;P31040-3</t>
  </si>
  <si>
    <t>&gt;sp|P31040|SDHA_HUMAN Succinate dehydrogenase [ubiquinone] flavoprotein subunit, mitochondrial OS=Homo sapiens GN=SDHA PE=1 SV=2</t>
  </si>
  <si>
    <t>P31040</t>
  </si>
  <si>
    <t>P36542-2;P36542</t>
  </si>
  <si>
    <t>&gt;sp|P36542-2|ATPG_HUMAN Isoform Heart of ATP synthase subunit gamma, mitochondrial OS=Homo sapiens GN=ATP5C1</t>
  </si>
  <si>
    <t>P36542-2</t>
  </si>
  <si>
    <t>P42768</t>
  </si>
  <si>
    <t>&gt;sp|P42768|WASP_HUMAN Wiskott-Aldrich syndrome protein OS=Homo sapiens GN=WAS PE=1 SV=4</t>
  </si>
  <si>
    <t>P60891;P60891-2;P21108</t>
  </si>
  <si>
    <t>&gt;sp|P60891|PRPS1_HUMAN Ribose-phosphate pyrophosphokinase 1 OS=Homo sapiens GN=PRPS1 PE=1 SV=2</t>
  </si>
  <si>
    <t>P60891</t>
  </si>
  <si>
    <t>P60900;P60900-2;P60900-3</t>
  </si>
  <si>
    <t>&gt;sp|P60900|PSA6_HUMAN Proteasome subunit alpha type-6 OS=Homo sapiens GN=PSMA6 PE=1 SV=1</t>
  </si>
  <si>
    <t>P60900</t>
  </si>
  <si>
    <t>Q96RT1-7;Q96RT1-6;Q96RT1-4;Q96RT1-5;Q96RT1-3;Q96RT1-9;Q96RT1-2;Q96RT1;Q96RT1-8;Q96NW7-3</t>
  </si>
  <si>
    <t>&gt;sp|Q96RT1-7|LAP2_HUMAN Isoform 7 of Protein LAP2 OS=Homo sapiens GN=ERBB2IP</t>
  </si>
  <si>
    <t>Q96RT1-7</t>
  </si>
  <si>
    <t>P53801</t>
  </si>
  <si>
    <t>&gt;sp|P53801|PTTG_HUMAN Pituitary tumor-transforming gene 1 protein-interacting protein OS=Homo sapiens GN=PTTG1IP PE=1 SV=1</t>
  </si>
  <si>
    <t>P61201;P61201-2</t>
  </si>
  <si>
    <t>&gt;sp|P61201|CSN2_HUMAN COP9 signalosome complex subunit 2 OS=Homo sapiens GN=COPS2 PE=1 SV=1</t>
  </si>
  <si>
    <t>P61201</t>
  </si>
  <si>
    <t>P80748</t>
  </si>
  <si>
    <t>&gt;sp|P80748|LV302_HUMAN Ig lambda chain V-III region LOI OS=Homo sapiens PE=1 SV=1</t>
  </si>
  <si>
    <t>IGLV3-21</t>
  </si>
  <si>
    <t>Q12907</t>
  </si>
  <si>
    <t>&gt;sp|Q12907|LMAN2_HUMAN Vesicular integral-membrane protein VIP36 OS=Homo sapiens GN=LMAN2 PE=1 SV=1</t>
  </si>
  <si>
    <t>Q13404;Q13404-7;Q13404-2;Q13404-1;Q13404-8;Q13404-6</t>
  </si>
  <si>
    <t>&gt;sp|Q13404|UB2V1_HUMAN Ubiquitin-conjugating enzyme E2 variant 1 OS=Homo sapiens GN=UBE2V1 PE=1 SV=2</t>
  </si>
  <si>
    <t>Q13404</t>
  </si>
  <si>
    <t>Q9UFN0</t>
  </si>
  <si>
    <t>&gt;sp|Q9UFN0|NPS3A_HUMAN Protein NipSnap homolog 3A OS=Homo sapiens GN=NIPSNAP3A PE=1 SV=2</t>
  </si>
  <si>
    <t>P36969-2;P36969</t>
  </si>
  <si>
    <t>&gt;sp|P36969-2|GPX4_HUMAN Isoform Cytoplasmic of Phospholipid hydroperoxide glutathione peroxidase, mitochondrial OS=Homo sapiens GN=GPX4</t>
  </si>
  <si>
    <t>P36969-2</t>
  </si>
  <si>
    <t>P50502;Q8NFI4;Q8IZP2</t>
  </si>
  <si>
    <t>&gt;sp|P50502|F10A1_HUMAN Hsc70-interacting protein OS=Homo sapiens GN=ST13 PE=1 SV=2</t>
  </si>
  <si>
    <t>P50502</t>
  </si>
  <si>
    <t>O60749-2;O60749</t>
  </si>
  <si>
    <t>&gt;sp|O60749-2|SNX2_HUMAN Isoform 2 of Sorting nexin-2 OS=Homo sapiens GN=SNX2</t>
  </si>
  <si>
    <t>O60749-2</t>
  </si>
  <si>
    <t>Q96IU4;Q96IU4-2</t>
  </si>
  <si>
    <t>&gt;sp|Q96IU4|ABHEB_HUMAN Alpha/beta hydrolase domain-containing protein 14B OS=Homo sapiens GN=ABHD14B PE=1 SV=1</t>
  </si>
  <si>
    <t>Q96IU4</t>
  </si>
  <si>
    <t>Q9BT78;Q9BT78-2</t>
  </si>
  <si>
    <t>&gt;sp|Q9BT78|CSN4_HUMAN COP9 signalosome complex subunit 4 OS=Homo sapiens GN=COPS4 PE=1 SV=1</t>
  </si>
  <si>
    <t>Q9BT78</t>
  </si>
  <si>
    <t>Q9UNF1-2;Q9UNF1;Q9Y5V3;Q9Y5V3-2</t>
  </si>
  <si>
    <t>&gt;sp|Q9UNF1-2|MAGD2_HUMAN Isoform 2 of Melanoma-associated antigen D2 OS=Homo sapiens GN=MAGED2</t>
  </si>
  <si>
    <t>Q9UNF1-2</t>
  </si>
  <si>
    <t>Q9Y371;Q9Y371-2;Q9Y371-3</t>
  </si>
  <si>
    <t>&gt;sp|Q9Y371|SHLB1_HUMAN Endophilin-B1 OS=Homo sapiens GN=SH3GLB1 PE=1 SV=1</t>
  </si>
  <si>
    <t>Q9Y371</t>
  </si>
  <si>
    <t>P15498;P15498-2</t>
  </si>
  <si>
    <t>&gt;sp|P15498|VAV_HUMAN Proto-oncogene vav OS=Homo sapiens GN=VAV1 PE=1 SV=4</t>
  </si>
  <si>
    <t>P15498</t>
  </si>
  <si>
    <t>P28066;P28066-2</t>
  </si>
  <si>
    <t>&gt;sp|P28066|PSA5_HUMAN Proteasome subunit alpha type-5 OS=Homo sapiens GN=PSMA5 PE=1 SV=3</t>
  </si>
  <si>
    <t>P28066</t>
  </si>
  <si>
    <t>Q8NBF2;Q8NBF2-2</t>
  </si>
  <si>
    <t>&gt;sp|Q8NBF2|NHLC2_HUMAN NHL repeat-containing protein 2 OS=Homo sapiens GN=NHLRC2 PE=1 SV=1</t>
  </si>
  <si>
    <t>Q8NBF2</t>
  </si>
  <si>
    <t>O60763;O60763-2;REV__Q5VZ89-5;REV__Q5VZ89-6;REV__Q5VZ89</t>
  </si>
  <si>
    <t>&gt;sp|O60763|USO1_HUMAN General vesicular transport factor p115 OS=Homo sapiens GN=USO1 PE=1 SV=2</t>
  </si>
  <si>
    <t>O60763</t>
  </si>
  <si>
    <t>P05976-2;P05976;P08590</t>
  </si>
  <si>
    <t>&gt;sp|P05976-2|MYL1_HUMAN Isoform MLC3 of Myosin light chain 1/3, skeletal muscle isoform OS=Homo sapiens GN=MYL1</t>
  </si>
  <si>
    <t>P05976-2</t>
  </si>
  <si>
    <t>P13796;P13796-2</t>
  </si>
  <si>
    <t>&gt;sp|P13796|PLSL_HUMAN Plastin-2 OS=Homo sapiens GN=LCP1 PE=1 SV=6</t>
  </si>
  <si>
    <t>P13796</t>
  </si>
  <si>
    <t>P26599;P26599-2;P26599-3</t>
  </si>
  <si>
    <t>&gt;sp|P26599|PTBP1_HUMAN Polypyrimidine tract-binding protein 1 OS=Homo sapiens GN=PTBP1 PE=1 SV=1</t>
  </si>
  <si>
    <t>P26599</t>
  </si>
  <si>
    <t>Q969T9</t>
  </si>
  <si>
    <t>&gt;sp|Q969T9|WBP2_HUMAN WW domain-binding protein 2 OS=Homo sapiens GN=WBP2 PE=1 SV=1</t>
  </si>
  <si>
    <t>O60496</t>
  </si>
  <si>
    <t>&gt;sp|O60496|DOK2_HUMAN Docking protein 2 OS=Homo sapiens GN=DOK2 PE=1 SV=2</t>
  </si>
  <si>
    <t>P17252;P05129-2;P05129</t>
  </si>
  <si>
    <t>&gt;sp|P17252|KPCA_HUMAN Protein kinase C alpha type OS=Homo sapiens GN=PRKCA PE=1 SV=4</t>
  </si>
  <si>
    <t>P17252</t>
  </si>
  <si>
    <t>P54819-5;P54819-2;P54819;P54819-3;P54819-6;P54819-4</t>
  </si>
  <si>
    <t>&gt;sp|P54819-5|KAD2_HUMAN Isoform 5 of Adenylate kinase 2, mitochondrial OS=Homo sapiens GN=AK2</t>
  </si>
  <si>
    <t>P54819-5</t>
  </si>
  <si>
    <t>Q04760-2;Q04760</t>
  </si>
  <si>
    <t>&gt;sp|Q04760-2|LGUL_HUMAN Isoform 2 of Lactoylglutathione lyase OS=Homo sapiens GN=GLO1</t>
  </si>
  <si>
    <t>Q04760-2</t>
  </si>
  <si>
    <t>Q15257-2;Q15257;Q15257-4;Q15257-3</t>
  </si>
  <si>
    <t>&gt;sp|Q15257-2|PTPA_HUMAN Isoform 1 of Serine/threonine-protein phosphatase 2A activator OS=Homo sapiens GN=PPP2R4</t>
  </si>
  <si>
    <t>Q15257-2</t>
  </si>
  <si>
    <t>Q16610;Q16610-4;Q16610-2;Q16610-3</t>
  </si>
  <si>
    <t>&gt;sp|Q16610|ECM1_HUMAN Extracellular matrix protein 1 OS=Homo sapiens GN=ECM1 PE=1 SV=2</t>
  </si>
  <si>
    <t>Q16610</t>
  </si>
  <si>
    <t>Q9BX67;Q9BX67-2</t>
  </si>
  <si>
    <t>&gt;sp|Q9BX67|JAM3_HUMAN Junctional adhesion molecule C OS=Homo sapiens GN=JAM3 PE=1 SV=1</t>
  </si>
  <si>
    <t>Q9BX67</t>
  </si>
  <si>
    <t>A0FGR8-2;A0FGR8;A0FGR8-6;A0FGR8-4;A0FGR8-5</t>
  </si>
  <si>
    <t>&gt;sp|A0FGR8-2|ESYT2_HUMAN Isoform 2 of Extended synaptotagmin-2 OS=Homo sapiens GN=ESYT2</t>
  </si>
  <si>
    <t>A0FGR8-2</t>
  </si>
  <si>
    <t>P01042</t>
  </si>
  <si>
    <t>&gt;sp|P01042|KNG1_HUMAN Kininogen-1 OS=Homo sapiens GN=KNG1 PE=1 SV=2</t>
  </si>
  <si>
    <t>P02745</t>
  </si>
  <si>
    <t>&gt;sp|P02745|C1QA_HUMAN Complement C1q subcomponent subunit A OS=Homo sapiens GN=C1QA PE=1 SV=2</t>
  </si>
  <si>
    <t>P13798</t>
  </si>
  <si>
    <t>&gt;sp|P13798|ACPH_HUMAN Acylamino-acid-releasing enzyme OS=Homo sapiens GN=APEH PE=1 SV=4</t>
  </si>
  <si>
    <t>P18085</t>
  </si>
  <si>
    <t>&gt;sp|P18085|ARF4_HUMAN ADP-ribosylation factor 4 OS=Homo sapiens GN=ARF4 PE=1 SV=3</t>
  </si>
  <si>
    <t>O00116</t>
  </si>
  <si>
    <t>&gt;sp|O00116|ADAS_HUMAN Alkyldihydroxyacetonephosphate synthase, peroxisomal OS=Homo sapiens GN=AGPS PE=1 SV=1</t>
  </si>
  <si>
    <t>O95782-2;O95782;O94973-3;O94973;O94973-2</t>
  </si>
  <si>
    <t>&gt;sp|O95782-2|AP2A1_HUMAN Isoform B of AP-2 complex subunit alpha-1 OS=Homo sapiens GN=AP2A1</t>
  </si>
  <si>
    <t>O95782-2</t>
  </si>
  <si>
    <t>P13073</t>
  </si>
  <si>
    <t>&gt;sp|P13073|COX41_HUMAN Cytochrome c oxidase subunit 4 isoform 1, mitochondrial OS=Homo sapiens GN=COX4I1 PE=1 SV=1</t>
  </si>
  <si>
    <t>P51606;P51606-2</t>
  </si>
  <si>
    <t>&gt;sp|P51606|RENBP_HUMAN N-acylglucosamine 2-epimerase OS=Homo sapiens GN=RENBP PE=1 SV=2</t>
  </si>
  <si>
    <t>P51606</t>
  </si>
  <si>
    <t>Q96CN7</t>
  </si>
  <si>
    <t>&gt;sp|Q96CN7|ISOC1_HUMAN Isochorismatase domain-containing protein 1 OS=Homo sapiens GN=ISOC1 PE=1 SV=3</t>
  </si>
  <si>
    <t>Q9HCN6-2;Q9HCN6;Q9HCN6-3</t>
  </si>
  <si>
    <t>&gt;sp|Q9HCN6-2|GPVI_HUMAN Isoform 2 of Platelet glycoprotein VI OS=Homo sapiens GN=GP6</t>
  </si>
  <si>
    <t>Q9HCN6-2</t>
  </si>
  <si>
    <t>Q9Y6N5</t>
  </si>
  <si>
    <t>&gt;sp|Q9Y6N5|SQRD_HUMAN Sulfide:quinone oxidoreductase, mitochondrial OS=Homo sapiens GN=SQRDL PE=1 SV=1</t>
  </si>
  <si>
    <t>O43815-2;O43815</t>
  </si>
  <si>
    <t>&gt;sp|O43815-2|STRN_HUMAN Isoform 2 of Striatin OS=Homo sapiens GN=STRN</t>
  </si>
  <si>
    <t>O43815-2</t>
  </si>
  <si>
    <t>P23526;P23526-2</t>
  </si>
  <si>
    <t>&gt;sp|P23526|SAHH_HUMAN Adenosylhomocysteinase OS=Homo sapiens GN=AHCY PE=1 SV=4</t>
  </si>
  <si>
    <t>P23526</t>
  </si>
  <si>
    <t>P46459;P46459-2</t>
  </si>
  <si>
    <t>&gt;sp|P46459|NSF_HUMAN Vesicle-fusing ATPase OS=Homo sapiens GN=NSF PE=1 SV=3</t>
  </si>
  <si>
    <t>P46459</t>
  </si>
  <si>
    <t>P47712</t>
  </si>
  <si>
    <t>&gt;sp|P47712|PA24A_HUMAN Cytosolic phospholipase A2 OS=Homo sapiens GN=PLA2G4A PE=1 SV=2</t>
  </si>
  <si>
    <t>P61225;Q9Y3L5;P10114</t>
  </si>
  <si>
    <t>&gt;sp|P61225|RAP2B_HUMAN Ras-related protein Rap-2b OS=Homo sapiens GN=RAP2B PE=1 SV=1</t>
  </si>
  <si>
    <t>P61225</t>
  </si>
  <si>
    <t>Q06124-2;Q06124;Q06124-3</t>
  </si>
  <si>
    <t>&gt;sp|Q06124-2|PTN11_HUMAN Isoform 2 of Tyrosine-protein phosphatase non-receptor type 11 OS=Homo sapiens GN=PTPN11</t>
  </si>
  <si>
    <t>Q06124-2</t>
  </si>
  <si>
    <t>Q13867</t>
  </si>
  <si>
    <t>&gt;sp|Q13867|BLMH_HUMAN Bleomycin hydrolase OS=Homo sapiens GN=BLMH PE=1 SV=1</t>
  </si>
  <si>
    <t>O15400-2;O15400</t>
  </si>
  <si>
    <t>&gt;sp|O15400-2|STX7_HUMAN Isoform 2 of Syntaxin-7 OS=Homo sapiens GN=STX7</t>
  </si>
  <si>
    <t>O15400-2</t>
  </si>
  <si>
    <t>P36959;Q9P0U4;Q9P0U4-2</t>
  </si>
  <si>
    <t>&gt;sp|P36959|GMPR1_HUMAN GMP reductase 1 OS=Homo sapiens GN=GMPR PE=1 SV=1</t>
  </si>
  <si>
    <t>P36959</t>
  </si>
  <si>
    <t>Q6IAA8</t>
  </si>
  <si>
    <t>&gt;sp|Q6IAA8|LTOR1_HUMAN Ragulator complex protein LAMTOR1 OS=Homo sapiens GN=LAMTOR1 PE=1 SV=2</t>
  </si>
  <si>
    <t>Q8IUI8-2;Q8IUI8</t>
  </si>
  <si>
    <t>&gt;sp|Q8IUI8-2|CRLF3_HUMAN Isoform 2 of Cytokine receptor-like factor 3 OS=Homo sapiens GN=CRLF3</t>
  </si>
  <si>
    <t>Q8IUI8-2</t>
  </si>
  <si>
    <t>Q9ULH1;Q9ULH1-2</t>
  </si>
  <si>
    <t>&gt;sp|Q9ULH1|ASAP1_HUMAN Arf-GAP with SH3 domain, ANK repeat and PH domain-containing protein 1 OS=Homo sapiens GN=ASAP1 PE=1 SV=4</t>
  </si>
  <si>
    <t>Q9ULH1</t>
  </si>
  <si>
    <t>O43681</t>
  </si>
  <si>
    <t>&gt;sp|O43681|ASNA_HUMAN ATPase ASNA1 OS=Homo sapiens GN=ASNA1 PE=1 SV=2</t>
  </si>
  <si>
    <t>P01033</t>
  </si>
  <si>
    <t>&gt;sp|P01033|TIMP1_HUMAN Metalloproteinase inhibitor 1 OS=Homo sapiens GN=TIMP1 PE=1 SV=1</t>
  </si>
  <si>
    <t>P48507;P48507-2</t>
  </si>
  <si>
    <t>&gt;sp|P48507|GSH0_HUMAN Glutamate--cysteine ligase regulatory subunit OS=Homo sapiens GN=GCLM PE=1 SV=1</t>
  </si>
  <si>
    <t>P48507</t>
  </si>
  <si>
    <t>P62195-2;P62195;Q8NB90-3;Q8NB90-2;Q8NB90</t>
  </si>
  <si>
    <t>&gt;sp|P62195-2|PRS8_HUMAN Isoform 2 of 26S protease regulatory subunit 8 OS=Homo sapiens GN=PSMC5</t>
  </si>
  <si>
    <t>P62195-2</t>
  </si>
  <si>
    <t>Q9H3U1-2;Q9H3U1;Q9H3U1-3</t>
  </si>
  <si>
    <t>&gt;sp|Q9H3U1-2|UN45A_HUMAN Isoform 2 of Protein unc-45 homolog A OS=Homo sapiens GN=UNC45A</t>
  </si>
  <si>
    <t>Q9H3U1-2</t>
  </si>
  <si>
    <t>Q9UKG1</t>
  </si>
  <si>
    <t>&gt;sp|Q9UKG1|DP13A_HUMAN DCC-interacting protein 13-alpha OS=Homo sapiens GN=APPL1 PE=1 SV=1</t>
  </si>
  <si>
    <t>O43516-2;O43516;O43516-3;O43516-4</t>
  </si>
  <si>
    <t>&gt;sp|O43516-2|WIPF1_HUMAN Isoform 2 of WAS/WASL-interacting protein family member 1 OS=Homo sapiens GN=WIPF1</t>
  </si>
  <si>
    <t>O43516-2</t>
  </si>
  <si>
    <t>P05109</t>
  </si>
  <si>
    <t>&gt;sp|P05109|S10A8_HUMAN Protein S100-A8 OS=Homo sapiens GN=S100A8 PE=1 SV=1</t>
  </si>
  <si>
    <t>P21281;P15313</t>
  </si>
  <si>
    <t>&gt;sp|P21281|VATB2_HUMAN V-type proton ATPase subunit B, brain isoform OS=Homo sapiens GN=ATP6V1B2 PE=1 SV=3</t>
  </si>
  <si>
    <t>P21281</t>
  </si>
  <si>
    <t>P54727;P54727-2</t>
  </si>
  <si>
    <t>&gt;sp|P54727|RD23B_HUMAN UV excision repair protein RAD23 homolog B OS=Homo sapiens GN=RAD23B PE=1 SV=1</t>
  </si>
  <si>
    <t>P54727</t>
  </si>
  <si>
    <t>Q9H8S9;Q9H8S9-2</t>
  </si>
  <si>
    <t>&gt;sp|Q9H8S9|MOB1A_HUMAN MOB kinase activator 1A OS=Homo sapiens GN=MOB1A PE=1 SV=4</t>
  </si>
  <si>
    <t>Q9H8S9</t>
  </si>
  <si>
    <t>Q9P126-2;Q9P126</t>
  </si>
  <si>
    <t>&gt;sp|Q9P126-2|CLC1B_HUMAN Isoform 2 of C-type lectin domain family 1 member B OS=Homo sapiens GN=CLEC1B</t>
  </si>
  <si>
    <t>Q9P126-2</t>
  </si>
  <si>
    <t>P01771</t>
  </si>
  <si>
    <t>&gt;sp|P01771|HV310_HUMAN Ig heavy chain V-III region HIL OS=Homo sapiens PE=1 SV=1</t>
  </si>
  <si>
    <t>IGHV3-33</t>
  </si>
  <si>
    <t>P04439</t>
  </si>
  <si>
    <t>&gt;sp|P04439|1A03_HUMAN HLA class I histocompatibility antigen, A-3 alpha chain OS=Homo sapiens GN=HLA-A PE=1 SV=2</t>
  </si>
  <si>
    <t>Q53GQ0;Q53GQ0-2</t>
  </si>
  <si>
    <t>&gt;sp|Q53GQ0|DHB12_HUMAN Very-long-chain 3-oxoacyl-CoA reductase OS=Homo sapiens GN=HSD17B12 PE=1 SV=2</t>
  </si>
  <si>
    <t>Q53GQ0</t>
  </si>
  <si>
    <t>Q6VY07;Q6VY07-2</t>
  </si>
  <si>
    <t>&gt;sp|Q6VY07|PACS1_HUMAN Phosphofurin acidic cluster sorting protein 1 OS=Homo sapiens GN=PACS1 PE=1 SV=2</t>
  </si>
  <si>
    <t>Q6VY07</t>
  </si>
  <si>
    <t>Q96DZ9-4;Q96DZ9-5;Q96DZ9-3;Q96DZ9-6;Q96DZ9-2;Q96DZ9</t>
  </si>
  <si>
    <t>&gt;sp|Q96DZ9-4|CKLF5_HUMAN Isoform 4 of CKLF-like MARVEL transmembrane domain-containing protein 5 OS=Homo sapiens GN=CMTM5</t>
  </si>
  <si>
    <t>Q96DZ9-4</t>
  </si>
  <si>
    <t>O94979-6;O94979-3;O94979-10;O94979-4;O94979-9;O94979-2;O94979;O94979-8;O94979-7;O94979-5</t>
  </si>
  <si>
    <t>&gt;sp|O94979-6|SC31A_HUMAN Isoform 6 of Protein transport protein Sec31A OS=Homo sapiens GN=SEC31A</t>
  </si>
  <si>
    <t>O94979-6</t>
  </si>
  <si>
    <t>P07093-2;P07093-3;P07093</t>
  </si>
  <si>
    <t>&gt;sp|P07093-2|GDN_HUMAN Isoform 2 of Glia-derived nexin OS=Homo sapiens GN=SERPINE2</t>
  </si>
  <si>
    <t>P07093-2</t>
  </si>
  <si>
    <t>P09496-2;P09496-4;P09496-3;P09496;P09496-5</t>
  </si>
  <si>
    <t>&gt;sp|P09496-2|CLCA_HUMAN Isoform Non-brain of Clathrin light chain A OS=Homo sapiens GN=CLTA</t>
  </si>
  <si>
    <t>P09496-2</t>
  </si>
  <si>
    <t>P30626-3;P30626-2;P30626</t>
  </si>
  <si>
    <t>&gt;sp|P30626-3|SORCN_HUMAN Isoform 3 of Sorcin OS=Homo sapiens GN=SRI</t>
  </si>
  <si>
    <t>P30626-3</t>
  </si>
  <si>
    <t>P42566;P42566-2</t>
  </si>
  <si>
    <t>&gt;sp|P42566|EPS15_HUMAN Epidermal growth factor receptor substrate 15 OS=Homo sapiens GN=EPS15 PE=1 SV=2</t>
  </si>
  <si>
    <t>P42566</t>
  </si>
  <si>
    <t>P58546</t>
  </si>
  <si>
    <t>&gt;sp|P58546|MTPN_HUMAN Myotrophin OS=Homo sapiens GN=MTPN PE=1 SV=2</t>
  </si>
  <si>
    <t>Q05397-7;Q05397;Q05397-5;Q05397-2;Q05397-6;Q05397-4;Q05397-3</t>
  </si>
  <si>
    <t>&gt;sp|Q05397-7|FAK1_HUMAN Isoform 7 of Focal adhesion kinase 1 OS=Homo sapiens GN=PTK2</t>
  </si>
  <si>
    <t>Q05397-7</t>
  </si>
  <si>
    <t>Q6ZVM7;Q6ZVM7-5;Q6ZVM7-2;Q6ZVM7-3;Q6ZVM7-4</t>
  </si>
  <si>
    <t>&gt;sp|Q6ZVM7|TM1L2_HUMAN TOM1-like protein 2 OS=Homo sapiens GN=TOM1L2 PE=1 SV=1</t>
  </si>
  <si>
    <t>Q6ZVM7</t>
  </si>
  <si>
    <t>Q9H2U2;Q9H2U2-2;Q9H2U2-6;Q9H2U2-3;Q9H2U2-4</t>
  </si>
  <si>
    <t>&gt;sp|Q9H2U2|IPYR2_HUMAN Inorganic pyrophosphatase 2, mitochondrial OS=Homo sapiens GN=PPA2 PE=1 SV=2</t>
  </si>
  <si>
    <t>Q9H2U2</t>
  </si>
  <si>
    <t>Q9UIA9</t>
  </si>
  <si>
    <t>&gt;sp|Q9UIA9|XPO7_HUMAN Exportin-7 OS=Homo sapiens GN=XPO7 PE=1 SV=3</t>
  </si>
  <si>
    <t>Q9Y608-4;Q9Y608;Q9Y608-2;Q9Y608-5;Q9Y608-3</t>
  </si>
  <si>
    <t>&gt;sp|Q9Y608-4|LRRF2_HUMAN Isoform 4 of Leucine-rich repeat flightless-interacting protein 2 OS=Homo sapiens GN=LRRFIP2</t>
  </si>
  <si>
    <t>Q9Y608-4</t>
  </si>
  <si>
    <t>P01620</t>
  </si>
  <si>
    <t>&gt;sp|P01620|KV302_HUMAN Ig kappa chain V-III region SIE OS=Homo sapiens PE=1 SV=1</t>
  </si>
  <si>
    <t>P07954-2;P07954</t>
  </si>
  <si>
    <t>&gt;sp|P07954-2|FUMH_HUMAN Isoform Cytoplasmic of Fumarate hydratase, mitochondrial OS=Homo sapiens GN=FH</t>
  </si>
  <si>
    <t>P07954-2</t>
  </si>
  <si>
    <t>P09493-5</t>
  </si>
  <si>
    <t>&gt;sp|P09493-5|TPM1_HUMAN Isoform 5 of Tropomyosin alpha-1 chain OS=Homo sapiens GN=TPM1</t>
  </si>
  <si>
    <t>P55212;P55212-2</t>
  </si>
  <si>
    <t>&gt;sp|P55212|CASP6_HUMAN Caspase-6 OS=Homo sapiens GN=CASP6 PE=1 SV=2</t>
  </si>
  <si>
    <t>P55212</t>
  </si>
  <si>
    <t>P55884;P55884-2</t>
  </si>
  <si>
    <t>&gt;sp|P55884|EIF3B_HUMAN Eukaryotic translation initiation factor 3 subunit B OS=Homo sapiens GN=EIF3B PE=1 SV=3</t>
  </si>
  <si>
    <t>P55884</t>
  </si>
  <si>
    <t>Q8TD55;Q8TD55-2</t>
  </si>
  <si>
    <t>&gt;sp|Q8TD55|PKHO2_HUMAN Pleckstrin homology domain-containing family O member 2 OS=Homo sapiens GN=PLEKHO2 PE=1 SV=1</t>
  </si>
  <si>
    <t>Q8TD55</t>
  </si>
  <si>
    <t>O60234;P60983</t>
  </si>
  <si>
    <t>&gt;sp|O60234|GMFG_HUMAN Glia maturation factor gamma OS=Homo sapiens GN=GMFG PE=1 SV=1</t>
  </si>
  <si>
    <t>O60234</t>
  </si>
  <si>
    <t>O60506-4;O60506-3;O60506-2;O60506;O60506-5;O43390-3;O43390;O43390-2;O43390-4</t>
  </si>
  <si>
    <t>&gt;sp|O60506-4|HNRPQ_HUMAN Isoform 4 of Heterogeneous nuclear ribonucleoprotein Q OS=Homo sapiens GN=SYNCRIP</t>
  </si>
  <si>
    <t>O60506-4</t>
  </si>
  <si>
    <t>P05141</t>
  </si>
  <si>
    <t>&gt;sp|P05141|ADT2_HUMAN ADP/ATP translocase 2 OS=Homo sapiens GN=SLC25A5 PE=1 SV=7</t>
  </si>
  <si>
    <t>P07741-2;P07741</t>
  </si>
  <si>
    <t>&gt;sp|P07741-2|APT_HUMAN Isoform 2 of Adenine phosphoribosyltransferase OS=Homo sapiens GN=APRT</t>
  </si>
  <si>
    <t>P07741-2</t>
  </si>
  <si>
    <t>P13693;P13693-2;Q56UQ5;Q9HAU6</t>
  </si>
  <si>
    <t>&gt;sp|P13693|TCTP_HUMAN Translationally-controlled tumor protein OS=Homo sapiens GN=TPT1 PE=1 SV=1</t>
  </si>
  <si>
    <t>P13693</t>
  </si>
  <si>
    <t>P48147</t>
  </si>
  <si>
    <t>&gt;sp|P48147|PPCE_HUMAN Prolyl endopeptidase OS=Homo sapiens GN=PREP PE=1 SV=2</t>
  </si>
  <si>
    <t>P49257</t>
  </si>
  <si>
    <t>&gt;sp|P49257|LMAN1_HUMAN Protein ERGIC-53 OS=Homo sapiens GN=LMAN1 PE=1 SV=2</t>
  </si>
  <si>
    <t>P61769</t>
  </si>
  <si>
    <t>&gt;sp|P61769|B2MG_HUMAN Beta-2-microglobulin OS=Homo sapiens GN=B2M PE=1 SV=1</t>
  </si>
  <si>
    <t>Q13011</t>
  </si>
  <si>
    <t>&gt;sp|Q13011|ECH1_HUMAN Delta(3,5)-Delta(2,4)-dienoyl-CoA isomerase, mitochondrial OS=Homo sapiens GN=ECH1 PE=1 SV=2</t>
  </si>
  <si>
    <t>P25325;P25325-2</t>
  </si>
  <si>
    <t>&gt;sp|P25325|THTM_HUMAN 3-mercaptopyruvate sulfurtransferase OS=Homo sapiens GN=MPST PE=1 SV=3</t>
  </si>
  <si>
    <t>P25325</t>
  </si>
  <si>
    <t>P28161;P28161-2</t>
  </si>
  <si>
    <t>&gt;sp|P28161|GSTM2_HUMAN Glutathione S-transferase Mu 2 OS=Homo sapiens GN=GSTM2 PE=1 SV=2</t>
  </si>
  <si>
    <t>P28161</t>
  </si>
  <si>
    <t>Q13464</t>
  </si>
  <si>
    <t>&gt;sp|Q13464|ROCK1_HUMAN Rho-associated protein kinase 1 OS=Homo sapiens GN=ROCK1 PE=1 SV=1</t>
  </si>
  <si>
    <t>Q8NG06</t>
  </si>
  <si>
    <t>&gt;sp|Q8NG06|TRI58_HUMAN E3 ubiquitin-protein ligase TRIM58 OS=Homo sapiens GN=TRIM58 PE=2 SV=2</t>
  </si>
  <si>
    <t>Q9UHB6-2;Q9UHB6-5;Q9UHB6;Q9UHB6-4;Q9UHB6-3;Q9BT23</t>
  </si>
  <si>
    <t>&gt;sp|Q9UHB6-2|LIMA1_HUMAN Isoform Alpha of LIM domain and actin-binding protein 1 OS=Homo sapiens GN=LIMA1</t>
  </si>
  <si>
    <t>Q9UHB6-2</t>
  </si>
  <si>
    <t>O60493;O60493-2;O60493-4;O60493-3</t>
  </si>
  <si>
    <t>&gt;sp|O60493|SNX3_HUMAN Sorting nexin-3 OS=Homo sapiens GN=SNX3 PE=1 SV=3</t>
  </si>
  <si>
    <t>O60493</t>
  </si>
  <si>
    <t>O75882-3;O75882-2;O75882</t>
  </si>
  <si>
    <t>&gt;sp|O75882-3|ATRN_HUMAN Isoform 3 of Attractin OS=Homo sapiens GN=ATRN</t>
  </si>
  <si>
    <t>O75882-3</t>
  </si>
  <si>
    <t>P21964-2;P21964</t>
  </si>
  <si>
    <t>&gt;sp|P21964-2|COMT_HUMAN Isoform Soluble of Catechol O-methyltransferase OS=Homo sapiens GN=COMT</t>
  </si>
  <si>
    <t>P21964-2</t>
  </si>
  <si>
    <t>P22352</t>
  </si>
  <si>
    <t>&gt;sp|P22352|GPX3_HUMAN Glutathione peroxidase 3 OS=Homo sapiens GN=GPX3 PE=1 SV=2</t>
  </si>
  <si>
    <t>P35613-2;P35613;P35613-3;P35613-4</t>
  </si>
  <si>
    <t>&gt;sp|P35613-2|BASI_HUMAN Isoform 2 of Basigin OS=Homo sapiens GN=BSG</t>
  </si>
  <si>
    <t>P35613-2</t>
  </si>
  <si>
    <t>Q02153;Q02153-3;Q02153-2</t>
  </si>
  <si>
    <t>&gt;sp|Q02153|GCYB1_HUMAN Guanylate cyclase soluble subunit beta-1 OS=Homo sapiens GN=GUCY1B3 PE=1 SV=1</t>
  </si>
  <si>
    <t>Q02153</t>
  </si>
  <si>
    <t>Q92882</t>
  </si>
  <si>
    <t>&gt;sp|Q92882|OSTF1_HUMAN Osteoclast-stimulating factor 1 OS=Homo sapiens GN=OSTF1 PE=1 SV=2</t>
  </si>
  <si>
    <t>Q9UIJ7;Q9UIJ7-3;Q9UIJ7-2</t>
  </si>
  <si>
    <t>&gt;sp|Q9UIJ7|KAD3_HUMAN GTP:AMP phosphotransferase AK3, mitochondrial OS=Homo sapiens GN=AK3 PE=1 SV=4</t>
  </si>
  <si>
    <t>Q9UIJ7</t>
  </si>
  <si>
    <t>Q9Y394-2;Q9Y394</t>
  </si>
  <si>
    <t>&gt;sp|Q9Y394-2|DHRS7_HUMAN Isoform 2 of Dehydrogenase/reductase SDR family member 7 OS=Homo sapiens GN=DHRS7</t>
  </si>
  <si>
    <t>Q9Y394-2</t>
  </si>
  <si>
    <t>O00743-2;O00743;O00743-3</t>
  </si>
  <si>
    <t>&gt;sp|O00743-2|PPP6_HUMAN Isoform 2 of Serine/threonine-protein phosphatase 6 catalytic subunit OS=Homo sapiens GN=PPP6C</t>
  </si>
  <si>
    <t>O00743-2</t>
  </si>
  <si>
    <t>P01602</t>
  </si>
  <si>
    <t>&gt;sp|P01602|KV110_HUMAN Ig heavy chain V-I region 5 (Fragment) OS=Homo sapiens GN=IGKV1-5 PE=4 SV=2</t>
  </si>
  <si>
    <t>P04433</t>
  </si>
  <si>
    <t>&gt;sp|P04433|KV309_HUMAN Ig kappa chain V-III region VG (Fragment) OS=Homo sapiens PE=1 SV=1</t>
  </si>
  <si>
    <t>IGKV3-11</t>
  </si>
  <si>
    <t>P11310;P11310-2</t>
  </si>
  <si>
    <t>&gt;sp|P11310|ACADM_HUMAN Medium-chain specific acyl-CoA dehydrogenase, mitochondrial OS=Homo sapiens GN=ACADM PE=1 SV=1</t>
  </si>
  <si>
    <t>P11310</t>
  </si>
  <si>
    <t>Q8IVB4</t>
  </si>
  <si>
    <t>&gt;sp|Q8IVB4|SL9A9_HUMAN Sodium/hydrogen exchanger 9 OS=Homo sapiens GN=SLC9A9 PE=1 SV=1</t>
  </si>
  <si>
    <t>Q9UL25</t>
  </si>
  <si>
    <t>&gt;sp|Q9UL25|RAB21_HUMAN Ras-related protein Rab-21 OS=Homo sapiens GN=RAB21 PE=1 SV=3</t>
  </si>
  <si>
    <t>O14974-4;O14974;O14974-5;O14974-3;O14974-2</t>
  </si>
  <si>
    <t>&gt;sp|O14974-4|MYPT1_HUMAN Isoform 4 of Protein phosphatase 1 regulatory subunit 12A OS=Homo sapiens GN=PPP1R12A</t>
  </si>
  <si>
    <t>O14974-4</t>
  </si>
  <si>
    <t>O14980</t>
  </si>
  <si>
    <t>&gt;sp|O14980|XPO1_HUMAN Exportin-1 OS=Homo sapiens GN=XPO1 PE=1 SV=1</t>
  </si>
  <si>
    <t>O75340-2;O75340</t>
  </si>
  <si>
    <t>&gt;sp|O75340-2|PDCD6_HUMAN Isoform 2 of Programmed cell death protein 6 OS=Homo sapiens GN=PDCD6</t>
  </si>
  <si>
    <t>O75340-2</t>
  </si>
  <si>
    <t>P06310</t>
  </si>
  <si>
    <t>&gt;sp|P06310|KV206_HUMAN Ig kappa chain V-II region RPMI 6410 OS=Homo sapiens PE=4 SV=1</t>
  </si>
  <si>
    <t>IGKV2-30</t>
  </si>
  <si>
    <t>Q99878;Q96KK5;Q9BTM1;P20671;P0C0S8;Q9BTM1-2;P16104;Q71UI9-2;Q71UI9;P0C0S5;Q8IUE6;Q96QV6;Q71UI9-5;Q71UI9-3;Q71UI9-4</t>
  </si>
  <si>
    <t>&gt;sp|Q99878|H2A1J_HUMAN Histone H2A type 1-J OS=Homo sapiens GN=HIST1H2AJ PE=1 SV=3</t>
  </si>
  <si>
    <t>Q99878</t>
  </si>
  <si>
    <t>P13797;P13797-3;P13797-2;Q14651</t>
  </si>
  <si>
    <t>&gt;sp|P13797|PLST_HUMAN Plastin-3 OS=Homo sapiens GN=PLS3 PE=1 SV=4</t>
  </si>
  <si>
    <t>P13797</t>
  </si>
  <si>
    <t>P34897-3;P34897-2;P34897</t>
  </si>
  <si>
    <t>&gt;sp|P34897-3|GLYM_HUMAN Isoform 3 of Serine hydroxymethyltransferase, mitochondrial OS=Homo sapiens GN=SHMT2</t>
  </si>
  <si>
    <t>P34897-3</t>
  </si>
  <si>
    <t>P43487-2;P43487</t>
  </si>
  <si>
    <t>&gt;sp|P43487-2|RANG_HUMAN Isoform 2 of Ran-specific GTPase-activating protein OS=Homo sapiens GN=RANBP1</t>
  </si>
  <si>
    <t>P43487-2</t>
  </si>
  <si>
    <t>P52306-4;P52306;P52306-5;P52306-6;P52306-2;P52306-3</t>
  </si>
  <si>
    <t>&gt;sp|P52306-4|GDS1_HUMAN Isoform 4 of Rap1 GTPase-GDP dissociation stimulator 1 OS=Homo sapiens GN=RAP1GDS1</t>
  </si>
  <si>
    <t>P52306-4</t>
  </si>
  <si>
    <t>Q16543</t>
  </si>
  <si>
    <t>&gt;sp|Q16543|CDC37_HUMAN Hsp90 co-chaperone Cdc37 OS=Homo sapiens GN=CDC37 PE=1 SV=1</t>
  </si>
  <si>
    <t>Q8IZ83;Q8IZ83-3;Q8IZ83-2</t>
  </si>
  <si>
    <t>&gt;sp|Q8IZ83|A16A1_HUMAN Aldehyde dehydrogenase family 16 member A1 OS=Homo sapiens GN=ALDH16A1 PE=1 SV=2</t>
  </si>
  <si>
    <t>Q8IZ83</t>
  </si>
  <si>
    <t>Q96CW1-2;Q96CW1</t>
  </si>
  <si>
    <t>&gt;sp|Q96CW1-2|AP2M1_HUMAN Isoform 2 of AP-2 complex subunit mu OS=Homo sapiens GN=AP2M1</t>
  </si>
  <si>
    <t>Q96CW1-2</t>
  </si>
  <si>
    <t>Q9C0I1-3;Q9C0I1-2;Q9C0I1</t>
  </si>
  <si>
    <t>&gt;sp|Q9C0I1-3|MTMRC_HUMAN Isoform 3 of Myotubularin-related protein 12 OS=Homo sapiens GN=MTMR12</t>
  </si>
  <si>
    <t>Q9C0I1-3</t>
  </si>
  <si>
    <t>Q9Y2Q0-3;Q9Y2Q0-2;Q9Y2Q0</t>
  </si>
  <si>
    <t>&gt;sp|Q9Y2Q0-3|AT8A1_HUMAN Isoform 3 of Phospholipid-transporting ATPase IA OS=Homo sapiens GN=ATP8A1</t>
  </si>
  <si>
    <t>Q9Y2Q0-3</t>
  </si>
  <si>
    <t>Q9Y3C8</t>
  </si>
  <si>
    <t>&gt;sp|Q9Y3C8|UFC1_HUMAN Ubiquitin-fold modifier-conjugating enzyme 1 OS=Homo sapiens GN=UFC1 PE=1 SV=3</t>
  </si>
  <si>
    <t>Q05193-3;Q05193;Q05193-5;Q05193-2</t>
  </si>
  <si>
    <t>&gt;sp|Q05193-3|DYN1_HUMAN Isoform 3 of Dynamin-1 OS=Homo sapiens GN=DNM1</t>
  </si>
  <si>
    <t>Q05193-3</t>
  </si>
  <si>
    <t>Q13200;Q13200-3;Q13200-2</t>
  </si>
  <si>
    <t>&gt;sp|Q13200|PSMD2_HUMAN 26S proteasome non-ATPase regulatory subunit 2 OS=Homo sapiens GN=PSMD2 PE=1 SV=3</t>
  </si>
  <si>
    <t>Q13200</t>
  </si>
  <si>
    <t>Q14112-2;Q14112</t>
  </si>
  <si>
    <t>&gt;sp|Q14112-2|NID2_HUMAN Isoform 2 of Nidogen-2 OS=Homo sapiens GN=NID2</t>
  </si>
  <si>
    <t>Q14112-2</t>
  </si>
  <si>
    <t>Q15382</t>
  </si>
  <si>
    <t>&gt;sp|Q15382|RHEB_HUMAN GTP-binding protein Rheb OS=Homo sapiens GN=RHEB PE=1 SV=1</t>
  </si>
  <si>
    <t>Q99714;Q99714-2</t>
  </si>
  <si>
    <t>&gt;sp|Q99714|HCD2_HUMAN 3-hydroxyacyl-CoA dehydrogenase type-2 OS=Homo sapiens GN=HSD17B10 PE=1 SV=3</t>
  </si>
  <si>
    <t>Q99714</t>
  </si>
  <si>
    <t>Q9HC38-2;Q9HC38;Q9HC38-3</t>
  </si>
  <si>
    <t>&gt;sp|Q9HC38-2|GLOD4_HUMAN Isoform 2 of Glyoxalase domain-containing protein 4 OS=Homo sapiens GN=GLOD4</t>
  </si>
  <si>
    <t>Q9HC38-2</t>
  </si>
  <si>
    <t>Q9UKE5-8;Q9UKE5-7;Q9UKE5-6;Q9UKE5-4;Q9UKE5-5;Q9UKE5-3;Q9UKE5-2;Q9UKE5;O95819-4;O95819-2;O95819;O95819-5;O95819-3</t>
  </si>
  <si>
    <t>&gt;sp|Q9UKE5-8|TNIK_HUMAN Isoform 8 of TRAF2 and NCK-interacting protein kinase OS=Homo sapiens GN=TNIK</t>
  </si>
  <si>
    <t>Q9UKE5-8</t>
  </si>
  <si>
    <t>Q9UN19;Q9UN19-2</t>
  </si>
  <si>
    <t>&gt;sp|Q9UN19|DAPP1_HUMAN Dual adapter for phosphotyrosine and 3-phosphotyrosine and 3-phosphoinositide OS=Homo sapiens GN=DAPP1 PE=1 SV=1</t>
  </si>
  <si>
    <t>Q9UN19</t>
  </si>
  <si>
    <t>O43399;O43399-5;O43399-7;O43399-2;O43399-4;O43399-3;O43399-6</t>
  </si>
  <si>
    <t>&gt;sp|O43399|TPD54_HUMAN Tumor protein D54 OS=Homo sapiens GN=TPD52L2 PE=1 SV=2</t>
  </si>
  <si>
    <t>O43399</t>
  </si>
  <si>
    <t>P01702;P06316</t>
  </si>
  <si>
    <t>&gt;sp|P01702|LV104_HUMAN Ig lambda chain V-I region NIG-64 OS=Homo sapiens PE=1 SV=1</t>
  </si>
  <si>
    <t>P01702</t>
  </si>
  <si>
    <t>IGLV1-51</t>
  </si>
  <si>
    <t>P17066;P48741</t>
  </si>
  <si>
    <t>&gt;sp|P17066|HSP76_HUMAN Heat shock 70 kDa protein 6 OS=Homo sapiens GN=HSPA6 PE=1 SV=2</t>
  </si>
  <si>
    <t>P17066</t>
  </si>
  <si>
    <t>P24534</t>
  </si>
  <si>
    <t>&gt;sp|P24534|EF1B_HUMAN Elongation factor 1-beta OS=Homo sapiens GN=EEF1B2 PE=1 SV=3</t>
  </si>
  <si>
    <t>P25789;P25789-2</t>
  </si>
  <si>
    <t>&gt;sp|P25789|PSA4_HUMAN Proteasome subunit alpha type-4 OS=Homo sapiens GN=PSMA4 PE=1 SV=1</t>
  </si>
  <si>
    <t>P25789</t>
  </si>
  <si>
    <t>P35998;P35998-2</t>
  </si>
  <si>
    <t>&gt;sp|P35998|PRS7_HUMAN 26S protease regulatory subunit 7 OS=Homo sapiens GN=PSMC2 PE=1 SV=3</t>
  </si>
  <si>
    <t>P35998</t>
  </si>
  <si>
    <t>P48637;P48637-2</t>
  </si>
  <si>
    <t>&gt;sp|P48637|GSHB_HUMAN Glutathione synthetase OS=Homo sapiens GN=GSS PE=1 SV=1</t>
  </si>
  <si>
    <t>P48637</t>
  </si>
  <si>
    <t>P63261</t>
  </si>
  <si>
    <t>&gt;sp|P63261|ACTG_HUMAN Actin, cytoplasmic 2 OS=Homo sapiens GN=ACTG1 PE=1 SV=1</t>
  </si>
  <si>
    <t>Q96L50-2;Q96L50</t>
  </si>
  <si>
    <t>&gt;sp|Q96L50-2|LLR1_HUMAN Isoform 2 of Leucine-rich repeat protein 1 OS=Homo sapiens GN=LRR1</t>
  </si>
  <si>
    <t>Q96L50-2</t>
  </si>
  <si>
    <t>Q9BWD1;Q9BWD1-2</t>
  </si>
  <si>
    <t>&gt;sp|Q9BWD1|THIC_HUMAN Acetyl-CoA acetyltransferase, cytosolic OS=Homo sapiens GN=ACAT2 PE=1 SV=2</t>
  </si>
  <si>
    <t>Q9BWD1</t>
  </si>
  <si>
    <t>Q9UGM5;Q9UGM5-2</t>
  </si>
  <si>
    <t>&gt;sp|Q9UGM5|FETUB_HUMAN Fetuin-B OS=Homo sapiens GN=FETUB PE=1 SV=2</t>
  </si>
  <si>
    <t>Q9UGM5</t>
  </si>
  <si>
    <t>O14579-2;O14579;O14579-3</t>
  </si>
  <si>
    <t>&gt;sp|O14579-2|COPE_HUMAN Isoform 2 of Coatomer subunit epsilon OS=Homo sapiens GN=COPE</t>
  </si>
  <si>
    <t>O14579-2</t>
  </si>
  <si>
    <t>O75131</t>
  </si>
  <si>
    <t>&gt;sp|O75131|CPNE3_HUMAN Copine-3 OS=Homo sapiens GN=CPNE3 PE=1 SV=1</t>
  </si>
  <si>
    <t>P28062-2;P28062</t>
  </si>
  <si>
    <t>&gt;sp|P28062-2|PSB8_HUMAN Isoform 2 of Proteasome subunit beta type-8 OS=Homo sapiens GN=PSMB8</t>
  </si>
  <si>
    <t>P28062-2</t>
  </si>
  <si>
    <t>P49720</t>
  </si>
  <si>
    <t>&gt;sp|P49720|PSB3_HUMAN Proteasome subunit beta type-3 OS=Homo sapiens GN=PSMB3 PE=1 SV=2</t>
  </si>
  <si>
    <t>Q92905</t>
  </si>
  <si>
    <t>&gt;sp|Q92905|CSN5_HUMAN COP9 signalosome complex subunit 5 OS=Homo sapiens GN=COPS5 PE=1 SV=4</t>
  </si>
  <si>
    <t>Q9HCU4</t>
  </si>
  <si>
    <t>&gt;sp|Q9HCU4|CELR2_HUMAN Cadherin EGF LAG seven-pass G-type receptor 2 OS=Homo sapiens GN=CELSR2 PE=1 SV=1</t>
  </si>
  <si>
    <t>Q9HDC9;Q9HDC9-2</t>
  </si>
  <si>
    <t>&gt;sp|Q9HDC9|APMAP_HUMAN Adipocyte plasma membrane-associated protein OS=Homo sapiens GN=APMAP PE=1 SV=2</t>
  </si>
  <si>
    <t>Q9HDC9</t>
  </si>
  <si>
    <t>Q9UNM6;Q9UNM6-2</t>
  </si>
  <si>
    <t>&gt;sp|Q9UNM6|PSD13_HUMAN 26S proteasome non-ATPase regulatory subunit 13 OS=Homo sapiens GN=PSMD13 PE=1 SV=2</t>
  </si>
  <si>
    <t>Q9UNM6</t>
  </si>
  <si>
    <t>O14964-2;O14964</t>
  </si>
  <si>
    <t>&gt;sp|O14964-2|HGS_HUMAN Isoform 2 of Hepatocyte growth factor-regulated tyrosine kinase substrate OS=Homo sapiens GN=HGS</t>
  </si>
  <si>
    <t>O14964-2</t>
  </si>
  <si>
    <t>P09525;P09525-2</t>
  </si>
  <si>
    <t>&gt;sp|P09525|ANXA4_HUMAN Annexin A4 OS=Homo sapiens GN=ANXA4 PE=1 SV=4</t>
  </si>
  <si>
    <t>P09525</t>
  </si>
  <si>
    <t>P20936-2;P20936-4;P20936;P20936-3</t>
  </si>
  <si>
    <t>&gt;sp|P20936-2|RASA1_HUMAN Isoform 2 of Ras GTPase-activating protein 1 OS=Homo sapiens GN=RASA1</t>
  </si>
  <si>
    <t>P20936-2</t>
  </si>
  <si>
    <t>Q14764</t>
  </si>
  <si>
    <t>&gt;sp|Q14764|MVP_HUMAN Major vault protein OS=Homo sapiens GN=MVP PE=1 SV=4</t>
  </si>
  <si>
    <t>Q15631;Q15631-2</t>
  </si>
  <si>
    <t>&gt;sp|Q15631|TSN_HUMAN Translin OS=Homo sapiens GN=TSN PE=1 SV=1</t>
  </si>
  <si>
    <t>Q15631</t>
  </si>
  <si>
    <t>Q9UPN3;Q9UPN3-4;Q9UPN3-3;Q9UPN3-2;Q9UPN3-5;O15169-2;O15169</t>
  </si>
  <si>
    <t>&gt;sp|Q9UPN3|MACF1_HUMAN Microtubule-actin cross-linking factor 1, isoforms 1/2/3/5 OS=Homo sapiens GN=MACF1 PE=1 SV=4</t>
  </si>
  <si>
    <t>Q9UPN3</t>
  </si>
  <si>
    <t>Q9Y3A5</t>
  </si>
  <si>
    <t>&gt;sp|Q9Y3A5|SBDS_HUMAN Ribosome maturation protein SBDS OS=Homo sapiens GN=SBDS PE=1 SV=4</t>
  </si>
  <si>
    <t>O15327;O15327-2</t>
  </si>
  <si>
    <t>&gt;sp|O15327|INP4B_HUMAN Type II inositol 3,4-bisphosphate 4-phosphatase OS=Homo sapiens GN=INPP4B PE=2 SV=4</t>
  </si>
  <si>
    <t>O15327</t>
  </si>
  <si>
    <t>P01717</t>
  </si>
  <si>
    <t>&gt;sp|P01717|LV403_HUMAN Ig lambda chain V-IV region Hil OS=Homo sapiens PE=1 SV=1</t>
  </si>
  <si>
    <t>IGLV3-25</t>
  </si>
  <si>
    <t>P10316</t>
  </si>
  <si>
    <t>&gt;sp|P10316|1A69_HUMAN HLA class I histocompatibility antigen, A-69 alpha chain OS=Homo sapiens GN=HLA-A PE=1 SV=2</t>
  </si>
  <si>
    <t>P12081-4;P12081;P12081-3;P12081-2;P49590-2;P49590</t>
  </si>
  <si>
    <t>&gt;sp|P12081-4|SYHC_HUMAN Isoform 4 of Histidine--tRNA ligase, cytoplasmic OS=Homo sapiens GN=HARS</t>
  </si>
  <si>
    <t>P12081-4</t>
  </si>
  <si>
    <t>P47897;P47897-2</t>
  </si>
  <si>
    <t>&gt;sp|P47897|SYQ_HUMAN Glutamine--tRNA ligase OS=Homo sapiens GN=QARS PE=1 SV=1</t>
  </si>
  <si>
    <t>P47897</t>
  </si>
  <si>
    <t>P55060-3;P55060;P55060-4;P55060-2</t>
  </si>
  <si>
    <t>&gt;sp|P55060-3|XPO2_HUMAN Isoform 3 of Exportin-2 OS=Homo sapiens GN=CSE1L</t>
  </si>
  <si>
    <t>P55060-3</t>
  </si>
  <si>
    <t>P61086;P61086-2;P61086-3</t>
  </si>
  <si>
    <t>&gt;sp|P61086|UBE2K_HUMAN Ubiquitin-conjugating enzyme E2 K OS=Homo sapiens GN=UBE2K PE=1 SV=3</t>
  </si>
  <si>
    <t>P61086</t>
  </si>
  <si>
    <t>Q04446</t>
  </si>
  <si>
    <t>&gt;sp|Q04446|GLGB_HUMAN 1,4-alpha-glucan-branching enzyme OS=Homo sapiens GN=GBE1 PE=1 SV=3</t>
  </si>
  <si>
    <t>Q7L1Q6-2;Q7L1Q6;Q7L1Q6-4;Q7L1Q6-3</t>
  </si>
  <si>
    <t>&gt;sp|Q7L1Q6-2|BZW1_HUMAN Isoform 2 of Basic leucine zipper and W2 domain-containing protein 1 OS=Homo sapiens GN=BZW1</t>
  </si>
  <si>
    <t>Q7L1Q6-2</t>
  </si>
  <si>
    <t>Q9Y262-2;Q9Y262</t>
  </si>
  <si>
    <t>&gt;sp|Q9Y262-2|EIF3L_HUMAN Isoform 2 of Eukaryotic translation initiation factor 3 subunit L OS=Homo sapiens GN=EIF3L</t>
  </si>
  <si>
    <t>Q9Y262-2</t>
  </si>
  <si>
    <t>O43865;O43865-2</t>
  </si>
  <si>
    <t>&gt;sp|O43865|SAHH2_HUMAN Adenosylhomocysteinase 2 OS=Homo sapiens GN=AHCYL1 PE=1 SV=2</t>
  </si>
  <si>
    <t>O43865</t>
  </si>
  <si>
    <t>P02654</t>
  </si>
  <si>
    <t>&gt;sp|P02654|APOC1_HUMAN Apolipoprotein C-I OS=Homo sapiens GN=APOC1 PE=1 SV=1</t>
  </si>
  <si>
    <t>P26447</t>
  </si>
  <si>
    <t>&gt;sp|P26447|S10A4_HUMAN Protein S100-A4 OS=Homo sapiens GN=S100A4 PE=1 SV=1</t>
  </si>
  <si>
    <t>Q96RL7-4;Q96RL7-2;Q96RL7-3;Q96RL7</t>
  </si>
  <si>
    <t>&gt;sp|Q96RL7-4|VP13A_HUMAN Isoform 4 of Vacuolar protein sorting-associated protein 13A OS=Homo sapiens GN=VPS13A</t>
  </si>
  <si>
    <t>Q96RL7-4</t>
  </si>
  <si>
    <t>P06241-2;P06241-3;P06241</t>
  </si>
  <si>
    <t>&gt;sp|P06241-2|FYN_HUMAN Isoform 2 of Tyrosine-protein kinase Fyn OS=Homo sapiens GN=FYN</t>
  </si>
  <si>
    <t>P06241-2</t>
  </si>
  <si>
    <t>P20618</t>
  </si>
  <si>
    <t>&gt;sp|P20618|PSB1_HUMAN Proteasome subunit beta type-1 OS=Homo sapiens GN=PSMB1 PE=1 SV=2</t>
  </si>
  <si>
    <t>P23083</t>
  </si>
  <si>
    <t>&gt;sp|P23083|HV103_HUMAN Ig heavy chain V-I region V35 OS=Homo sapiens PE=1 SV=1</t>
  </si>
  <si>
    <t>IGHV1-2</t>
  </si>
  <si>
    <t>P48739;P48739-3;P48739-2;Q00169</t>
  </si>
  <si>
    <t>&gt;sp|P48739|PIPNB_HUMAN Phosphatidylinositol transfer protein beta isoform OS=Homo sapiens GN=PITPNB PE=1 SV=2</t>
  </si>
  <si>
    <t>P48739</t>
  </si>
  <si>
    <t>Q5T5C0-2;Q5T5C0;Q5T5C0-3;Q9Y2K9</t>
  </si>
  <si>
    <t>&gt;sp|Q5T5C0-2|STXB5_HUMAN Isoform 2 of Syntaxin-binding protein 5 OS=Homo sapiens GN=STXBP5</t>
  </si>
  <si>
    <t>Q5T5C0-2</t>
  </si>
  <si>
    <t>Q684P5-2;Q684P5;Q684P5-3;P47736;P47736-2;P47736-3;P47736-4</t>
  </si>
  <si>
    <t>&gt;sp|Q684P5-2|RPGP2_HUMAN Isoform 2 of Rap1 GTPase-activating protein 2 OS=Homo sapiens GN=RAP1GAP2</t>
  </si>
  <si>
    <t>Q684P5-2</t>
  </si>
  <si>
    <t>Q9Y3I0</t>
  </si>
  <si>
    <t>&gt;sp|Q9Y3I0|RTCB_HUMAN tRNA-splicing ligase RtcB homolog OS=Homo sapiens GN=RTCB PE=1 SV=1</t>
  </si>
  <si>
    <t>P00403</t>
  </si>
  <si>
    <t>&gt;sp|P00403|COX2_HUMAN Cytochrome c oxidase subunit 2 OS=Homo sapiens GN=MT-CO2 PE=1 SV=1</t>
  </si>
  <si>
    <t>P09960-4;P09960;P09960-3;P09960-2</t>
  </si>
  <si>
    <t>&gt;sp|P09960-4|LKHA4_HUMAN Isoform 4 of Leukotriene A-4 hydrolase OS=Homo sapiens GN=LTA4H</t>
  </si>
  <si>
    <t>P09960-4</t>
  </si>
  <si>
    <t>P37235;P84074;P61601</t>
  </si>
  <si>
    <t>&gt;sp|P37235|HPCL1_HUMAN Hippocalcin-like protein 1 OS=Homo sapiens GN=HPCAL1 PE=1 SV=3</t>
  </si>
  <si>
    <t>P37235</t>
  </si>
  <si>
    <t>P62333</t>
  </si>
  <si>
    <t>&gt;sp|P62333|PRS10_HUMAN 26S protease regulatory subunit 10B OS=Homo sapiens GN=PSMC6 PE=1 SV=1</t>
  </si>
  <si>
    <t>Q15366-6;Q15366-3;Q15366;Q15366-2;Q15366-4;Q15366-5;Q15366-7;Q15366-8;P57721-2;P57721-3;P57721-5;P57721-4;P57721</t>
  </si>
  <si>
    <t>&gt;sp|Q15366-6|PCBP2_HUMAN Isoform 6 of Poly(rC)-binding protein 2 OS=Homo sapiens GN=PCBP2</t>
  </si>
  <si>
    <t>Q15366-6</t>
  </si>
  <si>
    <t>Q99426;Q99426-2</t>
  </si>
  <si>
    <t>&gt;sp|Q99426|TBCB_HUMAN Tubulin-folding cofactor B OS=Homo sapiens GN=TBCB PE=1 SV=2</t>
  </si>
  <si>
    <t>Q99426</t>
  </si>
  <si>
    <t>Q99805</t>
  </si>
  <si>
    <t>&gt;sp|Q99805|TM9S2_HUMAN Transmembrane 9 superfamily member 2 OS=Homo sapiens GN=TM9SF2 PE=1 SV=1</t>
  </si>
  <si>
    <t>Q9GZY8-4;Q9GZY8-5;Q9GZY8-3;Q9GZY8-2;Q9GZY8</t>
  </si>
  <si>
    <t>&gt;sp|Q9GZY8-4|MFF_HUMAN Isoform 4 of Mitochondrial fission factor OS=Homo sapiens GN=MFF</t>
  </si>
  <si>
    <t>Q9GZY8-4</t>
  </si>
  <si>
    <t>Q9NY33;Q9NY33-4;Q9NY33-2</t>
  </si>
  <si>
    <t>&gt;sp|Q9NY33|DPP3_HUMAN Dipeptidyl peptidase 3 OS=Homo sapiens GN=DPP3 PE=1 SV=2</t>
  </si>
  <si>
    <t>Q9NY33</t>
  </si>
  <si>
    <t>Q9UHY1</t>
  </si>
  <si>
    <t>&gt;sp|Q9UHY1|NRBP_HUMAN Nuclear receptor-binding protein OS=Homo sapiens GN=NRBP1 PE=1 SV=1</t>
  </si>
  <si>
    <t>Q9UJC5</t>
  </si>
  <si>
    <t>&gt;sp|Q9UJC5|SH3L2_HUMAN SH3 domain-binding glutamic acid-rich-like protein 2 OS=Homo sapiens GN=SH3BGRL2 PE=1 SV=2</t>
  </si>
  <si>
    <t>O43242;O43242-2</t>
  </si>
  <si>
    <t>&gt;sp|O43242|PSMD3_HUMAN 26S proteasome non-ATPase regulatory subunit 3 OS=Homo sapiens GN=PSMD3 PE=1 SV=2</t>
  </si>
  <si>
    <t>O43242</t>
  </si>
  <si>
    <t>P01613</t>
  </si>
  <si>
    <t>&gt;sp|P01613|KV121_HUMAN Ig kappa chain V-I region Ni OS=Homo sapiens PE=1 SV=1</t>
  </si>
  <si>
    <t>IGKV1D-3</t>
  </si>
  <si>
    <t>P08133-2;P08133</t>
  </si>
  <si>
    <t>&gt;sp|P08133-2|ANXA6_HUMAN Isoform 2 of Annexin A6 OS=Homo sapiens GN=ANXA6</t>
  </si>
  <si>
    <t>P08133-2</t>
  </si>
  <si>
    <t>P0C7P3-2;P0C7P3</t>
  </si>
  <si>
    <t>&gt;sp|P0C7P3-2|SLN14_HUMAN Isoform 2 of Schlafen family member 14 OS=Homo sapiens GN=SLFN14</t>
  </si>
  <si>
    <t>P0C7P3-2</t>
  </si>
  <si>
    <t>P30043</t>
  </si>
  <si>
    <t>&gt;sp|P30043|BLVRB_HUMAN Flavin reductase (NADPH) OS=Homo sapiens GN=BLVRB PE=1 SV=3</t>
  </si>
  <si>
    <t>Q02978;Q02978-2</t>
  </si>
  <si>
    <t>&gt;sp|Q02978|M2OM_HUMAN Mitochondrial 2-oxoglutarate/malate carrier protein OS=Homo sapiens GN=SLC25A11 PE=1 SV=3</t>
  </si>
  <si>
    <t>Q02978</t>
  </si>
  <si>
    <t>Q15056-2;Q15056</t>
  </si>
  <si>
    <t>&gt;sp|Q15056-2|IF4H_HUMAN Isoform Short of Eukaryotic translation initiation factor 4H OS=Homo sapiens GN=EIF4H</t>
  </si>
  <si>
    <t>Q15056-2</t>
  </si>
  <si>
    <t>Q15762</t>
  </si>
  <si>
    <t>&gt;sp|Q15762|CD226_HUMAN CD226 antigen OS=Homo sapiens GN=CD226 PE=1 SV=2</t>
  </si>
  <si>
    <t>Q5T4S7-3;Q5T4S7-4;Q5T4S7;Q5T4S7-2;Q5T4S7-5;Q5T4S7-6</t>
  </si>
  <si>
    <t>&gt;sp|Q5T4S7-3|UBR4_HUMAN Isoform 3 of E3 ubiquitin-protein ligase UBR4 OS=Homo sapiens GN=UBR4</t>
  </si>
  <si>
    <t>Q5T4S7-3</t>
  </si>
  <si>
    <t>Q99816;Q99816-2</t>
  </si>
  <si>
    <t>&gt;sp|Q99816|TS101_HUMAN Tumor susceptibility gene 101 protein OS=Homo sapiens GN=TSG101 PE=1 SV=2</t>
  </si>
  <si>
    <t>Q99816</t>
  </si>
  <si>
    <t>Q99969</t>
  </si>
  <si>
    <t>&gt;sp|Q99969|RARR2_HUMAN Retinoic acid receptor responder protein 2 OS=Homo sapiens GN=RARRES2 PE=1 SV=1</t>
  </si>
  <si>
    <t>Q9BTV4</t>
  </si>
  <si>
    <t>&gt;sp|Q9BTV4|TMM43_HUMAN Transmembrane protein 43 OS=Homo sapiens GN=TMEM43 PE=1 SV=1</t>
  </si>
  <si>
    <t>Q9NP72;Q9NP72-2;Q9NP72-3</t>
  </si>
  <si>
    <t>&gt;sp|Q9NP72|RAB18_HUMAN Ras-related protein Rab-18 OS=Homo sapiens GN=RAB18 PE=1 SV=1</t>
  </si>
  <si>
    <t>Q9NP72</t>
  </si>
  <si>
    <t>Q9Y6C9</t>
  </si>
  <si>
    <t>&gt;sp|Q9Y6C9|MTCH2_HUMAN Mitochondrial carrier homolog 2 OS=Homo sapiens GN=MTCH2 PE=1 SV=1</t>
  </si>
  <si>
    <t>P04208</t>
  </si>
  <si>
    <t>&gt;sp|P04208|LV106_HUMAN Ig lambda chain V-I region WAH OS=Homo sapiens PE=1 SV=1</t>
  </si>
  <si>
    <t>IGLV1-47</t>
  </si>
  <si>
    <t>P08574</t>
  </si>
  <si>
    <t>&gt;sp|P08574|CY1_HUMAN Cytochrome c1, heme protein, mitochondrial OS=Homo sapiens GN=CYC1 PE=1 SV=3</t>
  </si>
  <si>
    <t>P20340-2;P20340;P20340-4;P20340-3</t>
  </si>
  <si>
    <t>&gt;sp|P20340-2|RAB6A_HUMAN Isoform 2 of Ras-related protein Rab-6A OS=Homo sapiens GN=RAB6A</t>
  </si>
  <si>
    <t>P20340-2</t>
  </si>
  <si>
    <t>P51665</t>
  </si>
  <si>
    <t>&gt;sp|P51665|PSMD7_HUMAN 26S proteasome non-ATPase regulatory subunit 7 OS=Homo sapiens GN=PSMD7 PE=1 SV=2</t>
  </si>
  <si>
    <t>Q9NUQ9;Q9NUQ9-2</t>
  </si>
  <si>
    <t>&gt;sp|Q9NUQ9|FA49B_HUMAN Protein FAM49B OS=Homo sapiens GN=FAM49B PE=1 SV=1</t>
  </si>
  <si>
    <t>Q9NUQ9</t>
  </si>
  <si>
    <t>Q9Y2X7;Q9Y2X7-3;Q14161-2;Q14161-11;Q14161-7;Q14161-9;Q14161-6;Q14161-10;Q14161-8;Q14161-4;Q14161-5;Q14161-3;Q14161;Q9Y2X7-2</t>
  </si>
  <si>
    <t>&gt;sp|Q9Y2X7|GIT1_HUMAN ARF GTPase-activating protein GIT1 OS=Homo sapiens GN=GIT1 PE=1 SV=2</t>
  </si>
  <si>
    <t>Q9Y2X7</t>
  </si>
  <si>
    <t>Q9Y5X1</t>
  </si>
  <si>
    <t>&gt;sp|Q9Y5X1|SNX9_HUMAN Sorting nexin-9 OS=Homo sapiens GN=SNX9 PE=1 SV=1</t>
  </si>
  <si>
    <t>O00203-3;O00203;Q13367;Q13367-4;Q13367-3</t>
  </si>
  <si>
    <t>&gt;sp|O00203-3|AP3B1_HUMAN Isoform 2 of AP-3 complex subunit beta-1 OS=Homo sapiens GN=AP3B1</t>
  </si>
  <si>
    <t>O00203-3</t>
  </si>
  <si>
    <t>O14618</t>
  </si>
  <si>
    <t>&gt;sp|O14618|CCS_HUMAN Copper chaperone for superoxide dismutase OS=Homo sapiens GN=CCS PE=1 SV=1</t>
  </si>
  <si>
    <t>P00740-2;P00740</t>
  </si>
  <si>
    <t>&gt;sp|P00740-2|FA9_HUMAN Isoform 2 of Coagulation factor IX OS=Homo sapiens GN=F9</t>
  </si>
  <si>
    <t>P00740-2</t>
  </si>
  <si>
    <t>P10720</t>
  </si>
  <si>
    <t>&gt;sp|P10720|PF4V_HUMAN Platelet factor 4 variant OS=Homo sapiens GN=PF4V1 PE=1 SV=1</t>
  </si>
  <si>
    <t>P11177-2;P11177;P11177-3</t>
  </si>
  <si>
    <t>&gt;sp|P11177-2|ODPB_HUMAN Isoform 2 of Pyruvate dehydrogenase E1 component subunit beta, mitochondrial OS=Homo sapiens GN=PDHB</t>
  </si>
  <si>
    <t>P11177-2</t>
  </si>
  <si>
    <t>P29122-2;P29122;P29122-8;P29122-7;P29122-5;P29122-4;P29122-6;P29122-3</t>
  </si>
  <si>
    <t>&gt;sp|P29122-2|PCSK6_HUMAN Isoform PACE4A-II of Proprotein convertase subtilisin/kexin type 6 OS=Homo sapiens GN=PCSK6</t>
  </si>
  <si>
    <t>P29122-2</t>
  </si>
  <si>
    <t>P56202</t>
  </si>
  <si>
    <t>&gt;sp|P56202|CATW_HUMAN Cathepsin W OS=Homo sapiens GN=CTSW PE=1 SV=2</t>
  </si>
  <si>
    <t>Q6ICL3-3;Q6ICL3;Q6ICL3-4;Q6ICL3-6;Q6ICL3-2;Q6ICL3-5</t>
  </si>
  <si>
    <t>&gt;sp|Q6ICL3-3|TNG2_HUMAN Isoform 3 of Transport and Golgi organization protein 2 homolog OS=Homo sapiens GN=TANGO2</t>
  </si>
  <si>
    <t>Q6ICL3-3</t>
  </si>
  <si>
    <t>Q96T51;Q96T51-2;Q96T51-3;Q7L099;Q7L099-2;Q7L099-4;Q7L099-3</t>
  </si>
  <si>
    <t>&gt;sp|Q96T51|RUFY1_HUMAN RUN and FYVE domain-containing protein 1 OS=Homo sapiens GN=RUFY1 PE=1 SV=2</t>
  </si>
  <si>
    <t>Q96T51</t>
  </si>
  <si>
    <t>Q9BVK6</t>
  </si>
  <si>
    <t>&gt;sp|Q9BVK6|TMED9_HUMAN Transmembrane emp24 domain-containing protein 9 OS=Homo sapiens GN=TMED9 PE=1 SV=2</t>
  </si>
  <si>
    <t>Q9Y274;Q9Y274-2</t>
  </si>
  <si>
    <t>&gt;sp|Q9Y274|SIA10_HUMAN Type 2 lactosamine alpha-2,3-sialyltransferase OS=Homo sapiens GN=ST3GAL6 PE=1 SV=1</t>
  </si>
  <si>
    <t>Q9Y274</t>
  </si>
  <si>
    <t>O95747</t>
  </si>
  <si>
    <t>&gt;sp|O95747|OXSR1_HUMAN Serine/threonine-protein kinase OSR1 OS=Homo sapiens GN=OXSR1 PE=1 SV=1</t>
  </si>
  <si>
    <t>P32189-1;P32189-4;P32189-2;P32189;Q14409;Q14410</t>
  </si>
  <si>
    <t>&gt;sp|P32189-1|GLPK_HUMAN Isoform 1 of Glycerol kinase OS=Homo sapiens GN=GK</t>
  </si>
  <si>
    <t>P32189-1</t>
  </si>
  <si>
    <t>P51575</t>
  </si>
  <si>
    <t>&gt;sp|P51575|P2RX1_HUMAN P2X purinoceptor 1 OS=Homo sapiens GN=P2RX1 PE=1 SV=1</t>
  </si>
  <si>
    <t>Q14964</t>
  </si>
  <si>
    <t>&gt;sp|Q14964|RB39A_HUMAN Ras-related protein Rab-39A OS=Homo sapiens GN=RAB39A PE=1 SV=2</t>
  </si>
  <si>
    <t>Q15208</t>
  </si>
  <si>
    <t>&gt;sp|Q15208|STK38_HUMAN Serine/threonine-protein kinase 38 OS=Homo sapiens GN=STK38 PE=1 SV=1</t>
  </si>
  <si>
    <t>Q8N1Q1</t>
  </si>
  <si>
    <t>&gt;sp|Q8N1Q1|CAH13_HUMAN Carbonic anhydrase 13 OS=Homo sapiens GN=CA13 PE=1 SV=1</t>
  </si>
  <si>
    <t>Q8WXI7</t>
  </si>
  <si>
    <t>&gt;sp|Q8WXI7|MUC16_HUMAN Mucin-16 OS=Homo sapiens GN=MUC16 PE=1 SV=2</t>
  </si>
  <si>
    <t>Q96A26</t>
  </si>
  <si>
    <t>&gt;sp|Q96A26|F162A_HUMAN Protein FAM162A OS=Homo sapiens GN=FAM162A PE=1 SV=2</t>
  </si>
  <si>
    <t>Q9UL46</t>
  </si>
  <si>
    <t>&gt;sp|Q9UL46|PSME2_HUMAN Proteasome activator complex subunit 2 OS=Homo sapiens GN=PSME2 PE=1 SV=4</t>
  </si>
  <si>
    <t>Q9ULC5-4;Q9ULC5;Q9ULC5-3</t>
  </si>
  <si>
    <t>&gt;sp|Q9ULC5-4|ACSL5_HUMAN Isoform 3 of Long-chain-fatty-acid--CoA ligase 5 OS=Homo sapiens GN=ACSL5</t>
  </si>
  <si>
    <t>Q9ULC5-4</t>
  </si>
  <si>
    <t>Q9UNZ2;Q9UNZ2-5;Q9UNZ2-4;Q9UNZ2-6</t>
  </si>
  <si>
    <t>&gt;sp|Q9UNZ2|NSF1C_HUMAN NSFL1 cofactor p47 OS=Homo sapiens GN=NSFL1C PE=1 SV=2</t>
  </si>
  <si>
    <t>Q9UNZ2</t>
  </si>
  <si>
    <t>Q9Y6D6;Q9Y6D5</t>
  </si>
  <si>
    <t>&gt;sp|Q9Y6D6|BIG1_HUMAN Brefeldin A-inhibited guanine nucleotide-exchange protein 1 OS=Homo sapiens GN=ARFGEF1 PE=1 SV=2</t>
  </si>
  <si>
    <t>Q9Y6D6</t>
  </si>
  <si>
    <t>A2RUS2;A2RUS2-2</t>
  </si>
  <si>
    <t>&gt;sp|A2RUS2|DEND3_HUMAN DENN domain-containing protein 3 OS=Homo sapiens GN=DENND3 PE=1 SV=2</t>
  </si>
  <si>
    <t>A2RUS2</t>
  </si>
  <si>
    <t>O00186</t>
  </si>
  <si>
    <t>&gt;sp|O00186|STXB3_HUMAN Syntaxin-binding protein 3 OS=Homo sapiens GN=STXBP3 PE=1 SV=2</t>
  </si>
  <si>
    <t>P04083</t>
  </si>
  <si>
    <t>&gt;sp|P04083|ANXA1_HUMAN Annexin A1 OS=Homo sapiens GN=ANXA1 PE=1 SV=2</t>
  </si>
  <si>
    <t>P08571</t>
  </si>
  <si>
    <t>&gt;sp|P08571|CD14_HUMAN Monocyte differentiation antigen CD14 OS=Homo sapiens GN=CD14 PE=1 SV=2</t>
  </si>
  <si>
    <t>P14317;P14317-2</t>
  </si>
  <si>
    <t>&gt;sp|P14317|HCLS1_HUMAN Hematopoietic lineage cell-specific protein OS=Homo sapiens GN=HCLS1 PE=1 SV=3</t>
  </si>
  <si>
    <t>P14317</t>
  </si>
  <si>
    <t>P30273</t>
  </si>
  <si>
    <t>&gt;sp|P30273|FCERG_HUMAN High affinity immunoglobulin epsilon receptor subunit gamma OS=Homo sapiens GN=FCER1G PE=1 SV=1</t>
  </si>
  <si>
    <t>P35914;P35914-3;P35914-2</t>
  </si>
  <si>
    <t>&gt;sp|P35914|HMGCL_HUMAN Hydroxymethylglutaryl-CoA lyase, mitochondrial OS=Homo sapiens GN=HMGCL PE=1 SV=2</t>
  </si>
  <si>
    <t>P35914</t>
  </si>
  <si>
    <t>P42224;P42224-2</t>
  </si>
  <si>
    <t>&gt;sp|P42224|STAT1_HUMAN Signal transducer and activator of transcription 1-alpha/beta OS=Homo sapiens GN=STAT1 PE=1 SV=2</t>
  </si>
  <si>
    <t>P42224</t>
  </si>
  <si>
    <t>P46977;P46977-2</t>
  </si>
  <si>
    <t>&gt;sp|P46977|STT3A_HUMAN Dolichyl-diphosphooligosaccharide--protein glycosyltransferase subunit STT3A OS=Homo sapiens GN=STT3A PE=1 SV=2</t>
  </si>
  <si>
    <t>P46977</t>
  </si>
  <si>
    <t>Q6ZRY4;Q6ZRY4-2;Q93062-4;Q93062-5;Q93062;Q93062-2;Q93062-3</t>
  </si>
  <si>
    <t>&gt;sp|Q6ZRY4|RBPS2_HUMAN RNA-binding protein with multiple splicing 2 OS=Homo sapiens GN=RBPMS2 PE=1 SV=1</t>
  </si>
  <si>
    <t>Q6ZRY4</t>
  </si>
  <si>
    <t>Q8TDZ2;Q8TDZ2-4;Q8TDZ2-2;Q8TDZ2-3</t>
  </si>
  <si>
    <t>&gt;sp|Q8TDZ2|MICA1_HUMAN Protein-methionine sulfoxide oxidase MICAL1 OS=Homo sapiens GN=MICAL1 PE=1 SV=2</t>
  </si>
  <si>
    <t>Q8TDZ2</t>
  </si>
  <si>
    <t>Q96G23</t>
  </si>
  <si>
    <t>&gt;sp|Q96G23|CERS2_HUMAN Ceramide synthase 2 OS=Homo sapiens GN=CERS2 PE=1 SV=1</t>
  </si>
  <si>
    <t>Q9H2K8</t>
  </si>
  <si>
    <t>&gt;sp|Q9H2K8|TAOK3_HUMAN Serine/threonine-protein kinase TAO3 OS=Homo sapiens GN=TAOK3 PE=1 SV=2</t>
  </si>
  <si>
    <t>O00159-2;O00159-3;O00159</t>
  </si>
  <si>
    <t>&gt;sp|O00159-2|MYO1C_HUMAN Isoform 2 of Unconventional myosin-Ic OS=Homo sapiens GN=MYO1C</t>
  </si>
  <si>
    <t>O00159-2</t>
  </si>
  <si>
    <t>P30566-2;P30566</t>
  </si>
  <si>
    <t>&gt;sp|P30566-2|PUR8_HUMAN Isoform 2 of Adenylosuccinate lyase OS=Homo sapiens GN=ADSL</t>
  </si>
  <si>
    <t>P30566-2</t>
  </si>
  <si>
    <t>P49721</t>
  </si>
  <si>
    <t>&gt;sp|P49721|PSB2_HUMAN Proteasome subunit beta type-2 OS=Homo sapiens GN=PSMB2 PE=1 SV=1</t>
  </si>
  <si>
    <t>P54136-2;P54136</t>
  </si>
  <si>
    <t>&gt;sp|P54136-2|SYRC_HUMAN Isoform Monomeric of Arginine--tRNA ligase, cytoplasmic OS=Homo sapiens GN=RARS</t>
  </si>
  <si>
    <t>P54136-2</t>
  </si>
  <si>
    <t>Q14432;Q13370-2;Q13370</t>
  </si>
  <si>
    <t>&gt;sp|Q14432|PDE3A_HUMAN cGMP-inhibited 3,5-cyclic phosphodiesterase A OS=Homo sapiens GN=PDE3A PE=1 SV=3</t>
  </si>
  <si>
    <t>Q14432</t>
  </si>
  <si>
    <t>Q8N699</t>
  </si>
  <si>
    <t>&gt;sp|Q8N699|MYCT1_HUMAN Myc target protein 1 OS=Homo sapiens GN=MYCT1 PE=1 SV=1</t>
  </si>
  <si>
    <t>O95674</t>
  </si>
  <si>
    <t>&gt;sp|O95674|CDS2_HUMAN Phosphatidate cytidylyltransferase 2 OS=Homo sapiens GN=CDS2 PE=1 SV=1</t>
  </si>
  <si>
    <t>P01772</t>
  </si>
  <si>
    <t>&gt;sp|P01772|HV311_HUMAN Ig heavy chain V-III region KOL OS=Homo sapiens PE=1 SV=1</t>
  </si>
  <si>
    <t>P18031</t>
  </si>
  <si>
    <t>&gt;sp|P18031|PTN1_HUMAN Tyrosine-protein phosphatase non-receptor type 1 OS=Homo sapiens GN=PTPN1 PE=1 SV=1</t>
  </si>
  <si>
    <t>P30464;P30484</t>
  </si>
  <si>
    <t>&gt;sp|P30464|1B15_HUMAN HLA class I histocompatibility antigen, B-15 alpha chain OS=Homo sapiens GN=HLA-B PE=1 SV=2</t>
  </si>
  <si>
    <t>P30464</t>
  </si>
  <si>
    <t>P49593-2;P49593</t>
  </si>
  <si>
    <t>&gt;sp|P49593-2|PPM1F_HUMAN Isoform 2 of Protein phosphatase 1F OS=Homo sapiens GN=PPM1F</t>
  </si>
  <si>
    <t>P49593-2</t>
  </si>
  <si>
    <t>P53634;P53634-2;P53634-3</t>
  </si>
  <si>
    <t>&gt;sp|P53634|CATC_HUMAN Dipeptidyl peptidase 1 OS=Homo sapiens GN=CTSC PE=1 SV=2</t>
  </si>
  <si>
    <t>P53634</t>
  </si>
  <si>
    <t>P68402;P68402-3;P68402-2;P68402-4</t>
  </si>
  <si>
    <t>&gt;sp|P68402|PA1B2_HUMAN Platelet-activating factor acetylhydrolase IB subunit beta OS=Homo sapiens GN=PAFAH1B2 PE=1 SV=1</t>
  </si>
  <si>
    <t>P68402</t>
  </si>
  <si>
    <t>Q16512;Q16512-2;Q16512-3</t>
  </si>
  <si>
    <t>&gt;sp|Q16512|PKN1_HUMAN Serine/threonine-protein kinase N1 OS=Homo sapiens GN=PKN1 PE=1 SV=2</t>
  </si>
  <si>
    <t>Q16512</t>
  </si>
  <si>
    <t>Q969X1</t>
  </si>
  <si>
    <t>&gt;sp|Q969X1|LFG3_HUMAN Protein lifeguard 3 OS=Homo sapiens GN=TMBIM1 PE=1 SV=2</t>
  </si>
  <si>
    <t>Q9H0P0-3;Q9H0P0-2;Q9H0P0-1;Q9H0P0</t>
  </si>
  <si>
    <t>&gt;sp|Q9H0P0-3|5NT3A_HUMAN Isoform 4 of Cytosolic 5-nucleotidase 3A OS=Homo sapiens GN=NT5C3A</t>
  </si>
  <si>
    <t>Q9H0P0-3</t>
  </si>
  <si>
    <t>Q9NSD9;Q9NSD9-2</t>
  </si>
  <si>
    <t>&gt;sp|Q9NSD9|SYFB_HUMAN Phenylalanine--tRNA ligase beta subunit OS=Homo sapiens GN=FARSB PE=1 SV=3</t>
  </si>
  <si>
    <t>Q9NSD9</t>
  </si>
  <si>
    <t>O75368</t>
  </si>
  <si>
    <t>&gt;sp|O75368|SH3L1_HUMAN SH3 domain-binding glutamic acid-rich-like protein OS=Homo sapiens GN=SH3BGRL PE=1 SV=1</t>
  </si>
  <si>
    <t>P02730</t>
  </si>
  <si>
    <t>&gt;sp|P02730|B3AT_HUMAN Band 3 anion transport protein OS=Homo sapiens GN=SLC4A1 PE=1 SV=3</t>
  </si>
  <si>
    <t>P31751-2;P31751</t>
  </si>
  <si>
    <t>&gt;sp|P31751-2|AKT2_HUMAN Isoform 2 of RAC-beta serine/threonine-protein kinase OS=Homo sapiens GN=AKT2</t>
  </si>
  <si>
    <t>P31751-2</t>
  </si>
  <si>
    <t>P36507</t>
  </si>
  <si>
    <t>&gt;sp|P36507|MP2K2_HUMAN Dual specificity mitogen-activated protein kinase kinase 2 OS=Homo sapiens GN=MAP2K2 PE=1 SV=1</t>
  </si>
  <si>
    <t>P98172</t>
  </si>
  <si>
    <t>&gt;sp|P98172|EFNB1_HUMAN Ephrin-B1 OS=Homo sapiens GN=EFNB1 PE=1 SV=1</t>
  </si>
  <si>
    <t>Q08722-2;Q08722-3;Q08722-4;Q08722</t>
  </si>
  <si>
    <t>&gt;sp|Q08722-2|CD47_HUMAN Isoform OA3-293 of Leukocyte surface antigen CD47 OS=Homo sapiens GN=CD47</t>
  </si>
  <si>
    <t>Q08722-2</t>
  </si>
  <si>
    <t>Q13126-7;Q13126-4;Q13126;Q13126-6;Q13126-5;Q13126-3;Q13126-2</t>
  </si>
  <si>
    <t>&gt;sp|Q13126-7|MTAP_HUMAN Isoform 7 of S-methyl-5-thioadenosine phosphorylase OS=Homo sapiens GN=MTAP</t>
  </si>
  <si>
    <t>Q13126-7</t>
  </si>
  <si>
    <t>Q14BN4-2;Q14BN4-3;Q14BN4;Q14BN4-5;Q14BN4-8;Q14BN4-7;Q14BN4-6</t>
  </si>
  <si>
    <t>&gt;sp|Q14BN4-2|SLMAP_HUMAN Isoform 2 of Sarcolemmal membrane-associated protein OS=Homo sapiens GN=SLMAP</t>
  </si>
  <si>
    <t>Q14BN4-2</t>
  </si>
  <si>
    <t>Q8WWI5-3;Q8WWI5-2;Q8WWI5</t>
  </si>
  <si>
    <t>&gt;sp|Q8WWI5-3|CTL1_HUMAN Isoform 3 of Choline transporter-like protein 1 OS=Homo sapiens GN=SLC44A1</t>
  </si>
  <si>
    <t>Q8WWI5-3</t>
  </si>
  <si>
    <t>Q96BY6-3;Q96BY6;Q96BY6-2</t>
  </si>
  <si>
    <t>&gt;sp|Q96BY6-3|DOC10_HUMAN Isoform 3 of Dedicator of cytokinesis protein 10 OS=Homo sapiens GN=DOCK10</t>
  </si>
  <si>
    <t>Q96BY6-3</t>
  </si>
  <si>
    <t>Q96K76-2;Q96K76-4;Q96K76;Q96K76-3</t>
  </si>
  <si>
    <t>&gt;sp|Q96K76-2|UBP47_HUMAN Isoform 2 of Ubiquitin carboxyl-terminal hydrolase 47 OS=Homo sapiens GN=USP47</t>
  </si>
  <si>
    <t>Q96K76-2</t>
  </si>
  <si>
    <t>Q9H0R4;Q9H0R4-2</t>
  </si>
  <si>
    <t>&gt;sp|Q9H0R4|HDHD2_HUMAN Haloacid dehalogenase-like hydrolase domain-containing protein 2 OS=Homo sapiens GN=HDHD2 PE=1 SV=1</t>
  </si>
  <si>
    <t>Q9H0R4</t>
  </si>
  <si>
    <t>Q9H2G2-2;Q9H2G2</t>
  </si>
  <si>
    <t>&gt;sp|Q9H2G2-2|SLK_HUMAN Isoform 2 of STE20-like serine/threonine-protein kinase OS=Homo sapiens GN=SLK</t>
  </si>
  <si>
    <t>Q9H2G2-2</t>
  </si>
  <si>
    <t>Q9UNH7;Q9UNH7-2</t>
  </si>
  <si>
    <t>&gt;sp|Q9UNH7|SNX6_HUMAN Sorting nexin-6 OS=Homo sapiens GN=SNX6 PE=1 SV=1</t>
  </si>
  <si>
    <t>Q9UNH7</t>
  </si>
  <si>
    <t>O43169</t>
  </si>
  <si>
    <t>&gt;sp|O43169|CYB5B_HUMAN Cytochrome b5 type B OS=Homo sapiens GN=CYB5B PE=1 SV=2</t>
  </si>
  <si>
    <t>P09493-3;P09493-4;P09493-10;P09493-9;P09493</t>
  </si>
  <si>
    <t>&gt;sp|P09493-3|TPM1_HUMAN Isoform 3 of Tropomyosin alpha-1 chain OS=Homo sapiens GN=TPM1</t>
  </si>
  <si>
    <t>P09493-3</t>
  </si>
  <si>
    <t>P10599;P10599-2</t>
  </si>
  <si>
    <t>&gt;sp|P10599|THIO_HUMAN Thioredoxin OS=Homo sapiens GN=TXN PE=1 SV=3</t>
  </si>
  <si>
    <t>P10599</t>
  </si>
  <si>
    <t>Q08209-2;Q08209;Q08209-3;Q08209-4;Q08209-5;P16298-2;P16298-3;P16298;P16298-4;P48454-2;P48454;P48454-3</t>
  </si>
  <si>
    <t>&gt;sp|Q08209-2|PP2BA_HUMAN Isoform 2 of Serine/threonine-protein phosphatase 2B catalytic subunit alpha isoform OS=Homo sapiens GN=PPP3CA</t>
  </si>
  <si>
    <t>Q08209-2</t>
  </si>
  <si>
    <t>Q15042;Q15042-3;Q15042-4</t>
  </si>
  <si>
    <t>&gt;sp|Q15042|RB3GP_HUMAN Rab3 GTPase-activating protein catalytic subunit OS=Homo sapiens GN=RAB3GAP1 PE=1 SV=3</t>
  </si>
  <si>
    <t>Q15042</t>
  </si>
  <si>
    <t>Q16799;Q16799-2;Q16799-3</t>
  </si>
  <si>
    <t>&gt;sp|Q16799|RTN1_HUMAN Reticulon-1 OS=Homo sapiens GN=RTN1 PE=1 SV=1</t>
  </si>
  <si>
    <t>Q16799</t>
  </si>
  <si>
    <t>Q9BUF5</t>
  </si>
  <si>
    <t>&gt;sp|Q9BUF5|TBB6_HUMAN Tubulin beta-6 chain OS=Homo sapiens GN=TUBB6 PE=1 SV=1</t>
  </si>
  <si>
    <t>Q9HBH0;Q9HBH0-2</t>
  </si>
  <si>
    <t>&gt;sp|Q9HBH0|RHOF_HUMAN Rho-related GTP-binding protein RhoF OS=Homo sapiens GN=RHOF PE=1 SV=1</t>
  </si>
  <si>
    <t>Q9HBH0</t>
  </si>
  <si>
    <t>Q9NP79;Q9NP79-2</t>
  </si>
  <si>
    <t>&gt;sp|Q9NP79|VTA1_HUMAN Vacuolar protein sorting-associated protein VTA1 homolog OS=Homo sapiens GN=VTA1 PE=1 SV=1</t>
  </si>
  <si>
    <t>Q9NP79</t>
  </si>
  <si>
    <t>P01719;P01720</t>
  </si>
  <si>
    <t>&gt;sp|P01719|LV501_HUMAN Ig lambda chain V-V region DEL OS=Homo sapiens PE=1 SV=1</t>
  </si>
  <si>
    <t>P01719</t>
  </si>
  <si>
    <t>P30685;P30491</t>
  </si>
  <si>
    <t>&gt;sp|P30685|1B35_HUMAN HLA class I histocompatibility antigen, B-35 alpha chain OS=Homo sapiens GN=HLA-B PE=1 SV=1</t>
  </si>
  <si>
    <t>P30685</t>
  </si>
  <si>
    <t>P45954-2;P45954</t>
  </si>
  <si>
    <t>&gt;sp|P45954-2|ACDSB_HUMAN Isoform 2 of Short/branched chain specific acyl-CoA dehydrogenase, mitochondrial OS=Homo sapiens GN=ACADSB</t>
  </si>
  <si>
    <t>P45954-2</t>
  </si>
  <si>
    <t>P53992;P53992-2</t>
  </si>
  <si>
    <t>&gt;sp|P53992|SC24C_HUMAN Protein transport protein Sec24C OS=Homo sapiens GN=SEC24C PE=1 SV=3</t>
  </si>
  <si>
    <t>P53992</t>
  </si>
  <si>
    <t>Q00688</t>
  </si>
  <si>
    <t>&gt;sp|Q00688|FKBP3_HUMAN Peptidyl-prolyl cis-trans isomerase FKBP3 OS=Homo sapiens GN=FKBP3 PE=1 SV=1</t>
  </si>
  <si>
    <t>Q15126</t>
  </si>
  <si>
    <t>&gt;sp|Q15126|PMVK_HUMAN Phosphomevalonate kinase OS=Homo sapiens GN=PMVK PE=1 SV=3</t>
  </si>
  <si>
    <t>Q16881-5;Q16881-2;Q16881-4;Q16881-3;Q16881-6;Q16881;Q16881-7</t>
  </si>
  <si>
    <t>&gt;sp|Q16881-5|TRXR1_HUMAN Isoform 5 of Thioredoxin reductase 1, cytoplasmic OS=Homo sapiens GN=TXNRD1</t>
  </si>
  <si>
    <t>Q16881-5</t>
  </si>
  <si>
    <t>Q8NBX0</t>
  </si>
  <si>
    <t>&gt;sp|Q8NBX0|SCPDL_HUMAN Saccharopine dehydrogenase-like oxidoreductase OS=Homo sapiens GN=SCCPDH PE=1 SV=1</t>
  </si>
  <si>
    <t>Q8TD19;REV__Q9P0M6</t>
  </si>
  <si>
    <t>&gt;sp|Q8TD19|NEK9_HUMAN Serine/threonine-protein kinase Nek9 OS=Homo sapiens GN=NEK9 PE=1 SV=2</t>
  </si>
  <si>
    <t>Q8TD19</t>
  </si>
  <si>
    <t>Q96FJ2</t>
  </si>
  <si>
    <t>&gt;sp|Q96FJ2|DYL2_HUMAN Dynein light chain 2, cytoplasmic OS=Homo sapiens GN=DYNLL2 PE=1 SV=1</t>
  </si>
  <si>
    <t>Q9P2R7-2;Q9P2R7</t>
  </si>
  <si>
    <t>&gt;sp|Q9P2R7-2|SUCB1_HUMAN Isoform 2 of Succinyl-CoA ligase [ADP-forming] subunit beta, mitochondrial OS=Homo sapiens GN=SUCLA2</t>
  </si>
  <si>
    <t>Q9P2R7-2</t>
  </si>
  <si>
    <t>Q9Y512</t>
  </si>
  <si>
    <t>&gt;sp|Q9Y512|SAM50_HUMAN Sorting and assembly machinery component 50 homolog OS=Homo sapiens GN=SAMM50 PE=1 SV=3</t>
  </si>
  <si>
    <t>O00534;O00534-3;O00534-2;O00534-4</t>
  </si>
  <si>
    <t>&gt;sp|O00534|VMA5A_HUMAN von Willebrand factor A domain-containing protein 5A OS=Homo sapiens GN=VWA5A PE=2 SV=2</t>
  </si>
  <si>
    <t>O00534</t>
  </si>
  <si>
    <t>P36543-2;P36543;P36543-3;Q96A05</t>
  </si>
  <si>
    <t>&gt;sp|P36543-2|VATE1_HUMAN Isoform 2 of V-type proton ATPase subunit E 1 OS=Homo sapiens GN=ATP6V1E1</t>
  </si>
  <si>
    <t>P36543-2</t>
  </si>
  <si>
    <t>P42338;O00329</t>
  </si>
  <si>
    <t>&gt;sp|P42338|PK3CB_HUMAN Phosphatidylinositol 4,5-bisphosphate 3-kinase catalytic subunit beta isoform OS=Homo sapiens GN=PIK3CB PE=1 SV=1</t>
  </si>
  <si>
    <t>P42338</t>
  </si>
  <si>
    <t>P51571</t>
  </si>
  <si>
    <t>&gt;sp|P51571|SSRD_HUMAN Translocon-associated protein subunit delta OS=Homo sapiens GN=SSR4 PE=1 SV=1</t>
  </si>
  <si>
    <t>P61604</t>
  </si>
  <si>
    <t>&gt;sp|P61604|CH10_HUMAN 10 kDa heat shock protein, mitochondrial OS=Homo sapiens GN=HSPE1 PE=1 SV=2</t>
  </si>
  <si>
    <t>P63167</t>
  </si>
  <si>
    <t>&gt;sp|P63167|DYL1_HUMAN Dynein light chain 1, cytoplasmic OS=Homo sapiens GN=DYNLL1 PE=1 SV=1</t>
  </si>
  <si>
    <t>Q00765;Q00765-2</t>
  </si>
  <si>
    <t>&gt;sp|Q00765|REEP5_HUMAN Receptor expression-enhancing protein 5 OS=Homo sapiens GN=REEP5 PE=1 SV=3</t>
  </si>
  <si>
    <t>Q00765</t>
  </si>
  <si>
    <t>Q12805-2;Q12805-4;Q12805-3;Q12805;Q12805-5</t>
  </si>
  <si>
    <t>&gt;sp|Q12805-2|FBLN3_HUMAN Isoform 2 of EGF-containing fibulin-like extracellular matrix protein 1 OS=Homo sapiens GN=EFEMP1</t>
  </si>
  <si>
    <t>Q12805-2</t>
  </si>
  <si>
    <t>Q86UT6;Q86UT6-2</t>
  </si>
  <si>
    <t>&gt;sp|Q86UT6|NLRX1_HUMAN NLR family member X1 OS=Homo sapiens GN=NLRX1 PE=1 SV=1</t>
  </si>
  <si>
    <t>Q86UT6</t>
  </si>
  <si>
    <t>Q8N5K1</t>
  </si>
  <si>
    <t>&gt;sp|Q8N5K1|CISD2_HUMAN CDGSH iron-sulfur domain-containing protein 2 OS=Homo sapiens GN=CISD2 PE=1 SV=1</t>
  </si>
  <si>
    <t>Q8N9U0-2;Q8N9U0</t>
  </si>
  <si>
    <t>&gt;sp|Q8N9U0-2|TAC2N_HUMAN Isoform 2 of Tandem C2 domains nuclear protein OS=Homo sapiens GN=TC2N</t>
  </si>
  <si>
    <t>Q8N9U0-2</t>
  </si>
  <si>
    <t>Q8WXE9;Q8WXE9-3</t>
  </si>
  <si>
    <t>&gt;sp|Q8WXE9|STON2_HUMAN Stonin-2 OS=Homo sapiens GN=STON2 PE=1 SV=1</t>
  </si>
  <si>
    <t>Q8WXE9</t>
  </si>
  <si>
    <t>Q9H0E2;Q9H0E2-2</t>
  </si>
  <si>
    <t>&gt;sp|Q9H0E2|TOLIP_HUMAN Toll-interacting protein OS=Homo sapiens GN=TOLLIP PE=1 SV=1</t>
  </si>
  <si>
    <t>Q9H0E2</t>
  </si>
  <si>
    <t>Q9NR46;Q9NR46-2</t>
  </si>
  <si>
    <t>&gt;sp|Q9NR46|SHLB2_HUMAN Endophilin-B2 OS=Homo sapiens GN=SH3GLB2 PE=1 SV=1</t>
  </si>
  <si>
    <t>Q9NR46</t>
  </si>
  <si>
    <t>O00232-2;O00232</t>
  </si>
  <si>
    <t>&gt;sp|O00232-2|PSD12_HUMAN Isoform 2 of 26S proteasome non-ATPase regulatory subunit 12 OS=Homo sapiens GN=PSMD12</t>
  </si>
  <si>
    <t>O00232-2</t>
  </si>
  <si>
    <t>O00391-2;O00391</t>
  </si>
  <si>
    <t>&gt;sp|O00391-2|QSOX1_HUMAN Isoform 2 of Sulfhydryl oxidase 1 OS=Homo sapiens GN=QSOX1</t>
  </si>
  <si>
    <t>O00391-2</t>
  </si>
  <si>
    <t>P17612;P17612-2</t>
  </si>
  <si>
    <t>&gt;sp|P17612|KAPCA_HUMAN cAMP-dependent protein kinase catalytic subunit alpha OS=Homo sapiens GN=PRKACA PE=1 SV=2</t>
  </si>
  <si>
    <t>P17612</t>
  </si>
  <si>
    <t>P49247</t>
  </si>
  <si>
    <t>&gt;sp|P49247|RPIA_HUMAN Ribose-5-phosphate isomerase OS=Homo sapiens GN=RPIA PE=1 SV=3</t>
  </si>
  <si>
    <t>P49773</t>
  </si>
  <si>
    <t>&gt;sp|P49773|HINT1_HUMAN Histidine triad nucleotide-binding protein 1 OS=Homo sapiens GN=HINT1 PE=1 SV=2</t>
  </si>
  <si>
    <t>Q71DI3;Q16695;P84243;P68431;Q6NXT2</t>
  </si>
  <si>
    <t>&gt;sp|Q71DI3|H32_HUMAN Histone H3.2 OS=Homo sapiens GN=HIST2H3A PE=1 SV=3</t>
  </si>
  <si>
    <t>Q71DI3</t>
  </si>
  <si>
    <t>Q15185-4;Q15185;Q15185-3;Q15185-2</t>
  </si>
  <si>
    <t>&gt;sp|Q15185-4|TEBP_HUMAN Isoform 4 of Prostaglandin E synthase 3 OS=Homo sapiens GN=PTGES3</t>
  </si>
  <si>
    <t>Q15185-4</t>
  </si>
  <si>
    <t>Q99460-2;Q99460</t>
  </si>
  <si>
    <t>&gt;sp|Q99460-2|PSMD1_HUMAN Isoform 2 of 26S proteasome non-ATPase regulatory subunit 1 OS=Homo sapiens GN=PSMD1</t>
  </si>
  <si>
    <t>Q99460-2</t>
  </si>
  <si>
    <t>O75695</t>
  </si>
  <si>
    <t>&gt;sp|O75695|XRP2_HUMAN Protein XRP2 OS=Homo sapiens GN=RP2 PE=1 SV=4</t>
  </si>
  <si>
    <t>P01597</t>
  </si>
  <si>
    <t>&gt;sp|P01597|KV105_HUMAN Ig kappa chain V-I region DEE OS=Homo sapiens PE=1 SV=1</t>
  </si>
  <si>
    <t>IGKV1-39</t>
  </si>
  <si>
    <t>P06730;P06730-3;P06730-2</t>
  </si>
  <si>
    <t>&gt;sp|P06730|IF4E_HUMAN Eukaryotic translation initiation factor 4E OS=Homo sapiens GN=EIF4E PE=1 SV=2</t>
  </si>
  <si>
    <t>P06730</t>
  </si>
  <si>
    <t>P22102;P22102-2</t>
  </si>
  <si>
    <t>&gt;sp|P22102|PUR2_HUMAN Trifunctional purine biosynthetic protein adenosine-3 OS=Homo sapiens GN=GART PE=1 SV=1</t>
  </si>
  <si>
    <t>P22102</t>
  </si>
  <si>
    <t>P25787</t>
  </si>
  <si>
    <t>&gt;sp|P25787|PSA2_HUMAN Proteasome subunit alpha type-2 OS=Homo sapiens GN=PSMA2 PE=1 SV=2</t>
  </si>
  <si>
    <t>P62834</t>
  </si>
  <si>
    <t>&gt;sp|P62834|RAP1A_HUMAN Ras-related protein Rap-1A OS=Homo sapiens GN=RAP1A PE=1 SV=1</t>
  </si>
  <si>
    <t>Q86YL5;Q86YL5-2</t>
  </si>
  <si>
    <t>&gt;sp|Q86YL5|TDRP_HUMAN Testis development-related protein OS=Homo sapiens GN=TDRP PE=1 SV=2</t>
  </si>
  <si>
    <t>Q86YL5</t>
  </si>
  <si>
    <t>Q8N1G4</t>
  </si>
  <si>
    <t>&gt;sp|Q8N1G4|LRC47_HUMAN Leucine-rich repeat-containing protein 47 OS=Homo sapiens GN=LRRC47 PE=1 SV=1</t>
  </si>
  <si>
    <t>Q8TEA8</t>
  </si>
  <si>
    <t>&gt;sp|Q8TEA8|DTD1_HUMAN D-tyrosyl-tRNA(Tyr) deacylase 1 OS=Homo sapiens GN=DTD1 PE=1 SV=2</t>
  </si>
  <si>
    <t>Q96AX2;Q96AX2-4;Q96AX2-3;Q96AX2-2</t>
  </si>
  <si>
    <t>&gt;sp|Q96AX2|RAB37_HUMAN Ras-related protein Rab-37 OS=Homo sapiens GN=RAB37 PE=1 SV=3</t>
  </si>
  <si>
    <t>Q96AX2</t>
  </si>
  <si>
    <t>Q9C026-5;Q9C026;Q9C026-4</t>
  </si>
  <si>
    <t>&gt;sp|Q9C026-5|TRIM9_HUMAN Isoform 5 of E3 ubiquitin-protein ligase TRIM9 OS=Homo sapiens GN=TRIM9</t>
  </si>
  <si>
    <t>Q9C026-5</t>
  </si>
  <si>
    <t>O95292;O95292-2</t>
  </si>
  <si>
    <t>&gt;sp|O95292|VAPB_HUMAN Vesicle-associated membrane protein-associated protein B/C OS=Homo sapiens GN=VAPB PE=1 SV=3</t>
  </si>
  <si>
    <t>O95292</t>
  </si>
  <si>
    <t>P01833</t>
  </si>
  <si>
    <t>&gt;sp|P01833|PIGR_HUMAN Polymeric immunoglobulin receptor OS=Homo sapiens GN=PIGR PE=1 SV=4</t>
  </si>
  <si>
    <t>P28331-3;P28331-4;P28331-5;P28331;P28331-2</t>
  </si>
  <si>
    <t>&gt;sp|P28331-3|NDUS1_HUMAN Isoform 3 of NADH-ubiquinone oxidoreductase 75 kDa subunit, mitochondrial OS=Homo sapiens GN=NDUFS1</t>
  </si>
  <si>
    <t>P28331-3</t>
  </si>
  <si>
    <t>P32019-3;P32019-2;P32019;P32019-4</t>
  </si>
  <si>
    <t>&gt;sp|P32019-3|I5P2_HUMAN Isoform 3 of Type II inositol 1,4,5-trisphosphate 5-phosphatase OS=Homo sapiens GN=INPP5B</t>
  </si>
  <si>
    <t>P32019-3</t>
  </si>
  <si>
    <t>P55957;P55957-2;P55957-4</t>
  </si>
  <si>
    <t>&gt;sp|P55957|BID_HUMAN BH3-interacting domain death agonist OS=Homo sapiens GN=BID PE=1 SV=1</t>
  </si>
  <si>
    <t>P55957</t>
  </si>
  <si>
    <t>P62942</t>
  </si>
  <si>
    <t>&gt;sp|P62942|FKB1A_HUMAN Peptidyl-prolyl cis-trans isomerase FKBP1A OS=Homo sapiens GN=FKBP1A PE=1 SV=2</t>
  </si>
  <si>
    <t>P68400;Q8NEV1;P68400-2</t>
  </si>
  <si>
    <t>&gt;sp|P68400|CSK21_HUMAN Casein kinase II subunit alpha OS=Homo sapiens GN=CSNK2A1 PE=1 SV=1</t>
  </si>
  <si>
    <t>P68400</t>
  </si>
  <si>
    <t>Q86XR7-2;Q9Y3B3-2;Q9Y3B3</t>
  </si>
  <si>
    <t>&gt;sp|Q86XR7-2|TCAM2_HUMAN Isoform 2 of TIR domain-containing adapter molecule 2 OS=Homo sapiens GN=TICAM2</t>
  </si>
  <si>
    <t>Q86XR7-2</t>
  </si>
  <si>
    <t>Q92747;Q92747-2</t>
  </si>
  <si>
    <t>&gt;sp|Q92747|ARC1A_HUMAN Actin-related protein 2/3 complex subunit 1A OS=Homo sapiens GN=ARPC1A PE=1 SV=2</t>
  </si>
  <si>
    <t>Q92747</t>
  </si>
  <si>
    <t>Q93008-1;Q93008;O00507;O00507-2</t>
  </si>
  <si>
    <t>&gt;sp|Q93008-1|USP9X_HUMAN Isoform 2 of Probable ubiquitin carboxyl-terminal hydrolase FAF-X OS=Homo sapiens GN=USP9X</t>
  </si>
  <si>
    <t>Q93008-1</t>
  </si>
  <si>
    <t>Q9UKK9</t>
  </si>
  <si>
    <t>&gt;sp|Q9UKK9|NUDT5_HUMAN ADP-sugar pyrophosphatase OS=Homo sapiens GN=NUDT5 PE=1 SV=1</t>
  </si>
  <si>
    <t>Q9Y2Z0-2;Q9Y2Z0</t>
  </si>
  <si>
    <t>&gt;sp|Q9Y2Z0-2|SGT1_HUMAN Isoform 2 of Protein SGT1 homolog OS=Homo sapiens GN=SUGT1</t>
  </si>
  <si>
    <t>Q9Y2Z0-2</t>
  </si>
  <si>
    <t>P30453;P30457</t>
  </si>
  <si>
    <t>&gt;sp|P30453|1A34_HUMAN HLA class I histocompatibility antigen, A-34 alpha chain OS=Homo sapiens GN=HLA-A PE=1 SV=1</t>
  </si>
  <si>
    <t>P30453</t>
  </si>
  <si>
    <t>P42704</t>
  </si>
  <si>
    <t>&gt;sp|P42704|LPPRC_HUMAN Leucine-rich PPR motif-containing protein, mitochondrial OS=Homo sapiens GN=LRPPRC PE=1 SV=3</t>
  </si>
  <si>
    <t>P51809;P51809-3;P51809-2</t>
  </si>
  <si>
    <t>&gt;sp|P51809|VAMP7_HUMAN Vesicle-associated membrane protein 7 OS=Homo sapiens GN=VAMP7 PE=1 SV=3</t>
  </si>
  <si>
    <t>P51809</t>
  </si>
  <si>
    <t>P53582</t>
  </si>
  <si>
    <t>&gt;sp|P53582|MAP11_HUMAN Methionine aminopeptidase 1 OS=Homo sapiens GN=METAP1 PE=1 SV=2</t>
  </si>
  <si>
    <t>Q5T447</t>
  </si>
  <si>
    <t>&gt;sp|Q5T447|HECD3_HUMAN E3 ubiquitin-protein ligase HECTD3 OS=Homo sapiens GN=HECTD3 PE=1 SV=1</t>
  </si>
  <si>
    <t>Q5VWZ2;Q5VWZ2-2</t>
  </si>
  <si>
    <t>&gt;sp|Q5VWZ2|LYPL1_HUMAN Lysophospholipase-like protein 1 OS=Homo sapiens GN=LYPLAL1 PE=1 SV=3</t>
  </si>
  <si>
    <t>Q5VWZ2</t>
  </si>
  <si>
    <t>Q6YHK3-4;Q6YHK3;Q6YHK3-3;Q6YHK3-2</t>
  </si>
  <si>
    <t>&gt;sp|Q6YHK3-4|CD109_HUMAN Isoform 4 of CD109 antigen OS=Homo sapiens GN=CD109</t>
  </si>
  <si>
    <t>Q6YHK3-4</t>
  </si>
  <si>
    <t>Q9Y265;Q9Y265-2</t>
  </si>
  <si>
    <t>&gt;sp|Q9Y265|RUVB1_HUMAN RuvB-like 1 OS=Homo sapiens GN=RUVBL1 PE=1 SV=1</t>
  </si>
  <si>
    <t>Q9Y265</t>
  </si>
  <si>
    <t>O15078;O15078-2</t>
  </si>
  <si>
    <t>&gt;sp|O15078|CE290_HUMAN Centrosomal protein of 290 kDa OS=Homo sapiens GN=CEP290 PE=1 SV=2</t>
  </si>
  <si>
    <t>O15078</t>
  </si>
  <si>
    <t>P11171-7;P11171-2;P11171;P11171-4;P11171-3;P11171-5;P11171-6</t>
  </si>
  <si>
    <t>&gt;sp|P11171-7|41_HUMAN Isoform 7 of Protein 4.1 OS=Homo sapiens GN=EPB41</t>
  </si>
  <si>
    <t>P11171-7</t>
  </si>
  <si>
    <t>P26196</t>
  </si>
  <si>
    <t>&gt;sp|P26196|DDX6_HUMAN Probable ATP-dependent RNA helicase DDX6 OS=Homo sapiens GN=DDX6 PE=1 SV=2</t>
  </si>
  <si>
    <t>P48509</t>
  </si>
  <si>
    <t>&gt;sp|P48509|CD151_HUMAN CD151 antigen OS=Homo sapiens GN=CD151 PE=1 SV=3</t>
  </si>
  <si>
    <t>P63151;P63151-2;Q66LE6;Q00005-6;Q00005;Q00005-2;Q00005-3;Q00005-4;Q00005-5;Q00005-7</t>
  </si>
  <si>
    <t>&gt;sp|P63151|2ABA_HUMAN Serine/threonine-protein phosphatase 2A 55 kDa regulatory subunit B alpha isoform OS=Homo sapiens GN=PPP2R2A PE=1 SV=1</t>
  </si>
  <si>
    <t>P63151</t>
  </si>
  <si>
    <t>Q58FF8</t>
  </si>
  <si>
    <t>&gt;sp|Q58FF8|H90B2_HUMAN Putative heat shock protein HSP 90-beta 2 OS=Homo sapiens GN=HSP90AB2P PE=1 SV=2</t>
  </si>
  <si>
    <t>Q99961;Q99961-3;Q99961-2;Q99962</t>
  </si>
  <si>
    <t>&gt;sp|Q99961|SH3G1_HUMAN Endophilin-A2 OS=Homo sapiens GN=SH3GL1 PE=1 SV=1</t>
  </si>
  <si>
    <t>Q99961</t>
  </si>
  <si>
    <t>Q9BWM7</t>
  </si>
  <si>
    <t>&gt;sp|Q9BWM7|SFXN3_HUMAN Sideroflexin-3 OS=Homo sapiens GN=SFXN3 PE=1 SV=2</t>
  </si>
  <si>
    <t>O95299;O95299-2</t>
  </si>
  <si>
    <t>&gt;sp|O95299|NDUAA_HUMAN NADH dehydrogenase [ubiquinone] 1 alpha subcomplex subunit 10, mitochondrial OS=Homo sapiens GN=NDUFA10 PE=1 SV=1</t>
  </si>
  <si>
    <t>O95299</t>
  </si>
  <si>
    <t>P02741;P02741-2</t>
  </si>
  <si>
    <t>&gt;sp|P02741|CRP_HUMAN C-reactive protein OS=Homo sapiens GN=CRP PE=1 SV=1</t>
  </si>
  <si>
    <t>P02741</t>
  </si>
  <si>
    <t>P07602;P07602-2;P07602-3</t>
  </si>
  <si>
    <t>&gt;sp|P07602|SAP_HUMAN Prosaposin OS=Homo sapiens GN=PSAP PE=1 SV=2</t>
  </si>
  <si>
    <t>P07602</t>
  </si>
  <si>
    <t>P17980</t>
  </si>
  <si>
    <t>&gt;sp|P17980|PRS6A_HUMAN 26S protease regulatory subunit 6A OS=Homo sapiens GN=PSMC3 PE=1 SV=3</t>
  </si>
  <si>
    <t>P18135;P18136</t>
  </si>
  <si>
    <t>&gt;sp|P18135|KV312_HUMAN Ig kappa chain V-III region HAH OS=Homo sapiens PE=2 SV=1</t>
  </si>
  <si>
    <t>P18135</t>
  </si>
  <si>
    <t>P20645</t>
  </si>
  <si>
    <t>&gt;sp|P20645|MPRD_HUMAN Cation-dependent mannose-6-phosphate receptor OS=Homo sapiens GN=M6PR PE=1 SV=1</t>
  </si>
  <si>
    <t>P30046;P30046-2;A6NHG4</t>
  </si>
  <si>
    <t>&gt;sp|P30046|DOPD_HUMAN D-dopachrome decarboxylase OS=Homo sapiens GN=DDT PE=1 SV=3</t>
  </si>
  <si>
    <t>P30046</t>
  </si>
  <si>
    <t>P30480</t>
  </si>
  <si>
    <t>&gt;sp|P30480|1B42_HUMAN HLA class I histocompatibility antigen, B-42 alpha chain OS=Homo sapiens GN=HLA-B PE=1 SV=1</t>
  </si>
  <si>
    <t>P34913;P34913-3;P34913-2</t>
  </si>
  <si>
    <t>&gt;sp|P34913|HYES_HUMAN Bifunctional epoxide hydrolase 2 OS=Homo sapiens GN=EPHX2 PE=1 SV=2</t>
  </si>
  <si>
    <t>P34913</t>
  </si>
  <si>
    <t>P60228</t>
  </si>
  <si>
    <t>&gt;sp|P60228|EIF3E_HUMAN Eukaryotic translation initiation factor 3 subunit E OS=Homo sapiens GN=EIF3E PE=1 SV=1</t>
  </si>
  <si>
    <t>Q13748;Q13748-2;Q6PEY2</t>
  </si>
  <si>
    <t>&gt;sp|Q13748|TBA3C_HUMAN Tubulin alpha-3C/D chain OS=Homo sapiens GN=TUBA3C PE=1 SV=3</t>
  </si>
  <si>
    <t>Q13748</t>
  </si>
  <si>
    <t>Q96A65;Q96A65-2</t>
  </si>
  <si>
    <t>&gt;sp|Q96A65|EXOC4_HUMAN Exocyst complex component 4 OS=Homo sapiens GN=EXOC4 PE=1 SV=1</t>
  </si>
  <si>
    <t>Q96A65</t>
  </si>
  <si>
    <t>Q9NQC3-3;Q9NQC3-6</t>
  </si>
  <si>
    <t>&gt;sp|Q9NQC3-3|RTN4_HUMAN Isoform 3 of Reticulon-4 OS=Homo sapiens GN=RTN4</t>
  </si>
  <si>
    <t>Q9NQC3-3</t>
  </si>
  <si>
    <t>Q9Y3Q8;Q9Y3Q8-2</t>
  </si>
  <si>
    <t>&gt;sp|Q9Y3Q8|T22D4_HUMAN TSC22 domain family protein 4 OS=Homo sapiens GN=TSC22D4 PE=1 SV=2</t>
  </si>
  <si>
    <t>Q9Y3Q8</t>
  </si>
  <si>
    <t>Q9Y6W5;Q9Y6W5-2</t>
  </si>
  <si>
    <t>&gt;sp|Q9Y6W5|WASF2_HUMAN Wiskott-Aldrich syndrome protein family member 2 OS=Homo sapiens GN=WASF2 PE=1 SV=3</t>
  </si>
  <si>
    <t>Q9Y6W5</t>
  </si>
  <si>
    <t>O15533-2;O15533;O15533-3;O15533-4</t>
  </si>
  <si>
    <t>&gt;sp|O15533-2|TPSN_HUMAN Isoform 2 of Tapasin OS=Homo sapiens GN=TAPBP</t>
  </si>
  <si>
    <t>O15533-2</t>
  </si>
  <si>
    <t>O43312;O43312-5;O43312-4;O43312-2;Q765P7-2;Q765P7</t>
  </si>
  <si>
    <t>&gt;sp|O43312|MTSS1_HUMAN Metastasis suppressor protein 1 OS=Homo sapiens GN=MTSS1 PE=1 SV=2</t>
  </si>
  <si>
    <t>O43312</t>
  </si>
  <si>
    <t>O75347;O75347-2</t>
  </si>
  <si>
    <t>&gt;sp|O75347|TBCA_HUMAN Tubulin-specific chaperone A OS=Homo sapiens GN=TBCA PE=1 SV=3</t>
  </si>
  <si>
    <t>O75347</t>
  </si>
  <si>
    <t>P01133-2;P01133-3;P01133</t>
  </si>
  <si>
    <t>&gt;sp|P01133-2|EGF_HUMAN Isoform 2 of Pro-epidermal growth factor OS=Homo sapiens GN=EGF</t>
  </si>
  <si>
    <t>P01133-2</t>
  </si>
  <si>
    <t>P13807-2;P13807</t>
  </si>
  <si>
    <t>&gt;sp|P13807-2|GYS1_HUMAN Isoform 2 of Glycogen [starch] synthase, muscle OS=Homo sapiens GN=GYS1</t>
  </si>
  <si>
    <t>P13807-2</t>
  </si>
  <si>
    <t>P18084</t>
  </si>
  <si>
    <t>&gt;sp|P18084|ITB5_HUMAN Integrin beta-5 OS=Homo sapiens GN=ITGB5 PE=1 SV=1</t>
  </si>
  <si>
    <t>P24666;P24666-4;P24666-3;P24666-2</t>
  </si>
  <si>
    <t>&gt;sp|P24666|PPAC_HUMAN Low molecular weight phosphotyrosine protein phosphatase OS=Homo sapiens GN=ACP1 PE=1 SV=3</t>
  </si>
  <si>
    <t>P24666</t>
  </si>
  <si>
    <t>P26927;Q2TV78;Q2TV78-2</t>
  </si>
  <si>
    <t>&gt;sp|P26927|HGFL_HUMAN Hepatocyte growth factor-like protein OS=Homo sapiens GN=MST1 PE=1 SV=2</t>
  </si>
  <si>
    <t>P26927</t>
  </si>
  <si>
    <t>P53990-2;P53990-3;P53990;P53990-4;P53990-5;P53990-6</t>
  </si>
  <si>
    <t>&gt;sp|P53990-2|IST1_HUMAN Isoform 2 of IST1 homolog OS=Homo sapiens GN=IST1</t>
  </si>
  <si>
    <t>P53990-2</t>
  </si>
  <si>
    <t>P61626</t>
  </si>
  <si>
    <t>&gt;sp|P61626|LYSC_HUMAN Lysozyme C OS=Homo sapiens GN=LYZ PE=1 SV=1</t>
  </si>
  <si>
    <t>Q04759-3;Q04759-2;Q04759</t>
  </si>
  <si>
    <t>&gt;sp|Q04759-3|KPCT_HUMAN Isoform 3 of Protein kinase C theta type OS=Homo sapiens GN=PRKCQ</t>
  </si>
  <si>
    <t>Q04759-3</t>
  </si>
  <si>
    <t>Q12974;Q12974-4;Q12974-2;Q12974-3;Q93096</t>
  </si>
  <si>
    <t>&gt;sp|Q12974|TP4A2_HUMAN Protein tyrosine phosphatase type IVA 2 OS=Homo sapiens GN=PTP4A2 PE=1 SV=1</t>
  </si>
  <si>
    <t>Q12974</t>
  </si>
  <si>
    <t>Q13131;Q13131-2;P54646</t>
  </si>
  <si>
    <t>&gt;sp|Q13131|AAPK1_HUMAN 5-AMP-activated protein kinase catalytic subunit alpha-1 OS=Homo sapiens GN=PRKAA1 PE=1 SV=4</t>
  </si>
  <si>
    <t>Q13131</t>
  </si>
  <si>
    <t>Q15582</t>
  </si>
  <si>
    <t>&gt;sp|Q15582|BGH3_HUMAN Transforming growth factor-beta-induced protein ig-h3 OS=Homo sapiens GN=TGFBI PE=1 SV=1</t>
  </si>
  <si>
    <t>Q99829</t>
  </si>
  <si>
    <t>&gt;sp|Q99829|CPNE1_HUMAN Copine-1 OS=Homo sapiens GN=CPNE1 PE=1 SV=1</t>
  </si>
  <si>
    <t>Q9Y4G6</t>
  </si>
  <si>
    <t>&gt;sp|Q9Y4G6|TLN2_HUMAN Talin-2 OS=Homo sapiens GN=TLN2 PE=1 SV=4</t>
  </si>
  <si>
    <t>O60488-2;O60488</t>
  </si>
  <si>
    <t>&gt;sp|O60488-2|ACSL4_HUMAN Isoform Short of Long-chain-fatty-acid--CoA ligase 4 OS=Homo sapiens GN=ACSL4</t>
  </si>
  <si>
    <t>O60488-2</t>
  </si>
  <si>
    <t>O95630;O95630-2</t>
  </si>
  <si>
    <t>&gt;sp|O95630|STABP_HUMAN STAM-binding protein OS=Homo sapiens GN=STAMBP PE=1 SV=1</t>
  </si>
  <si>
    <t>O95630</t>
  </si>
  <si>
    <t>O95721</t>
  </si>
  <si>
    <t>&gt;sp|O95721|SNP29_HUMAN Synaptosomal-associated protein 29 OS=Homo sapiens GN=SNAP29 PE=1 SV=1</t>
  </si>
  <si>
    <t>P04070;P04070-2</t>
  </si>
  <si>
    <t>&gt;sp|P04070|PROC_HUMAN Vitamin K-dependent protein C OS=Homo sapiens GN=PROC PE=1 SV=1</t>
  </si>
  <si>
    <t>P04070</t>
  </si>
  <si>
    <t>P05164-2;P05164;P05164-3</t>
  </si>
  <si>
    <t>&gt;sp|P05164-2|PERM_HUMAN Isoform H14 of Myeloperoxidase OS=Homo sapiens GN=MPO</t>
  </si>
  <si>
    <t>P05164-2</t>
  </si>
  <si>
    <t>P13501</t>
  </si>
  <si>
    <t>&gt;sp|P13501|CCL5_HUMAN C-C motif chemokine 5 OS=Homo sapiens GN=CCL5 PE=1 SV=3</t>
  </si>
  <si>
    <t>P13639</t>
  </si>
  <si>
    <t>&gt;sp|P13639|EF2_HUMAN Elongation factor 2 OS=Homo sapiens GN=EEF2 PE=1 SV=4</t>
  </si>
  <si>
    <t>P43686-2;P43686</t>
  </si>
  <si>
    <t>&gt;sp|P43686-2|PRS6B_HUMAN Isoform 2 of 26S protease regulatory subunit 6B OS=Homo sapiens GN=PSMC4</t>
  </si>
  <si>
    <t>P43686-2</t>
  </si>
  <si>
    <t>P56134-4;P56134-3;P56134-2;P56134</t>
  </si>
  <si>
    <t>&gt;sp|P56134-4|ATPK_HUMAN Isoform 4 of ATP synthase subunit f, mitochondrial OS=Homo sapiens GN=ATP5J2</t>
  </si>
  <si>
    <t>P56134-4</t>
  </si>
  <si>
    <t>P67812-4;P67812;P67812-3;P67812-2</t>
  </si>
  <si>
    <t>&gt;sp|P67812-4|SC11A_HUMAN Isoform 4 of Signal peptidase complex catalytic subunit SEC11A OS=Homo sapiens GN=SEC11A</t>
  </si>
  <si>
    <t>P67812-4</t>
  </si>
  <si>
    <t>Q12765-3;Q12765;Q12765-2</t>
  </si>
  <si>
    <t>&gt;sp|Q12765-3|SCRN1_HUMAN Isoform 3 of Secernin-1 OS=Homo sapiens GN=SCRN1</t>
  </si>
  <si>
    <t>Q12765-3</t>
  </si>
  <si>
    <t>Q12904;Q12904-2</t>
  </si>
  <si>
    <t>&gt;sp|Q12904|AIMP1_HUMAN Aminoacyl tRNA synthase complex-interacting multifunctional protein 1 OS=Homo sapiens GN=AIMP1 PE=1 SV=2</t>
  </si>
  <si>
    <t>Q12904</t>
  </si>
  <si>
    <t>Q13813-3;Q13813;Q13813-2</t>
  </si>
  <si>
    <t>&gt;sp|Q13813-3|SPTN1_HUMAN Isoform 3 of Spectrin alpha chain, non-erythrocytic 1 OS=Homo sapiens GN=SPTAN1</t>
  </si>
  <si>
    <t>Q13813-3</t>
  </si>
  <si>
    <t>Q4G0F5;O75436-2;O75436</t>
  </si>
  <si>
    <t>&gt;sp|Q4G0F5|VP26B_HUMAN Vacuolar protein sorting-associated protein 26B OS=Homo sapiens GN=VPS26B PE=1 SV=2</t>
  </si>
  <si>
    <t>Q4G0F5</t>
  </si>
  <si>
    <t>Q86UP2-2;Q86UP2-3;Q86UP2-4;Q86UP2</t>
  </si>
  <si>
    <t>&gt;sp|Q86UP2-2|KTN1_HUMAN Isoform 2 of Kinectin OS=Homo sapiens GN=KTN1</t>
  </si>
  <si>
    <t>Q86UP2-2</t>
  </si>
  <si>
    <t>Q8IY33-4;Q8IY33;Q8N3F8</t>
  </si>
  <si>
    <t>&gt;sp|Q8IY33-4|MILK2_HUMAN Isoform 4 of MICAL-like protein 2 OS=Homo sapiens GN=MICALL2</t>
  </si>
  <si>
    <t>Q8IY33-4</t>
  </si>
  <si>
    <t>Q9P035</t>
  </si>
  <si>
    <t>&gt;sp|Q9P035|HACD3_HUMAN Very-long-chain (3R)-3-hydroxyacyl-CoA dehydratase 3 OS=Homo sapiens GN=HACD3 PE=1 SV=2</t>
  </si>
  <si>
    <t>Q9UHA4;Q9UHA4-2</t>
  </si>
  <si>
    <t>&gt;sp|Q9UHA4|LTOR3_HUMAN Ragulator complex protein LAMTOR3 OS=Homo sapiens GN=LAMTOR3 PE=1 SV=1</t>
  </si>
  <si>
    <t>Q9UHA4</t>
  </si>
  <si>
    <t>Q9Y4E8;Q9Y4E8-2;Q9Y4E8-3;Q9Y4E8-4</t>
  </si>
  <si>
    <t>&gt;sp|Q9Y4E8|UBP15_HUMAN Ubiquitin carboxyl-terminal hydrolase 15 OS=Homo sapiens GN=USP15 PE=1 SV=3</t>
  </si>
  <si>
    <t>Q9Y4E8</t>
  </si>
  <si>
    <t>O75718</t>
  </si>
  <si>
    <t>&gt;sp|O75718|CRTAP_HUMAN Cartilage-associated protein OS=Homo sapiens GN=CRTAP PE=1 SV=1</t>
  </si>
  <si>
    <t>P02794</t>
  </si>
  <si>
    <t>&gt;sp|P02794|FRIH_HUMAN Ferritin heavy chain OS=Homo sapiens GN=FTH1 PE=1 SV=2</t>
  </si>
  <si>
    <t>P08559-3;P08559;P08559-2;P08559-4;P29803</t>
  </si>
  <si>
    <t>&gt;sp|P08559-3|ODPA_HUMAN Isoform 3 of Pyruvate dehydrogenase E1 component subunit alpha, somatic form, mitochondrial OS=Homo sapiens GN=PDHA1</t>
  </si>
  <si>
    <t>P08559-3</t>
  </si>
  <si>
    <t>P09493-2</t>
  </si>
  <si>
    <t>&gt;sp|P09493-2|TPM1_HUMAN Isoform 2 of Tropomyosin alpha-1 chain OS=Homo sapiens GN=TPM1</t>
  </si>
  <si>
    <t>P18428</t>
  </si>
  <si>
    <t>&gt;sp|P18428|LBP_HUMAN Lipopolysaccharide-binding protein OS=Homo sapiens GN=LBP PE=1 SV=3</t>
  </si>
  <si>
    <t>P26440;P26440-2</t>
  </si>
  <si>
    <t>&gt;sp|P26440|IVD_HUMAN Isovaleryl-CoA dehydrogenase, mitochondrial OS=Homo sapiens GN=IVD PE=1 SV=1</t>
  </si>
  <si>
    <t>P26440</t>
  </si>
  <si>
    <t>P31947-2;P31947</t>
  </si>
  <si>
    <t>&gt;sp|P31947-2|1433S_HUMAN Isoform 2 of 14-3-3 protein sigma OS=Homo sapiens GN=SFN</t>
  </si>
  <si>
    <t>P31947-2</t>
  </si>
  <si>
    <t>P42892-3;P42892-2;P42892-4;P42892</t>
  </si>
  <si>
    <t>&gt;sp|P42892-3|ECE1_HUMAN Isoform C of Endothelin-converting enzyme 1 OS=Homo sapiens GN=ECE1</t>
  </si>
  <si>
    <t>P42892-3</t>
  </si>
  <si>
    <t>P49137;P49137-2</t>
  </si>
  <si>
    <t>&gt;sp|P49137|MAPK2_HUMAN MAP kinase-activated protein kinase 2 OS=Homo sapiens GN=MAPKAPK2 PE=1 SV=1</t>
  </si>
  <si>
    <t>P49137</t>
  </si>
  <si>
    <t>P55056</t>
  </si>
  <si>
    <t>&gt;sp|P55056|APOC4_HUMAN Apolipoprotein C-IV OS=Homo sapiens GN=APOC4 PE=1 SV=1</t>
  </si>
  <si>
    <t>Q00722-3;Q00722-2;Q00722;Q9NQ66-2;Q9NQ66</t>
  </si>
  <si>
    <t>&gt;sp|Q00722-3|PLCB2_HUMAN Isoform 3 of 1-phosphatidylinositol 4,5-bisphosphate phosphodiesterase beta-2 OS=Homo sapiens GN=PLCB2</t>
  </si>
  <si>
    <t>Q00722-3</t>
  </si>
  <si>
    <t>Q14103-3;Q14103;Q14103-4;Q14103-2;O14979-3;O14979-2;O14979</t>
  </si>
  <si>
    <t>&gt;sp|Q14103-3|HNRPD_HUMAN Isoform 3 of Heterogeneous nuclear ribonucleoprotein D0 OS=Homo sapiens GN=HNRNPD</t>
  </si>
  <si>
    <t>Q14103-3</t>
  </si>
  <si>
    <t>Q14392</t>
  </si>
  <si>
    <t>&gt;sp|Q14392|LRC32_HUMAN Leucine-rich repeat-containing protein 32 OS=Homo sapiens GN=LRRC32 PE=1 SV=1</t>
  </si>
  <si>
    <t>Q562R1</t>
  </si>
  <si>
    <t>&gt;sp|Q562R1|ACTBL_HUMAN Beta-actin-like protein 2 OS=Homo sapiens GN=ACTBL2 PE=1 SV=2</t>
  </si>
  <si>
    <t>Q8TBC4-2;Q8TBC4</t>
  </si>
  <si>
    <t>&gt;sp|Q8TBC4-2|UBA3_HUMAN Isoform 2 of NEDD8-activating enzyme E1 catalytic subunit OS=Homo sapiens GN=UBA3</t>
  </si>
  <si>
    <t>Q8TBC4-2</t>
  </si>
  <si>
    <t>Q92930</t>
  </si>
  <si>
    <t>&gt;sp|Q92930|RAB8B_HUMAN Ras-related protein Rab-8B OS=Homo sapiens GN=RAB8B PE=1 SV=2</t>
  </si>
  <si>
    <t>Q99523;Q99523-2</t>
  </si>
  <si>
    <t>&gt;sp|Q99523|SORT_HUMAN Sortilin OS=Homo sapiens GN=SORT1 PE=1 SV=3</t>
  </si>
  <si>
    <t>Q99523</t>
  </si>
  <si>
    <t>Q9BV40</t>
  </si>
  <si>
    <t>&gt;sp|Q9BV40|VAMP8_HUMAN Vesicle-associated membrane protein 8 OS=Homo sapiens GN=VAMP8 PE=1 SV=1</t>
  </si>
  <si>
    <t>Q9NV96-3;Q9NV96-2;Q9NV96;Q3MIR4</t>
  </si>
  <si>
    <t>&gt;sp|Q9NV96-3|CC50A_HUMAN Isoform 3 of Cell cycle control protein 50A OS=Homo sapiens GN=TMEM30A</t>
  </si>
  <si>
    <t>Q9NV96-3</t>
  </si>
  <si>
    <t>Q9NVG8;Q9NVG8-2;Q9NVG8-3</t>
  </si>
  <si>
    <t>&gt;sp|Q9NVG8|TBC13_HUMAN TBC1 domain family member 13 OS=Homo sapiens GN=TBC1D13 PE=1 SV=3</t>
  </si>
  <si>
    <t>Q9NVG8</t>
  </si>
  <si>
    <t>Q9UN37</t>
  </si>
  <si>
    <t>&gt;sp|Q9UN37|VPS4A_HUMAN Vacuolar protein sorting-associated protein 4A OS=Homo sapiens GN=VPS4A PE=1 SV=1</t>
  </si>
  <si>
    <t>A0AVT1;A0AVT1-2;A0AVT1-4;A0AVT1-3</t>
  </si>
  <si>
    <t>&gt;sp|A0AVT1|UBA6_HUMAN Ubiquitin-like modifier-activating enzyme 6 OS=Homo sapiens GN=UBA6 PE=1 SV=1</t>
  </si>
  <si>
    <t>A0AVT1</t>
  </si>
  <si>
    <t>O94925-3;O94925;O94925-2</t>
  </si>
  <si>
    <t>&gt;sp|O94925-3|GLSK_HUMAN Isoform 3 of Glutaminase kidney isoform, mitochondrial OS=Homo sapiens GN=GLS</t>
  </si>
  <si>
    <t>O94925-3</t>
  </si>
  <si>
    <t>P04156-2;P04156</t>
  </si>
  <si>
    <t>&gt;sp|P04156-2|PRIO_HUMAN Isoform 2 of Major prion protein OS=Homo sapiens GN=PRNP</t>
  </si>
  <si>
    <t>P04156-2</t>
  </si>
  <si>
    <t>P07355;P07355-2;A6NMY6</t>
  </si>
  <si>
    <t>&gt;sp|P07355|ANXA2_HUMAN Annexin A2 OS=Homo sapiens GN=ANXA2 PE=1 SV=2</t>
  </si>
  <si>
    <t>P07355</t>
  </si>
  <si>
    <t>P08865</t>
  </si>
  <si>
    <t>&gt;sp|P08865|RSSA_HUMAN 40S ribosomal protein SA OS=Homo sapiens GN=RPSA PE=1 SV=4</t>
  </si>
  <si>
    <t>P10301</t>
  </si>
  <si>
    <t>&gt;sp|P10301|RRAS_HUMAN Ras-related protein R-Ras OS=Homo sapiens GN=RRAS PE=1 SV=1</t>
  </si>
  <si>
    <t>P11908;P11908-2</t>
  </si>
  <si>
    <t>&gt;sp|P11908|PRPS2_HUMAN Ribose-phosphate pyrophosphokinase 2 OS=Homo sapiens GN=PRPS2 PE=1 SV=2</t>
  </si>
  <si>
    <t>P11908</t>
  </si>
  <si>
    <t>P12955;P12955-3;P12955-2</t>
  </si>
  <si>
    <t>&gt;sp|P12955|PEPD_HUMAN Xaa-Pro dipeptidase OS=Homo sapiens GN=PEPD PE=1 SV=3</t>
  </si>
  <si>
    <t>P12955</t>
  </si>
  <si>
    <t>P15121</t>
  </si>
  <si>
    <t>&gt;sp|P15121|ALDR_HUMAN Aldose reductase OS=Homo sapiens GN=AKR1B1 PE=1 SV=3</t>
  </si>
  <si>
    <t>P26885</t>
  </si>
  <si>
    <t>&gt;sp|P26885|FKBP2_HUMAN Peptidyl-prolyl cis-trans isomerase FKBP2 OS=Homo sapiens GN=FKBP2 PE=1 SV=2</t>
  </si>
  <si>
    <t>P46939;P46939-2;P46939-4;P46939-3</t>
  </si>
  <si>
    <t>&gt;sp|P46939|UTRO_HUMAN Utrophin OS=Homo sapiens GN=UTRN PE=1 SV=2</t>
  </si>
  <si>
    <t>P46939</t>
  </si>
  <si>
    <t>Q13492-4;Q13492-3;Q13492-2;Q13492-5;Q13492;O60641-3;O60641-4;O60641</t>
  </si>
  <si>
    <t>&gt;sp|Q13492-4|PICAL_HUMAN Isoform 4 of Phosphatidylinositol-binding clathrin assembly protein OS=Homo sapiens GN=PICALM</t>
  </si>
  <si>
    <t>Q13492-4</t>
  </si>
  <si>
    <t>Q15836;P63027;P23763-2;P23763-3;P23763</t>
  </si>
  <si>
    <t>&gt;sp|Q15836|VAMP3_HUMAN Vesicle-associated membrane protein 3 OS=Homo sapiens GN=VAMP3 PE=1 SV=3</t>
  </si>
  <si>
    <t>Q15836</t>
  </si>
  <si>
    <t>Q8N490-4;Q8N490-3;Q8N490</t>
  </si>
  <si>
    <t>&gt;sp|Q8N490-4|PNKD_HUMAN Isoform 4 of Probable hydrolase PNKD OS=Homo sapiens GN=PNKD</t>
  </si>
  <si>
    <t>Q8N490-4</t>
  </si>
  <si>
    <t>Q8NFV4;Q8NFV4-4;Q8NFV4-6;Q8NFV4-3;Q8NFV4-2;Q8NFV4-5</t>
  </si>
  <si>
    <t>&gt;sp|Q8NFV4|ABHDB_HUMAN Alpha/beta hydrolase domain-containing protein 11 OS=Homo sapiens GN=ABHD11 PE=2 SV=1</t>
  </si>
  <si>
    <t>Q8NFV4</t>
  </si>
  <si>
    <t>Q9H425;Q9H425-3;Q9H425-2</t>
  </si>
  <si>
    <t>&gt;sp|Q9H425|CA198_HUMAN Uncharacterized protein C1orf198 OS=Homo sapiens GN=C1orf198 PE=1 SV=1</t>
  </si>
  <si>
    <t>Q9H425</t>
  </si>
  <si>
    <t>Q9UBQ0;Q9UBQ0-2</t>
  </si>
  <si>
    <t>&gt;sp|Q9UBQ0|VPS29_HUMAN Vacuolar protein sorting-associated protein 29 OS=Homo sapiens GN=VPS29 PE=1 SV=1</t>
  </si>
  <si>
    <t>Q9UBQ0</t>
  </si>
  <si>
    <t>Q9UMY4-2;Q9UMY4;Q9UMY4-3</t>
  </si>
  <si>
    <t>&gt;sp|Q9UMY4-2|SNX12_HUMAN Isoform 2 of Sorting nexin-12 OS=Homo sapiens GN=SNX12</t>
  </si>
  <si>
    <t>Q9UMY4-2</t>
  </si>
  <si>
    <t>O00629</t>
  </si>
  <si>
    <t>&gt;sp|O00629|IMA3_HUMAN Importin subunit alpha-3 OS=Homo sapiens GN=KPNA4 PE=1 SV=1</t>
  </si>
  <si>
    <t>O15231-2;O15231-5;O15231-4;O15231-7;O15231;O15231-3;O15231-8;O15231-6;O15231-9</t>
  </si>
  <si>
    <t>&gt;sp|O15231-2|ZN185_HUMAN Isoform 2 of Zinc finger protein 185 OS=Homo sapiens GN=ZNF185</t>
  </si>
  <si>
    <t>O15231-2</t>
  </si>
  <si>
    <t>O75608-2;O75608</t>
  </si>
  <si>
    <t>&gt;sp|O75608-2|LYPA1_HUMAN Isoform 2 of Acyl-protein thioesterase 1 OS=Homo sapiens GN=LYPLA1</t>
  </si>
  <si>
    <t>O75608-2</t>
  </si>
  <si>
    <t>P00352;P05091</t>
  </si>
  <si>
    <t>&gt;sp|P00352|AL1A1_HUMAN Retinal dehydrogenase 1 OS=Homo sapiens GN=ALDH1A1 PE=1 SV=2</t>
  </si>
  <si>
    <t>P00352</t>
  </si>
  <si>
    <t>P01611</t>
  </si>
  <si>
    <t>&gt;sp|P01611|KV119_HUMAN Ig kappa chain V-I region Wes OS=Homo sapiens PE=1 SV=1</t>
  </si>
  <si>
    <t>IGKV1D-12</t>
  </si>
  <si>
    <t>P02786</t>
  </si>
  <si>
    <t>&gt;sp|P02786|TFR1_HUMAN Transferrin receptor protein 1 OS=Homo sapiens GN=TFRC PE=1 SV=2</t>
  </si>
  <si>
    <t>P04211</t>
  </si>
  <si>
    <t>&gt;sp|P04211|LV001_HUMAN Ig lambda chain V region 4A OS=Homo sapiens PE=4 SV=1</t>
  </si>
  <si>
    <t>IGLV7-43</t>
  </si>
  <si>
    <t>P10155-3;P10155-5;P10155-4;P10155;P10155-2</t>
  </si>
  <si>
    <t>&gt;sp|P10155-3|RO60_HUMAN Isoform 3 of 60 kDa SS-A/Ro ribonucleoprotein OS=Homo sapiens GN=TROVE2</t>
  </si>
  <si>
    <t>P10155-3</t>
  </si>
  <si>
    <t>P12318-2;P12318;P31995;P31995-2;P31995-4;P31995-3;P31994-2;P31994-3;P31994</t>
  </si>
  <si>
    <t>&gt;sp|P12318-2|FCG2A_HUMAN Isoform 2 of Low affinity immunoglobulin gamma Fc region receptor II-a OS=Homo sapiens GN=FCGR2A</t>
  </si>
  <si>
    <t>P12318-2</t>
  </si>
  <si>
    <t>P19784</t>
  </si>
  <si>
    <t>&gt;sp|P19784|CSK22_HUMAN Casein kinase II subunit alpha OS=Homo sapiens GN=CSNK2A2 PE=1 SV=1</t>
  </si>
  <si>
    <t>P21912</t>
  </si>
  <si>
    <t>&gt;sp|P21912|SDHB_HUMAN Succinate dehydrogenase [ubiquinone] iron-sulfur subunit, mitochondrial OS=Homo sapiens GN=SDHB PE=1 SV=3</t>
  </si>
  <si>
    <t>P67936-2;Q2TAC2-2;Q2TAC2</t>
  </si>
  <si>
    <t>&gt;sp|P67936-2|TPM4_HUMAN Isoform 2 of Tropomyosin alpha-4 chain OS=Homo sapiens GN=TPM4</t>
  </si>
  <si>
    <t>P67936-2</t>
  </si>
  <si>
    <t>Q13057;Q13057-2</t>
  </si>
  <si>
    <t>&gt;sp|Q13057|COASY_HUMAN Bifunctional coenzyme A synthase OS=Homo sapiens GN=COASY PE=1 SV=4</t>
  </si>
  <si>
    <t>Q13057</t>
  </si>
  <si>
    <t>Q13617;Q13617-2</t>
  </si>
  <si>
    <t>&gt;sp|Q13617|CUL2_HUMAN Cullin-2 OS=Homo sapiens GN=CUL2 PE=1 SV=2</t>
  </si>
  <si>
    <t>Q13617</t>
  </si>
  <si>
    <t>Q14155-6;Q14155-1;Q14155-5;Q14155-2;Q14155-3;Q14155;Q15052-2;Q15052</t>
  </si>
  <si>
    <t>&gt;sp|Q14155-6|ARHG7_HUMAN Isoform 6 of Rho guanine nucleotide exchange factor 7 OS=Homo sapiens GN=ARHGEF7</t>
  </si>
  <si>
    <t>Q14155-6</t>
  </si>
  <si>
    <t>Q5JSP0-2;Q5JSP0-3;Q5JSP0</t>
  </si>
  <si>
    <t>&gt;sp|Q5JSP0-2|FGD3_HUMAN Isoform 2 of FYVE, RhoGEF and PH domain-containing protein 3 OS=Homo sapiens GN=FGD3</t>
  </si>
  <si>
    <t>Q5JSP0-2</t>
  </si>
  <si>
    <t>Q5VW32-2;Q5VW32</t>
  </si>
  <si>
    <t>&gt;sp|Q5VW32-2|BROX_HUMAN Isoform 2 of BRO1 domain-containing protein BROX OS=Homo sapiens GN=BROX</t>
  </si>
  <si>
    <t>Q5VW32-2</t>
  </si>
  <si>
    <t>Q6P3X3</t>
  </si>
  <si>
    <t>&gt;sp|Q6P3X3|TTC27_HUMAN Tetratricopeptide repeat protein 27 OS=Homo sapiens GN=TTC27 PE=1 SV=1</t>
  </si>
  <si>
    <t>Q8TAT6;Q8TAT6-2</t>
  </si>
  <si>
    <t>&gt;sp|Q8TAT6|NPL4_HUMAN Nuclear protein localization protein 4 homolog OS=Homo sapiens GN=NPLOC4 PE=1 SV=3</t>
  </si>
  <si>
    <t>Q8TAT6</t>
  </si>
  <si>
    <t>Q93050-1;Q93050;Q93050-3;Q13488-2;Q13488;Q9HBG4</t>
  </si>
  <si>
    <t>&gt;sp|Q93050-1|VPP1_HUMAN Isoform 2 of V-type proton ATPase 116 kDa subunit a isoform 1 OS=Homo sapiens GN=ATP6V0A1</t>
  </si>
  <si>
    <t>Q93050-1</t>
  </si>
  <si>
    <t>Q9BX68</t>
  </si>
  <si>
    <t>&gt;sp|Q9BX68|HINT2_HUMAN Histidine triad nucleotide-binding protein 2, mitochondrial OS=Homo sapiens GN=HINT2 PE=1 SV=1</t>
  </si>
  <si>
    <t>Q9HAV0</t>
  </si>
  <si>
    <t>&gt;sp|Q9HAV0|GBB4_HUMAN Guanine nucleotide-binding protein subunit beta-4 OS=Homo sapiens GN=GNB4 PE=1 SV=3</t>
  </si>
  <si>
    <t>Q9NZP8</t>
  </si>
  <si>
    <t>&gt;sp|Q9NZP8|C1RL_HUMAN Complement C1r subcomponent-like protein OS=Homo sapiens GN=C1RL PE=1 SV=2</t>
  </si>
  <si>
    <t>Q9UKY7-2;Q9UKY7</t>
  </si>
  <si>
    <t>&gt;sp|Q9UKY7-2|CDV3_HUMAN Isoform 2 of Protein CDV3 homolog OS=Homo sapiens GN=CDV3</t>
  </si>
  <si>
    <t>Q9UKY7-2</t>
  </si>
  <si>
    <t>O75954</t>
  </si>
  <si>
    <t>&gt;sp|O75954|TSN9_HUMAN Tetraspanin-9 OS=Homo sapiens GN=TSPAN9 PE=1 SV=1</t>
  </si>
  <si>
    <t>P25098;P35626</t>
  </si>
  <si>
    <t>&gt;sp|P25098|ARBK1_HUMAN Beta-adrenergic receptor kinase 1 OS=Homo sapiens GN=ADRBK1 PE=1 SV=2</t>
  </si>
  <si>
    <t>P25098</t>
  </si>
  <si>
    <t>P36873;P36873-2</t>
  </si>
  <si>
    <t>&gt;sp|P36873|PP1G_HUMAN Serine/threonine-protein phosphatase PP1-gamma catalytic subunit OS=Homo sapiens GN=PPP1CC PE=1 SV=1</t>
  </si>
  <si>
    <t>P36873</t>
  </si>
  <si>
    <t>P46734-2;P46734;P46734-3</t>
  </si>
  <si>
    <t>&gt;sp|P46734-2|MP2K3_HUMAN Isoform 1 of Dual specificity mitogen-activated protein kinase kinase 3 OS=Homo sapiens GN=MAP2K3</t>
  </si>
  <si>
    <t>P46734-2</t>
  </si>
  <si>
    <t>P46736-4;P46736-2;P46736-3;P46736</t>
  </si>
  <si>
    <t>&gt;sp|P46736-4|BRCC3_HUMAN Isoform 4 of Lys-63-specific deubiquitinase BRCC36 OS=Homo sapiens GN=BRCC3</t>
  </si>
  <si>
    <t>P46736-4</t>
  </si>
  <si>
    <t>P61923;P61923-4;P61923-5;P61923-2;P61923-3</t>
  </si>
  <si>
    <t>&gt;sp|P61923|COPZ1_HUMAN Coatomer subunit zeta-1 OS=Homo sapiens GN=COPZ1 PE=1 SV=1</t>
  </si>
  <si>
    <t>P61923</t>
  </si>
  <si>
    <t>P62328</t>
  </si>
  <si>
    <t>&gt;sp|P62328|TYB4_HUMAN Thymosin beta-4 OS=Homo sapiens GN=TMSB4X PE=1 SV=2</t>
  </si>
  <si>
    <t>Q13217</t>
  </si>
  <si>
    <t>&gt;sp|Q13217|DNJC3_HUMAN DnaJ homolog subfamily C member 3 OS=Homo sapiens GN=DNAJC3 PE=1 SV=1</t>
  </si>
  <si>
    <t>Q86WR7;Q86WR7-2</t>
  </si>
  <si>
    <t>&gt;sp|Q86WR7|PRSR2_HUMAN Proline and serine-rich protein 2 OS=Homo sapiens GN=PROSER2 PE=1 SV=2</t>
  </si>
  <si>
    <t>Q86WR7</t>
  </si>
  <si>
    <t>Q96FZ7</t>
  </si>
  <si>
    <t>&gt;sp|Q96FZ7|CHMP6_HUMAN Charged multivesicular body protein 6 OS=Homo sapiens GN=CHMP6 PE=1 SV=3</t>
  </si>
  <si>
    <t>Q9BW04-2;Q9BW04</t>
  </si>
  <si>
    <t>&gt;sp|Q9BW04-2|SARG_HUMAN Isoform 2 of Specifically androgen-regulated gene protein OS=Homo sapiens GN=SARG</t>
  </si>
  <si>
    <t>Q9BW04-2</t>
  </si>
  <si>
    <t>Q9HD45</t>
  </si>
  <si>
    <t>&gt;sp|Q9HD45|TM9S3_HUMAN Transmembrane 9 superfamily member 3 OS=Homo sapiens GN=TM9SF3 PE=1 SV=2</t>
  </si>
  <si>
    <t>O60684;O15131;P52294</t>
  </si>
  <si>
    <t>&gt;sp|O60684|IMA7_HUMAN Importin subunit alpha-7 OS=Homo sapiens GN=KPNA6 PE=1 SV=1</t>
  </si>
  <si>
    <t>O60684</t>
  </si>
  <si>
    <t>P01116-2;P01116;P01112-2;P01112</t>
  </si>
  <si>
    <t>&gt;sp|P01116-2|RASK_HUMAN Isoform 2B of GTPase KRas OS=Homo sapiens GN=KRAS</t>
  </si>
  <si>
    <t>P01116-2</t>
  </si>
  <si>
    <t>P02788;P02788-2</t>
  </si>
  <si>
    <t>&gt;sp|P02788|TRFL_HUMAN Lactotransferrin OS=Homo sapiens GN=LTF PE=1 SV=6</t>
  </si>
  <si>
    <t>P02788</t>
  </si>
  <si>
    <t>P07947;P06239;P09769;P06239-3</t>
  </si>
  <si>
    <t>&gt;sp|P07947|YES_HUMAN Tyrosine-protein kinase Yes OS=Homo sapiens GN=YES1 PE=1 SV=3</t>
  </si>
  <si>
    <t>P07947</t>
  </si>
  <si>
    <t>P08962-3;P08962-2;P08962</t>
  </si>
  <si>
    <t>&gt;sp|P08962-3|CD63_HUMAN Isoform 3 of CD63 antigen OS=Homo sapiens GN=CD63</t>
  </si>
  <si>
    <t>P08962-3</t>
  </si>
  <si>
    <t>P12814-3;P12814-2;P12814-4</t>
  </si>
  <si>
    <t>&gt;sp|P12814-3|ACTN1_HUMAN Isoform 3 of Alpha-actinin-1 OS=Homo sapiens GN=ACTN1</t>
  </si>
  <si>
    <t>P12814-3</t>
  </si>
  <si>
    <t>P49619-3;P49619;P49619-2</t>
  </si>
  <si>
    <t>&gt;sp|P49619-3|DGKG_HUMAN Isoform 3 of Diacylglycerol kinase gamma OS=Homo sapiens GN=DGKG</t>
  </si>
  <si>
    <t>P49619-3</t>
  </si>
  <si>
    <t>Q03518</t>
  </si>
  <si>
    <t>&gt;sp|Q03518|TAP1_HUMAN Antigen peptide transporter 1 OS=Homo sapiens GN=TAP1 PE=1 SV=2</t>
  </si>
  <si>
    <t>Q12846;Q12846-2</t>
  </si>
  <si>
    <t>&gt;sp|Q12846|STX4_HUMAN Syntaxin-4 OS=Homo sapiens GN=STX4 PE=1 SV=2</t>
  </si>
  <si>
    <t>Q12846</t>
  </si>
  <si>
    <t>Q15165-3;Q15165-1;Q15165</t>
  </si>
  <si>
    <t>&gt;sp|Q15165-3|PON2_HUMAN Isoform 3 of Serum paraoxonase/arylesterase 2 OS=Homo sapiens GN=PON2</t>
  </si>
  <si>
    <t>Q15165-3</t>
  </si>
  <si>
    <t>Q4L180-2;Q4L180;Q4L180-4;Q4L180-6;Q4L180-5;Q4L180-3;Q4L180-7</t>
  </si>
  <si>
    <t>&gt;sp|Q4L180-2|FIL1L_HUMAN Isoform 2 of Filamin A-interacting protein 1-like OS=Homo sapiens GN=FILIP1L</t>
  </si>
  <si>
    <t>Q4L180-2</t>
  </si>
  <si>
    <t>Q8TDX7;Q8TDX7-2</t>
  </si>
  <si>
    <t>&gt;sp|Q8TDX7|NEK7_HUMAN Serine/threonine-protein kinase Nek7 OS=Homo sapiens GN=NEK7 PE=1 SV=1</t>
  </si>
  <si>
    <t>Q8TDX7</t>
  </si>
  <si>
    <t>Q92973-2;Q92973;Q92973-3</t>
  </si>
  <si>
    <t>&gt;sp|Q92973-2|TNPO1_HUMAN Isoform 2 of Transportin-1 OS=Homo sapiens GN=TNPO1</t>
  </si>
  <si>
    <t>Q92973-2</t>
  </si>
  <si>
    <t>Q96SB3</t>
  </si>
  <si>
    <t>&gt;sp|Q96SB3|NEB2_HUMAN Neurabin-2 OS=Homo sapiens GN=PPP1R9B PE=1 SV=2</t>
  </si>
  <si>
    <t>Q9HAB8-2;Q9HAB8</t>
  </si>
  <si>
    <t>&gt;sp|Q9HAB8-2|PPCS_HUMAN Isoform 2 of Phosphopantothenate--cysteine ligase OS=Homo sapiens GN=PPCS</t>
  </si>
  <si>
    <t>Q9HAB8-2</t>
  </si>
  <si>
    <t>Q9HCM2;Q9HCM2-4;O75051</t>
  </si>
  <si>
    <t>&gt;sp|Q9HCM2|PLXA4_HUMAN Plexin-A4 OS=Homo sapiens GN=PLXNA4 PE=1 SV=4</t>
  </si>
  <si>
    <t>Q9HCM2</t>
  </si>
  <si>
    <t>Q9NQR4</t>
  </si>
  <si>
    <t>&gt;sp|Q9NQR4|NIT2_HUMAN Omega-amidase NIT2 OS=Homo sapiens GN=NIT2 PE=1 SV=1</t>
  </si>
  <si>
    <t>O43583</t>
  </si>
  <si>
    <t>&gt;sp|O43583|DENR_HUMAN Density-regulated protein OS=Homo sapiens GN=DENR PE=1 SV=2</t>
  </si>
  <si>
    <t>O95197-3;O95197-4;O95197-7;O95197-2;O95197;O95197-6;O95197-5</t>
  </si>
  <si>
    <t>&gt;sp|O95197-3|RTN3_HUMAN Isoform 3 of Reticulon-3 OS=Homo sapiens GN=RTN3</t>
  </si>
  <si>
    <t>O95197-3</t>
  </si>
  <si>
    <t>P01616</t>
  </si>
  <si>
    <t>&gt;sp|P01616|KV203_HUMAN Ig kappa chain V-II region MIL OS=Homo sapiens PE=1 SV=1</t>
  </si>
  <si>
    <t>P01708;CON__ENSEMBL:ENSBTAP00000014147;CON__Q1RMN8;P06317;P01710;P01707;P06887;P01721</t>
  </si>
  <si>
    <t>&gt;sp|P01708|LV205_HUMAN Ig lambda chain V-II region BUR OS=Homo sapiens PE=1 SV=1</t>
  </si>
  <si>
    <t>P01708</t>
  </si>
  <si>
    <t>IGLV2-11</t>
  </si>
  <si>
    <t>P06756-3;P06756-2;P06756</t>
  </si>
  <si>
    <t>&gt;sp|P06756-3|ITAV_HUMAN Isoform 3 of Integrin alpha-V OS=Homo sapiens GN=ITGAV</t>
  </si>
  <si>
    <t>P06756-3</t>
  </si>
  <si>
    <t>P10321</t>
  </si>
  <si>
    <t>&gt;sp|P10321|1C07_HUMAN HLA class I histocompatibility antigen, Cw-7 alpha chain OS=Homo sapiens GN=HLA-C PE=1 SV=3</t>
  </si>
  <si>
    <t>P23786</t>
  </si>
  <si>
    <t>&gt;sp|P23786|CPT2_HUMAN Carnitine O-palmitoyltransferase 2, mitochondrial OS=Homo sapiens GN=CPT2 PE=1 SV=2</t>
  </si>
  <si>
    <t>P42025</t>
  </si>
  <si>
    <t>&gt;sp|P42025|ACTY_HUMAN Beta-centractin OS=Homo sapiens GN=ACTR1B PE=1 SV=1</t>
  </si>
  <si>
    <t>P61018;P61018-2</t>
  </si>
  <si>
    <t>&gt;sp|P61018|RAB4B_HUMAN Ras-related protein Rab-4B OS=Homo sapiens GN=RAB4B PE=1 SV=1</t>
  </si>
  <si>
    <t>P61018</t>
  </si>
  <si>
    <t>Q12982;Q12982-2;Q86WG3;Q86WG3-3</t>
  </si>
  <si>
    <t>&gt;sp|Q12982|BNIP2_HUMAN BCL2/adenovirus E1B 19 kDa protein-interacting protein 2 OS=Homo sapiens GN=BNIP2 PE=1 SV=1</t>
  </si>
  <si>
    <t>Q12982</t>
  </si>
  <si>
    <t>Q14258</t>
  </si>
  <si>
    <t>&gt;sp|Q14258|TRI25_HUMAN E3 ubiquitin/ISG15 ligase TRIM25 OS=Homo sapiens GN=TRIM25 PE=1 SV=2</t>
  </si>
  <si>
    <t>Q6P1M0;Q6P1M0-2</t>
  </si>
  <si>
    <t>&gt;sp|Q6P1M0|S27A4_HUMAN Long-chain fatty acid transport protein 4 OS=Homo sapiens GN=SLC27A4 PE=1 SV=1</t>
  </si>
  <si>
    <t>Q6P1M0</t>
  </si>
  <si>
    <t>Q6P3W7</t>
  </si>
  <si>
    <t>&gt;sp|Q6P3W7|SCYL2_HUMAN SCY1-like protein 2 OS=Homo sapiens GN=SCYL2 PE=1 SV=1</t>
  </si>
  <si>
    <t>Q92900-2;Q92900</t>
  </si>
  <si>
    <t>&gt;sp|Q92900-2|RENT1_HUMAN Isoform 2 of Regulator of nonsense transcripts 1 OS=Homo sapiens GN=UPF1</t>
  </si>
  <si>
    <t>Q92900-2</t>
  </si>
  <si>
    <t>Q9UJ68-2;Q9UJ68-3;Q9UJ68-4;Q9UJ68-5;Q9UJ68</t>
  </si>
  <si>
    <t>&gt;sp|Q9UJ68-2|MSRA_HUMAN Isoform 2 of Mitochondrial peptide methionine sulfoxide reductase OS=Homo sapiens GN=MSRA</t>
  </si>
  <si>
    <t>Q9UJ68-2</t>
  </si>
  <si>
    <t>Q9ULC4-2;Q9ULC4;Q9ULC4-3</t>
  </si>
  <si>
    <t>&gt;sp|Q9ULC4-2|MCTS1_HUMAN Isoform 2 of Malignant T-cell-amplified sequence 1 OS=Homo sapiens GN=MCTS1</t>
  </si>
  <si>
    <t>Q9ULC4-2</t>
  </si>
  <si>
    <t>Q9Y385</t>
  </si>
  <si>
    <t>&gt;sp|Q9Y385|UB2J1_HUMAN Ubiquitin-conjugating enzyme E2 J1 OS=Homo sapiens GN=UBE2J1 PE=1 SV=2</t>
  </si>
  <si>
    <t>Q13765;E9PAV3-2;E9PAV3;Q9BZK3</t>
  </si>
  <si>
    <t>&gt;sp|Q13765|NACA_HUMAN Nascent polypeptide-associated complex subunit alpha OS=Homo sapiens GN=NACA PE=1 SV=1</t>
  </si>
  <si>
    <t>Q13765</t>
  </si>
  <si>
    <t>O00233;O00233-2;O00233-3</t>
  </si>
  <si>
    <t>&gt;sp|O00233|PSMD9_HUMAN 26S proteasome non-ATPase regulatory subunit 9 OS=Homo sapiens GN=PSMD9 PE=1 SV=3</t>
  </si>
  <si>
    <t>O00233</t>
  </si>
  <si>
    <t>O15067</t>
  </si>
  <si>
    <t>&gt;sp|O15067|PUR4_HUMAN Phosphoribosylformylglycinamidine synthase OS=Homo sapiens GN=PFAS PE=1 SV=4</t>
  </si>
  <si>
    <t>O15127</t>
  </si>
  <si>
    <t>&gt;sp|O15127|SCAM2_HUMAN Secretory carrier-associated membrane protein 2 OS=Homo sapiens GN=SCAMP2 PE=1 SV=2</t>
  </si>
  <si>
    <t>O60762</t>
  </si>
  <si>
    <t>&gt;sp|O60762|DPM1_HUMAN Dolichol-phosphate mannosyltransferase subunit 1 OS=Homo sapiens GN=DPM1 PE=1 SV=1</t>
  </si>
  <si>
    <t>O95260-2;O95260</t>
  </si>
  <si>
    <t>&gt;sp|O95260-2|ATE1_HUMAN Isoform ATE1-2 of Arginyl-tRNA--protein transferase 1 OS=Homo sapiens GN=ATE1</t>
  </si>
  <si>
    <t>O95260-2</t>
  </si>
  <si>
    <t>P01763</t>
  </si>
  <si>
    <t>&gt;sp|P01763|HV302_HUMAN Ig heavy chain V-III region WEA OS=Homo sapiens PE=1 SV=1</t>
  </si>
  <si>
    <t>IGHV3-48</t>
  </si>
  <si>
    <t>P01767</t>
  </si>
  <si>
    <t>&gt;sp|P01767|HV306_HUMAN Ig heavy chain V-III region BUT OS=Homo sapiens PE=1 SV=1</t>
  </si>
  <si>
    <t>IGHV3-53</t>
  </si>
  <si>
    <t>P10606</t>
  </si>
  <si>
    <t>&gt;sp|P10606|COX5B_HUMAN Cytochrome c oxidase subunit 5B, mitochondrial OS=Homo sapiens GN=COX5B PE=1 SV=2</t>
  </si>
  <si>
    <t>P12074</t>
  </si>
  <si>
    <t>&gt;sp|P12074|CX6A1_HUMAN Cytochrome c oxidase subunit 6A1, mitochondrial OS=Homo sapiens GN=COX6A1 PE=1 SV=4</t>
  </si>
  <si>
    <t>P16278-3;P16278;P16278-2</t>
  </si>
  <si>
    <t>&gt;sp|P16278-3|BGAL_HUMAN Isoform 3 of Beta-galactosidase OS=Homo sapiens GN=GLB1</t>
  </si>
  <si>
    <t>P16278-3</t>
  </si>
  <si>
    <t>P22307-6;P22307-2;P22307-4;P22307-7;P22307-8;P22307;P22307-5</t>
  </si>
  <si>
    <t>&gt;sp|P22307-6|NLTP_HUMAN Isoform 6 of Non-specific lipid-transfer protein OS=Homo sapiens GN=SCP2</t>
  </si>
  <si>
    <t>P22307-6</t>
  </si>
  <si>
    <t>P54108;P54108-2;P54108-3</t>
  </si>
  <si>
    <t>&gt;sp|P54108|CRIS3_HUMAN Cysteine-rich secretory protein 3 OS=Homo sapiens GN=CRISP3 PE=1 SV=1</t>
  </si>
  <si>
    <t>P54108</t>
  </si>
  <si>
    <t>P63092-3;P63092-2;P63092;P63092-4;Q5JWF2-2;Q5JWF2</t>
  </si>
  <si>
    <t>&gt;sp|P63092-3|GNAS2_HUMAN Isoform 3 of Guanine nucleotide-binding protein G(s) subunit alpha isoforms short OS=Homo sapiens GN=GNAS</t>
  </si>
  <si>
    <t>P63092-3</t>
  </si>
  <si>
    <t>Q02218-2;Q02218;Q02218-3;Q9ULD0-3;Q9ULD0-2;Q9ULD0</t>
  </si>
  <si>
    <t>&gt;sp|Q02218-2|ODO1_HUMAN Isoform 2 of 2-oxoglutarate dehydrogenase, mitochondrial OS=Homo sapiens GN=OGDH</t>
  </si>
  <si>
    <t>Q02218-2</t>
  </si>
  <si>
    <t>Q03519;Q03519-2</t>
  </si>
  <si>
    <t>&gt;sp|Q03519|TAP2_HUMAN Antigen peptide transporter 2 OS=Homo sapiens GN=TAP2 PE=1 SV=1</t>
  </si>
  <si>
    <t>Q03519</t>
  </si>
  <si>
    <t>Q16706</t>
  </si>
  <si>
    <t>&gt;sp|Q16706|MA2A1_HUMAN Alpha-mannosidase 2 OS=Homo sapiens GN=MAN2A1 PE=1 SV=2</t>
  </si>
  <si>
    <t>Q5W0V3-2;Q5W0V3</t>
  </si>
  <si>
    <t>&gt;sp|Q5W0V3-2|F16B1_HUMAN Isoform 2 of Protein FAM160B1 OS=Homo sapiens GN=FAM160B1</t>
  </si>
  <si>
    <t>Q5W0V3-2</t>
  </si>
  <si>
    <t>Q7Z2W4;Q7Z2W4-2;Q7Z2W4-3;Q7Z2W4-4;Q7Z2W4-5</t>
  </si>
  <si>
    <t>&gt;sp|Q7Z2W4|ZCCHV_HUMAN Zinc finger CCCH-type antiviral protein 1 OS=Homo sapiens GN=ZC3HAV1 PE=1 SV=3</t>
  </si>
  <si>
    <t>Q7Z2W4</t>
  </si>
  <si>
    <t>Q96AX1</t>
  </si>
  <si>
    <t>&gt;sp|Q96AX1|VP33A_HUMAN Vacuolar protein sorting-associated protein 33A OS=Homo sapiens GN=VPS33A PE=1 SV=1</t>
  </si>
  <si>
    <t>Q96S97</t>
  </si>
  <si>
    <t>&gt;sp|Q96S97|MYADM_HUMAN Myeloid-associated differentiation marker OS=Homo sapiens GN=MYADM PE=1 SV=2</t>
  </si>
  <si>
    <t>Q9BZF1-3;Q9BZF1-2;Q9BZF1</t>
  </si>
  <si>
    <t>&gt;sp|Q9BZF1-3|OSBL8_HUMAN Isoform 3 of Oxysterol-binding protein-related protein 8 OS=Homo sapiens GN=OSBPL8</t>
  </si>
  <si>
    <t>Q9BZF1-3</t>
  </si>
  <si>
    <t>Q9UNS2-2;Q9UNS2</t>
  </si>
  <si>
    <t>&gt;sp|Q9UNS2-2|CSN3_HUMAN Isoform 2 of COP9 signalosome complex subunit 3 OS=Homo sapiens GN=COPS3</t>
  </si>
  <si>
    <t>Q9UNS2-2</t>
  </si>
  <si>
    <t>O94886</t>
  </si>
  <si>
    <t>&gt;sp|O94886|CSCL1_HUMAN CSC1-like protein 1 OS=Homo sapiens GN=TMEM63A PE=1 SV=3</t>
  </si>
  <si>
    <t>P04438;P01814</t>
  </si>
  <si>
    <t>&gt;sp|P04438|HV208_HUMAN Ig heavy chain V-II region SESS OS=Homo sapiens PE=2 SV=1</t>
  </si>
  <si>
    <t>P04438</t>
  </si>
  <si>
    <t>IGHV2-70</t>
  </si>
  <si>
    <t>P06702</t>
  </si>
  <si>
    <t>&gt;sp|P06702|S10A9_HUMAN Protein S100-A9 OS=Homo sapiens GN=S100A9 PE=1 SV=1</t>
  </si>
  <si>
    <t>P09669</t>
  </si>
  <si>
    <t>&gt;sp|P09669|COX6C_HUMAN Cytochrome c oxidase subunit 6C OS=Homo sapiens GN=COX6C PE=1 SV=2</t>
  </si>
  <si>
    <t>P13598</t>
  </si>
  <si>
    <t>&gt;sp|P13598|ICAM2_HUMAN Intercellular adhesion molecule 2 OS=Homo sapiens GN=ICAM2 PE=1 SV=2</t>
  </si>
  <si>
    <t>P20851-2;P20851</t>
  </si>
  <si>
    <t>&gt;sp|P20851-2|C4BPB_HUMAN Isoform 2 of C4b-binding protein beta chain OS=Homo sapiens GN=C4BPB</t>
  </si>
  <si>
    <t>P20851-2</t>
  </si>
  <si>
    <t>P23142-4</t>
  </si>
  <si>
    <t>&gt;sp|P23142-4|FBLN1_HUMAN Isoform C of Fibulin-1 OS=Homo sapiens GN=FBLN1</t>
  </si>
  <si>
    <t>P23588;P23588-2</t>
  </si>
  <si>
    <t>&gt;sp|P23588|IF4B_HUMAN Eukaryotic translation initiation factor 4B OS=Homo sapiens GN=EIF4B PE=1 SV=2</t>
  </si>
  <si>
    <t>P23588</t>
  </si>
  <si>
    <t>P28070</t>
  </si>
  <si>
    <t>&gt;sp|P28070|PSB4_HUMAN Proteasome subunit beta type-4 OS=Homo sapiens GN=PSMB4 PE=1 SV=4</t>
  </si>
  <si>
    <t>P30508;Q07000;Q29960-2;Q29960</t>
  </si>
  <si>
    <t>&gt;sp|P30508|1C12_HUMAN HLA class I histocompatibility antigen, Cw-12 alpha chain OS=Homo sapiens GN=HLA-C PE=1 SV=2</t>
  </si>
  <si>
    <t>P30508</t>
  </si>
  <si>
    <t>P34810-2;P34810-3;P34810</t>
  </si>
  <si>
    <t>&gt;sp|P34810-2|CD68_HUMAN Isoform Short of Macrosialin OS=Homo sapiens GN=CD68</t>
  </si>
  <si>
    <t>P34810-2</t>
  </si>
  <si>
    <t>P62837-2;P62837;P61077;P61077-2;P61077-3;Q9Y2X8;P51668</t>
  </si>
  <si>
    <t>&gt;sp|P62837-2|UB2D2_HUMAN Isoform 2 of Ubiquitin-conjugating enzyme E2 D2 OS=Homo sapiens GN=UBE2D2</t>
  </si>
  <si>
    <t>P62837-2</t>
  </si>
  <si>
    <t>P84095</t>
  </si>
  <si>
    <t>&gt;sp|P84095|RHOG_HUMAN Rho-related GTP-binding protein RhoG OS=Homo sapiens GN=RHOG PE=1 SV=1</t>
  </si>
  <si>
    <t>Q13033-2;Q13033</t>
  </si>
  <si>
    <t>&gt;sp|Q13033-2|STRN3_HUMAN Isoform Alpha of Striatin-3 OS=Homo sapiens GN=STRN3</t>
  </si>
  <si>
    <t>Q13033-2</t>
  </si>
  <si>
    <t>Q14315-2;Q14315</t>
  </si>
  <si>
    <t>&gt;sp|Q14315-2|FLNC_HUMAN Isoform 2 of Filamin-C OS=Homo sapiens GN=FLNC</t>
  </si>
  <si>
    <t>Q14315-2</t>
  </si>
  <si>
    <t>Q15435-2;Q15435;Q15435-5;Q15435-4;Q15435-3</t>
  </si>
  <si>
    <t>&gt;sp|Q15435-2|PP1R7_HUMAN Isoform 2 of Protein phosphatase 1 regulatory subunit 7 OS=Homo sapiens GN=PPP1R7</t>
  </si>
  <si>
    <t>Q15435-2</t>
  </si>
  <si>
    <t>Q86WI1</t>
  </si>
  <si>
    <t>&gt;sp|Q86WI1|PKHL1_HUMAN Fibrocystin-L OS=Homo sapiens GN=PKHD1L1 PE=2 SV=2</t>
  </si>
  <si>
    <t>Q8NFC6</t>
  </si>
  <si>
    <t>&gt;sp|Q8NFC6|BD1L1_HUMAN Biorientation of chromosomes in cell division protein 1-like 1 OS=Homo sapiens GN=BOD1L1 PE=1 SV=2</t>
  </si>
  <si>
    <t>Q9NUY8-2;Q9NUY8</t>
  </si>
  <si>
    <t>&gt;sp|Q9NUY8-2|TBC23_HUMAN Isoform 2 of TBC1 domain family member 23 OS=Homo sapiens GN=TBC1D23</t>
  </si>
  <si>
    <t>Q9NUY8-2</t>
  </si>
  <si>
    <t>Q9NVI7-2;Q9NVI7;Q9NVI7-3;Q5T2N8;Q5T9A4-3;Q5T9A4;Q5T9A4-2</t>
  </si>
  <si>
    <t>&gt;sp|Q9NVI7-2|ATD3A_HUMAN Isoform 2 of ATPase family AAA domain-containing protein 3A OS=Homo sapiens GN=ATAD3A</t>
  </si>
  <si>
    <t>Q9NVI7-2</t>
  </si>
  <si>
    <t>Q9P1F3</t>
  </si>
  <si>
    <t>&gt;sp|Q9P1F3|ABRAL_HUMAN Costars family protein ABRACL OS=Homo sapiens GN=ABRACL PE=1 SV=1</t>
  </si>
  <si>
    <t>Q9UK41;Q9UK41-2</t>
  </si>
  <si>
    <t>&gt;sp|Q9UK41|VPS28_HUMAN Vacuolar protein sorting-associated protein 28 homolog OS=Homo sapiens GN=VPS28 PE=1 SV=1</t>
  </si>
  <si>
    <t>Q9UK41</t>
  </si>
  <si>
    <t>Q9Y2L6-2;Q9Y2L6</t>
  </si>
  <si>
    <t>&gt;sp|Q9Y2L6-2|FRM4B_HUMAN Isoform 2 of FERM domain-containing protein 4B OS=Homo sapiens GN=FRMD4B</t>
  </si>
  <si>
    <t>Q9Y2L6-2</t>
  </si>
  <si>
    <t>Q9Y3P9;Q9Y3P9-2;Q9Y3P9-3;B7ZAP0;Q9Y3P9-4;Q5R372-7;Q5R372-8;Q5R372-6;Q5R372-5;Q5R372-4;Q5R372;Q5R372-3</t>
  </si>
  <si>
    <t>&gt;sp|Q9Y3P9|RBGP1_HUMAN Rab GTPase-activating protein 1 OS=Homo sapiens GN=RABGAP1 PE=1 SV=3</t>
  </si>
  <si>
    <t>Q9Y3P9</t>
  </si>
  <si>
    <t>O15173;O15173-2</t>
  </si>
  <si>
    <t>&gt;sp|O15173|PGRC2_HUMAN Membrane-associated progesterone receptor component 2 OS=Homo sapiens GN=PGRMC2 PE=1 SV=1</t>
  </si>
  <si>
    <t>O15173</t>
  </si>
  <si>
    <t>O95571</t>
  </si>
  <si>
    <t>&gt;sp|O95571|ETHE1_HUMAN Persulfide dioxygenase ETHE1, mitochondrial OS=Homo sapiens GN=ETHE1 PE=1 SV=2</t>
  </si>
  <si>
    <t>P17174;P17174-2</t>
  </si>
  <si>
    <t>&gt;sp|P17174|AATC_HUMAN Aspartate aminotransferase, cytoplasmic OS=Homo sapiens GN=GOT1 PE=1 SV=3</t>
  </si>
  <si>
    <t>P17174</t>
  </si>
  <si>
    <t>P18564-2;P18564</t>
  </si>
  <si>
    <t>&gt;sp|P18564-2|ITB6_HUMAN Isoform 2 of Integrin beta-6 OS=Homo sapiens GN=ITGB6</t>
  </si>
  <si>
    <t>P18564-2</t>
  </si>
  <si>
    <t>P22626;P22626-2</t>
  </si>
  <si>
    <t>&gt;sp|P22626|ROA2_HUMAN Heterogeneous nuclear ribonucleoproteins A2/B1 OS=Homo sapiens GN=HNRNPA2B1 PE=1 SV=2</t>
  </si>
  <si>
    <t>P22626</t>
  </si>
  <si>
    <t>P27708</t>
  </si>
  <si>
    <t>&gt;sp|P27708|PYR1_HUMAN CAD protein OS=Homo sapiens GN=CAD PE=1 SV=3</t>
  </si>
  <si>
    <t>P28676</t>
  </si>
  <si>
    <t>&gt;sp|P28676|GRAN_HUMAN Grancalcin OS=Homo sapiens GN=GCA PE=1 SV=2</t>
  </si>
  <si>
    <t>P29218;P29218-3;P29218-2</t>
  </si>
  <si>
    <t>&gt;sp|P29218|IMPA1_HUMAN Inositol monophosphatase 1 OS=Homo sapiens GN=IMPA1 PE=1 SV=1</t>
  </si>
  <si>
    <t>P29218</t>
  </si>
  <si>
    <t>P52788;P52788-2</t>
  </si>
  <si>
    <t>&gt;sp|P52788|SPSY_HUMAN Spermine synthase OS=Homo sapiens GN=SMS PE=1 SV=2</t>
  </si>
  <si>
    <t>P52788</t>
  </si>
  <si>
    <t>P61970</t>
  </si>
  <si>
    <t>&gt;sp|P61970|NTF2_HUMAN Nuclear transport factor 2 OS=Homo sapiens GN=NUTF2 PE=1 SV=1</t>
  </si>
  <si>
    <t>Q13790</t>
  </si>
  <si>
    <t>&gt;sp|Q13790|APOF_HUMAN Apolipoprotein F OS=Homo sapiens GN=APOF PE=1 SV=2</t>
  </si>
  <si>
    <t>Q15363</t>
  </si>
  <si>
    <t>&gt;sp|Q15363|TMED2_HUMAN Transmembrane emp24 domain-containing protein 2 OS=Homo sapiens GN=TMED2 PE=1 SV=1</t>
  </si>
  <si>
    <t>Q8NCW5-2;Q8NCW5</t>
  </si>
  <si>
    <t>&gt;sp|Q8NCW5-2|NNRE_HUMAN Isoform 2 of NAD(P)H-hydrate epimerase OS=Homo sapiens GN=APOA1BP</t>
  </si>
  <si>
    <t>Q8NCW5-2</t>
  </si>
  <si>
    <t>Q8NG11-2;Q8NG11;Q8NG11-3</t>
  </si>
  <si>
    <t>&gt;sp|Q8NG11-2|TSN14_HUMAN Isoform 2 of Tetraspanin-14 OS=Homo sapiens GN=TSPAN14</t>
  </si>
  <si>
    <t>Q8NG11-2</t>
  </si>
  <si>
    <t>Q8TCJ2</t>
  </si>
  <si>
    <t>&gt;sp|Q8TCJ2|STT3B_HUMAN Dolichyl-diphosphooligosaccharide--protein glycosyltransferase subunit STT3B OS=Homo sapiens GN=STT3B PE=1 SV=1</t>
  </si>
  <si>
    <t>Q92598-2;Q92598-3;Q92598</t>
  </si>
  <si>
    <t>&gt;sp|Q92598-2|HS105_HUMAN Isoform Beta of Heat shock protein 105 kDa OS=Homo sapiens GN=HSPH1</t>
  </si>
  <si>
    <t>Q92598-2</t>
  </si>
  <si>
    <t>Q969H8</t>
  </si>
  <si>
    <t>&gt;sp|Q969H8|MYDGF_HUMAN Myeloid-derived growth factor OS=Homo sapiens GN=MYDGF PE=1 SV=1</t>
  </si>
  <si>
    <t>Q96GG9</t>
  </si>
  <si>
    <t>&gt;sp|Q96GG9|DCNL1_HUMAN DCN1-like protein 1 OS=Homo sapiens GN=DCUN1D1 PE=1 SV=1</t>
  </si>
  <si>
    <t>Q9H6Q3-4;Q9H6Q3-2;Q9H6Q3-3;Q9H6Q3</t>
  </si>
  <si>
    <t>&gt;sp|Q9H6Q3-4|SLAP2_HUMAN Isoform 4 of Src-like-adapter 2 OS=Homo sapiens GN=SLA2</t>
  </si>
  <si>
    <t>Q9H6Q3-4</t>
  </si>
  <si>
    <t>Q9H7D0;Q9H7D0-2</t>
  </si>
  <si>
    <t>&gt;sp|Q9H7D0|DOCK5_HUMAN Dedicator of cytokinesis protein 5 OS=Homo sapiens GN=DOCK5 PE=1 SV=3</t>
  </si>
  <si>
    <t>Q9H7D0</t>
  </si>
  <si>
    <t>Q9H7J1</t>
  </si>
  <si>
    <t>&gt;sp|Q9H7J1|PPR3E_HUMAN Protein phosphatase 1 regulatory subunit 3E OS=Homo sapiens GN=PPP1R3E PE=1 SV=2</t>
  </si>
  <si>
    <t>Q9NRL3;Q9NRL3-3;Q9NRL3-2</t>
  </si>
  <si>
    <t>&gt;sp|Q9NRL3|STRN4_HUMAN Striatin-4 OS=Homo sapiens GN=STRN4 PE=1 SV=2</t>
  </si>
  <si>
    <t>Q9NRL3</t>
  </si>
  <si>
    <t>Q9NUB1-4;Q9NUB1-2;Q9NUB1;Q9NUB1-3</t>
  </si>
  <si>
    <t>&gt;sp|Q9NUB1-4|ACS2L_HUMAN Isoform 4 of Acetyl-coenzyme A synthetase 2-like, mitochondrial OS=Homo sapiens GN=ACSS1</t>
  </si>
  <si>
    <t>Q9NUB1-4</t>
  </si>
  <si>
    <t>Q9Y619</t>
  </si>
  <si>
    <t>&gt;sp|Q9Y619|ORNT1_HUMAN Mitochondrial ornithine transporter 1 OS=Homo sapiens GN=SLC25A15 PE=1 SV=1</t>
  </si>
  <si>
    <t>O00571-2;O00571;O15523-3</t>
  </si>
  <si>
    <t>&gt;sp|O00571-2|DDX3X_HUMAN Isoform 2 of ATP-dependent RNA helicase DDX3X OS=Homo sapiens GN=DDX3X</t>
  </si>
  <si>
    <t>O00571-2</t>
  </si>
  <si>
    <t>O43776;O43776-2</t>
  </si>
  <si>
    <t>&gt;sp|O43776|SYNC_HUMAN Asparagine--tRNA ligase, cytoplasmic OS=Homo sapiens GN=NARS PE=1 SV=1</t>
  </si>
  <si>
    <t>O43776</t>
  </si>
  <si>
    <t>O94826</t>
  </si>
  <si>
    <t>&gt;sp|O94826|TOM70_HUMAN Mitochondrial import receptor subunit TOM70 OS=Homo sapiens GN=TOMM70A PE=1 SV=1</t>
  </si>
  <si>
    <t>P06703</t>
  </si>
  <si>
    <t>&gt;sp|P06703|S10A6_HUMAN Protein S100-A6 OS=Homo sapiens GN=S100A6 PE=1 SV=1</t>
  </si>
  <si>
    <t>P09110;P09110-2</t>
  </si>
  <si>
    <t>&gt;sp|P09110|THIK_HUMAN 3-ketoacyl-CoA thiolase, peroxisomal OS=Homo sapiens GN=ACAA1 PE=1 SV=2</t>
  </si>
  <si>
    <t>P09110</t>
  </si>
  <si>
    <t>P11233</t>
  </si>
  <si>
    <t>&gt;sp|P11233|RALA_HUMAN Ras-related protein Ral-A OS=Homo sapiens GN=RALA PE=1 SV=1</t>
  </si>
  <si>
    <t>P14550</t>
  </si>
  <si>
    <t>&gt;sp|P14550|AK1A1_HUMAN Alcohol dehydrogenase [NADP(+)] OS=Homo sapiens GN=AKR1A1 PE=1 SV=3</t>
  </si>
  <si>
    <t>P15529-15;P15529-9;P15529-7;P15529-12;P15529-14;P15529-8;P15529-4;P15529-6;P15529-11;P15529-13;P15529-3;P15529-5;P15529-10;P15529;P15529-2;P15529-16</t>
  </si>
  <si>
    <t>&gt;sp|P15529-15|MCP_HUMAN Isoform K of Membrane cofactor protein OS=Homo sapiens GN=CD46</t>
  </si>
  <si>
    <t>P15529-15</t>
  </si>
  <si>
    <t>P19634;P19634-2</t>
  </si>
  <si>
    <t>&gt;sp|P19634|SL9A1_HUMAN Sodium/hydrogen exchanger 1 OS=Homo sapiens GN=SLC9A1 PE=1 SV=2</t>
  </si>
  <si>
    <t>P19634</t>
  </si>
  <si>
    <t>P20338</t>
  </si>
  <si>
    <t>&gt;sp|P20338|RAB4A_HUMAN Ras-related protein Rab-4A OS=Homo sapiens GN=RAB4A PE=1 SV=3</t>
  </si>
  <si>
    <t>P30084</t>
  </si>
  <si>
    <t>&gt;sp|P30084|ECHM_HUMAN Enoyl-CoA hydratase, mitochondrial OS=Homo sapiens GN=ECHS1 PE=1 SV=4</t>
  </si>
  <si>
    <t>P36980-2;P36980</t>
  </si>
  <si>
    <t>&gt;sp|P36980-2|FHR2_HUMAN Isoform Short of Complement factor H-related protein 2 OS=Homo sapiens GN=CFHR2</t>
  </si>
  <si>
    <t>P36980-2</t>
  </si>
  <si>
    <t>P47985;P0C7P4</t>
  </si>
  <si>
    <t>&gt;sp|P47985|UCRI_HUMAN Cytochrome b-c1 complex subunit Rieske, mitochondrial OS=Homo sapiens GN=UQCRFS1 PE=1 SV=2</t>
  </si>
  <si>
    <t>P47985</t>
  </si>
  <si>
    <t>P49189-2;P49189</t>
  </si>
  <si>
    <t>&gt;sp|P49189-2|AL9A1_HUMAN Isoform 2 of 4-trimethylaminobutyraldehyde dehydrogenase OS=Homo sapiens GN=ALDH9A1</t>
  </si>
  <si>
    <t>P49189-2</t>
  </si>
  <si>
    <t>P62256-2;P62256</t>
  </si>
  <si>
    <t>&gt;sp|P62256-2|UBE2H_HUMAN Isoform 2 of Ubiquitin-conjugating enzyme E2 H OS=Homo sapiens GN=UBE2H</t>
  </si>
  <si>
    <t>P62256-2</t>
  </si>
  <si>
    <t>Q04941;Q04941-2</t>
  </si>
  <si>
    <t>&gt;sp|Q04941|PLP2_HUMAN Proteolipid protein 2 OS=Homo sapiens GN=PLP2 PE=1 SV=1</t>
  </si>
  <si>
    <t>Q04941</t>
  </si>
  <si>
    <t>Q07021</t>
  </si>
  <si>
    <t>&gt;sp|Q07021|C1QBP_HUMAN Complement component 1 Q subcomponent-binding protein, mitochondrial OS=Homo sapiens GN=C1QBP PE=1 SV=1</t>
  </si>
  <si>
    <t>Q14C86-3;Q14C86-4;Q14C86-5;Q14C86-2;Q14C86;Q14C86-6</t>
  </si>
  <si>
    <t>&gt;sp|Q14C86-3|GAPD1_HUMAN Isoform 3 of GTPase-activating protein and VPS9 domain-containing protein 1 OS=Homo sapiens GN=GAPVD1</t>
  </si>
  <si>
    <t>Q14C86-3</t>
  </si>
  <si>
    <t>Q86UF1</t>
  </si>
  <si>
    <t>&gt;sp|Q86UF1|TSN33_HUMAN Tetraspanin-33 OS=Homo sapiens GN=TSPAN33 PE=2 SV=1</t>
  </si>
  <si>
    <t>Q8IYT4-2;Q8IYT4</t>
  </si>
  <si>
    <t>&gt;sp|Q8IYT4-2|KATL2_HUMAN Isoform 2 of Katanin p60 ATPase-containing subunit A-like 2 OS=Homo sapiens GN=KATNAL2</t>
  </si>
  <si>
    <t>Q8IYT4-2</t>
  </si>
  <si>
    <t>Q8NF50-4;Q8NF50-3;Q8NF50-2;Q8NF50</t>
  </si>
  <si>
    <t>&gt;sp|Q8NF50-4|DOCK8_HUMAN Isoform 4 of Dedicator of cytokinesis protein 8 OS=Homo sapiens GN=DOCK8</t>
  </si>
  <si>
    <t>Q8NF50-4</t>
  </si>
  <si>
    <t>Q96JB5;Q96JB5-4;Q96JB5-2;Q96JB5-3</t>
  </si>
  <si>
    <t>&gt;sp|Q96JB5|CK5P3_HUMAN CDK5 regulatory subunit-associated protein 3 OS=Homo sapiens GN=CDK5RAP3 PE=1 SV=2</t>
  </si>
  <si>
    <t>Q96JB5</t>
  </si>
  <si>
    <t>Q99436;Q99436-2</t>
  </si>
  <si>
    <t>&gt;sp|Q99436|PSB7_HUMAN Proteasome subunit beta type-7 OS=Homo sapiens GN=PSMB7 PE=1 SV=1</t>
  </si>
  <si>
    <t>Q99436</t>
  </si>
  <si>
    <t>Q9BZ72-2;Q9BZ72;Q9BZ72-3</t>
  </si>
  <si>
    <t>&gt;sp|Q9BZ72-2|PITM2_HUMAN Isoform 2 of Membrane-associated phosphatidylinositol transfer protein 2 OS=Homo sapiens GN=PITPNM2</t>
  </si>
  <si>
    <t>Q9BZ72-2</t>
  </si>
  <si>
    <t>Q9H4X1-2;Q9H4X1</t>
  </si>
  <si>
    <t>&gt;sp|Q9H4X1-2|RGCC_HUMAN Isoform 2 of Regulator of cell cycle RGCC OS=Homo sapiens GN=RGCC</t>
  </si>
  <si>
    <t>Q9H4X1-2</t>
  </si>
  <si>
    <t>Q9Y5K6</t>
  </si>
  <si>
    <t>&gt;sp|Q9Y5K6|CD2AP_HUMAN CD2-associated protein OS=Homo sapiens GN=CD2AP PE=1 SV=1</t>
  </si>
  <si>
    <t>O43561-4;O43561-2;O43561-5;O43561;O43561-3</t>
  </si>
  <si>
    <t>&gt;sp|O43561-4|LAT_HUMAN Isoform 4 of Linker for activation of T-cells family member 1 OS=Homo sapiens GN=LAT</t>
  </si>
  <si>
    <t>O43561-4</t>
  </si>
  <si>
    <t>O94804</t>
  </si>
  <si>
    <t>&gt;sp|O94804|STK10_HUMAN Serine/threonine-protein kinase 10 OS=Homo sapiens GN=STK10 PE=1 SV=1</t>
  </si>
  <si>
    <t>P06312;P06313;P06314</t>
  </si>
  <si>
    <t>&gt;sp|P06312|KV401_HUMAN Ig kappa chain V-IV region (Fragment) OS=Homo sapiens GN=IGKV4-1 PE=4 SV=1</t>
  </si>
  <si>
    <t>P06312</t>
  </si>
  <si>
    <t>P09543-2;P09543</t>
  </si>
  <si>
    <t>&gt;sp|P09543-2|CN37_HUMAN Isoform CNPI of 2,3-cyclic-nucleotide 3-phosphodiesterase OS=Homo sapiens GN=CNP</t>
  </si>
  <si>
    <t>P09543-2</t>
  </si>
  <si>
    <t>P14174</t>
  </si>
  <si>
    <t>&gt;sp|P14174|MIF_HUMAN Macrophage migration inhibitory factor OS=Homo sapiens GN=MIF PE=1 SV=4</t>
  </si>
  <si>
    <t>P26640;P26640-2</t>
  </si>
  <si>
    <t>&gt;sp|P26640|SYVC_HUMAN Valine--tRNA ligase OS=Homo sapiens GN=VARS PE=1 SV=4</t>
  </si>
  <si>
    <t>P26640</t>
  </si>
  <si>
    <t>P41091;Q2VIR3;Q2VIR3-2</t>
  </si>
  <si>
    <t>&gt;sp|P41091|IF2G_HUMAN Eukaryotic translation initiation factor 2 subunit 3 OS=Homo sapiens GN=EIF2S3 PE=1 SV=3</t>
  </si>
  <si>
    <t>P41091</t>
  </si>
  <si>
    <t>P49841;P49841-2;P49840</t>
  </si>
  <si>
    <t>&gt;sp|P49841|GSK3B_HUMAN Glycogen synthase kinase-3 beta OS=Homo sapiens GN=GSK3B PE=1 SV=2</t>
  </si>
  <si>
    <t>P49841</t>
  </si>
  <si>
    <t>P52333-2;P52333;P52333-4</t>
  </si>
  <si>
    <t>&gt;sp|P52333-2|JAK3_HUMAN Isoform 1 of Tyrosine-protein kinase JAK3 OS=Homo sapiens GN=JAK3</t>
  </si>
  <si>
    <t>P52333-2</t>
  </si>
  <si>
    <t>P55036;P55036-2</t>
  </si>
  <si>
    <t>&gt;sp|P55036|PSMD4_HUMAN 26S proteasome non-ATPase regulatory subunit 4 OS=Homo sapiens GN=PSMD4 PE=1 SV=1</t>
  </si>
  <si>
    <t>P55036</t>
  </si>
  <si>
    <t>P55809;P55809-2</t>
  </si>
  <si>
    <t>&gt;sp|P55809|SCOT1_HUMAN Succinyl-CoA:3-ketoacid coenzyme A transferase 1, mitochondrial OS=Homo sapiens GN=OXCT1 PE=1 SV=1</t>
  </si>
  <si>
    <t>P55809</t>
  </si>
  <si>
    <t>P62191;P62191-2</t>
  </si>
  <si>
    <t>&gt;sp|P62191|PRS4_HUMAN 26S protease regulatory subunit 4 OS=Homo sapiens GN=PSMC1 PE=1 SV=1</t>
  </si>
  <si>
    <t>P62191</t>
  </si>
  <si>
    <t>P84085</t>
  </si>
  <si>
    <t>&gt;sp|P84085|ARF5_HUMAN ADP-ribosylation factor 5 OS=Homo sapiens GN=ARF5 PE=1 SV=2</t>
  </si>
  <si>
    <t>Q13283;Q13283-2</t>
  </si>
  <si>
    <t>&gt;sp|Q13283|G3BP1_HUMAN Ras GTPase-activating protein-binding protein 1 OS=Homo sapiens GN=G3BP1 PE=1 SV=1</t>
  </si>
  <si>
    <t>Q13283</t>
  </si>
  <si>
    <t>Q14571;Q14571-2</t>
  </si>
  <si>
    <t>&gt;sp|Q14571|ITPR2_HUMAN Inositol 1,4,5-trisphosphate receptor type 2 OS=Homo sapiens GN=ITPR2 PE=1 SV=2</t>
  </si>
  <si>
    <t>Q14571</t>
  </si>
  <si>
    <t>Q15118;Q15118-2</t>
  </si>
  <si>
    <t>&gt;sp|Q15118|PDK1_HUMAN [Pyruvate dehydrogenase (acetyl-transferring)] kinase isozyme 1, mitochondrial OS=Homo sapiens GN=PDK1 PE=1 SV=1</t>
  </si>
  <si>
    <t>Q15118</t>
  </si>
  <si>
    <t>Q16644;Q96PN8;O43930;P51817</t>
  </si>
  <si>
    <t>&gt;sp|Q16644|MAPK3_HUMAN MAP kinase-activated protein kinase 3 OS=Homo sapiens GN=MAPKAPK3 PE=1 SV=1</t>
  </si>
  <si>
    <t>Q16644</t>
  </si>
  <si>
    <t>Q6NUK1-2;Q6NUK1</t>
  </si>
  <si>
    <t>&gt;sp|Q6NUK1-2|SCMC1_HUMAN Isoform 2 of Calcium-binding mitochondrial carrier protein SCaMC-1 OS=Homo sapiens GN=SLC25A24</t>
  </si>
  <si>
    <t>Q6NUK1-2</t>
  </si>
  <si>
    <t>Q6P387-2;Q6P387</t>
  </si>
  <si>
    <t>&gt;sp|Q6P387-2|CP046_HUMAN Isoform 2 of Uncharacterized protein C16orf46 OS=Homo sapiens GN=C16orf46</t>
  </si>
  <si>
    <t>Q6P387-2</t>
  </si>
  <si>
    <t>Q6ZUT6-2;Q6ZUT6-4;Q6ZUT6</t>
  </si>
  <si>
    <t>&gt;sp|Q6ZUT6-2|CO052_HUMAN Isoform 2 of Uncharacterized protein C15orf52 OS=Homo sapiens GN=C15orf52</t>
  </si>
  <si>
    <t>Q6ZUT6-2</t>
  </si>
  <si>
    <t>Q6ZUX7</t>
  </si>
  <si>
    <t>&gt;sp|Q6ZUX7|LHPL2_HUMAN Lipoma HMGIC fusion partner-like 2 protein OS=Homo sapiens GN=LHFPL2 PE=2 SV=2</t>
  </si>
  <si>
    <t>Q7L5N1</t>
  </si>
  <si>
    <t>&gt;sp|Q7L5N1|CSN6_HUMAN COP9 signalosome complex subunit 6 OS=Homo sapiens GN=COPS6 PE=1 SV=1</t>
  </si>
  <si>
    <t>Q7Z6Z7-2;Q7Z6Z7-3;Q7Z6Z7</t>
  </si>
  <si>
    <t>&gt;sp|Q7Z6Z7-2|HUWE1_HUMAN Isoform 2 of E3 ubiquitin-protein ligase HUWE1 OS=Homo sapiens GN=HUWE1</t>
  </si>
  <si>
    <t>Q7Z6Z7-2</t>
  </si>
  <si>
    <t>Q8NDB2-3;Q8NDB2-2;Q8NDB2;Q8NDB2-4</t>
  </si>
  <si>
    <t>&gt;sp|Q8NDB2-3|BANK1_HUMAN Isoform 3 of B-cell scaffold protein with ankyrin repeats OS=Homo sapiens GN=BANK1</t>
  </si>
  <si>
    <t>Q8NDB2-3</t>
  </si>
  <si>
    <t>Q92499;Q92499-3;Q92499-2</t>
  </si>
  <si>
    <t>&gt;sp|Q92499|DDX1_HUMAN ATP-dependent RNA helicase DDX1 OS=Homo sapiens GN=DDX1 PE=1 SV=2</t>
  </si>
  <si>
    <t>Q92499</t>
  </si>
  <si>
    <t>Q9BTE1;Q9BTE1-3;Q9BTE1-2</t>
  </si>
  <si>
    <t>&gt;sp|Q9BTE1|DCTN5_HUMAN Dynactin subunit 5 OS=Homo sapiens GN=DCTN5 PE=1 SV=1</t>
  </si>
  <si>
    <t>Q9BTE1</t>
  </si>
  <si>
    <t>Q9BZV1-2;Q9BZV1</t>
  </si>
  <si>
    <t>&gt;sp|Q9BZV1-2|UBXN6_HUMAN Isoform 2 of UBX domain-containing protein 6 OS=Homo sapiens GN=UBXN6</t>
  </si>
  <si>
    <t>Q9BZV1-2</t>
  </si>
  <si>
    <t>Q9H8Y8;Q9H8Y8-3;Q9H8Y8-2</t>
  </si>
  <si>
    <t>&gt;sp|Q9H8Y8|GORS2_HUMAN Golgi reassembly-stacking protein 2 OS=Homo sapiens GN=GORASP2 PE=1 SV=3</t>
  </si>
  <si>
    <t>Q9H8Y8</t>
  </si>
  <si>
    <t>Q9NX76</t>
  </si>
  <si>
    <t>&gt;sp|Q9NX76|CKLF6_HUMAN CKLF-like MARVEL transmembrane domain-containing protein 6 OS=Homo sapiens GN=CMTM6 PE=1 SV=1</t>
  </si>
  <si>
    <t>Q9Y3E0</t>
  </si>
  <si>
    <t>&gt;sp|Q9Y3E0|GOT1B_HUMAN Vesicle transport protein GOT1B OS=Homo sapiens GN=GOLT1B PE=1 SV=1</t>
  </si>
  <si>
    <t>Q9Y3E5</t>
  </si>
  <si>
    <t>&gt;sp|Q9Y3E5|PTH2_HUMAN Peptidyl-tRNA hydrolase 2, mitochondrial OS=Homo sapiens GN=PTRH2 PE=1 SV=1</t>
  </si>
  <si>
    <t>O00154-6;O00154-4;O00154-7;O00154;O00154-2;O00154-3;O00154-5</t>
  </si>
  <si>
    <t>&gt;sp|O00154-6|BACH_HUMAN Isoform 6 of Cytosolic acyl coenzyme A thioester hydrolase OS=Homo sapiens GN=ACOT7</t>
  </si>
  <si>
    <t>O00154-6</t>
  </si>
  <si>
    <t>O00487</t>
  </si>
  <si>
    <t>&gt;sp|O00487|PSDE_HUMAN 26S proteasome non-ATPase regulatory subunit 14 OS=Homo sapiens GN=PSMD14 PE=1 SV=1</t>
  </si>
  <si>
    <t>O43813</t>
  </si>
  <si>
    <t>&gt;sp|O43813|LANC1_HUMAN LanC-like protein 1 OS=Homo sapiens GN=LANCL1 PE=1 SV=1</t>
  </si>
  <si>
    <t>O75821</t>
  </si>
  <si>
    <t>&gt;sp|O75821|EIF3G_HUMAN Eukaryotic translation initiation factor 3 subunit G OS=Homo sapiens GN=EIF3G PE=1 SV=2</t>
  </si>
  <si>
    <t>P00746</t>
  </si>
  <si>
    <t>&gt;sp|P00746|CFAD_HUMAN Complement factor D OS=Homo sapiens GN=CFD PE=1 SV=5</t>
  </si>
  <si>
    <t>P01621</t>
  </si>
  <si>
    <t>&gt;sp|P01621|KV303_HUMAN Ig kappa chain V-III region NG9 (Fragment) OS=Homo sapiens PE=2 SV=1</t>
  </si>
  <si>
    <t>P04278;P04278-4;P04278-2;P04278-3;P04278-5</t>
  </si>
  <si>
    <t>&gt;sp|P04278|SHBG_HUMAN Sex hormone-binding globulin OS=Homo sapiens GN=SHBG PE=1 SV=2</t>
  </si>
  <si>
    <t>P04278</t>
  </si>
  <si>
    <t>P04424-2;P04424;P04424-3</t>
  </si>
  <si>
    <t>&gt;sp|P04424-2|ARLY_HUMAN Isoform 2 of Argininosuccinate lyase OS=Homo sapiens GN=ASL</t>
  </si>
  <si>
    <t>P04424-2</t>
  </si>
  <si>
    <t>P13747</t>
  </si>
  <si>
    <t>&gt;sp|P13747|HLAE_HUMAN HLA class I histocompatibility antigen, alpha chain E OS=Homo sapiens GN=HLA-E PE=1 SV=3</t>
  </si>
  <si>
    <t>P31749-2;P31749</t>
  </si>
  <si>
    <t>&gt;sp|P31749-2|AKT1_HUMAN Isoform 2 of RAC-alpha serine/threonine-protein kinase OS=Homo sapiens GN=AKT1</t>
  </si>
  <si>
    <t>P31749-2</t>
  </si>
  <si>
    <t>P31943;P55795</t>
  </si>
  <si>
    <t>&gt;sp|P31943|HNRH1_HUMAN Heterogeneous nuclear ribonucleoprotein H OS=Homo sapiens GN=HNRNPH1 PE=1 SV=4</t>
  </si>
  <si>
    <t>P31943</t>
  </si>
  <si>
    <t>P42229;P42229-2</t>
  </si>
  <si>
    <t>&gt;sp|P42229|STA5A_HUMAN Signal transducer and activator of transcription 5A OS=Homo sapiens GN=STAT5A PE=1 SV=1</t>
  </si>
  <si>
    <t>P42229</t>
  </si>
  <si>
    <t>P43155-3;P43155-2;P43155</t>
  </si>
  <si>
    <t>&gt;sp|P43155-3|CACP_HUMAN Isoform 3 of Carnitine O-acetyltransferase OS=Homo sapiens GN=CRAT</t>
  </si>
  <si>
    <t>P43155-3</t>
  </si>
  <si>
    <t>P51512-2;P51512</t>
  </si>
  <si>
    <t>&gt;sp|P51512-2|MMP16_HUMAN Isoform Short of Matrix metalloproteinase-16 OS=Homo sapiens GN=MMP16</t>
  </si>
  <si>
    <t>P51512-2</t>
  </si>
  <si>
    <t>P56192;P56192-2</t>
  </si>
  <si>
    <t>&gt;sp|P56192|SYMC_HUMAN Methionine--tRNA ligase, cytoplasmic OS=Homo sapiens GN=MARS PE=1 SV=2</t>
  </si>
  <si>
    <t>P56192</t>
  </si>
  <si>
    <t>Q15436;Q15436-2;Q15437</t>
  </si>
  <si>
    <t>&gt;sp|Q15436|SC23A_HUMAN Protein transport protein Sec23A OS=Homo sapiens GN=SEC23A PE=1 SV=2</t>
  </si>
  <si>
    <t>Q15436</t>
  </si>
  <si>
    <t>Q6UWL2-3;Q6UWL2;Q6UWL2-2</t>
  </si>
  <si>
    <t>&gt;sp|Q6UWL2-3|SUSD1_HUMAN Isoform 3 of Sushi domain-containing protein 1 OS=Homo sapiens GN=SUSD1</t>
  </si>
  <si>
    <t>Q6UWL2-3</t>
  </si>
  <si>
    <t>Q92734-2;Q92734;Q92734-4;Q92734-3</t>
  </si>
  <si>
    <t>&gt;sp|Q92734-2|TFG_HUMAN Isoform 2 of Protein TFG OS=Homo sapiens GN=TFG</t>
  </si>
  <si>
    <t>Q92734-2</t>
  </si>
  <si>
    <t>Q96RI0</t>
  </si>
  <si>
    <t>&gt;sp|Q96RI0|PAR4_HUMAN Proteinase-activated receptor 4 OS=Homo sapiens GN=F2RL3 PE=1 SV=3</t>
  </si>
  <si>
    <t>Q9BUP3;Q9BUP3-3;Q9BUP3-2</t>
  </si>
  <si>
    <t>&gt;sp|Q9BUP3|HTAI2_HUMAN Oxidoreductase HTATIP2 OS=Homo sapiens GN=HTATIP2 PE=1 SV=2</t>
  </si>
  <si>
    <t>Q9BUP3</t>
  </si>
  <si>
    <t>Q9GZZ9;Q9GZZ9-2</t>
  </si>
  <si>
    <t>&gt;sp|Q9GZZ9|UBA5_HUMAN Ubiquitin-like modifier-activating enzyme 5 OS=Homo sapiens GN=UBA5 PE=1 SV=1</t>
  </si>
  <si>
    <t>Q9GZZ9</t>
  </si>
  <si>
    <t>Q9H0W9-2;Q9H0W9;Q9H0W9-4;Q9H0W9-3</t>
  </si>
  <si>
    <t>&gt;sp|Q9H0W9-2|CK054_HUMAN Isoform 2 of Ester hydrolase C11orf54 OS=Homo sapiens GN=C11orf54</t>
  </si>
  <si>
    <t>Q9H0W9-2</t>
  </si>
  <si>
    <t>Q9UHD8-4;Q9UHD8-9;Q9UHD8-3;Q9UHD8-8;Q9UHD8-7;Q9UHD8-2;Q9UHD8-5;Q9UHD8</t>
  </si>
  <si>
    <t>&gt;sp|Q9UHD8-4|SEPT9_HUMAN Isoform 4 of Septin-9 OS=Homo sapiens GN=SEPT9</t>
  </si>
  <si>
    <t>Q9UHD8-4</t>
  </si>
  <si>
    <t>Q9Y315</t>
  </si>
  <si>
    <t>&gt;sp|Q9Y315|DEOC_HUMAN Deoxyribose-phosphate aldolase OS=Homo sapiens GN=DERA PE=1 SV=2</t>
  </si>
  <si>
    <t>A2RRP1-2;A2RRP1</t>
  </si>
  <si>
    <t>&gt;sp|A2RRP1-2|NBAS_HUMAN Isoform 2 of Neuroblastoma-amplified sequence OS=Homo sapiens GN=NBAS</t>
  </si>
  <si>
    <t>A2RRP1-2</t>
  </si>
  <si>
    <t>O60888-3;O60888;O60888-2</t>
  </si>
  <si>
    <t>&gt;sp|O60888-3|CUTA_HUMAN Isoform C of Protein CutA OS=Homo sapiens GN=CUTA</t>
  </si>
  <si>
    <t>O60888-3</t>
  </si>
  <si>
    <t>O75323;O75323-2</t>
  </si>
  <si>
    <t>&gt;sp|O75323|NIPS2_HUMAN Protein NipSnap homolog 2 OS=Homo sapiens GN=GBAS PE=1 SV=1</t>
  </si>
  <si>
    <t>O75323</t>
  </si>
  <si>
    <t>P01773</t>
  </si>
  <si>
    <t>&gt;sp|P01773|HV312_HUMAN Ig heavy chain V-III region BUR OS=Homo sapiens PE=1 SV=1</t>
  </si>
  <si>
    <t>IGHV3-30</t>
  </si>
  <si>
    <t>P08236-3;P08236-2;P08236</t>
  </si>
  <si>
    <t>&gt;sp|P08236-3|BGLR_HUMAN Isoform 3 of Beta-glucuronidase OS=Homo sapiens GN=GUSB</t>
  </si>
  <si>
    <t>P08236-3</t>
  </si>
  <si>
    <t>P09327;P09327-2;O75366-2;O75366</t>
  </si>
  <si>
    <t>&gt;sp|P09327|VILI_HUMAN Villin-1 OS=Homo sapiens GN=VIL1 PE=1 SV=4</t>
  </si>
  <si>
    <t>P09327</t>
  </si>
  <si>
    <t>P10646;P10646-2</t>
  </si>
  <si>
    <t>&gt;sp|P10646|TFPI1_HUMAN Tissue factor pathway inhibitor OS=Homo sapiens GN=TFPI PE=1 SV=1</t>
  </si>
  <si>
    <t>P10646</t>
  </si>
  <si>
    <t>P21283</t>
  </si>
  <si>
    <t>&gt;sp|P21283|VATC1_HUMAN V-type proton ATPase subunit C 1 OS=Homo sapiens GN=ATP6V1C1 PE=1 SV=4</t>
  </si>
  <si>
    <t>P30622-2;P30622-1;P30622</t>
  </si>
  <si>
    <t>&gt;sp|P30622-2|CLIP1_HUMAN Isoform 3 of CAP-Gly domain-containing linker protein 1 OS=Homo sapiens GN=CLIP1</t>
  </si>
  <si>
    <t>P30622-2</t>
  </si>
  <si>
    <t>P51812</t>
  </si>
  <si>
    <t>&gt;sp|P51812|KS6A3_HUMAN Ribosomal protein S6 kinase alpha-3 OS=Homo sapiens GN=RPS6KA3 PE=1 SV=1</t>
  </si>
  <si>
    <t>P52594-2;P52594-3;P52594;P52594-4</t>
  </si>
  <si>
    <t>&gt;sp|P52594-2|AGFG1_HUMAN Isoform 2 of Arf-GAP domain and FG repeat-containing protein 1 OS=Homo sapiens GN=AGFG1</t>
  </si>
  <si>
    <t>P52594-2</t>
  </si>
  <si>
    <t>P62140</t>
  </si>
  <si>
    <t>&gt;sp|P62140|PP1B_HUMAN Serine/threonine-protein phosphatase PP1-beta catalytic subunit OS=Homo sapiens GN=PPP1CB PE=1 SV=3</t>
  </si>
  <si>
    <t>P80303-2;P80303</t>
  </si>
  <si>
    <t>&gt;sp|P80303-2|NUCB2_HUMAN Isoform 2 of Nucleobindin-2 OS=Homo sapiens GN=NUCB2</t>
  </si>
  <si>
    <t>P80303-2</t>
  </si>
  <si>
    <t>Q13459-2;Q13459</t>
  </si>
  <si>
    <t>&gt;sp|Q13459-2|MYO9B_HUMAN Isoform Short of Unconventional myosin-IXb OS=Homo sapiens GN=MYO9B</t>
  </si>
  <si>
    <t>Q13459-2</t>
  </si>
  <si>
    <t>Q15771;Q15771-2</t>
  </si>
  <si>
    <t>&gt;sp|Q15771|RAB30_HUMAN Ras-related protein Rab-30 OS=Homo sapiens GN=RAB30 PE=1 SV=2</t>
  </si>
  <si>
    <t>Q15771</t>
  </si>
  <si>
    <t>Q5H9R7-6;Q5H9R7-2;Q5H9R7;Q5H9R7-5;Q5H9R7-3;Q5H9R7-4</t>
  </si>
  <si>
    <t>&gt;sp|Q5H9R7-6|PP6R3_HUMAN Isoform 6 of Serine/threonine-protein phosphatase 6 regulatory subunit 3 OS=Homo sapiens GN=PPP6R3</t>
  </si>
  <si>
    <t>Q5H9R7-6</t>
  </si>
  <si>
    <t>Q93034</t>
  </si>
  <si>
    <t>&gt;sp|Q93034|CUL5_HUMAN Cullin-5 OS=Homo sapiens GN=CUL5 PE=1 SV=4</t>
  </si>
  <si>
    <t>Q969X5-2;Q969X5</t>
  </si>
  <si>
    <t>&gt;sp|Q969X5-2|ERGI1_HUMAN Isoform 2 of Endoplasmic reticulum-Golgi intermediate compartment protein 1 OS=Homo sapiens GN=ERGIC1</t>
  </si>
  <si>
    <t>Q969X5-2</t>
  </si>
  <si>
    <t>Q96F07-2;Q96F07</t>
  </si>
  <si>
    <t>&gt;sp|Q96F07-2|CYFP2_HUMAN Isoform 2 of Cytoplasmic FMR1-interacting protein 2 OS=Homo sapiens GN=CYFIP2</t>
  </si>
  <si>
    <t>Q96F07-2</t>
  </si>
  <si>
    <t>Q99418-2;Q99418;Q15438-3;Q15438-2;Q15438;O43739-2;O43739</t>
  </si>
  <si>
    <t>&gt;sp|Q99418-2|CYH2_HUMAN Isoform 2 of Cytohesin-2 OS=Homo sapiens GN=CYTH2</t>
  </si>
  <si>
    <t>Q99418-2</t>
  </si>
  <si>
    <t>Q99747;Q99747-2</t>
  </si>
  <si>
    <t>&gt;sp|Q99747|SNAG_HUMAN Gamma-soluble NSF attachment protein OS=Homo sapiens GN=NAPG PE=1 SV=1</t>
  </si>
  <si>
    <t>Q99747</t>
  </si>
  <si>
    <t>Q9BVC6</t>
  </si>
  <si>
    <t>&gt;sp|Q9BVC6|TM109_HUMAN Transmembrane protein 109 OS=Homo sapiens GN=TMEM109 PE=1 SV=1</t>
  </si>
  <si>
    <t>Q9C0H2-2;Q9C0H2;Q9C0H2-3;Q9C0H2-4</t>
  </si>
  <si>
    <t>&gt;sp|Q9C0H2-2|TTYH3_HUMAN Isoform 2 of Protein tweety homolog 3 OS=Homo sapiens GN=TTYH3</t>
  </si>
  <si>
    <t>Q9C0H2-2</t>
  </si>
  <si>
    <t>Q9H7M9</t>
  </si>
  <si>
    <t>&gt;sp|Q9H7M9|GI24_HUMAN Platelet receptor Gi24 OS=Homo sapiens GN=C10orf54 PE=1 SV=3</t>
  </si>
  <si>
    <t>Q9H8H3</t>
  </si>
  <si>
    <t>&gt;sp|Q9H8H3|MET7A_HUMAN Methyltransferase-like protein 7A OS=Homo sapiens GN=METTL7A PE=1 SV=1</t>
  </si>
  <si>
    <t>Q9P2T1;Q9P2T1-2;Q9P2T1-3</t>
  </si>
  <si>
    <t>&gt;sp|Q9P2T1|GMPR2_HUMAN GMP reductase 2 OS=Homo sapiens GN=GMPR2 PE=1 SV=1</t>
  </si>
  <si>
    <t>Q9P2T1</t>
  </si>
  <si>
    <t>Q9Y4I1-2;Q9Y4I1;Q9Y4I1-3;Q9ULV0-2;Q9ULV0</t>
  </si>
  <si>
    <t>&gt;sp|Q9Y4I1-2|MYO5A_HUMAN Isoform 2 of Unconventional myosin-Va OS=Homo sapiens GN=MYO5A</t>
  </si>
  <si>
    <t>Q9Y4I1-2</t>
  </si>
  <si>
    <t>O75832;O75832-2</t>
  </si>
  <si>
    <t>&gt;sp|O75832|PSD10_HUMAN 26S proteasome non-ATPase regulatory subunit 10 OS=Homo sapiens GN=PSMD10 PE=1 SV=1</t>
  </si>
  <si>
    <t>O75832</t>
  </si>
  <si>
    <t>O76003</t>
  </si>
  <si>
    <t>&gt;sp|O76003|GLRX3_HUMAN Glutaredoxin-3 OS=Homo sapiens GN=GLRX3 PE=1 SV=2</t>
  </si>
  <si>
    <t>O96000;O96000-2</t>
  </si>
  <si>
    <t>&gt;sp|O96000|NDUBA_HUMAN NADH dehydrogenase [ubiquinone] 1 beta subcomplex subunit 10 OS=Homo sapiens GN=NDUFB10 PE=1 SV=3</t>
  </si>
  <si>
    <t>O96000</t>
  </si>
  <si>
    <t>P01769</t>
  </si>
  <si>
    <t>&gt;sp|P01769|HV308_HUMAN Ig heavy chain V-III region GA OS=Homo sapiens PE=1 SV=1</t>
  </si>
  <si>
    <t>P07686</t>
  </si>
  <si>
    <t>&gt;sp|P07686|HEXB_HUMAN Beta-hexosaminidase subunit beta OS=Homo sapiens GN=HEXB PE=1 SV=3</t>
  </si>
  <si>
    <t>P09382</t>
  </si>
  <si>
    <t>&gt;sp|P09382|LEG1_HUMAN Galectin-1 OS=Homo sapiens GN=LGALS1 PE=1 SV=2</t>
  </si>
  <si>
    <t>P0CG06</t>
  </si>
  <si>
    <t>&gt;sp|P0CG06|LAC3_HUMAN Ig lambda-3 chain C regions OS=Homo sapiens GN=IGLC3 PE=1 SV=1</t>
  </si>
  <si>
    <t>P15144</t>
  </si>
  <si>
    <t>&gt;sp|P15144|AMPN_HUMAN Aminopeptidase N OS=Homo sapiens GN=ANPEP PE=1 SV=4</t>
  </si>
  <si>
    <t>P15814</t>
  </si>
  <si>
    <t>&gt;sp|P15814|IGLL1_HUMAN Immunoglobulin lambda-like polypeptide 1 OS=Homo sapiens GN=IGLL1 PE=1 SV=1</t>
  </si>
  <si>
    <t>P23919-2;P23919</t>
  </si>
  <si>
    <t>&gt;sp|P23919-2|KTHY_HUMAN Isoform 2 of Thymidylate kinase OS=Homo sapiens GN=DTYMK</t>
  </si>
  <si>
    <t>P23919-2</t>
  </si>
  <si>
    <t>Q13188;Q13188-2</t>
  </si>
  <si>
    <t>&gt;sp|Q13188|STK3_HUMAN Serine/threonine-protein kinase 3 OS=Homo sapiens GN=STK3 PE=1 SV=2</t>
  </si>
  <si>
    <t>Q13188</t>
  </si>
  <si>
    <t>Q13347</t>
  </si>
  <si>
    <t>&gt;sp|Q13347|EIF3I_HUMAN Eukaryotic translation initiation factor 3 subunit I OS=Homo sapiens GN=EIF3I PE=1 SV=1</t>
  </si>
  <si>
    <t>Q13451;Q13451-2</t>
  </si>
  <si>
    <t>&gt;sp|Q13451|FKBP5_HUMAN Peptidyl-prolyl cis-trans isomerase FKBP5 OS=Homo sapiens GN=FKBP5 PE=1 SV=2</t>
  </si>
  <si>
    <t>Q13451</t>
  </si>
  <si>
    <t>Q13526</t>
  </si>
  <si>
    <t>&gt;sp|Q13526|PIN1_HUMAN Peptidyl-prolyl cis-trans isomerase NIMA-interacting 1 OS=Homo sapiens GN=PIN1 PE=1 SV=1</t>
  </si>
  <si>
    <t>Q16795</t>
  </si>
  <si>
    <t>&gt;sp|Q16795|NDUA9_HUMAN NADH dehydrogenase [ubiquinone] 1 alpha subcomplex subunit 9, mitochondrial OS=Homo sapiens GN=NDUFA9 PE=1 SV=2</t>
  </si>
  <si>
    <t>Q7L5D6;Q7L5D6-2</t>
  </si>
  <si>
    <t>&gt;sp|Q7L5D6|GET4_HUMAN Golgi to ER traffic protein 4 homolog OS=Homo sapiens GN=GET4 PE=1 SV=1</t>
  </si>
  <si>
    <t>Q7L5D6</t>
  </si>
  <si>
    <t>Q8IWA5-3;Q8IWA5;Q8IWA5-2</t>
  </si>
  <si>
    <t>&gt;sp|Q8IWA5-3|CTL2_HUMAN Isoform 3 of Choline transporter-like protein 2 OS=Homo sapiens GN=SLC44A2</t>
  </si>
  <si>
    <t>Q8IWA5-3</t>
  </si>
  <si>
    <t>Q8N4L2</t>
  </si>
  <si>
    <t>&gt;sp|Q8N4L2|TM55A_HUMAN Type 2 phosphatidylinositol 4,5-bisphosphate 4-phosphatase OS=Homo sapiens GN=TMEM55A PE=1 SV=1</t>
  </si>
  <si>
    <t>Q8N766-4;Q8N766-3;Q8N766-2;Q8N766</t>
  </si>
  <si>
    <t>&gt;sp|Q8N766-4|EMC1_HUMAN Isoform 4 of ER membrane protein complex subunit 1 OS=Homo sapiens GN=EMC1</t>
  </si>
  <si>
    <t>Q8N766-4</t>
  </si>
  <si>
    <t>Q8WZ42-3;Q8WZ42-10;Q8WZ42-9;Q8WZ42-5;Q8WZ42-11;Q8WZ42-4;Q8WZ42-7;Q8WZ42-2;Q8WZ42;Q8WZ42-8;Q8WZ42-13;Q8WZ42-12</t>
  </si>
  <si>
    <t>&gt;sp|Q8WZ42-3|TITIN_HUMAN Isoform 3 of Titin OS=Homo sapiens GN=TTN</t>
  </si>
  <si>
    <t>Q8WZ42-3</t>
  </si>
  <si>
    <t>Q96KN2</t>
  </si>
  <si>
    <t>&gt;sp|Q96KN2|CNDP1_HUMAN Beta-Ala-His dipeptidase OS=Homo sapiens GN=CNDP1 PE=1 SV=4</t>
  </si>
  <si>
    <t>Q99501;Q99501-4;Q99501-3;Q99501-2</t>
  </si>
  <si>
    <t>&gt;sp|Q99501|GA2L1_HUMAN GAS2-like protein 1 OS=Homo sapiens GN=GAS2L1 PE=1 SV=2</t>
  </si>
  <si>
    <t>Q99501</t>
  </si>
  <si>
    <t>Q99719-2</t>
  </si>
  <si>
    <t>&gt;sp|Q99719-2|SEPT5_HUMAN Isoform 2 of Septin-5 OS=Homo sapiens GN=SEPT5</t>
  </si>
  <si>
    <t>Q9BT40-2;Q9BT40</t>
  </si>
  <si>
    <t>&gt;sp|Q9BT40-2|INP5K_HUMAN Isoform 2 of Inositol polyphosphate 5-phosphatase K OS=Homo sapiens GN=INPP5K</t>
  </si>
  <si>
    <t>Q9BT40-2</t>
  </si>
  <si>
    <t>Q9H1E5</t>
  </si>
  <si>
    <t>&gt;sp|Q9H1E5|TMX4_HUMAN Thioredoxin-related transmembrane protein 4 OS=Homo sapiens GN=TMX4 PE=1 SV=1</t>
  </si>
  <si>
    <t>Q9H2M9;Q9H2M9-2</t>
  </si>
  <si>
    <t>&gt;sp|Q9H2M9|RBGPR_HUMAN Rab3 GTPase-activating protein non-catalytic subunit OS=Homo sapiens GN=RAB3GAP2 PE=1 SV=1</t>
  </si>
  <si>
    <t>Q9H2M9</t>
  </si>
  <si>
    <t>Q9H3U5-3;Q9H3U5;Q9H3U5-5;Q9H3U5-6;Q9H3U5-2;Q9H3U5-4</t>
  </si>
  <si>
    <t>&gt;sp|Q9H3U5-3|MFSD1_HUMAN Isoform 3 of Major facilitator superfamily domain-containing protein 1 OS=Homo sapiens GN=MFSD1</t>
  </si>
  <si>
    <t>Q9H3U5-3</t>
  </si>
  <si>
    <t>Q9NWW5;Q9NWW5-2</t>
  </si>
  <si>
    <t>&gt;sp|Q9NWW5|CLN6_HUMAN Ceroid-lipofuscinosis neuronal protein 6 OS=Homo sapiens GN=CLN6 PE=1 SV=1</t>
  </si>
  <si>
    <t>Q9NWW5</t>
  </si>
  <si>
    <t>Q9NWZ3;Q9NWZ3-2</t>
  </si>
  <si>
    <t>&gt;sp|Q9NWZ3|IRAK4_HUMAN Interleukin-1 receptor-associated kinase 4 OS=Homo sapiens GN=IRAK4 PE=1 SV=1</t>
  </si>
  <si>
    <t>Q9NWZ3</t>
  </si>
  <si>
    <t>Q9UDT6-2;Q9UDT6</t>
  </si>
  <si>
    <t>&gt;sp|Q9UDT6-2|CLIP2_HUMAN Isoform 2 of CAP-Gly domain-containing linker protein 2 OS=Homo sapiens GN=CLIP2</t>
  </si>
  <si>
    <t>Q9UDT6-2</t>
  </si>
  <si>
    <t>Q9Y305-3;Q9Y305-2;Q9Y305;Q9Y305-4</t>
  </si>
  <si>
    <t>&gt;sp|Q9Y305-3|ACOT9_HUMAN Isoform 3 of Acyl-coenzyme A thioesterase 9, mitochondrial OS=Homo sapiens GN=ACOT9</t>
  </si>
  <si>
    <t>Q9Y305-3</t>
  </si>
  <si>
    <t>Q9Y316-2;Q9Y316;Q9Y316-3</t>
  </si>
  <si>
    <t>&gt;sp|Q9Y316-2|MEMO1_HUMAN Isoform 2 of Protein MEMO1 OS=Homo sapiens GN=MEMO1</t>
  </si>
  <si>
    <t>Q9Y316-2</t>
  </si>
  <si>
    <t>A6NDU8</t>
  </si>
  <si>
    <t>&gt;sp|A6NDU8|CE051_HUMAN UPF0600 protein C5orf51 OS=Homo sapiens GN=C5orf51 PE=1 SV=1</t>
  </si>
  <si>
    <t>O14775-3;O14775-2;O14775</t>
  </si>
  <si>
    <t>&gt;sp|O14775-3|GBB5_HUMAN Isoform 3 of Guanine nucleotide-binding protein subunit beta-5 OS=Homo sapiens GN=GNB5</t>
  </si>
  <si>
    <t>O14775-3</t>
  </si>
  <si>
    <t>O15116</t>
  </si>
  <si>
    <t>&gt;sp|O15116|LSM1_HUMAN U6 snRNA-associated Sm-like protein LSm1 OS=Homo sapiens GN=LSM1 PE=1 SV=1</t>
  </si>
  <si>
    <t>O95140;Q8IWA4-2;O95140-2;Q8IWA4-3;Q8IWA4</t>
  </si>
  <si>
    <t>&gt;sp|O95140|MFN2_HUMAN Mitofusin-2 OS=Homo sapiens GN=MFN2 PE=1 SV=3</t>
  </si>
  <si>
    <t>O95140</t>
  </si>
  <si>
    <t>O95372</t>
  </si>
  <si>
    <t>&gt;sp|O95372|LYPA2_HUMAN Acyl-protein thioesterase 2 OS=Homo sapiens GN=LYPLA2 PE=1 SV=1</t>
  </si>
  <si>
    <t>O95989</t>
  </si>
  <si>
    <t>&gt;sp|O95989|NUDT3_HUMAN Diphosphoinositol polyphosphate phosphohydrolase 1 OS=Homo sapiens GN=NUDT3 PE=1 SV=1</t>
  </si>
  <si>
    <t>P01596</t>
  </si>
  <si>
    <t>&gt;sp|P01596|KV104_HUMAN Ig kappa chain V-I region CAR OS=Homo sapiens PE=1 SV=1</t>
  </si>
  <si>
    <t>P01608;P80362;P01607;P01600</t>
  </si>
  <si>
    <t>&gt;sp|P01608|KV116_HUMAN Ig kappa chain V-I region Roy OS=Homo sapiens PE=1 SV=1</t>
  </si>
  <si>
    <t>P01608</t>
  </si>
  <si>
    <t>IGKV1D-33</t>
  </si>
  <si>
    <t>P01779</t>
  </si>
  <si>
    <t>&gt;sp|P01779|HV318_HUMAN Ig heavy chain V-III region TUR OS=Homo sapiens PE=1 SV=1</t>
  </si>
  <si>
    <t>P01824</t>
  </si>
  <si>
    <t>&gt;sp|P01824|HV206_HUMAN Ig heavy chain V-II region WAH OS=Homo sapiens PE=1 SV=1</t>
  </si>
  <si>
    <t>IGHV4-39</t>
  </si>
  <si>
    <t>P06889</t>
  </si>
  <si>
    <t>&gt;sp|P06889|LV405_HUMAN Ig lambda chain V-IV region MOL OS=Homo sapiens PE=1 SV=1</t>
  </si>
  <si>
    <t>IGLV3-1</t>
  </si>
  <si>
    <t>P07814</t>
  </si>
  <si>
    <t>&gt;sp|P07814|SYEP_HUMAN Bifunctional glutamate/proline--tRNA ligase OS=Homo sapiens GN=EPRS PE=1 SV=5</t>
  </si>
  <si>
    <t>P08648</t>
  </si>
  <si>
    <t>&gt;sp|P08648|ITA5_HUMAN Integrin alpha-5 OS=Homo sapiens GN=ITGA5 PE=1 SV=2</t>
  </si>
  <si>
    <t>P09497-2;P09497</t>
  </si>
  <si>
    <t>&gt;sp|P09497-2|CLCB_HUMAN Isoform Non-brain of Clathrin light chain B OS=Homo sapiens GN=CLTB</t>
  </si>
  <si>
    <t>P09497-2</t>
  </si>
  <si>
    <t>P23258;Q9NRH3</t>
  </si>
  <si>
    <t>&gt;sp|P23258|TBG1_HUMAN Tubulin gamma-1 chain OS=Homo sapiens GN=TUBG1 PE=1 SV=2</t>
  </si>
  <si>
    <t>P23258</t>
  </si>
  <si>
    <t>P33121-3;P33121;P33121-2</t>
  </si>
  <si>
    <t>&gt;sp|P33121-3|ACSL1_HUMAN Isoform 3 of Long-chain-fatty-acid--CoA ligase 1 OS=Homo sapiens GN=ACSL1</t>
  </si>
  <si>
    <t>P33121-3</t>
  </si>
  <si>
    <t>P34896-2;P34896;P34896-3;P34896-4</t>
  </si>
  <si>
    <t>&gt;sp|P34896-2|GLYC_HUMAN Isoform 2 of Serine hydroxymethyltransferase, cytosolic OS=Homo sapiens GN=SHMT1</t>
  </si>
  <si>
    <t>P34896-2</t>
  </si>
  <si>
    <t>P46379-4;P46379-5;P46379-2;P46379;P46379-3</t>
  </si>
  <si>
    <t>&gt;sp|P46379-4|BAG6_HUMAN Isoform 4 of Large proline-rich protein BAG6 OS=Homo sapiens GN=BAG6</t>
  </si>
  <si>
    <t>P46379-4</t>
  </si>
  <si>
    <t>P49902-2;P49902</t>
  </si>
  <si>
    <t>&gt;sp|P49902-2|5NTC_HUMAN Isoform 2 of Cytosolic purine 5-nucleotidase OS=Homo sapiens GN=NT5C2</t>
  </si>
  <si>
    <t>P49902-2</t>
  </si>
  <si>
    <t>P51790-4;P51790-5;P51790;P51790-2;P51793-2;P51793</t>
  </si>
  <si>
    <t>&gt;sp|P51790-4|CLCN3_HUMAN Isoform 3 of H(+)/Cl(-) exchange transporter 3 OS=Homo sapiens GN=CLCN3</t>
  </si>
  <si>
    <t>P51790-4</t>
  </si>
  <si>
    <t>P55010</t>
  </si>
  <si>
    <t>&gt;sp|P55010|IF5_HUMAN Eukaryotic translation initiation factor 5 OS=Homo sapiens GN=EIF5 PE=1 SV=2</t>
  </si>
  <si>
    <t>P62701;Q8TD47;P22090</t>
  </si>
  <si>
    <t>&gt;sp|P62701|RS4X_HUMAN 40S ribosomal protein S4, X isoform OS=Homo sapiens GN=RPS4X PE=1 SV=2</t>
  </si>
  <si>
    <t>P62701</t>
  </si>
  <si>
    <t>Q13098-5;Q13098;Q13098-7;Q13098-6</t>
  </si>
  <si>
    <t>&gt;sp|Q13098-5|CSN1_HUMAN Isoform 4 of COP9 signalosome complex subunit 1 OS=Homo sapiens GN=GPS1</t>
  </si>
  <si>
    <t>Q13098-5</t>
  </si>
  <si>
    <t>Q5VWC8</t>
  </si>
  <si>
    <t>&gt;sp|Q5VWC8|HACD4_HUMAN Very-long-chain (3R)-3-hydroxyacyl-CoA dehydratase 4 OS=Homo sapiens GN=HACD4 PE=1 SV=1</t>
  </si>
  <si>
    <t>Q7L2H7-2;Q7L2H7</t>
  </si>
  <si>
    <t>&gt;sp|Q7L2H7-2|EIF3M_HUMAN Isoform 2 of Eukaryotic translation initiation factor 3 subunit M OS=Homo sapiens GN=EIF3M</t>
  </si>
  <si>
    <t>Q7L2H7-2</t>
  </si>
  <si>
    <t>Q92538-3;Q92538-2;Q92538</t>
  </si>
  <si>
    <t>&gt;sp|Q92538-3|GBF1_HUMAN Isoform 3 of Golgi-specific brefeldin A-resistance guanine nucleotide exchange factor 1 OS=Homo sapiens GN=GBF1</t>
  </si>
  <si>
    <t>Q92538-3</t>
  </si>
  <si>
    <t>Q92736;Q92736-2</t>
  </si>
  <si>
    <t>&gt;sp|Q92736|RYR2_HUMAN Ryanodine receptor 2 OS=Homo sapiens GN=RYR2 PE=1 SV=3</t>
  </si>
  <si>
    <t>Q92736</t>
  </si>
  <si>
    <t>Q96JJ7;Q96JJ7-2</t>
  </si>
  <si>
    <t>&gt;sp|Q96JJ7|TMX3_HUMAN Protein disulfide-isomerase TMX3 OS=Homo sapiens GN=TMX3 PE=1 SV=2</t>
  </si>
  <si>
    <t>Q96JJ7</t>
  </si>
  <si>
    <t>Q96KP1</t>
  </si>
  <si>
    <t>&gt;sp|Q96KP1|EXOC2_HUMAN Exocyst complex component 2 OS=Homo sapiens GN=EXOC2 PE=1 SV=1</t>
  </si>
  <si>
    <t>Q99459</t>
  </si>
  <si>
    <t>&gt;sp|Q99459|CDC5L_HUMAN Cell division cycle 5-like protein OS=Homo sapiens GN=CDC5L PE=1 SV=2</t>
  </si>
  <si>
    <t>Q9UJW0-2;Q9UJW0;Q9UJW0-3</t>
  </si>
  <si>
    <t>&gt;sp|Q9UJW0-2|DCTN4_HUMAN Isoform 2 of Dynactin subunit 4 OS=Homo sapiens GN=DCTN4</t>
  </si>
  <si>
    <t>Q9UJW0-2</t>
  </si>
  <si>
    <t>A1L3X0</t>
  </si>
  <si>
    <t>&gt;sp|A1L3X0|ELOV7_HUMAN Elongation of very long chain fatty acids protein 7 OS=Homo sapiens GN=ELOVL7 PE=1 SV=1</t>
  </si>
  <si>
    <t>O00303</t>
  </si>
  <si>
    <t>&gt;sp|O00303|EIF3F_HUMAN Eukaryotic translation initiation factor 3 subunit F OS=Homo sapiens GN=EIF3F PE=1 SV=1</t>
  </si>
  <si>
    <t>O14949</t>
  </si>
  <si>
    <t>&gt;sp|O14949|QCR8_HUMAN Cytochrome b-c1 complex subunit 8 OS=Homo sapiens GN=UQCRQ PE=1 SV=4</t>
  </si>
  <si>
    <t>O43149;O43149-3;O43149-2</t>
  </si>
  <si>
    <t>&gt;sp|O43149|ZZEF1_HUMAN Zinc finger ZZ-type and EF-hand domain-containing protein 1 OS=Homo sapiens GN=ZZEF1 PE=1 SV=6</t>
  </si>
  <si>
    <t>O43149</t>
  </si>
  <si>
    <t>O43633</t>
  </si>
  <si>
    <t>&gt;sp|O43633|CHM2A_HUMAN Charged multivesicular body protein 2a OS=Homo sapiens GN=CHMP2A PE=1 SV=1</t>
  </si>
  <si>
    <t>O60256;O60256-4;O60256-2;O60256-3;Q14558;Q14558-2</t>
  </si>
  <si>
    <t>&gt;sp|O60256|KPRB_HUMAN Phosphoribosyl pyrophosphate synthase-associated protein 2 OS=Homo sapiens GN=PRPSAP2 PE=1 SV=1</t>
  </si>
  <si>
    <t>O60256</t>
  </si>
  <si>
    <t>O60716-32;O60716-31;O60716-29;O60716-27;O60716-30;O60716-28;O60716-26;O60716-25;O60716-24;O60716-23;O60716-21;O60716-19;O60716-22;O60716-20;O60716-16;O60716-18;O60716-15;O60716-17;O60716-13;O60716-11;O60716-14;O60716-12;O60716-10;O60716-8;O60716-9;O60716-</t>
  </si>
  <si>
    <t>&gt;sp|O60716-32|CTND1_HUMAN Isoform 4 of Catenin delta-1 OS=Homo sapiens GN=CTNND1</t>
  </si>
  <si>
    <t>O60716-32</t>
  </si>
  <si>
    <t>O75298-3;O75298;O75298-2</t>
  </si>
  <si>
    <t>&gt;sp|O75298-3|RTN2_HUMAN Isoform RTN2-C of Reticulon-2 OS=Homo sapiens GN=RTN2</t>
  </si>
  <si>
    <t>O75298-3</t>
  </si>
  <si>
    <t>O75306-2;O75306</t>
  </si>
  <si>
    <t>&gt;sp|O75306-2|NDUS2_HUMAN Isoform 2 of NADH dehydrogenase [ubiquinone] iron-sulfur protein 2, mitochondrial OS=Homo sapiens GN=NDUFS2</t>
  </si>
  <si>
    <t>O75306-2</t>
  </si>
  <si>
    <t>P04209</t>
  </si>
  <si>
    <t>&gt;sp|P04209|LV211_HUMAN Ig lambda chain V-II region NIG-84 OS=Homo sapiens PE=1 SV=1</t>
  </si>
  <si>
    <t>IGLV2-14</t>
  </si>
  <si>
    <t>P05023-4;P05023;P05023-2;P05023-3;P13637;P13637-2;P13637-3;P50993;Q13733;P54707;P54707-2</t>
  </si>
  <si>
    <t>&gt;sp|P05023-4|AT1A1_HUMAN Isoform 4 of Sodium/potassium-transporting ATPase subunit alpha-1 OS=Homo sapiens GN=ATP1A1</t>
  </si>
  <si>
    <t>P05023-4</t>
  </si>
  <si>
    <t>P08134;P62745</t>
  </si>
  <si>
    <t>&gt;sp|P08134|RHOC_HUMAN Rho-related GTP-binding protein RhoC OS=Homo sapiens GN=RHOC PE=1 SV=1</t>
  </si>
  <si>
    <t>P08134</t>
  </si>
  <si>
    <t>P19838;P19838-2;P19838-3</t>
  </si>
  <si>
    <t>&gt;sp|P19838|NFKB1_HUMAN Nuclear factor NF-kappa-B p105 subunit OS=Homo sapiens GN=NFKB1 PE=1 SV=2</t>
  </si>
  <si>
    <t>P19838</t>
  </si>
  <si>
    <t>P34931</t>
  </si>
  <si>
    <t>&gt;sp|P34931|HS71L_HUMAN Heat shock 70 kDa protein 1-like OS=Homo sapiens GN=HSPA1L PE=1 SV=2</t>
  </si>
  <si>
    <t>P49589-2;P49589;P49589-3</t>
  </si>
  <si>
    <t>&gt;sp|P49589-2|SYCC_HUMAN Isoform 2 of Cysteine--tRNA ligase, cytoplasmic OS=Homo sapiens GN=CARS</t>
  </si>
  <si>
    <t>P49589-2</t>
  </si>
  <si>
    <t>P49758-12;P49758-6;P49758-11;P49758-7;P49758-10;P49758-9;P49758-16;P49758-5;P49758-8;P49758;P49758-13;P49758-14;P49758-15;P49758-2;P49758-3;P49802-4;P49802-2;P49802-3;P49802-5;P49802</t>
  </si>
  <si>
    <t>&gt;sp|P49758-12|RGS6_HUMAN Isoform 12 of Regulator of G-protein signaling 6 OS=Homo sapiens GN=RGS6</t>
  </si>
  <si>
    <t>P49758-12</t>
  </si>
  <si>
    <t>P57764</t>
  </si>
  <si>
    <t>&gt;sp|P57764|GSDMD_HUMAN Gasdermin-D OS=Homo sapiens GN=GSDMD PE=1 SV=1</t>
  </si>
  <si>
    <t>Q00535;Q00535-2;P11802-2;P24941-2;P06493;P24941;P11802;Q00526;Q00534;Q96Q40-2;P50750;Q96Q40-4;Q96Q40-3;O94921-3;Q96Q40-5;Q96Q40;O94921-2;O94921;Q07002;Q07002-2;P50750-2;Q00536;Q00536-3;Q07002-3;Q00537-2;Q00537;Q00536-2;Q14004-2;Q14004</t>
  </si>
  <si>
    <t>&gt;sp|Q00535|CDK5_HUMAN Cyclin-dependent-like kinase 5 OS=Homo sapiens GN=CDK5 PE=1 SV=3</t>
  </si>
  <si>
    <t>Q00535</t>
  </si>
  <si>
    <t>Q01970-2;Q01970</t>
  </si>
  <si>
    <t>&gt;sp|Q01970-2|PLCB3_HUMAN Isoform 2 of 1-phosphatidylinositol 4,5-bisphosphate phosphodiesterase beta-3 OS=Homo sapiens GN=PLCB3</t>
  </si>
  <si>
    <t>Q01970-2</t>
  </si>
  <si>
    <t>Q15386</t>
  </si>
  <si>
    <t>&gt;sp|Q15386|UBE3C_HUMAN Ubiquitin-protein ligase E3C OS=Homo sapiens GN=UBE3C PE=1 SV=3</t>
  </si>
  <si>
    <t>Q15848</t>
  </si>
  <si>
    <t>&gt;sp|Q15848|ADIPO_HUMAN Adiponectin OS=Homo sapiens GN=ADIPOQ PE=1 SV=1</t>
  </si>
  <si>
    <t>Q86UP3;Q86UP3-4;Q86UP3-2;Q86UP3-5;Q15911;Q9C0A1-2;Q86UP3-3;Q9C0A1;Q15911-2</t>
  </si>
  <si>
    <t>&gt;sp|Q86UP3|ZFHX4_HUMAN Zinc finger homeobox protein 4 OS=Homo sapiens GN=ZFHX4 PE=1 SV=1</t>
  </si>
  <si>
    <t>Q86UP3</t>
  </si>
  <si>
    <t>Q16775-2;Q16775</t>
  </si>
  <si>
    <t>&gt;sp|Q16775-2|GLO2_HUMAN Isoform 2 of Hydroxyacylglutathione hydrolase, mitochondrial OS=Homo sapiens GN=HAGH</t>
  </si>
  <si>
    <t>Q16775-2</t>
  </si>
  <si>
    <t>Q5JRX3-3;Q5JRX3;Q5JRX3-2</t>
  </si>
  <si>
    <t>&gt;sp|Q5JRX3-3|PREP_HUMAN Isoform 3 of Presequence protease, mitochondrial OS=Homo sapiens GN=PITRM1</t>
  </si>
  <si>
    <t>Q5JRX3-3</t>
  </si>
  <si>
    <t>Q6PL24</t>
  </si>
  <si>
    <t>&gt;sp|Q6PL24|TMED8_HUMAN Protein TMED8 OS=Homo sapiens GN=TMED8 PE=1 SV=1</t>
  </si>
  <si>
    <t>Q6UX71-2;Q6UX71;Q6UX71-3</t>
  </si>
  <si>
    <t>&gt;sp|Q6UX71-2|PXDC2_HUMAN Isoform 2 of Plexin domain-containing protein 2 OS=Homo sapiens GN=PLXDC2</t>
  </si>
  <si>
    <t>Q6UX71-2</t>
  </si>
  <si>
    <t>Q8NCA5-2;Q8NCA5</t>
  </si>
  <si>
    <t>&gt;sp|Q8NCA5-2|FA98A_HUMAN Isoform 2 of Protein FAM98A OS=Homo sapiens GN=FAM98A</t>
  </si>
  <si>
    <t>Q8NCA5-2</t>
  </si>
  <si>
    <t>Q92963-2;Q92963;Q92963-3</t>
  </si>
  <si>
    <t>&gt;sp|Q92963-2|RIT1_HUMAN Isoform 2 of GTP-binding protein Rit1 OS=Homo sapiens GN=RIT1</t>
  </si>
  <si>
    <t>Q92963-2</t>
  </si>
  <si>
    <t>Q96E17</t>
  </si>
  <si>
    <t>&gt;sp|Q96E17|RAB3C_HUMAN Ras-related protein Rab-3C OS=Homo sapiens GN=RAB3C PE=2 SV=1</t>
  </si>
  <si>
    <t>Q9BYC5;Q9BYC5-3;Q9BYC5-4;Q9BYC5-2</t>
  </si>
  <si>
    <t>&gt;sp|Q9BYC5|FUT8_HUMAN Alpha-(1,6)-fucosyltransferase OS=Homo sapiens GN=FUT8 PE=1 SV=2</t>
  </si>
  <si>
    <t>Q9BYC5</t>
  </si>
  <si>
    <t>Q9HAT2-2;Q9HAT2</t>
  </si>
  <si>
    <t>&gt;sp|Q9HAT2-2|SIAE_HUMAN Isoform 2 of Sialate O-acetylesterase OS=Homo sapiens GN=SIAE</t>
  </si>
  <si>
    <t>Q9HAT2-2</t>
  </si>
  <si>
    <t>Q9NRY5</t>
  </si>
  <si>
    <t>&gt;sp|Q9NRY5|F1142_HUMAN Protein FAM114A2 OS=Homo sapiens GN=FAM114A2 PE=1 SV=4</t>
  </si>
  <si>
    <t>Q9NWV4</t>
  </si>
  <si>
    <t>&gt;sp|Q9NWV4|CA123_HUMAN UPF0587 protein C1orf123 OS=Homo sapiens GN=C1orf123 PE=1 SV=1</t>
  </si>
  <si>
    <t>Q9NZ32</t>
  </si>
  <si>
    <t>&gt;sp|Q9NZ32|ARP10_HUMAN Actin-related protein 10 OS=Homo sapiens GN=ACTR10 PE=1 SV=1</t>
  </si>
  <si>
    <t>Q9UBF2;Q9UBF2-2</t>
  </si>
  <si>
    <t>&gt;sp|Q9UBF2|COPG2_HUMAN Coatomer subunit gamma-2 OS=Homo sapiens GN=COPG2 PE=1 SV=1</t>
  </si>
  <si>
    <t>Q9UBF2</t>
  </si>
  <si>
    <t>Q9Y6M9</t>
  </si>
  <si>
    <t>&gt;sp|Q9Y6M9|NDUB9_HUMAN NADH dehydrogenase [ubiquinone] 1 beta subcomplex subunit 9 OS=Homo sapiens GN=NDUFB9 PE=1 SV=3</t>
  </si>
  <si>
    <t>O15270;Q9NUV7</t>
  </si>
  <si>
    <t>&gt;sp|O15270|SPTC2_HUMAN Serine palmitoyltransferase 2 OS=Homo sapiens GN=SPTLC2 PE=1 SV=1</t>
  </si>
  <si>
    <t>O15270</t>
  </si>
  <si>
    <t>O43427-2;O43427</t>
  </si>
  <si>
    <t>&gt;sp|O43427-2|FIBP_HUMAN Isoform Short of Acidic fibroblast growth factor intracellular-binding protein OS=Homo sapiens GN=FIBP</t>
  </si>
  <si>
    <t>O43427-2</t>
  </si>
  <si>
    <t>O43772</t>
  </si>
  <si>
    <t>&gt;sp|O43772|MCAT_HUMAN Mitochondrial carnitine/acylcarnitine carrier protein OS=Homo sapiens GN=SLC25A20 PE=1 SV=1</t>
  </si>
  <si>
    <t>O75410-7;O75410;O75410-2;O75410-5;O75410-4;O75410-6;O75410-3;O75410-8;O95359-2;O95359-6;O95359-1;O95359-5;O95359-3;O95359</t>
  </si>
  <si>
    <t>&gt;sp|O75410-7|TACC1_HUMAN Isoform 7 of Transforming acidic coiled-coil-containing protein 1 OS=Homo sapiens GN=TACC1</t>
  </si>
  <si>
    <t>O75410-7</t>
  </si>
  <si>
    <t>O94929;O94929-2;O94929-3;O94929-4;Q6H8Q1-4;Q6H8Q1-6;Q6H8Q1-8;Q6H8Q1-3;Q6H8Q1-7;Q6H8Q1-2;Q6H8Q1-5;Q6H8Q1;Q6H8Q1-9</t>
  </si>
  <si>
    <t>&gt;sp|O94929|ABLM3_HUMAN Actin-binding LIM protein 3 OS=Homo sapiens GN=ABLIM3 PE=1 SV=3</t>
  </si>
  <si>
    <t>O94929</t>
  </si>
  <si>
    <t>P01615</t>
  </si>
  <si>
    <t>&gt;sp|P01615|KV202_HUMAN Ig kappa chain V-II region FR OS=Homo sapiens PE=1 SV=1</t>
  </si>
  <si>
    <t>P02545-2;P02545-5;P02545-4;P02545-6;P02545-3;P02545</t>
  </si>
  <si>
    <t>&gt;sp|P02545-2|LMNA_HUMAN Isoform C of Prelamin-A/C OS=Homo sapiens GN=LMNA</t>
  </si>
  <si>
    <t>P02545-2</t>
  </si>
  <si>
    <t>P02549-2;P02549</t>
  </si>
  <si>
    <t>&gt;sp|P02549-2|SPTA1_HUMAN Isoform 2 of Spectrin alpha chain, erythrocytic 1 OS=Homo sapiens GN=SPTA1</t>
  </si>
  <si>
    <t>P02549-2</t>
  </si>
  <si>
    <t>P03951-2;P03951</t>
  </si>
  <si>
    <t>&gt;sp|P03951-2|FA11_HUMAN Isoform 2 of Coagulation factor XI OS=Homo sapiens GN=F11</t>
  </si>
  <si>
    <t>P03951-2</t>
  </si>
  <si>
    <t>P04085-2;P04085</t>
  </si>
  <si>
    <t>&gt;sp|P04085-2|PDGFA_HUMAN Isoform Short of Platelet-derived growth factor subunit A OS=Homo sapiens GN=PDGFA</t>
  </si>
  <si>
    <t>P04085-2</t>
  </si>
  <si>
    <t>P14209-3;P14209</t>
  </si>
  <si>
    <t>&gt;sp|P14209-3|CD99_HUMAN Isoform 3 of CD99 antigen OS=Homo sapiens GN=CD99</t>
  </si>
  <si>
    <t>P14209-3</t>
  </si>
  <si>
    <t>P14618-2;P30613-2;P30613</t>
  </si>
  <si>
    <t>&gt;sp|P14618-2|KPYM_HUMAN Isoform M1 of Pyruvate kinase PKM OS=Homo sapiens GN=PKM</t>
  </si>
  <si>
    <t>P14618-2</t>
  </si>
  <si>
    <t>P18433-4;P18433-2;P18433-3;P18433</t>
  </si>
  <si>
    <t>&gt;sp|P18433-4|PTPRA_HUMAN Isoform 4 of Receptor-type tyrosine-protein phosphatase alpha OS=Homo sapiens GN=PTPRA</t>
  </si>
  <si>
    <t>P18433-4</t>
  </si>
  <si>
    <t>P20042</t>
  </si>
  <si>
    <t>&gt;sp|P20042|IF2B_HUMAN Eukaryotic translation initiation factor 2 subunit 2 OS=Homo sapiens GN=EIF2S2 PE=1 SV=2</t>
  </si>
  <si>
    <t>P21266</t>
  </si>
  <si>
    <t>&gt;sp|P21266|GSTM3_HUMAN Glutathione S-transferase Mu 3 OS=Homo sapiens GN=GSTM3 PE=1 SV=3</t>
  </si>
  <si>
    <t>P21731;P21731-2</t>
  </si>
  <si>
    <t>&gt;sp|P21731|TA2R_HUMAN Thromboxane A2 receptor OS=Homo sapiens GN=TBXA2R PE=1 SV=3</t>
  </si>
  <si>
    <t>P21731</t>
  </si>
  <si>
    <t>P30443;P30455</t>
  </si>
  <si>
    <t>&gt;sp|P30443|1A01_HUMAN HLA class I histocompatibility antigen, A-1 alpha chain OS=Homo sapiens GN=HLA-A PE=1 SV=1</t>
  </si>
  <si>
    <t>P30443</t>
  </si>
  <si>
    <t>P36405</t>
  </si>
  <si>
    <t>&gt;sp|P36405|ARL3_HUMAN ADP-ribosylation factor-like protein 3 OS=Homo sapiens GN=ARL3 PE=1 SV=2</t>
  </si>
  <si>
    <t>P49908</t>
  </si>
  <si>
    <t>&gt;sp|P49908|SEPP1_HUMAN Selenoprotein P OS=Homo sapiens GN=SEPP1 PE=1 SV=3</t>
  </si>
  <si>
    <t>P53597</t>
  </si>
  <si>
    <t>&gt;sp|P53597|SUCA_HUMAN Succinyl-CoA ligase [ADP/GDP-forming] subunit alpha, mitochondrial OS=Homo sapiens GN=SUCLG1 PE=1 SV=4</t>
  </si>
  <si>
    <t>P78559;P78559-2;P46821</t>
  </si>
  <si>
    <t>&gt;sp|P78559|MAP1A_HUMAN Microtubule-associated protein 1A OS=Homo sapiens GN=MAP1A PE=1 SV=6</t>
  </si>
  <si>
    <t>P78559</t>
  </si>
  <si>
    <t>P98082-3;P98082;P98082-2</t>
  </si>
  <si>
    <t>&gt;sp|P98082-3|DAB2_HUMAN Isoform 3 of Disabled homolog 2 OS=Homo sapiens GN=DAB2</t>
  </si>
  <si>
    <t>P98082-3</t>
  </si>
  <si>
    <t>Q02818</t>
  </si>
  <si>
    <t>&gt;sp|Q02818|NUCB1_HUMAN Nucleobindin-1 OS=Homo sapiens GN=NUCB1 PE=1 SV=4</t>
  </si>
  <si>
    <t>Q13303-4;Q13303-2;Q13303;Q13303-3;Q13303-5</t>
  </si>
  <si>
    <t>&gt;sp|Q13303-4|KCAB2_HUMAN Isoform 4 of Voltage-gated potassium channel subunit beta-2 OS=Homo sapiens GN=KCNAB2</t>
  </si>
  <si>
    <t>Q13303-4</t>
  </si>
  <si>
    <t>Q15370;Q15370-2</t>
  </si>
  <si>
    <t>&gt;sp|Q15370|ELOB_HUMAN Transcription elongation factor B polypeptide 2 OS=Homo sapiens GN=TCEB2 PE=1 SV=1</t>
  </si>
  <si>
    <t>Q15370</t>
  </si>
  <si>
    <t>Q6P9B6</t>
  </si>
  <si>
    <t>&gt;sp|Q6P9B6|TLDC1_HUMAN TLD domain-containing protein 1 OS=Homo sapiens GN=TLDC1 PE=1 SV=2</t>
  </si>
  <si>
    <t>Q70IA8</t>
  </si>
  <si>
    <t>&gt;sp|Q70IA8|MOB3C_HUMAN MOB kinase activator 3C OS=Homo sapiens GN=MOB3C PE=1 SV=1</t>
  </si>
  <si>
    <t>Q7Z4W1</t>
  </si>
  <si>
    <t>&gt;sp|Q7Z4W1|DCXR_HUMAN L-xylulose reductase OS=Homo sapiens GN=DCXR PE=1 SV=2</t>
  </si>
  <si>
    <t>Q86UE4</t>
  </si>
  <si>
    <t>&gt;sp|Q86UE4|LYRIC_HUMAN Protein LYRIC OS=Homo sapiens GN=MTDH PE=1 SV=2</t>
  </si>
  <si>
    <t>Q8IVT5-2;Q8IVT5;Q8IVT5-4;Q8IVT5-3</t>
  </si>
  <si>
    <t>&gt;sp|Q8IVT5-2|KSR1_HUMAN Isoform 2 of Kinase suppressor of Ras 1 OS=Homo sapiens GN=KSR1</t>
  </si>
  <si>
    <t>Q8IVT5-2</t>
  </si>
  <si>
    <t>Q8N6H7;Q8N6H7-3;Q8N6H7-2;Q9NP61-2;Q9NP61</t>
  </si>
  <si>
    <t>&gt;sp|Q8N6H7|ARFG2_HUMAN ADP-ribosylation factor GTPase-activating protein 2 OS=Homo sapiens GN=ARFGAP2 PE=1 SV=1</t>
  </si>
  <si>
    <t>Q8N6H7</t>
  </si>
  <si>
    <t>Q9BY32;Q9BY32-3;Q9BY32-2</t>
  </si>
  <si>
    <t>&gt;sp|Q9BY32|ITPA_HUMAN Inosine triphosphate pyrophosphatase OS=Homo sapiens GN=ITPA PE=1 SV=2</t>
  </si>
  <si>
    <t>Q9BY32</t>
  </si>
  <si>
    <t>Q9BY44-4;Q9BY44-3;Q9BY44;Q9BY44-2</t>
  </si>
  <si>
    <t>&gt;sp|Q9BY44-4|EIF2A_HUMAN Isoform 4 of Eukaryotic translation initiation factor 2A OS=Homo sapiens GN=EIF2A</t>
  </si>
  <si>
    <t>Q9BY44-4</t>
  </si>
  <si>
    <t>Q9H267</t>
  </si>
  <si>
    <t>&gt;sp|Q9H267|VP33B_HUMAN Vacuolar protein sorting-associated protein 33B OS=Homo sapiens GN=VPS33B PE=1 SV=2</t>
  </si>
  <si>
    <t>Q9NRW7</t>
  </si>
  <si>
    <t>&gt;sp|Q9NRW7|VPS45_HUMAN Vacuolar protein sorting-associated protein 45 OS=Homo sapiens GN=VPS45 PE=1 SV=1</t>
  </si>
  <si>
    <t>Q9P260;Q9P260-2</t>
  </si>
  <si>
    <t>&gt;sp|Q9P260|K1468_HUMAN LisH domain and HEAT repeat-containing protein KIAA1468 OS=Homo sapiens GN=KIAA1468 PE=1 SV=2</t>
  </si>
  <si>
    <t>Q9P260</t>
  </si>
  <si>
    <t>Q9UBS4</t>
  </si>
  <si>
    <t>&gt;sp|Q9UBS4|DJB11_HUMAN DnaJ homolog subfamily B member 11 OS=Homo sapiens GN=DNAJB11 PE=1 SV=1</t>
  </si>
  <si>
    <t>Q9UK55;CON__ENSEMBL:ENSBTAP00000013050</t>
  </si>
  <si>
    <t>&gt;sp|Q9UK55|ZPI_HUMAN Protein Z-dependent protease inhibitor OS=Homo sapiens GN=SERPINA10 PE=1 SV=1</t>
  </si>
  <si>
    <t>Q9UK55</t>
  </si>
  <si>
    <t>Q9Y2S2-2;Q9Y2S2</t>
  </si>
  <si>
    <t>&gt;sp|Q9Y2S2-2|CRYL1_HUMAN Isoform 2 of Lambda-crystallin homolog OS=Homo sapiens GN=CRYL1</t>
  </si>
  <si>
    <t>Q9Y2S2-2</t>
  </si>
  <si>
    <t>A6NJ16</t>
  </si>
  <si>
    <t>&gt;sp|A6NJ16|IV4F8_HUMAN Putative V-set and immunoglobulin domain-containing-like protein IGHV4OR15-8 OS=Homo sapiens GN=IGHV4OR15-8 PE=5 SV=2</t>
  </si>
  <si>
    <t>O15258</t>
  </si>
  <si>
    <t>&gt;sp|O15258|RER1_HUMAN Protein RER1 OS=Homo sapiens GN=RER1 PE=1 SV=1</t>
  </si>
  <si>
    <t>O15498;O15498-2</t>
  </si>
  <si>
    <t>&gt;sp|O15498|YKT6_HUMAN Synaptobrevin homolog YKT6 OS=Homo sapiens GN=YKT6 PE=1 SV=1</t>
  </si>
  <si>
    <t>O15498</t>
  </si>
  <si>
    <t>O43306-2;O43306</t>
  </si>
  <si>
    <t>&gt;sp|O43306-2|ADCY6_HUMAN Isoform 2 of Adenylate cyclase type 6 OS=Homo sapiens GN=ADCY6</t>
  </si>
  <si>
    <t>O43306-2</t>
  </si>
  <si>
    <t>O60704</t>
  </si>
  <si>
    <t>&gt;sp|O60704|TPST2_HUMAN Protein-tyrosine sulfotransferase 2 OS=Homo sapiens GN=TPST2 PE=1 SV=1</t>
  </si>
  <si>
    <t>P01619</t>
  </si>
  <si>
    <t>&gt;sp|P01619|KV301_HUMAN Ig kappa chain V-III region B6 OS=Homo sapiens PE=1 SV=1</t>
  </si>
  <si>
    <t>P0DJI8;P0DJI9-2</t>
  </si>
  <si>
    <t>&gt;sp|P0DJI8|SAA1_HUMAN Serum amyloid A-1 protein OS=Homo sapiens GN=SAA1 PE=1 SV=1</t>
  </si>
  <si>
    <t>P0DJI8</t>
  </si>
  <si>
    <t>P16219</t>
  </si>
  <si>
    <t>&gt;sp|P16219|ACADS_HUMAN Short-chain specific acyl-CoA dehydrogenase, mitochondrial OS=Homo sapiens GN=ACADS PE=1 SV=1</t>
  </si>
  <si>
    <t>P20674</t>
  </si>
  <si>
    <t>&gt;sp|P20674|COX5A_HUMAN Cytochrome c oxidase subunit 5A, mitochondrial OS=Homo sapiens GN=COX5A PE=1 SV=2</t>
  </si>
  <si>
    <t>P24723-2;P24723;Q02156</t>
  </si>
  <si>
    <t>&gt;sp|P24723-2|KPCL_HUMAN Isoform 2 of Protein kinase C eta type OS=Homo sapiens GN=PRKCH</t>
  </si>
  <si>
    <t>P24723-2</t>
  </si>
  <si>
    <t>P33908;P33908-2</t>
  </si>
  <si>
    <t>&gt;sp|P33908|MA1A1_HUMAN Mannosyl-oligosaccharide 1,2-alpha-mannosidase IA OS=Homo sapiens GN=MAN1A1 PE=1 SV=3</t>
  </si>
  <si>
    <t>P33908</t>
  </si>
  <si>
    <t>P35241;P35241-5;P35241-4;P15311;P35241-3;P35241-2</t>
  </si>
  <si>
    <t>&gt;sp|P35241|RADI_HUMAN Radixin OS=Homo sapiens GN=RDX PE=1 SV=1</t>
  </si>
  <si>
    <t>P35241</t>
  </si>
  <si>
    <t>P35609-2;P35609</t>
  </si>
  <si>
    <t>&gt;sp|P35609-2|ACTN2_HUMAN Isoform 2 of Alpha-actinin-2 OS=Homo sapiens GN=ACTN2</t>
  </si>
  <si>
    <t>P35609-2</t>
  </si>
  <si>
    <t>P36551;P36551-2</t>
  </si>
  <si>
    <t>&gt;sp|P36551|HEM6_HUMAN Oxygen-dependent coproporphyrinogen-III oxidase, mitochondrial OS=Homo sapiens GN=CPOX PE=1 SV=3</t>
  </si>
  <si>
    <t>P36551</t>
  </si>
  <si>
    <t>P42226;P42226-2;P42226-3</t>
  </si>
  <si>
    <t>&gt;sp|P42226|STAT6_HUMAN Signal transducer and activator of transcription 6 OS=Homo sapiens GN=STAT6 PE=1 SV=1</t>
  </si>
  <si>
    <t>P42226</t>
  </si>
  <si>
    <t>P42858</t>
  </si>
  <si>
    <t>&gt;sp|P42858|HD_HUMAN Huntingtin OS=Homo sapiens GN=HTT PE=1 SV=2</t>
  </si>
  <si>
    <t>P43307;P43307-2</t>
  </si>
  <si>
    <t>&gt;sp|P43307|SSRA_HUMAN Translocon-associated protein subunit alpha OS=Homo sapiens GN=SSR1 PE=1 SV=3</t>
  </si>
  <si>
    <t>P43307</t>
  </si>
  <si>
    <t>P50213-2;P50213</t>
  </si>
  <si>
    <t>&gt;sp|P50213-2|IDH3A_HUMAN Isoform 2 of Isocitrate dehydrogenase [NAD] subunit alpha, mitochondrial OS=Homo sapiens GN=IDH3A</t>
  </si>
  <si>
    <t>P50213-2</t>
  </si>
  <si>
    <t>P57729</t>
  </si>
  <si>
    <t>&gt;sp|P57729|RAB38_HUMAN Ras-related protein Rab-38 OS=Homo sapiens GN=RAB38 PE=1 SV=1</t>
  </si>
  <si>
    <t>P61221</t>
  </si>
  <si>
    <t>&gt;sp|P61221|ABCE1_HUMAN ATP-binding cassette sub-family E member 1 OS=Homo sapiens GN=ABCE1 PE=1 SV=1</t>
  </si>
  <si>
    <t>Q00577</t>
  </si>
  <si>
    <t>&gt;sp|Q00577|PURA_HUMAN Transcriptional activator protein Pur-alpha OS=Homo sapiens GN=PURA PE=1 SV=2</t>
  </si>
  <si>
    <t>Q08752</t>
  </si>
  <si>
    <t>&gt;sp|Q08752|PPID_HUMAN Peptidyl-prolyl cis-trans isomerase D OS=Homo sapiens GN=PPID PE=1 SV=3</t>
  </si>
  <si>
    <t>Q14166</t>
  </si>
  <si>
    <t>&gt;sp|Q14166|TTL12_HUMAN Tubulin--tyrosine ligase-like protein 12 OS=Homo sapiens GN=TTLL12 PE=1 SV=2</t>
  </si>
  <si>
    <t>Q14696;Q14696-2</t>
  </si>
  <si>
    <t>&gt;sp|Q14696|MESD_HUMAN LDLR chaperone MESD OS=Homo sapiens GN=MESDC2 PE=1 SV=2</t>
  </si>
  <si>
    <t>Q14696</t>
  </si>
  <si>
    <t>Q6NVY1;Q6NVY1-2</t>
  </si>
  <si>
    <t>&gt;sp|Q6NVY1|HIBCH_HUMAN 3-hydroxyisobutyryl-CoA hydrolase, mitochondrial OS=Homo sapiens GN=HIBCH PE=1 SV=2</t>
  </si>
  <si>
    <t>Q6NVY1</t>
  </si>
  <si>
    <t>Q6PI48</t>
  </si>
  <si>
    <t>&gt;sp|Q6PI48|SYDM_HUMAN Aspartate--tRNA ligase, mitochondrial OS=Homo sapiens GN=DARS2 PE=1 SV=1</t>
  </si>
  <si>
    <t>Q8IXJ6-4;Q8IXJ6-5;Q8IXJ6-2;Q8IXJ6-3;Q8IXJ6</t>
  </si>
  <si>
    <t>&gt;sp|Q8IXJ6-4|SIR2_HUMAN Isoform 4 of NAD-dependent protein deacetylase sirtuin-2 OS=Homo sapiens GN=SIRT2</t>
  </si>
  <si>
    <t>Q8IXJ6-4</t>
  </si>
  <si>
    <t>Q92890;Q92890-1;Q92890-3</t>
  </si>
  <si>
    <t>&gt;sp|Q92890|UFD1_HUMAN Ubiquitin fusion degradation protein 1 homolog OS=Homo sapiens GN=UFD1L PE=1 SV=3</t>
  </si>
  <si>
    <t>Q92890</t>
  </si>
  <si>
    <t>Q9BRA2</t>
  </si>
  <si>
    <t>&gt;sp|Q9BRA2|TXD17_HUMAN Thioredoxin domain-containing protein 17 OS=Homo sapiens GN=TXNDC17 PE=1 SV=1</t>
  </si>
  <si>
    <t>Q9NR45</t>
  </si>
  <si>
    <t>&gt;sp|Q9NR45|SIAS_HUMAN Sialic acid synthase OS=Homo sapiens GN=NANS PE=1 SV=2</t>
  </si>
  <si>
    <t>Q9NR56-7;Q9NR56-6;Q9NR56-2;Q9NR56-5;Q9NR56;Q9NR56-3;Q9NR56-4;Q5VZF2-3;Q5VZF2-2;Q5VZF2;Q9NUK0-2;Q9NUK0;Q9NUK0-4;Q9NUK0-3</t>
  </si>
  <si>
    <t>&gt;sp|Q9NR56-7|MBNL1_HUMAN Isoform 7 of Muscleblind-like protein 1 OS=Homo sapiens GN=MBNL1</t>
  </si>
  <si>
    <t>Q9NR56-7</t>
  </si>
  <si>
    <t>Q9NVJ2;Q9NVJ2-2</t>
  </si>
  <si>
    <t>&gt;sp|Q9NVJ2|ARL8B_HUMAN ADP-ribosylation factor-like protein 8B OS=Homo sapiens GN=ARL8B PE=1 SV=1</t>
  </si>
  <si>
    <t>Q9NVJ2</t>
  </si>
  <si>
    <t>Q9P0J0;Q9P0J0-2</t>
  </si>
  <si>
    <t>&gt;sp|Q9P0J0|NDUAD_HUMAN NADH dehydrogenase [ubiquinone] 1 alpha subcomplex subunit 13 OS=Homo sapiens GN=NDUFA13 PE=1 SV=3</t>
  </si>
  <si>
    <t>Q9P0J0</t>
  </si>
  <si>
    <t>Q9UM00-2;Q9UM00</t>
  </si>
  <si>
    <t>&gt;sp|Q9UM00-2|TMCO1_HUMAN Isoform 2 of Transmembrane and coiled-coil domain-containing protein 1 OS=Homo sapiens GN=TMCO1</t>
  </si>
  <si>
    <t>Q9UM00-2</t>
  </si>
  <si>
    <t>Q9UPU5</t>
  </si>
  <si>
    <t>&gt;sp|Q9UPU5|UBP24_HUMAN Ubiquitin carboxyl-terminal hydrolase 24 OS=Homo sapiens GN=USP24 PE=1 SV=3</t>
  </si>
  <si>
    <t>Q9UQ16-2;Q9UQ16-3;Q9UQ16;Q9UQ16-4;Q9UQ16-5</t>
  </si>
  <si>
    <t>&gt;sp|Q9UQ16-2|DYN3_HUMAN Isoform 2 of Dynamin-3 OS=Homo sapiens GN=DNM3</t>
  </si>
  <si>
    <t>Q9UQ16-2</t>
  </si>
  <si>
    <t>Q99613-2;Q99613;B5ME19</t>
  </si>
  <si>
    <t>&gt;sp|Q99613-2|EIF3C_HUMAN Isoform 2 of Eukaryotic translation initiation factor 3 subunit C OS=Homo sapiens GN=EIF3C</t>
  </si>
  <si>
    <t>Q99613-2</t>
  </si>
  <si>
    <t>O00483</t>
  </si>
  <si>
    <t>&gt;sp|O00483|NDUA4_HUMAN Cytochrome c oxidase subunit NDUFA4 OS=Homo sapiens GN=NDUFA4 PE=1 SV=1</t>
  </si>
  <si>
    <t>O43847-2;O43847</t>
  </si>
  <si>
    <t>&gt;sp|O43847-2|NRDC_HUMAN Isoform 2 of Nardilysin OS=Homo sapiens GN=NRD1</t>
  </si>
  <si>
    <t>O43847-2</t>
  </si>
  <si>
    <t>O60331-4;O60331;O60331-2;O60331-3</t>
  </si>
  <si>
    <t>&gt;sp|O60331-4|PI51C_HUMAN Isoform 4 of Phosphatidylinositol 4-phosphate 5-kinase type-1 gamma OS=Homo sapiens GN=PIP5K1C</t>
  </si>
  <si>
    <t>O60331-4</t>
  </si>
  <si>
    <t>O75886;O75886-2</t>
  </si>
  <si>
    <t>&gt;sp|O75886|STAM2_HUMAN Signal transducing adapter molecule 2 OS=Homo sapiens GN=STAM2 PE=1 SV=1</t>
  </si>
  <si>
    <t>O75886</t>
  </si>
  <si>
    <t>O75935-3;O75935;O75935-2</t>
  </si>
  <si>
    <t>&gt;sp|O75935-3|DCTN3_HUMAN Isoform 3 of Dynactin subunit 3 OS=Homo sapiens GN=DCTN3</t>
  </si>
  <si>
    <t>O75935-3</t>
  </si>
  <si>
    <t>O95866;O95866-5;O95866-3;O95866-6</t>
  </si>
  <si>
    <t>&gt;sp|O95866|G6B_HUMAN Protein G6b OS=Homo sapiens GN=G6B PE=1 SV=1</t>
  </si>
  <si>
    <t>O95866</t>
  </si>
  <si>
    <t>P00742</t>
  </si>
  <si>
    <t>&gt;sp|P00742|FA10_HUMAN Coagulation factor X OS=Homo sapiens GN=F10 PE=1 SV=2</t>
  </si>
  <si>
    <t>P01034</t>
  </si>
  <si>
    <t>&gt;sp|P01034|CYTC_HUMAN Cystatin-C OS=Homo sapiens GN=CST3 PE=1 SV=1</t>
  </si>
  <si>
    <t>P06276</t>
  </si>
  <si>
    <t>&gt;sp|P06276|CHLE_HUMAN Cholinesterase OS=Homo sapiens GN=BCHE PE=1 SV=1</t>
  </si>
  <si>
    <t>P09429;B2RPK0</t>
  </si>
  <si>
    <t>&gt;sp|P09429|HMGB1_HUMAN High mobility group protein B1 OS=Homo sapiens GN=HMGB1 PE=1 SV=3</t>
  </si>
  <si>
    <t>P09429</t>
  </si>
  <si>
    <t>P09651-3;P09651-2;P09651;Q32P51</t>
  </si>
  <si>
    <t>&gt;sp|P09651-3|ROA1_HUMAN Isoform 2 of Heterogeneous nuclear ribonucleoprotein A1 OS=Homo sapiens GN=HNRNPA1</t>
  </si>
  <si>
    <t>P09651-3</t>
  </si>
  <si>
    <t>P11597-2;P11597</t>
  </si>
  <si>
    <t>&gt;sp|P11597-2|CETP_HUMAN Isoform 2 of Cholesteryl ester transfer protein OS=Homo sapiens GN=CETP</t>
  </si>
  <si>
    <t>P11597-2</t>
  </si>
  <si>
    <t>P17812;P17812-2</t>
  </si>
  <si>
    <t>&gt;sp|P17812|PYRG1_HUMAN CTP synthase 1 OS=Homo sapiens GN=CTPS1 PE=1 SV=2</t>
  </si>
  <si>
    <t>P17812</t>
  </si>
  <si>
    <t>P22059</t>
  </si>
  <si>
    <t>&gt;sp|P22059|OSBP1_HUMAN Oxysterol-binding protein 1 OS=Homo sapiens GN=OSBP PE=1 SV=1</t>
  </si>
  <si>
    <t>P27918</t>
  </si>
  <si>
    <t>&gt;sp|P27918|PROP_HUMAN Properdin OS=Homo sapiens GN=CFP PE=1 SV=2</t>
  </si>
  <si>
    <t>P31937</t>
  </si>
  <si>
    <t>&gt;sp|P31937|3HIDH_HUMAN 3-hydroxyisobutyrate dehydrogenase, mitochondrial OS=Homo sapiens GN=HIBADH PE=1 SV=2</t>
  </si>
  <si>
    <t>P48556</t>
  </si>
  <si>
    <t>&gt;sp|P48556|PSMD8_HUMAN 26S proteasome non-ATPase regulatory subunit 8 OS=Homo sapiens GN=PSMD8 PE=1 SV=2</t>
  </si>
  <si>
    <t>P54709;P54709-2</t>
  </si>
  <si>
    <t>&gt;sp|P54709|AT1B3_HUMAN Sodium/potassium-transporting ATPase subunit beta-3 OS=Homo sapiens GN=ATP1B3 PE=1 SV=1</t>
  </si>
  <si>
    <t>P54709</t>
  </si>
  <si>
    <t>P57772-2;P57772</t>
  </si>
  <si>
    <t>&gt;sp|P57772-2|SELB_HUMAN Isoform 2 of Selenocysteine-specific elongation factor OS=Homo sapiens GN=EEFSEC</t>
  </si>
  <si>
    <t>P57772-2</t>
  </si>
  <si>
    <t>P62330</t>
  </si>
  <si>
    <t>&gt;sp|P62330|ARF6_HUMAN ADP-ribosylation factor 6 OS=Homo sapiens GN=ARF6 PE=1 SV=2</t>
  </si>
  <si>
    <t>Q04837</t>
  </si>
  <si>
    <t>&gt;sp|Q04837|SSBP_HUMAN Single-stranded DNA-binding protein, mitochondrial OS=Homo sapiens GN=SSBP1 PE=1 SV=1</t>
  </si>
  <si>
    <t>Q15041-2;Q15041;Q15041-3</t>
  </si>
  <si>
    <t>&gt;sp|Q15041-2|AR6P1_HUMAN Isoform 2 of ADP-ribosylation factor-like protein 6-interacting protein 1 OS=Homo sapiens GN=ARL6IP1</t>
  </si>
  <si>
    <t>Q15041-2</t>
  </si>
  <si>
    <t>Q15172;Q15172-2</t>
  </si>
  <si>
    <t>&gt;sp|Q15172|2A5A_HUMAN Serine/threonine-protein phosphatase 2A 56 kDa regulatory subunit alpha isoform OS=Homo sapiens GN=PPP2R5A PE=1 SV=1</t>
  </si>
  <si>
    <t>Q15172</t>
  </si>
  <si>
    <t>Q15181</t>
  </si>
  <si>
    <t>&gt;sp|Q15181|IPYR_HUMAN Inorganic pyrophosphatase OS=Homo sapiens GN=PPA1 PE=1 SV=2</t>
  </si>
  <si>
    <t>Q15796-2;Q15796;P84022-3;P84022-2;P84022;P84022-4;O15198-2;O15198;Q99717;Q15797</t>
  </si>
  <si>
    <t>&gt;sp|Q15796-2|SMAD2_HUMAN Isoform Short of Mothers against decapentaplegic homolog 2 OS=Homo sapiens GN=SMAD2</t>
  </si>
  <si>
    <t>Q15796-2</t>
  </si>
  <si>
    <t>Q5T1M5-2;Q5T1M5;Q5T1M5-3</t>
  </si>
  <si>
    <t>&gt;sp|Q5T1M5-2|FKB15_HUMAN Isoform 2 of FK506-binding protein 15 OS=Homo sapiens GN=FKBP15</t>
  </si>
  <si>
    <t>Q5T1M5-2</t>
  </si>
  <si>
    <t>Q5VVQ6-2;Q5VVQ6</t>
  </si>
  <si>
    <t>&gt;sp|Q5VVQ6-2|OTU1_HUMAN Isoform 2 of Ubiquitin thioesterase OTU1 OS=Homo sapiens GN=YOD1</t>
  </si>
  <si>
    <t>Q5VVQ6-2</t>
  </si>
  <si>
    <t>Q7Z7H5-3;Q7Z7H5;Q7Z7H5-2</t>
  </si>
  <si>
    <t>&gt;sp|Q7Z7H5-3|TMED4_HUMAN Isoform 3 of Transmembrane emp24 domain-containing protein 4 OS=Homo sapiens GN=TMED4</t>
  </si>
  <si>
    <t>Q7Z7H5-3</t>
  </si>
  <si>
    <t>Q8TBF2-4;Q8TBF2-2;Q8TBF2-5;Q8TBF2;Q8TBF2-7;Q8TBF2-3;Q8TBF2-6;Q8TBF2-8</t>
  </si>
  <si>
    <t>&gt;sp|Q8TBF2-4|PGFS_HUMAN Isoform 4 of Prostamide/prostaglandin F synthase OS=Homo sapiens GN=FAM213B</t>
  </si>
  <si>
    <t>Q8TBF2-4</t>
  </si>
  <si>
    <t>Q8TC07-2;Q8TC07-3;Q8TC07</t>
  </si>
  <si>
    <t>&gt;sp|Q8TC07-2|TBC15_HUMAN Isoform 2 of TBC1 domain family member 15 OS=Homo sapiens GN=TBC1D15</t>
  </si>
  <si>
    <t>Q8TC07-2</t>
  </si>
  <si>
    <t>Q8WXF7-2;Q8WXF7</t>
  </si>
  <si>
    <t>&gt;sp|Q8WXF7-2|ATLA1_HUMAN Isoform 2 of Atlastin-1 OS=Homo sapiens GN=ATL1</t>
  </si>
  <si>
    <t>Q8WXF7-2</t>
  </si>
  <si>
    <t>Q95365;Q29836</t>
  </si>
  <si>
    <t>&gt;sp|Q95365|1B38_HUMAN HLA class I histocompatibility antigen, B-38 alpha chain OS=Homo sapiens GN=HLA-B PE=1 SV=1</t>
  </si>
  <si>
    <t>Q95365</t>
  </si>
  <si>
    <t>Q969V3-2;Q969V3</t>
  </si>
  <si>
    <t>&gt;sp|Q969V3-2|NCLN_HUMAN Isoform 2 of Nicalin OS=Homo sapiens GN=NCLN</t>
  </si>
  <si>
    <t>Q969V3-2</t>
  </si>
  <si>
    <t>Q9GZP4;Q9GZP4-2</t>
  </si>
  <si>
    <t>&gt;sp|Q9GZP4|PITH1_HUMAN PITH domain-containing protein 1 OS=Homo sapiens GN=PITHD1 PE=1 SV=1</t>
  </si>
  <si>
    <t>Q9GZP4</t>
  </si>
  <si>
    <t>Q9H223</t>
  </si>
  <si>
    <t>&gt;sp|Q9H223|EHD4_HUMAN EH domain-containing protein 4 OS=Homo sapiens GN=EHD4 PE=1 SV=1</t>
  </si>
  <si>
    <t>Q9NRN7;Q9NRN7-2</t>
  </si>
  <si>
    <t>&gt;sp|Q9NRN7|ADPPT_HUMAN L-aminoadipate-semialdehyde dehydrogenase-phosphopantetheinyl transferase OS=Homo sapiens GN=AASDHPPT PE=1 SV=2</t>
  </si>
  <si>
    <t>Q9NRN7</t>
  </si>
  <si>
    <t>Q9NTJ4-3;Q9NTJ4-2;Q9NTJ4;Q9NTJ4-4</t>
  </si>
  <si>
    <t>&gt;sp|Q9NTJ4-3|MA2C1_HUMAN Isoform 3 of Alpha-mannosidase 2C1 OS=Homo sapiens GN=MAN2C1</t>
  </si>
  <si>
    <t>Q9NTJ4-3</t>
  </si>
  <si>
    <t>Q9NUJ1;Q9NUJ1-2;Q9NUJ1-3</t>
  </si>
  <si>
    <t>&gt;sp|Q9NUJ1|ABHDA_HUMAN Mycophenolic acid acyl-glucuronide esterase, mitochondrial OS=Homo sapiens GN=ABHD10 PE=1 SV=1</t>
  </si>
  <si>
    <t>Q9NUJ1</t>
  </si>
  <si>
    <t>Q9UPT5-2;Q9UPT5-5;Q9UPT5-1;Q9UPT5-6;Q9UPT5;Q9UPT5-4</t>
  </si>
  <si>
    <t>&gt;sp|Q9UPT5-2|EXOC7_HUMAN Isoform 2 of Exocyst complex component 7 OS=Homo sapiens GN=EXOC7</t>
  </si>
  <si>
    <t>Q9UPT5-2</t>
  </si>
  <si>
    <t>Q9Y2T2;P53677;P53677-2</t>
  </si>
  <si>
    <t>&gt;sp|Q9Y2T2|AP3M1_HUMAN AP-3 complex subunit mu-1 OS=Homo sapiens GN=AP3M1 PE=1 SV=1</t>
  </si>
  <si>
    <t>Q9Y2T2</t>
  </si>
  <si>
    <t>Q9Y3A6;Q9Y3A6-2</t>
  </si>
  <si>
    <t>&gt;sp|Q9Y3A6|TMED5_HUMAN Transmembrane emp24 domain-containing protein 5 OS=Homo sapiens GN=TMED5 PE=1 SV=1</t>
  </si>
  <si>
    <t>Q9Y3A6</t>
  </si>
  <si>
    <t>Q9Y5P6;Q9Y5P6-2</t>
  </si>
  <si>
    <t>&gt;sp|Q9Y5P6|GMPPB_HUMAN Mannose-1-phosphate guanyltransferase beta OS=Homo sapiens GN=GMPPB PE=1 SV=2</t>
  </si>
  <si>
    <t>Q9Y5P6</t>
  </si>
  <si>
    <t>O00214-2;O00214</t>
  </si>
  <si>
    <t>&gt;sp|O00214-2|LEG8_HUMAN Isoform 2 of Galectin-8 OS=Homo sapiens GN=LGALS8</t>
  </si>
  <si>
    <t>O00214-2</t>
  </si>
  <si>
    <t>O60602</t>
  </si>
  <si>
    <t>&gt;sp|O60602|TLR5_HUMAN Toll-like receptor 5 OS=Homo sapiens GN=TLR5 PE=1 SV=4</t>
  </si>
  <si>
    <t>O94903</t>
  </si>
  <si>
    <t>&gt;sp|O94903|PROSC_HUMAN Proline synthase co-transcribed bacterial homolog protein OS=Homo sapiens GN=PROSC PE=1 SV=1</t>
  </si>
  <si>
    <t>P01594</t>
  </si>
  <si>
    <t>&gt;sp|P01594|KV102_HUMAN Ig kappa chain V-I region AU OS=Homo sapiens PE=1 SV=1</t>
  </si>
  <si>
    <t>IGKV1-33</t>
  </si>
  <si>
    <t>P02655</t>
  </si>
  <si>
    <t>&gt;sp|P02655|APOC2_HUMAN Apolipoprotein C-II OS=Homo sapiens GN=APOC2 PE=1 SV=1</t>
  </si>
  <si>
    <t>P04430</t>
  </si>
  <si>
    <t>&gt;sp|P04430|KV122_HUMAN Ig kappa chain V-I region BAN OS=Homo sapiens PE=1 SV=1</t>
  </si>
  <si>
    <t>IGKV1-16</t>
  </si>
  <si>
    <t>P16403;P10412;P16402;P22492;Q02539</t>
  </si>
  <si>
    <t>&gt;sp|P16403|H12_HUMAN Histone H1.2 OS=Homo sapiens GN=HIST1H1C PE=1 SV=2</t>
  </si>
  <si>
    <t>P16403</t>
  </si>
  <si>
    <t>P13010</t>
  </si>
  <si>
    <t>&gt;sp|P13010|XRCC5_HUMAN X-ray repair cross-complementing protein 5 OS=Homo sapiens GN=XRCC5 PE=1 SV=3</t>
  </si>
  <si>
    <t>P36915-2;P36915</t>
  </si>
  <si>
    <t>&gt;sp|P36915-2|GNL1_HUMAN Isoform 2 of Guanine nucleotide-binding protein-like 1 OS=Homo sapiens GN=GNL1</t>
  </si>
  <si>
    <t>P36915-2</t>
  </si>
  <si>
    <t>P42331-5;P42331-3;P42331-6;P42331;P42331-4;P42331-2</t>
  </si>
  <si>
    <t>&gt;sp|P42331-5|RHG25_HUMAN Isoform 5 of Rho GTPase-activating protein 25 OS=Homo sapiens GN=ARHGAP25</t>
  </si>
  <si>
    <t>P42331-5</t>
  </si>
  <si>
    <t>P48163;P48163-2</t>
  </si>
  <si>
    <t>&gt;sp|P48163|MAOX_HUMAN NADP-dependent malic enzyme OS=Homo sapiens GN=ME1 PE=1 SV=1</t>
  </si>
  <si>
    <t>P48163</t>
  </si>
  <si>
    <t>P48740;P48740-4;P48740-2;P48740-3</t>
  </si>
  <si>
    <t>&gt;sp|P48740|MASP1_HUMAN Mannan-binding lectin serine protease 1 OS=Homo sapiens GN=MASP1 PE=1 SV=3</t>
  </si>
  <si>
    <t>P48740</t>
  </si>
  <si>
    <t>P49821-2;P49821</t>
  </si>
  <si>
    <t>&gt;sp|P49821-2|NDUV1_HUMAN Isoform 2 of NADH dehydrogenase [ubiquinone] flavoprotein 1, mitochondrial OS=Homo sapiens GN=NDUFV1</t>
  </si>
  <si>
    <t>P49821-2</t>
  </si>
  <si>
    <t>P55735-2;P55735;P55735-3</t>
  </si>
  <si>
    <t>&gt;sp|P55735-2|SEC13_HUMAN Isoform 2 of Protein SEC13 homolog OS=Homo sapiens GN=SEC13</t>
  </si>
  <si>
    <t>P55735-2</t>
  </si>
  <si>
    <t>P67870</t>
  </si>
  <si>
    <t>&gt;sp|P67870|CSK2B_HUMAN Casein kinase II subunit beta OS=Homo sapiens GN=CSNK2B PE=1 SV=1</t>
  </si>
  <si>
    <t>Q00839-2;Q00839</t>
  </si>
  <si>
    <t>&gt;sp|Q00839-2|HNRPU_HUMAN Isoform Short of Heterogeneous nuclear ribonucleoprotein U OS=Homo sapiens GN=HNRNPU</t>
  </si>
  <si>
    <t>Q00839-2</t>
  </si>
  <si>
    <t>Q07866-8;Q07866-2;Q07866-3;Q07866;Q07866-7;Q07866-5;Q07866-10;Q07866-6;Q07866-4;Q07866-9;Q9NSK0-5;Q9NSK0;Q9NSK0-3;Q9NSK0-4</t>
  </si>
  <si>
    <t>&gt;sp|Q07866-8|KLC1_HUMAN Isoform S of Kinesin light chain 1 OS=Homo sapiens GN=KLC1</t>
  </si>
  <si>
    <t>Q07866-8</t>
  </si>
  <si>
    <t>Q12851-2;Q12851</t>
  </si>
  <si>
    <t>&gt;sp|Q12851-2|M4K2_HUMAN Isoform 2 of Mitogen-activated protein kinase kinase kinase kinase 2 OS=Homo sapiens GN=MAP4K2</t>
  </si>
  <si>
    <t>Q12851-2</t>
  </si>
  <si>
    <t>Q13496-2;Q13496</t>
  </si>
  <si>
    <t>&gt;sp|Q13496-2|MTM1_HUMAN Isoform 2 of Myotubularin OS=Homo sapiens GN=MTM1</t>
  </si>
  <si>
    <t>Q13496-2</t>
  </si>
  <si>
    <t>Q14157-4;Q14157-1;Q14157-3;Q14157;Q14157-5</t>
  </si>
  <si>
    <t>&gt;sp|Q14157-4|UBP2L_HUMAN Isoform 4 of Ubiquitin-associated protein 2-like OS=Homo sapiens GN=UBAP2L</t>
  </si>
  <si>
    <t>Q14157-4</t>
  </si>
  <si>
    <t>Q14240;Q14240-2</t>
  </si>
  <si>
    <t>&gt;sp|Q14240|IF4A2_HUMAN Eukaryotic initiation factor 4A-II OS=Homo sapiens GN=EIF4A2 PE=1 SV=2</t>
  </si>
  <si>
    <t>Q14240</t>
  </si>
  <si>
    <t>Q15005</t>
  </si>
  <si>
    <t>&gt;sp|Q15005|SPCS2_HUMAN Signal peptidase complex subunit 2 OS=Homo sapiens GN=SPCS2 PE=1 SV=3</t>
  </si>
  <si>
    <t>Q16401-2;Q16401</t>
  </si>
  <si>
    <t>&gt;sp|Q16401-2|PSMD5_HUMAN Isoform 2 of 26S proteasome non-ATPase regulatory subunit 5 OS=Homo sapiens GN=PSMD5</t>
  </si>
  <si>
    <t>Q16401-2</t>
  </si>
  <si>
    <t>Q32P44;Q32P44-2;Q32P44-3</t>
  </si>
  <si>
    <t>&gt;sp|Q32P44|EMAL3_HUMAN Echinoderm microtubule-associated protein-like 3 OS=Homo sapiens GN=EML3 PE=1 SV=1</t>
  </si>
  <si>
    <t>Q32P44</t>
  </si>
  <si>
    <t>Q5M775-2;Q5M775;Q5M775-5;Q5M775-3;Q5M775-4</t>
  </si>
  <si>
    <t>&gt;sp|Q5M775-2|CYTSB_HUMAN Isoform 2 of Cytospin-B OS=Homo sapiens GN=SPECC1</t>
  </si>
  <si>
    <t>Q5M775-2</t>
  </si>
  <si>
    <t>Q6WCQ1-3;Q6WCQ1;Q6WCQ1-2</t>
  </si>
  <si>
    <t>&gt;sp|Q6WCQ1-3|MPRIP_HUMAN Isoform 3 of Myosin phosphatase Rho-interacting protein OS=Homo sapiens GN=MPRIP</t>
  </si>
  <si>
    <t>Q6WCQ1-3</t>
  </si>
  <si>
    <t>Q86VR2</t>
  </si>
  <si>
    <t>&gt;sp|Q86VR2|F134C_HUMAN Protein FAM134C OS=Homo sapiens GN=FAM134C PE=1 SV=1</t>
  </si>
  <si>
    <t>Q8IYB5-3;Q8IYB5-2;Q8IYB5</t>
  </si>
  <si>
    <t>&gt;sp|Q8IYB5-3|SMAP1_HUMAN Isoform 3 of Stromal membrane-associated protein 1 OS=Homo sapiens GN=SMAP1</t>
  </si>
  <si>
    <t>Q8IYB5-3</t>
  </si>
  <si>
    <t>Q9H1Y0-2;Q9H1Y0</t>
  </si>
  <si>
    <t>&gt;sp|Q9H1Y0-2|ATG5_HUMAN Isoform Short of Autophagy protein 5 OS=Homo sapiens GN=ATG5</t>
  </si>
  <si>
    <t>Q9H1Y0-2</t>
  </si>
  <si>
    <t>Q9NPA0</t>
  </si>
  <si>
    <t>&gt;sp|Q9NPA0|EMC7_HUMAN ER membrane protein complex subunit 7 OS=Homo sapiens GN=EMC7 PE=1 SV=1</t>
  </si>
  <si>
    <t>Q9NZN5-2;Q9NZN5</t>
  </si>
  <si>
    <t>&gt;sp|Q9NZN5-2|ARHGC_HUMAN Isoform 2 of Rho guanine nucleotide exchange factor 12 OS=Homo sapiens GN=ARHGEF12</t>
  </si>
  <si>
    <t>Q9NZN5-2</t>
  </si>
  <si>
    <t>Q9UJ70;Q9UJ70-2</t>
  </si>
  <si>
    <t>&gt;sp|Q9UJ70|NAGK_HUMAN N-acetyl-D-glucosamine kinase OS=Homo sapiens GN=NAGK PE=1 SV=4</t>
  </si>
  <si>
    <t>Q9UJ70</t>
  </si>
  <si>
    <t>Q9UJU6-2;Q9UJU6-3;Q9UJU6-6;Q9UJU6-4</t>
  </si>
  <si>
    <t>&gt;sp|Q9UJU6-2|DBNL_HUMAN Isoform 2 of Drebrin-like protein OS=Homo sapiens GN=DBNL</t>
  </si>
  <si>
    <t>Q9UJU6-2</t>
  </si>
  <si>
    <t>Q9Y3Z3-4;Q9Y3Z3;Q9Y3Z3-2;Q9Y3Z3-3</t>
  </si>
  <si>
    <t>&gt;sp|Q9Y3Z3-4|SAMH1_HUMAN Isoform 4 of Deoxynucleoside triphosphate triphosphohydrolase SAMHD1 OS=Homo sapiens GN=SAMHD1</t>
  </si>
  <si>
    <t>Q9Y3Z3-4</t>
  </si>
  <si>
    <t>Q9Y5M8</t>
  </si>
  <si>
    <t>&gt;sp|Q9Y5M8|SRPRB_HUMAN Signal recognition particle receptor subunit beta OS=Homo sapiens GN=SRPRB PE=1 SV=3</t>
  </si>
  <si>
    <t>O00187;O00187-2</t>
  </si>
  <si>
    <t>&gt;sp|O00187|MASP2_HUMAN Mannan-binding lectin serine protease 2 OS=Homo sapiens GN=MASP2 PE=1 SV=4</t>
  </si>
  <si>
    <t>O00187</t>
  </si>
  <si>
    <t>O00442;O00442-2</t>
  </si>
  <si>
    <t>&gt;sp|O00442|RTCA_HUMAN RNA 3-terminal phosphate cyclase OS=Homo sapiens GN=RTCA PE=1 SV=1</t>
  </si>
  <si>
    <t>O00442</t>
  </si>
  <si>
    <t>O14734</t>
  </si>
  <si>
    <t>&gt;sp|O14734|ACOT8_HUMAN Acyl-coenzyme A thioesterase 8 OS=Homo sapiens GN=ACOT8 PE=1 SV=1</t>
  </si>
  <si>
    <t>O14787-2;O14787</t>
  </si>
  <si>
    <t>&gt;sp|O14787-2|TNPO2_HUMAN Isoform 2 of Transportin-2 OS=Homo sapiens GN=TNPO2</t>
  </si>
  <si>
    <t>O14787-2</t>
  </si>
  <si>
    <t>O15439-2;O15439;O15439-4;O15439-3</t>
  </si>
  <si>
    <t>&gt;sp|O15439-2|MRP4_HUMAN Isoform 2 of Multidrug resistance-associated protein 4 OS=Homo sapiens GN=ABCC4</t>
  </si>
  <si>
    <t>O15439-2</t>
  </si>
  <si>
    <t>O60884</t>
  </si>
  <si>
    <t>&gt;sp|O60884|DNJA2_HUMAN DnaJ homolog subfamily A member 2 OS=Homo sapiens GN=DNAJA2 PE=1 SV=1</t>
  </si>
  <si>
    <t>O95807</t>
  </si>
  <si>
    <t>&gt;sp|O95807|TM50A_HUMAN Transmembrane protein 50A OS=Homo sapiens GN=TMEM50A PE=1 SV=1</t>
  </si>
  <si>
    <t>P09488;P09488-2;Q03013-3</t>
  </si>
  <si>
    <t>&gt;sp|P09488|GSTM1_HUMAN Glutathione S-transferase Mu 1 OS=Homo sapiens GN=GSTM1 PE=1 SV=3</t>
  </si>
  <si>
    <t>P09488</t>
  </si>
  <si>
    <t>P11226</t>
  </si>
  <si>
    <t>&gt;sp|P11226|MBL2_HUMAN Mannose-binding protein C OS=Homo sapiens GN=MBL2 PE=1 SV=2</t>
  </si>
  <si>
    <t>P11279;P11279-2</t>
  </si>
  <si>
    <t>&gt;sp|P11279|LAMP1_HUMAN Lysosome-associated membrane glycoprotein 1 OS=Homo sapiens GN=LAMP1 PE=1 SV=3</t>
  </si>
  <si>
    <t>P11279</t>
  </si>
  <si>
    <t>P14854</t>
  </si>
  <si>
    <t>&gt;sp|P14854|CX6B1_HUMAN Cytochrome c oxidase subunit 6B1 OS=Homo sapiens GN=COX6B1 PE=1 SV=2</t>
  </si>
  <si>
    <t>P22681</t>
  </si>
  <si>
    <t>&gt;sp|P22681|CBL_HUMAN E3 ubiquitin-protein ligase CBL OS=Homo sapiens GN=CBL PE=1 SV=2</t>
  </si>
  <si>
    <t>P27986;P27986-4;P27986-5;P27986-3;P27986-2;Q92569</t>
  </si>
  <si>
    <t>&gt;sp|P27986|P85A_HUMAN Phosphatidylinositol 3-kinase regulatory subunit alpha OS=Homo sapiens GN=PIK3R1 PE=1 SV=2</t>
  </si>
  <si>
    <t>P27986</t>
  </si>
  <si>
    <t>P35625</t>
  </si>
  <si>
    <t>&gt;sp|P35625|TIMP3_HUMAN Metalloproteinase inhibitor 3 OS=Homo sapiens GN=TIMP3 PE=1 SV=2</t>
  </si>
  <si>
    <t>P48736</t>
  </si>
  <si>
    <t>&gt;sp|P48736|PK3CG_HUMAN Phosphatidylinositol 4,5-bisphosphate 3-kinase catalytic subunit gamma isoform OS=Homo sapiens GN=PIK3CG PE=1 SV=3</t>
  </si>
  <si>
    <t>P59666;P59665</t>
  </si>
  <si>
    <t>&gt;sp|P59666|DEF3_HUMAN Neutrophil defensin 3 OS=Homo sapiens GN=DEFA3 PE=1 SV=1</t>
  </si>
  <si>
    <t>P59666</t>
  </si>
  <si>
    <t>P61421</t>
  </si>
  <si>
    <t>&gt;sp|P61421|VA0D1_HUMAN V-type proton ATPase subunit d 1 OS=Homo sapiens GN=ATP6V0D1 PE=1 SV=1</t>
  </si>
  <si>
    <t>P62277</t>
  </si>
  <si>
    <t>&gt;sp|P62277|RS13_HUMAN 40S ribosomal protein S13 OS=Homo sapiens GN=RPS13 PE=1 SV=2</t>
  </si>
  <si>
    <t>P78356;P78356-2</t>
  </si>
  <si>
    <t>&gt;sp|P78356|PI42B_HUMAN Phosphatidylinositol 5-phosphate 4-kinase type-2 beta OS=Homo sapiens GN=PIP4K2B PE=1 SV=1</t>
  </si>
  <si>
    <t>P78356</t>
  </si>
  <si>
    <t>Q01469;A8MUU1</t>
  </si>
  <si>
    <t>&gt;sp|Q01469|FABP5_HUMAN Fatty acid-binding protein, epidermal OS=Homo sapiens GN=FABP5 PE=1 SV=3</t>
  </si>
  <si>
    <t>Q01469</t>
  </si>
  <si>
    <t>Q07812-5;Q07812-8;Q07812;Q07812-2;Q07812-7;Q07812-6;Q07812-4</t>
  </si>
  <si>
    <t>&gt;sp|Q07812-5|BAX_HUMAN Isoform Epsilon of Apoptosis regulator BAX OS=Homo sapiens GN=BAX</t>
  </si>
  <si>
    <t>Q07812-5</t>
  </si>
  <si>
    <t>Q13107-2;Q13107;P51784;Q13107-3</t>
  </si>
  <si>
    <t>&gt;sp|Q13107-2|UBP4_HUMAN Isoform 2 of Ubiquitin carboxyl-terminal hydrolase 4 OS=Homo sapiens GN=USP4</t>
  </si>
  <si>
    <t>Q13107-2</t>
  </si>
  <si>
    <t>Q13555-10;Q13555-3;Q13555-5;Q13555-4;Q13555-7;Q13555-9;Q13555-2;Q13555-8;Q13555;Q13555-6;Q13554-7;Q13554-4;Q13554-6;Q13554-3;Q13554-8;Q13554-5;Q13554-2;Q13554;Q9UQM7;Q9UQM7-2</t>
  </si>
  <si>
    <t>&gt;sp|Q13555-10|KCC2G_HUMAN Isoform 10 of Calcium/calmodulin-dependent protein kinase type II subunit gamma OS=Homo sapiens GN=CAMK2G</t>
  </si>
  <si>
    <t>Q13555-10</t>
  </si>
  <si>
    <t>Q13616</t>
  </si>
  <si>
    <t>&gt;sp|Q13616|CUL1_HUMAN Cullin-1 OS=Homo sapiens GN=CUL1 PE=1 SV=2</t>
  </si>
  <si>
    <t>Q14289-2;Q14289</t>
  </si>
  <si>
    <t>&gt;sp|Q14289-2|FAK2_HUMAN Isoform 2 of Protein-tyrosine kinase 2-beta OS=Homo sapiens GN=PTK2B</t>
  </si>
  <si>
    <t>Q14289-2</t>
  </si>
  <si>
    <t>Q86YW5-2</t>
  </si>
  <si>
    <t>&gt;sp|Q86YW5-2|TRML1_HUMAN Isoform 2 of Trem-like transcript 1 protein OS=Homo sapiens GN=TREML1</t>
  </si>
  <si>
    <t>Q8TCF1-2;Q8TCF1-4;Q8TCF1</t>
  </si>
  <si>
    <t>&gt;sp|Q8TCF1-2|ZFAN1_HUMAN Isoform 2 of AN1-type zinc finger protein 1 OS=Homo sapiens GN=ZFAND1</t>
  </si>
  <si>
    <t>Q8TCF1-2</t>
  </si>
  <si>
    <t>Q96A49</t>
  </si>
  <si>
    <t>&gt;sp|Q96A49|SYAP1_HUMAN Synapse-associated protein 1 OS=Homo sapiens GN=SYAP1 PE=1 SV=1</t>
  </si>
  <si>
    <t>Q9BS40</t>
  </si>
  <si>
    <t>&gt;sp|Q9BS40|LXN_HUMAN Latexin OS=Homo sapiens GN=LXN PE=1 SV=2</t>
  </si>
  <si>
    <t>Q9H0U3;Q9H0U3-2</t>
  </si>
  <si>
    <t>&gt;sp|Q9H0U3|MAGT1_HUMAN Magnesium transporter protein 1 OS=Homo sapiens GN=MAGT1 PE=1 SV=1</t>
  </si>
  <si>
    <t>Q9H0U3</t>
  </si>
  <si>
    <t>Q9H7B4-2;Q9H7B4-3;Q9H7B4</t>
  </si>
  <si>
    <t>&gt;sp|Q9H7B4-2|SMYD3_HUMAN Isoform 2 of Histone-lysine N-methyltransferase SMYD3 OS=Homo sapiens GN=SMYD3</t>
  </si>
  <si>
    <t>Q9H7B4-2</t>
  </si>
  <si>
    <t>Q9NRF8</t>
  </si>
  <si>
    <t>&gt;sp|Q9NRF8|PYRG2_HUMAN CTP synthase 2 OS=Homo sapiens GN=CTPS2 PE=1 SV=1</t>
  </si>
  <si>
    <t>Q9UHD1-2;Q9UHD1</t>
  </si>
  <si>
    <t>&gt;sp|Q9UHD1-2|CHRD1_HUMAN Isoform 2 of Cysteine and histidine-rich domain-containing protein 1 OS=Homo sapiens GN=CHORDC1</t>
  </si>
  <si>
    <t>Q9UHD1-2</t>
  </si>
  <si>
    <t>Q9UHL4</t>
  </si>
  <si>
    <t>&gt;sp|Q9UHL4|DPP2_HUMAN Dipeptidyl peptidase 2 OS=Homo sapiens GN=DPP7 PE=1 SV=3</t>
  </si>
  <si>
    <t>Q9UHY7-2;Q9UHY7</t>
  </si>
  <si>
    <t>&gt;sp|Q9UHY7-2|ENOPH_HUMAN Isoform 2 of Enolase-phosphatase E1 OS=Homo sapiens GN=ENOPH1</t>
  </si>
  <si>
    <t>Q9UHY7-2</t>
  </si>
  <si>
    <t>Q9Y263</t>
  </si>
  <si>
    <t>&gt;sp|Q9Y263|PLAP_HUMAN Phospholipase A-2-activating protein OS=Homo sapiens GN=PLAA PE=1 SV=2</t>
  </si>
  <si>
    <t>Q9Y285-2;Q9Y285</t>
  </si>
  <si>
    <t>&gt;sp|Q9Y285-2|SYFA_HUMAN Isoform 2 of Phenylalanine--tRNA ligase alpha subunit OS=Homo sapiens GN=FARSA</t>
  </si>
  <si>
    <t>Q9Y285-2</t>
  </si>
  <si>
    <t>Q9Y570-3;Q9Y570-2;Q9Y570;Q9Y570-4</t>
  </si>
  <si>
    <t>&gt;sp|Q9Y570-3|PPME1_HUMAN Isoform 3 of Protein phosphatase methylesterase 1 OS=Homo sapiens GN=PPME1</t>
  </si>
  <si>
    <t>Q9Y570-3</t>
  </si>
  <si>
    <t>Q9Y5K5-2;Q9Y5K5-4;Q9Y5K5-3;Q9Y5K5</t>
  </si>
  <si>
    <t>&gt;sp|Q9Y5K5-2|UCHL5_HUMAN Isoform 2 of Ubiquitin carboxyl-terminal hydrolase isozyme L5 OS=Homo sapiens GN=UCHL5</t>
  </si>
  <si>
    <t>Q9Y5K5-2</t>
  </si>
  <si>
    <t>Q9Y6A9</t>
  </si>
  <si>
    <t>&gt;sp|Q9Y6A9|SPCS1_HUMAN Signal peptidase complex subunit 1 OS=Homo sapiens GN=SPCS1 PE=1 SV=4</t>
  </si>
  <si>
    <t>O00471</t>
  </si>
  <si>
    <t>&gt;sp|O00471|EXOC5_HUMAN Exocyst complex component 5 OS=Homo sapiens GN=EXOC5 PE=1 SV=1</t>
  </si>
  <si>
    <t>O14617-4;O14617;O14617-5;O14617-3;O14617-2</t>
  </si>
  <si>
    <t>&gt;sp|O14617-4|AP3D1_HUMAN Isoform 4 of AP-3 complex subunit delta-1 OS=Homo sapiens GN=AP3D1</t>
  </si>
  <si>
    <t>O14617-4</t>
  </si>
  <si>
    <t>O75489;O75489-2</t>
  </si>
  <si>
    <t>&gt;sp|O75489|NDUS3_HUMAN NADH dehydrogenase [ubiquinone] iron-sulfur protein 3, mitochondrial OS=Homo sapiens GN=NDUFS3 PE=1 SV=1</t>
  </si>
  <si>
    <t>O75489</t>
  </si>
  <si>
    <t>O95861-4;O95861;O95861-3;O95861-2</t>
  </si>
  <si>
    <t>&gt;sp|O95861-4|BPNT1_HUMAN Isoform 4 of 3(2),5-bisphosphate nucleotidase 1 OS=Homo sapiens GN=BPNT1</t>
  </si>
  <si>
    <t>O95861-4</t>
  </si>
  <si>
    <t>P04259</t>
  </si>
  <si>
    <t>&gt;sp|P04259|K2C6B_HUMAN Keratin, type II cytoskeletal 6B OS=Homo sapiens GN=KRT6B PE=1 SV=5</t>
  </si>
  <si>
    <t>P08195-2;P08195-3;P08195;P08195-4</t>
  </si>
  <si>
    <t>&gt;sp|P08195-2|4F2_HUMAN Isoform 2 of 4F2 cell-surface antigen heavy chain OS=Homo sapiens GN=SLC3A2</t>
  </si>
  <si>
    <t>P08195-2</t>
  </si>
  <si>
    <t>P0C7M8</t>
  </si>
  <si>
    <t>&gt;sp|P0C7M8|CLC2L_HUMAN C-type lectin domain family 2 member L OS=Homo sapiens GN=CLEC2L PE=3 SV=1</t>
  </si>
  <si>
    <t>P10515</t>
  </si>
  <si>
    <t>&gt;sp|P10515|ODP2_HUMAN Dihydrolipoyllysine-residue acetyltransferase component of pyruvate dehydrogenase complex, mitochondrial OS=Homo sapiens GN=DLAT PE=1 SV=3</t>
  </si>
  <si>
    <t>P13746;P13746-2</t>
  </si>
  <si>
    <t>&gt;sp|P13746|1A11_HUMAN HLA class I histocompatibility antigen, A-11 alpha chain OS=Homo sapiens GN=HLA-A PE=1 SV=1</t>
  </si>
  <si>
    <t>P13746</t>
  </si>
  <si>
    <t>P13987</t>
  </si>
  <si>
    <t>&gt;sp|P13987|CD59_HUMAN CD59 glycoprotein OS=Homo sapiens GN=CD59 PE=1 SV=1</t>
  </si>
  <si>
    <t>P16188</t>
  </si>
  <si>
    <t>&gt;sp|P16188|1A30_HUMAN HLA class I histocompatibility antigen, A-30 alpha chain OS=Homo sapiens GN=HLA-A PE=1 SV=2</t>
  </si>
  <si>
    <t>P27361-2;P27361;P27361-3</t>
  </si>
  <si>
    <t>&gt;sp|P27361-2|MK03_HUMAN Isoform 2 of Mitogen-activated protein kinase 3 OS=Homo sapiens GN=MAPK3</t>
  </si>
  <si>
    <t>P27361-2</t>
  </si>
  <si>
    <t>P29279-2;P29279</t>
  </si>
  <si>
    <t>&gt;sp|P29279-2|CTGF_HUMAN Isoform 2 of Connective tissue growth factor OS=Homo sapiens GN=CTGF</t>
  </si>
  <si>
    <t>P29279-2</t>
  </si>
  <si>
    <t>P31946</t>
  </si>
  <si>
    <t>&gt;sp|P31946|1433B_HUMAN 14-3-3 protein beta/alpha OS=Homo sapiens GN=YWHAB PE=1 SV=3</t>
  </si>
  <si>
    <t>P35573;P35573-2;P35573-3</t>
  </si>
  <si>
    <t>&gt;sp|P35573|GDE_HUMAN Glycogen debranching enzyme OS=Homo sapiens GN=AGL PE=1 SV=3</t>
  </si>
  <si>
    <t>P35573</t>
  </si>
  <si>
    <t>P41227;P41227-2</t>
  </si>
  <si>
    <t>&gt;sp|P41227|NAA10_HUMAN N-alpha-acetyltransferase 10 OS=Homo sapiens GN=NAA10 PE=1 SV=1</t>
  </si>
  <si>
    <t>P41227</t>
  </si>
  <si>
    <t>P49747-2;P49747;CON__ENSEMBL:ENSBTAP00000006074</t>
  </si>
  <si>
    <t>&gt;sp|P49747-2|COMP_HUMAN Isoform 2 of Cartilage oligomeric matrix protein OS=Homo sapiens GN=COMP</t>
  </si>
  <si>
    <t>P49747-2</t>
  </si>
  <si>
    <t>Q02252-2;Q02252</t>
  </si>
  <si>
    <t>&gt;sp|Q02252-2|MMSA_HUMAN Isoform 2 of Methylmalonate-semialdehyde dehydrogenase [acylating], mitochondrial OS=Homo sapiens GN=ALDH6A1</t>
  </si>
  <si>
    <t>Q02252-2</t>
  </si>
  <si>
    <t>Q13564-3;Q13564-2;Q13564;Q13564-4</t>
  </si>
  <si>
    <t>&gt;sp|Q13564-3|ULA1_HUMAN Isoform 3 of NEDD8-activating enzyme E1 regulatory subunit OS=Homo sapiens GN=NAE1</t>
  </si>
  <si>
    <t>Q13564-3</t>
  </si>
  <si>
    <t>Q14152-2;Q14152</t>
  </si>
  <si>
    <t>&gt;sp|Q14152-2|EIF3A_HUMAN Isoform 2 of Eukaryotic translation initiation factor 3 subunit A OS=Homo sapiens GN=EIF3A</t>
  </si>
  <si>
    <t>Q14152-2</t>
  </si>
  <si>
    <t>Q15642-4;Q15642-2;Q15642-3;Q15642;Q15642-5</t>
  </si>
  <si>
    <t>&gt;sp|Q15642-4|CIP4_HUMAN Isoform 4 of Cdc42-interacting protein 4 OS=Homo sapiens GN=TRIP10</t>
  </si>
  <si>
    <t>Q15642-4</t>
  </si>
  <si>
    <t>Q16774;Q16774-2;Q16774-3</t>
  </si>
  <si>
    <t>&gt;sp|Q16774|KGUA_HUMAN Guanylate kinase OS=Homo sapiens GN=GUK1 PE=1 SV=2</t>
  </si>
  <si>
    <t>Q16774</t>
  </si>
  <si>
    <t>Q2TAA5</t>
  </si>
  <si>
    <t>&gt;sp|Q2TAA5|ALG11_HUMAN GDP-Man:Man(3)GlcNAc(2)-PP-Dol alpha-1,2-mannosyltransferase OS=Homo sapiens GN=ALG11 PE=1 SV=2</t>
  </si>
  <si>
    <t>Q53FA7;Q53FA7-2</t>
  </si>
  <si>
    <t>&gt;sp|Q53FA7|QORX_HUMAN Quinone oxidoreductase PIG3 OS=Homo sapiens GN=TP53I3 PE=1 SV=2</t>
  </si>
  <si>
    <t>Q53FA7</t>
  </si>
  <si>
    <t>Q5VY43</t>
  </si>
  <si>
    <t>&gt;sp|Q5VY43|PEAR1_HUMAN Platelet endothelial aggregation receptor 1 OS=Homo sapiens GN=PEAR1 PE=1 SV=1</t>
  </si>
  <si>
    <t>Q5VZK9-2;Q5VZK9;Q5VZK9-3;Q5VZK9-4</t>
  </si>
  <si>
    <t>&gt;sp|Q5VZK9-2|LR16A_HUMAN Isoform 2 of Leucine-rich repeat-containing protein 16A OS=Homo sapiens GN=LRRC16A</t>
  </si>
  <si>
    <t>Q5VZK9-2</t>
  </si>
  <si>
    <t>Q709C8-4;Q709C8-2;Q709C8-3;Q709C8</t>
  </si>
  <si>
    <t>&gt;sp|Q709C8-4|VP13C_HUMAN Isoform 4 of Vacuolar protein sorting-associated protein 13C OS=Homo sapiens GN=VPS13C</t>
  </si>
  <si>
    <t>Q709C8-4</t>
  </si>
  <si>
    <t>Q8N2G8-2;Q8N2G8-3;Q8N2G8</t>
  </si>
  <si>
    <t>&gt;sp|Q8N2G8-2|GHDC_HUMAN Isoform 2 of GH3 domain-containing protein OS=Homo sapiens GN=GHDC</t>
  </si>
  <si>
    <t>Q8N2G8-2</t>
  </si>
  <si>
    <t>Q8NDZ4</t>
  </si>
  <si>
    <t>&gt;sp|Q8NDZ4|DIA1_HUMAN Deleted in autism protein 1 OS=Homo sapiens GN=C3orf58 PE=1 SV=1</t>
  </si>
  <si>
    <t>Q8TEW0-9;Q8TEW0-10;Q8TEW0-8;Q8TEW0-5;Q8TEW0-3;Q8TEW0-7;Q8TEW0-6;Q8TEW0-4;Q8TEW0-11;Q8TEW0-2;Q8TEW0</t>
  </si>
  <si>
    <t>&gt;sp|Q8TEW0-9|PARD3_HUMAN Isoform 9 of Partitioning defective 3 homolog OS=Homo sapiens GN=PARD3</t>
  </si>
  <si>
    <t>Q8TEW0-9</t>
  </si>
  <si>
    <t>Q92530</t>
  </si>
  <si>
    <t>&gt;sp|Q92530|PSMF1_HUMAN Proteasome inhibitor PI31 subunit OS=Homo sapiens GN=PSMF1 PE=1 SV=2</t>
  </si>
  <si>
    <t>Q969E2-2;Q969E2</t>
  </si>
  <si>
    <t>&gt;sp|Q969E2-2|SCAM4_HUMAN Isoform 2 of Secretory carrier-associated membrane protein 4 OS=Homo sapiens GN=SCAMP4</t>
  </si>
  <si>
    <t>Q969E2-2</t>
  </si>
  <si>
    <t>Q96IJ6;Q96IJ6-2</t>
  </si>
  <si>
    <t>&gt;sp|Q96IJ6|GMPPA_HUMAN Mannose-1-phosphate guanyltransferase alpha OS=Homo sapiens GN=GMPPA PE=1 SV=1</t>
  </si>
  <si>
    <t>Q96IJ6</t>
  </si>
  <si>
    <t>Q96RD7-2;Q96RD7</t>
  </si>
  <si>
    <t>&gt;sp|Q96RD7-2|PANX1_HUMAN Isoform 2 of Pannexin-1 OS=Homo sapiens GN=PANX1</t>
  </si>
  <si>
    <t>Q96RD7-2</t>
  </si>
  <si>
    <t>Q96T76;Q96T76-8;Q96T76-5;Q96T76-9;Q96T76-7</t>
  </si>
  <si>
    <t>&gt;sp|Q96T76|MMS19_HUMAN MMS19 nucleotide excision repair protein homolog OS=Homo sapiens GN=MMS19 PE=1 SV=2</t>
  </si>
  <si>
    <t>Q96T76</t>
  </si>
  <si>
    <t>Q99536-2;Q99536-3;Q99536</t>
  </si>
  <si>
    <t>&gt;sp|Q99536-2|VAT1_HUMAN Isoform 2 of Synaptic vesicle membrane protein VAT-1 homolog OS=Homo sapiens GN=VAT1</t>
  </si>
  <si>
    <t>Q99536-2</t>
  </si>
  <si>
    <t>Q9BT09</t>
  </si>
  <si>
    <t>&gt;sp|Q9BT09|CNPY3_HUMAN Protein canopy homolog 3 OS=Homo sapiens GN=CNPY3 PE=1 SV=1</t>
  </si>
  <si>
    <t>Q9BXJ9;Q9BXJ9-4;Q6N069-5;Q6N069-4;Q6N069-3;Q6N069-2;Q6N069</t>
  </si>
  <si>
    <t>&gt;sp|Q9BXJ9|NAA15_HUMAN N-alpha-acetyltransferase 15, NatA auxiliary subunit OS=Homo sapiens GN=NAA15 PE=1 SV=1</t>
  </si>
  <si>
    <t>Q9BXJ9</t>
  </si>
  <si>
    <t>Q9BZL4-5;Q9BZL4-3;Q9BZL4-4;Q9BZL4;Q9BZL4-2</t>
  </si>
  <si>
    <t>&gt;sp|Q9BZL4-5|PP12C_HUMAN Isoform 5 of Protein phosphatase 1 regulatory subunit 12C OS=Homo sapiens GN=PPP1R12C</t>
  </si>
  <si>
    <t>Q9BZL4-5</t>
  </si>
  <si>
    <t>Q9NP58-4;Q9NP58</t>
  </si>
  <si>
    <t>&gt;sp|Q9NP58-4|ABCB6_HUMAN Isoform 2 of ATP-binding cassette sub-family B member 6, mitochondrial OS=Homo sapiens GN=ABCB6</t>
  </si>
  <si>
    <t>Q9NP58-4</t>
  </si>
  <si>
    <t>Q9NS86</t>
  </si>
  <si>
    <t>&gt;sp|Q9NS86|LANC2_HUMAN LanC-like protein 2 OS=Homo sapiens GN=LANCL2 PE=1 SV=1</t>
  </si>
  <si>
    <t>Q9Y230;Q9Y230-2</t>
  </si>
  <si>
    <t>&gt;sp|Q9Y230|RUVB2_HUMAN RuvB-like 2 OS=Homo sapiens GN=RUVBL2 PE=1 SV=3</t>
  </si>
  <si>
    <t>Q9Y230</t>
  </si>
  <si>
    <t>Q9Y240</t>
  </si>
  <si>
    <t>&gt;sp|Q9Y240|CLC11_HUMAN C-type lectin domain family 11 member A OS=Homo sapiens GN=CLEC11A PE=1 SV=1</t>
  </si>
  <si>
    <t>Q9Y281-3;Q9Y281</t>
  </si>
  <si>
    <t>&gt;sp|Q9Y281-3|COF2_HUMAN Isoform 3 of Cofilin-2 OS=Homo sapiens GN=CFL2</t>
  </si>
  <si>
    <t>Q9Y281-3</t>
  </si>
  <si>
    <t>Q9Y2I7;Q9Y2I7-4</t>
  </si>
  <si>
    <t>&gt;sp|Q9Y2I7|FYV1_HUMAN 1-phosphatidylinositol 3-phosphate 5-kinase OS=Homo sapiens GN=PIKFYVE PE=1 SV=3</t>
  </si>
  <si>
    <t>Q9Y2I7</t>
  </si>
  <si>
    <t>Q9Y5X3</t>
  </si>
  <si>
    <t>&gt;sp|Q9Y5X3|SNX5_HUMAN Sorting nexin-5 OS=Homo sapiens GN=SNX5 PE=1 SV=1</t>
  </si>
  <si>
    <t>O14828;O14828-2</t>
  </si>
  <si>
    <t>&gt;sp|O14828|SCAM3_HUMAN Secretory carrier-associated membrane protein 3 OS=Homo sapiens GN=SCAMP3 PE=1 SV=3</t>
  </si>
  <si>
    <t>O14828</t>
  </si>
  <si>
    <t>O15372</t>
  </si>
  <si>
    <t>&gt;sp|O15372|EIF3H_HUMAN Eukaryotic translation initiation factor 3 subunit H OS=Homo sapiens GN=EIF3H PE=1 SV=1</t>
  </si>
  <si>
    <t>O75663-2;O75663</t>
  </si>
  <si>
    <t>&gt;sp|O75663-2|TIPRL_HUMAN Isoform 2 of TIP41-like protein OS=Homo sapiens GN=TIPRL</t>
  </si>
  <si>
    <t>O75663-2</t>
  </si>
  <si>
    <t>O95433-2;O95433</t>
  </si>
  <si>
    <t>&gt;sp|O95433-2|AHSA1_HUMAN Isoform 2 of Activator of 90 kDa heat shock protein ATPase homolog 1 OS=Homo sapiens GN=AHSA1</t>
  </si>
  <si>
    <t>O95433-2</t>
  </si>
  <si>
    <t>P01612</t>
  </si>
  <si>
    <t>&gt;sp|P01612|KV120_HUMAN Ig kappa chain V-I region Mev OS=Homo sapiens PE=1 SV=1</t>
  </si>
  <si>
    <t>P01624</t>
  </si>
  <si>
    <t>&gt;sp|P01624|KV306_HUMAN Ig kappa chain V-III region POM OS=Homo sapiens PE=1 SV=1</t>
  </si>
  <si>
    <t>IGKV3-15</t>
  </si>
  <si>
    <t>P01699</t>
  </si>
  <si>
    <t>&gt;sp|P01699|LV101_HUMAN Ig lambda chain V-I region VOR OS=Homo sapiens PE=1 SV=1</t>
  </si>
  <si>
    <t>IGLV1-44</t>
  </si>
  <si>
    <t>P04080</t>
  </si>
  <si>
    <t>&gt;sp|P04080|CYTB_HUMAN Cystatin-B OS=Homo sapiens GN=CSTB PE=1 SV=2</t>
  </si>
  <si>
    <t>P04431</t>
  </si>
  <si>
    <t>&gt;sp|P04431|KV123_HUMAN Ig kappa chain V-I region Walker OS=Homo sapiens PE=1 SV=1</t>
  </si>
  <si>
    <t>P20339-2;P20339</t>
  </si>
  <si>
    <t>&gt;sp|P20339-2|RAB5A_HUMAN Isoform 2 of Ras-related protein Rab-5A OS=Homo sapiens GN=RAB5A</t>
  </si>
  <si>
    <t>P20339-2</t>
  </si>
  <si>
    <t>P20810-3;P20810-4;P20810-8;P20810-2;P20810;P20810-9;P20810-5;P20810-10;P20810-7;P20810-6</t>
  </si>
  <si>
    <t>&gt;sp|P20810-3|ICAL_HUMAN Isoform 3 of Calpastatin OS=Homo sapiens GN=CAST</t>
  </si>
  <si>
    <t>P20810-3</t>
  </si>
  <si>
    <t>P27987;P23677;P27987-2;Q96DU7</t>
  </si>
  <si>
    <t>&gt;sp|P27987|IP3KB_HUMAN Inositol-trisphosphate 3-kinase B OS=Homo sapiens GN=ITPKB PE=1 SV=5</t>
  </si>
  <si>
    <t>P27987</t>
  </si>
  <si>
    <t>P30038-3;P30038;P30038-2</t>
  </si>
  <si>
    <t>&gt;sp|P30038-3|AL4A1_HUMAN Isoform 3 of Delta-1-pyrroline-5-carboxylate dehydrogenase, mitochondrial OS=Homo sapiens GN=ALDH4A1</t>
  </si>
  <si>
    <t>P30038-3</t>
  </si>
  <si>
    <t>P30419-2;P30419</t>
  </si>
  <si>
    <t>&gt;sp|P30419-2|NMT1_HUMAN Isoform Short of Glycylpeptide N-tetradecanoyltransferase 1 OS=Homo sapiens GN=NMT1</t>
  </si>
  <si>
    <t>P30419-2</t>
  </si>
  <si>
    <t>P31415</t>
  </si>
  <si>
    <t>&gt;sp|P31415|CASQ1_HUMAN Calsequestrin-1 OS=Homo sapiens GN=CASQ1 PE=1 SV=3</t>
  </si>
  <si>
    <t>P35442</t>
  </si>
  <si>
    <t>&gt;sp|P35442|TSP2_HUMAN Thrombospondin-2 OS=Homo sapiens GN=THBS2 PE=1 SV=2</t>
  </si>
  <si>
    <t>P40189-2;P40189-3;P40189</t>
  </si>
  <si>
    <t>&gt;sp|P40189-2|IL6RB_HUMAN Isoform 2 of Interleukin-6 receptor subunit beta OS=Homo sapiens GN=IL6ST</t>
  </si>
  <si>
    <t>P40189-2</t>
  </si>
  <si>
    <t>P49913</t>
  </si>
  <si>
    <t>&gt;sp|P49913|CAMP_HUMAN Cathelicidin antimicrobial peptide OS=Homo sapiens GN=CAMP PE=1 SV=1</t>
  </si>
  <si>
    <t>P51991;P51991-2</t>
  </si>
  <si>
    <t>&gt;sp|P51991|ROA3_HUMAN Heterogeneous nuclear ribonucleoprotein A3 OS=Homo sapiens GN=HNRNPA3 PE=1 SV=2</t>
  </si>
  <si>
    <t>P51991</t>
  </si>
  <si>
    <t>P53680;P53680-2</t>
  </si>
  <si>
    <t>&gt;sp|P53680|AP2S1_HUMAN AP-2 complex subunit sigma OS=Homo sapiens GN=AP2S1 PE=1 SV=2</t>
  </si>
  <si>
    <t>P53680</t>
  </si>
  <si>
    <t>P61009</t>
  </si>
  <si>
    <t>&gt;sp|P61009|SPCS3_HUMAN Signal peptidase complex subunit 3 OS=Homo sapiens GN=SPCS3 PE=1 SV=1</t>
  </si>
  <si>
    <t>P61020;P61020-2</t>
  </si>
  <si>
    <t>&gt;sp|P61020|RAB5B_HUMAN Ras-related protein Rab-5B OS=Homo sapiens GN=RAB5B PE=1 SV=1</t>
  </si>
  <si>
    <t>P61020</t>
  </si>
  <si>
    <t>P98194-2;P98194-4;P98194;P98194-3;P98194-5;P98194-8;P98194-9;P98194-6;P98194-7</t>
  </si>
  <si>
    <t>&gt;sp|P98194-2|AT2C1_HUMAN Isoform 2 of Calcium-transporting ATPase type 2C member 1 OS=Homo sapiens GN=ATP2C1</t>
  </si>
  <si>
    <t>P98194-2</t>
  </si>
  <si>
    <t>Q14192</t>
  </si>
  <si>
    <t>&gt;sp|Q14192|FHL2_HUMAN Four and a half LIM domains protein 2 OS=Homo sapiens GN=FHL2 PE=1 SV=3</t>
  </si>
  <si>
    <t>Q15286;Q15286-2</t>
  </si>
  <si>
    <t>&gt;sp|Q15286|RAB35_HUMAN Ras-related protein Rab-35 OS=Homo sapiens GN=RAB35 PE=1 SV=1</t>
  </si>
  <si>
    <t>Q15286</t>
  </si>
  <si>
    <t>Q15785</t>
  </si>
  <si>
    <t>&gt;sp|Q15785|TOM34_HUMAN Mitochondrial import receptor subunit TOM34 OS=Homo sapiens GN=TOMM34 PE=1 SV=2</t>
  </si>
  <si>
    <t>Q32MZ4-3;Q32MZ4-2;Q32MZ4;Q32MZ4-4</t>
  </si>
  <si>
    <t>&gt;sp|Q32MZ4-3|LRRF1_HUMAN Isoform 3 of Leucine-rich repeat flightless-interacting protein 1 OS=Homo sapiens GN=LRRFIP1</t>
  </si>
  <si>
    <t>Q32MZ4-3</t>
  </si>
  <si>
    <t>Q3SXM5;Q3SXM5-2</t>
  </si>
  <si>
    <t>&gt;sp|Q3SXM5|HSDL1_HUMAN Inactive hydroxysteroid dehydrogenase-like protein 1 OS=Homo sapiens GN=HSDL1 PE=1 SV=3</t>
  </si>
  <si>
    <t>Q3SXM5</t>
  </si>
  <si>
    <t>Q5R3I4</t>
  </si>
  <si>
    <t>&gt;sp|Q5R3I4|TTC38_HUMAN Tetratricopeptide repeat protein 38 OS=Homo sapiens GN=TTC38 PE=1 SV=1</t>
  </si>
  <si>
    <t>Q68D51-3;Q68D51;Q68D51-2</t>
  </si>
  <si>
    <t>&gt;sp|Q68D51-3|DEN2C_HUMAN Isoform 3 of DENN domain-containing protein 2C OS=Homo sapiens GN=DENND2C</t>
  </si>
  <si>
    <t>Q68D51-3</t>
  </si>
  <si>
    <t>Q6IAN0</t>
  </si>
  <si>
    <t>&gt;sp|Q6IAN0|DRS7B_HUMAN Dehydrogenase/reductase SDR family member 7B OS=Homo sapiens GN=DHRS7B PE=1 SV=2</t>
  </si>
  <si>
    <t>Q7L1W4</t>
  </si>
  <si>
    <t>&gt;sp|Q7L1W4|LRC8D_HUMAN Volume-regulated anion channel subunit LRRC8D OS=Homo sapiens GN=LRRC8D PE=1 SV=1</t>
  </si>
  <si>
    <t>Q86Y39</t>
  </si>
  <si>
    <t>&gt;sp|Q86Y39|NDUAB_HUMAN NADH dehydrogenase [ubiquinone] 1 alpha subcomplex subunit 11 OS=Homo sapiens GN=NDUFA11 PE=1 SV=3</t>
  </si>
  <si>
    <t>Q86Y82</t>
  </si>
  <si>
    <t>&gt;sp|Q86Y82|STX12_HUMAN Syntaxin-12 OS=Homo sapiens GN=STX12 PE=1 SV=1</t>
  </si>
  <si>
    <t>Q8NB16</t>
  </si>
  <si>
    <t>&gt;sp|Q8NB16|MLKL_HUMAN Mixed lineage kinase domain-like protein OS=Homo sapiens GN=MLKL PE=1 SV=1</t>
  </si>
  <si>
    <t>Q8WXG6-6;Q8WXG6-8;Q8WXG6-5;Q8WXG6-4;Q8WXG6-3;Q8WXG6-2;Q8WXG6-7;Q8WXG6</t>
  </si>
  <si>
    <t>&gt;sp|Q8WXG6-6|MADD_HUMAN Isoform 6 of MAP kinase-activating death domain protein OS=Homo sapiens GN=MADD</t>
  </si>
  <si>
    <t>Q8WXG6-6</t>
  </si>
  <si>
    <t>Q93009-3;Q93009</t>
  </si>
  <si>
    <t>&gt;sp|Q93009-3|UBP7_HUMAN Isoform 3 of Ubiquitin carboxyl-terminal hydrolase 7 OS=Homo sapiens GN=USP7</t>
  </si>
  <si>
    <t>Q93009-3</t>
  </si>
  <si>
    <t>Q96A00;Q96A00-2</t>
  </si>
  <si>
    <t>&gt;sp|Q96A00|PP14A_HUMAN Protein phosphatase 1 regulatory subunit 14A OS=Homo sapiens GN=PPP1R14A PE=1 SV=1</t>
  </si>
  <si>
    <t>Q96A00</t>
  </si>
  <si>
    <t>Q96M27;Q96M27-3;Q96M27-2;Q96M27-4;Q96M27-5</t>
  </si>
  <si>
    <t>&gt;sp|Q96M27|PRRC1_HUMAN Protein PRRC1 OS=Homo sapiens GN=PRRC1 PE=1 SV=1</t>
  </si>
  <si>
    <t>Q96M27</t>
  </si>
  <si>
    <t>Q99627-2;Q99627</t>
  </si>
  <si>
    <t>&gt;sp|Q99627-2|CSN8_HUMAN Isoform 2 of COP9 signalosome complex subunit 8 OS=Homo sapiens GN=COPS8</t>
  </si>
  <si>
    <t>Q99627-2</t>
  </si>
  <si>
    <t>Q99683;Q99683-2;Q6ZN16</t>
  </si>
  <si>
    <t>&gt;sp|Q99683|M3K5_HUMAN Mitogen-activated protein kinase kinase kinase 5 OS=Homo sapiens GN=MAP3K5 PE=1 SV=1</t>
  </si>
  <si>
    <t>Q99683</t>
  </si>
  <si>
    <t>Q9BSC4-2;Q9BSC4-4;Q9BSC4</t>
  </si>
  <si>
    <t>&gt;sp|Q9BSC4-2|NOL10_HUMAN Isoform 2 of Nucleolar protein 10 OS=Homo sapiens GN=NOL10</t>
  </si>
  <si>
    <t>Q9BSC4-2</t>
  </si>
  <si>
    <t>Q9BTW9-5;Q9BTW9;Q9BTW9-4;Q9BTW9-3</t>
  </si>
  <si>
    <t>&gt;sp|Q9BTW9-5|TBCD_HUMAN Isoform 5 of Tubulin-specific chaperone D OS=Homo sapiens GN=TBCD</t>
  </si>
  <si>
    <t>Q9BTW9-5</t>
  </si>
  <si>
    <t>Q9BXK5-2;Q9BXK5</t>
  </si>
  <si>
    <t>&gt;sp|Q9BXK5-2|B2L13_HUMAN Isoform 1 of Bcl-2-like protein 13 OS=Homo sapiens GN=BCL2L13</t>
  </si>
  <si>
    <t>Q9BXK5-2</t>
  </si>
  <si>
    <t>Q9BZQ8</t>
  </si>
  <si>
    <t>&gt;sp|Q9BZQ8|NIBAN_HUMAN Protein Niban OS=Homo sapiens GN=FAM129A PE=1 SV=1</t>
  </si>
  <si>
    <t>Q9GZN8;Q9GZN8-2</t>
  </si>
  <si>
    <t>&gt;sp|Q9GZN8|CT027_HUMAN UPF0687 protein C20orf27 OS=Homo sapiens GN=C20orf27 PE=1 SV=3</t>
  </si>
  <si>
    <t>Q9GZN8</t>
  </si>
  <si>
    <t>Q9NRG1-2;Q9NRG1;Q9NRG1-3</t>
  </si>
  <si>
    <t>&gt;sp|Q9NRG1-2|PRDC1_HUMAN Isoform 2 of Phosphoribosyltransferase domain-containing protein 1 OS=Homo sapiens GN=PRTFDC1</t>
  </si>
  <si>
    <t>Q9NRG1-2</t>
  </si>
  <si>
    <t>Q9NV70-2;Q9NV70</t>
  </si>
  <si>
    <t>&gt;sp|Q9NV70-2|EXOC1_HUMAN Isoform 2 of Exocyst complex component 1 OS=Homo sapiens GN=EXOC1</t>
  </si>
  <si>
    <t>Q9NV70-2</t>
  </si>
  <si>
    <t>O00170</t>
  </si>
  <si>
    <t>&gt;sp|O00170|AIP_HUMAN AH receptor-interacting protein OS=Homo sapiens GN=AIP PE=1 SV=2</t>
  </si>
  <si>
    <t>O14880</t>
  </si>
  <si>
    <t>&gt;sp|O14880|MGST3_HUMAN Microsomal glutathione S-transferase 3 OS=Homo sapiens GN=MGST3 PE=1 SV=1</t>
  </si>
  <si>
    <t>O15371-2;O15371-3;O15371</t>
  </si>
  <si>
    <t>&gt;sp|O15371-2|EIF3D_HUMAN Isoform 2 of Eukaryotic translation initiation factor 3 subunit D OS=Homo sapiens GN=EIF3D</t>
  </si>
  <si>
    <t>O15371-2</t>
  </si>
  <si>
    <t>O60645-2;O60645-3;O60645</t>
  </si>
  <si>
    <t>&gt;sp|O60645-2|EXOC3_HUMAN Isoform 2 of Exocyst complex component 3 OS=Homo sapiens GN=EXOC3</t>
  </si>
  <si>
    <t>O60645-2</t>
  </si>
  <si>
    <t>O75348</t>
  </si>
  <si>
    <t>&gt;sp|O75348|VATG1_HUMAN V-type proton ATPase subunit G 1 OS=Homo sapiens GN=ATP6V1G1 PE=1 SV=3</t>
  </si>
  <si>
    <t>O75822-3;O75822;O75822-2</t>
  </si>
  <si>
    <t>&gt;sp|O75822-3|EIF3J_HUMAN Isoform 3 of Eukaryotic translation initiation factor 3 subunit J OS=Homo sapiens GN=EIF3J</t>
  </si>
  <si>
    <t>O75822-3</t>
  </si>
  <si>
    <t>O75843</t>
  </si>
  <si>
    <t>&gt;sp|O75843|AP1G2_HUMAN AP-1 complex subunit gamma-like 2 OS=Homo sapiens GN=AP1G2 PE=1 SV=1</t>
  </si>
  <si>
    <t>O95168-2;O95168</t>
  </si>
  <si>
    <t>&gt;sp|O95168-2|NDUB4_HUMAN Isoform 2 of NADH dehydrogenase [ubiquinone] 1 beta subcomplex subunit 4 OS=Homo sapiens GN=NDUFB4</t>
  </si>
  <si>
    <t>O95168-2</t>
  </si>
  <si>
    <t>O95671-2;O95671;O95671-3</t>
  </si>
  <si>
    <t>&gt;sp|O95671-2|ASML_HUMAN Isoform 2 of N-acetylserotonin O-methyltransferase-like protein OS=Homo sapiens GN=ASMTL</t>
  </si>
  <si>
    <t>O95671-2</t>
  </si>
  <si>
    <t>P01701</t>
  </si>
  <si>
    <t>&gt;sp|P01701|LV103_HUMAN Ig lambda chain V-I region NEW OS=Homo sapiens PE=1 SV=1</t>
  </si>
  <si>
    <t>P01780</t>
  </si>
  <si>
    <t>&gt;sp|P01780|HV319_HUMAN Ig heavy chain V-III region JON OS=Homo sapiens PE=1 SV=1</t>
  </si>
  <si>
    <t>P04180</t>
  </si>
  <si>
    <t>&gt;sp|P04180|LCAT_HUMAN Phosphatidylcholine-sterol acyltransferase OS=Homo sapiens GN=LCAT PE=1 SV=1</t>
  </si>
  <si>
    <t>P08575-2;P08575</t>
  </si>
  <si>
    <t>&gt;sp|P08575-2|PTPRC_HUMAN Isoform 2 of Receptor-type tyrosine-protein phosphatase C OS=Homo sapiens GN=PTPRC</t>
  </si>
  <si>
    <t>P08575-2</t>
  </si>
  <si>
    <t>P09417-2;P09417</t>
  </si>
  <si>
    <t>&gt;sp|P09417-2|DHPR_HUMAN Isoform 2 of Dihydropteridine reductase OS=Homo sapiens GN=QDPR</t>
  </si>
  <si>
    <t>P09417-2</t>
  </si>
  <si>
    <t>P11172;P11172-3;P11172-2</t>
  </si>
  <si>
    <t>&gt;sp|P11172|UMPS_HUMAN Uridine 5-monophosphate synthase OS=Homo sapiens GN=UMPS PE=1 SV=1</t>
  </si>
  <si>
    <t>P11172</t>
  </si>
  <si>
    <t>P19474</t>
  </si>
  <si>
    <t>&gt;sp|P19474|RO52_HUMAN E3 ubiquitin-protein ligase TRIM21 OS=Homo sapiens GN=TRIM21 PE=1 SV=1</t>
  </si>
  <si>
    <t>P24158</t>
  </si>
  <si>
    <t>&gt;sp|P24158|PRTN3_HUMAN Myeloblastin OS=Homo sapiens GN=PRTN3 PE=1 SV=3</t>
  </si>
  <si>
    <t>P26358;P26358-2</t>
  </si>
  <si>
    <t>&gt;sp|P26358|DNMT1_HUMAN DNA (cytosine-5)-methyltransferase 1 OS=Homo sapiens GN=DNMT1 PE=1 SV=2</t>
  </si>
  <si>
    <t>P26358</t>
  </si>
  <si>
    <t>P28072</t>
  </si>
  <si>
    <t>&gt;sp|P28072|PSB6_HUMAN Proteasome subunit beta type-6 OS=Homo sapiens GN=PSMB6 PE=1 SV=4</t>
  </si>
  <si>
    <t>P43490</t>
  </si>
  <si>
    <t>&gt;sp|P43490|NAMPT_HUMAN Nicotinamide phosphoribosyltransferase OS=Homo sapiens GN=NAMPT PE=1 SV=1</t>
  </si>
  <si>
    <t>P46108-2;P46108</t>
  </si>
  <si>
    <t>&gt;sp|P46108-2|CRK_HUMAN Isoform Crk-I of Adapter molecule crk OS=Homo sapiens GN=CRK</t>
  </si>
  <si>
    <t>P46108-2</t>
  </si>
  <si>
    <t>P48506</t>
  </si>
  <si>
    <t>&gt;sp|P48506|GSH1_HUMAN Glutamate--cysteine ligase catalytic subunit OS=Homo sapiens GN=GCLC PE=1 SV=2</t>
  </si>
  <si>
    <t>P51553-2;P51553</t>
  </si>
  <si>
    <t>&gt;sp|P51553-2|IDH3G_HUMAN Isoform 2 of Isocitrate dehydrogenase [NAD] subunit gamma, mitochondrial OS=Homo sapiens GN=IDH3G</t>
  </si>
  <si>
    <t>P51553-2</t>
  </si>
  <si>
    <t>P61966-2;P61966</t>
  </si>
  <si>
    <t>&gt;sp|P61966-2|AP1S1_HUMAN Isoform 2 of AP-1 complex subunit sigma-1A OS=Homo sapiens GN=AP1S1</t>
  </si>
  <si>
    <t>P61966-2</t>
  </si>
  <si>
    <t>P62249</t>
  </si>
  <si>
    <t>&gt;sp|P62249|RS16_HUMAN 40S ribosomal protein S16 OS=Homo sapiens GN=RPS16 PE=1 SV=2</t>
  </si>
  <si>
    <t>Q00341-2;Q00341</t>
  </si>
  <si>
    <t>&gt;sp|Q00341-2|VIGLN_HUMAN Isoform 2 of Vigilin OS=Homo sapiens GN=HDLBP</t>
  </si>
  <si>
    <t>Q00341-2</t>
  </si>
  <si>
    <t>Q07075</t>
  </si>
  <si>
    <t>&gt;sp|Q07075|AMPE_HUMAN Glutamyl aminopeptidase OS=Homo sapiens GN=ENPEP PE=1 SV=3</t>
  </si>
  <si>
    <t>Q09666</t>
  </si>
  <si>
    <t>&gt;sp|Q09666|AHNK_HUMAN Neuroblast differentiation-associated protein AHNAK OS=Homo sapiens GN=AHNAK PE=1 SV=2</t>
  </si>
  <si>
    <t>Q10471;Q10471-2</t>
  </si>
  <si>
    <t>&gt;sp|Q10471|GALT2_HUMAN Polypeptide N-acetylgalactosaminyltransferase 2 OS=Homo sapiens GN=GALNT2 PE=1 SV=1</t>
  </si>
  <si>
    <t>Q10471</t>
  </si>
  <si>
    <t>Q15468;Q15468-2</t>
  </si>
  <si>
    <t>&gt;sp|Q15468|STIL_HUMAN SCL-interrupting locus protein OS=Homo sapiens GN=STIL PE=1 SV=2</t>
  </si>
  <si>
    <t>Q15468</t>
  </si>
  <si>
    <t>Q16563;Q16563-2</t>
  </si>
  <si>
    <t>&gt;sp|Q16563|SYPL1_HUMAN Synaptophysin-like protein 1 OS=Homo sapiens GN=SYPL1 PE=1 SV=1</t>
  </si>
  <si>
    <t>Q16563</t>
  </si>
  <si>
    <t>Q3YEC7;Q3YEC7-4;Q3YEC7-6;Q3YEC7-3;Q3YEC7-2;Q3YEC7-5</t>
  </si>
  <si>
    <t>&gt;sp|Q3YEC7|RABL6_HUMAN Rab-like protein 6 OS=Homo sapiens GN=RABL6 PE=1 SV=2</t>
  </si>
  <si>
    <t>Q3YEC7</t>
  </si>
  <si>
    <t>Q5JSL3</t>
  </si>
  <si>
    <t>&gt;sp|Q5JSL3|DOC11_HUMAN Dedicator of cytokinesis protein 11 OS=Homo sapiens GN=DOCK11 PE=1 SV=2</t>
  </si>
  <si>
    <t>Q5NDL2-2;Q5NDL2-3;Q5NDL2</t>
  </si>
  <si>
    <t>&gt;sp|Q5NDL2-2|EOGT_HUMAN Isoform 2 of EGF domain-specific O-linked N-acetylglucosamine transferase OS=Homo sapiens GN=EOGT</t>
  </si>
  <si>
    <t>Q5NDL2-2</t>
  </si>
  <si>
    <t>Q5TCZ1-3;Q5TCZ1;A1X283;Q5TCZ1-2</t>
  </si>
  <si>
    <t>&gt;sp|Q5TCZ1-3|SPD2A_HUMAN Isoform 3 of SH3 and PX domain-containing protein 2A OS=Homo sapiens GN=SH3PXD2A</t>
  </si>
  <si>
    <t>Q5TCZ1-3</t>
  </si>
  <si>
    <t>Q658P3-3;Q658P3;Q658P3-2</t>
  </si>
  <si>
    <t>&gt;sp|Q658P3-3|STEA3_HUMAN Isoform 3 of Metalloreductase STEAP3 OS=Homo sapiens GN=STEAP3</t>
  </si>
  <si>
    <t>Q658P3-3</t>
  </si>
  <si>
    <t>Q6P589</t>
  </si>
  <si>
    <t>&gt;sp|Q6P589|TP8L2_HUMAN Tumor necrosis factor alpha-induced protein 8-like protein 2 OS=Homo sapiens GN=TNFAIP8L2 PE=1 SV=1</t>
  </si>
  <si>
    <t>Q7L8L6</t>
  </si>
  <si>
    <t>&gt;sp|Q7L8L6|FAKD5_HUMAN FAST kinase domain-containing protein 5 OS=Homo sapiens GN=FASTKD5 PE=1 SV=1</t>
  </si>
  <si>
    <t>Q7Z478</t>
  </si>
  <si>
    <t>&gt;sp|Q7Z478|DHX29_HUMAN ATP-dependent RNA helicase DHX29 OS=Homo sapiens GN=DHX29 PE=1 SV=2</t>
  </si>
  <si>
    <t>Q86TX2;P49753-2;P49753</t>
  </si>
  <si>
    <t>&gt;sp|Q86TX2|ACOT1_HUMAN Acyl-coenzyme A thioesterase 1 OS=Homo sapiens GN=ACOT1 PE=1 SV=1</t>
  </si>
  <si>
    <t>Q86TX2</t>
  </si>
  <si>
    <t>Q8TCD5;Q8TCD5-2</t>
  </si>
  <si>
    <t>&gt;sp|Q8TCD5|NT5C_HUMAN 5(3)-deoxyribonucleotidase, cytosolic type OS=Homo sapiens GN=NT5C PE=1 SV=2</t>
  </si>
  <si>
    <t>Q8TCD5</t>
  </si>
  <si>
    <t>Q92556;Q92556-2;Q92556-3</t>
  </si>
  <si>
    <t>&gt;sp|Q92556|ELMO1_HUMAN Engulfment and cell motility protein 1 OS=Homo sapiens GN=ELMO1 PE=1 SV=2</t>
  </si>
  <si>
    <t>Q92556</t>
  </si>
  <si>
    <t>Q92625;Q92625-2</t>
  </si>
  <si>
    <t>&gt;sp|Q92625|ANS1A_HUMAN Ankyrin repeat and SAM domain-containing protein 1A OS=Homo sapiens GN=ANKS1A PE=1 SV=4</t>
  </si>
  <si>
    <t>Q92625</t>
  </si>
  <si>
    <t>Q92686</t>
  </si>
  <si>
    <t>&gt;sp|Q92686|NEUG_HUMAN Neurogranin OS=Homo sapiens GN=NRGN PE=1 SV=1</t>
  </si>
  <si>
    <t>Q92696</t>
  </si>
  <si>
    <t>&gt;sp|Q92696|PGTA_HUMAN Geranylgeranyl transferase type-2 subunit alpha OS=Homo sapiens GN=RABGGTA PE=1 SV=2</t>
  </si>
  <si>
    <t>Q92820</t>
  </si>
  <si>
    <t>&gt;sp|Q92820|GGH_HUMAN Gamma-glutamyl hydrolase OS=Homo sapiens GN=GGH PE=1 SV=2</t>
  </si>
  <si>
    <t>Q92835-2;Q92835;Q92835-3;Q7Z7G1-3;Q7Z7G1</t>
  </si>
  <si>
    <t>&gt;sp|Q92835-2|SHIP1_HUMAN Isoform 2 of Phosphatidylinositol 3,4,5-trisphosphate 5-phosphatase 1 OS=Homo sapiens GN=INPP5D</t>
  </si>
  <si>
    <t>Q92835-2</t>
  </si>
  <si>
    <t>Q96H79</t>
  </si>
  <si>
    <t>&gt;sp|Q96H79|ZCCHL_HUMAN Zinc finger CCCH-type antiviral protein 1-like OS=Homo sapiens GN=ZC3HAV1L PE=1 SV=2</t>
  </si>
  <si>
    <t>Q96K49-2;Q96K49</t>
  </si>
  <si>
    <t>&gt;sp|Q96K49-2|TM87B_HUMAN Isoform 2 of Transmembrane protein 87B OS=Homo sapiens GN=TMEM87B</t>
  </si>
  <si>
    <t>Q96K49-2</t>
  </si>
  <si>
    <t>Q96M96-2;Q96M96</t>
  </si>
  <si>
    <t>&gt;sp|Q96M96-2|FGD4_HUMAN Isoform 2 of FYVE, RhoGEF and PH domain-containing protein 4 OS=Homo sapiens GN=FGD4</t>
  </si>
  <si>
    <t>Q96M96-2</t>
  </si>
  <si>
    <t>Q9BZH6</t>
  </si>
  <si>
    <t>&gt;sp|Q9BZH6|WDR11_HUMAN WD repeat-containing protein 11 OS=Homo sapiens GN=WDR11 PE=1 SV=1</t>
  </si>
  <si>
    <t>Q9H8W4</t>
  </si>
  <si>
    <t>&gt;sp|Q9H8W4|PKHF2_HUMAN Pleckstrin homology domain-containing family F member 2 OS=Homo sapiens GN=PLEKHF2 PE=1 SV=1</t>
  </si>
  <si>
    <t>Q9NR28-2;Q9NR28;Q9NR28-3</t>
  </si>
  <si>
    <t>&gt;sp|Q9NR28-2|DBLOH_HUMAN Isoform 2 of Diablo homolog, mitochondrial OS=Homo sapiens GN=DIABLO</t>
  </si>
  <si>
    <t>Q9NR28-2</t>
  </si>
  <si>
    <t>Q9NYI0-3;Q9NYI0-2;Q9NYI0</t>
  </si>
  <si>
    <t>&gt;sp|Q9NYI0-3|PSD3_HUMAN Isoform 3 of PH and SEC7 domain-containing protein 3 OS=Homo sapiens GN=PSD3</t>
  </si>
  <si>
    <t>Q9NYI0-3</t>
  </si>
  <si>
    <t>Q9P270</t>
  </si>
  <si>
    <t>&gt;sp|Q9P270|SLAI2_HUMAN SLAIN motif-containing protein 2 OS=Homo sapiens GN=SLAIN2 PE=1 SV=2</t>
  </si>
  <si>
    <t>Q9UHQ4;Q9UHQ4-2</t>
  </si>
  <si>
    <t>&gt;sp|Q9UHQ4|BAP29_HUMAN B-cell receptor-associated protein 29 OS=Homo sapiens GN=BCAP29 PE=1 SV=2</t>
  </si>
  <si>
    <t>Q9UHQ4</t>
  </si>
  <si>
    <t>Q9UMX0-2;Q9UMX0;Q9UMX0-3;Q9NRR5;Q9UMX0-4;Q9UHD9</t>
  </si>
  <si>
    <t>&gt;sp|Q9UMX0-2|UBQL1_HUMAN Isoform 2 of Ubiquilin-1 OS=Homo sapiens GN=UBQLN1</t>
  </si>
  <si>
    <t>Q9UMX0-2</t>
  </si>
  <si>
    <t>O00148-3;O00148-2;O00148;Q13838;Q13838-2</t>
  </si>
  <si>
    <t>&gt;sp|O00148-3|DX39A_HUMAN Isoform 3 of ATP-dependent RNA helicase DDX39A OS=Homo sapiens GN=DDX39A</t>
  </si>
  <si>
    <t>O00148-3</t>
  </si>
  <si>
    <t>O00584</t>
  </si>
  <si>
    <t>&gt;sp|O00584|RNT2_HUMAN Ribonuclease T2 OS=Homo sapiens GN=RNASET2 PE=1 SV=2</t>
  </si>
  <si>
    <t>O15194-2;O15194</t>
  </si>
  <si>
    <t>&gt;sp|O15194-2|CTDSL_HUMAN Isoform 2 of CTD small phosphatase-like protein OS=Homo sapiens GN=CTDSPL</t>
  </si>
  <si>
    <t>O15194-2</t>
  </si>
  <si>
    <t>O15260-2;O15260;O15260-3</t>
  </si>
  <si>
    <t>&gt;sp|O15260-2|SURF4_HUMAN Isoform 2 of Surfeit locus protein 4 OS=Homo sapiens GN=SURF4</t>
  </si>
  <si>
    <t>O15260-2</t>
  </si>
  <si>
    <t>O43617;O43617-2</t>
  </si>
  <si>
    <t>&gt;sp|O43617|TPPC3_HUMAN Trafficking protein particle complex subunit 3 OS=Homo sapiens GN=TRAPPC3 PE=1 SV=1</t>
  </si>
  <si>
    <t>O43617</t>
  </si>
  <si>
    <t>O75223-3;O75223;O75223-2;O75223-4</t>
  </si>
  <si>
    <t>&gt;sp|O75223-3|GGCT_HUMAN Isoform 3 of Gamma-glutamylcyclotransferase OS=Homo sapiens GN=GGCT</t>
  </si>
  <si>
    <t>O75223-3</t>
  </si>
  <si>
    <t>O95159</t>
  </si>
  <si>
    <t>&gt;sp|O95159|ZFPL1_HUMAN Zinc finger protein-like 1 OS=Homo sapiens GN=ZFPL1 PE=1 SV=2</t>
  </si>
  <si>
    <t>O95497</t>
  </si>
  <si>
    <t>&gt;sp|O95497|VNN1_HUMAN Pantetheinase OS=Homo sapiens GN=VNN1 PE=1 SV=2</t>
  </si>
  <si>
    <t>O95881</t>
  </si>
  <si>
    <t>&gt;sp|O95881|TXD12_HUMAN Thioredoxin domain-containing protein 12 OS=Homo sapiens GN=TXNDC12 PE=1 SV=1</t>
  </si>
  <si>
    <t>P02792</t>
  </si>
  <si>
    <t>&gt;sp|P02792|FRIL_HUMAN Ferritin light chain OS=Homo sapiens GN=FTL PE=1 SV=2</t>
  </si>
  <si>
    <t>P05388-2;Q8NHW5;P05388</t>
  </si>
  <si>
    <t>&gt;sp|P05388-2|RLA0_HUMAN Isoform 2 of 60S acidic ribosomal protein P0 OS=Homo sapiens GN=RPLP0</t>
  </si>
  <si>
    <t>P05388-2</t>
  </si>
  <si>
    <t>P08174-5;P08174-4;P08174;P08174-3;P08174-2;P08174-6;P08174-7</t>
  </si>
  <si>
    <t>&gt;sp|P08174-5|DAF_HUMAN Isoform 5 of Complement decay-accelerating factor OS=Homo sapiens GN=CD55</t>
  </si>
  <si>
    <t>P08174-5</t>
  </si>
  <si>
    <t>P08311</t>
  </si>
  <si>
    <t>&gt;sp|P08311|CATG_HUMAN Cathepsin G OS=Homo sapiens GN=CTSG PE=1 SV=2</t>
  </si>
  <si>
    <t>P11182</t>
  </si>
  <si>
    <t>&gt;sp|P11182|ODB2_HUMAN Lipoamide acyltransferase component of branched-chain alpha-keto acid dehydrogenase complex, mitochondrial OS=Homo sapiens GN=DBT PE=1 SV=3</t>
  </si>
  <si>
    <t>P14406</t>
  </si>
  <si>
    <t>&gt;sp|P14406|CX7A2_HUMAN Cytochrome c oxidase subunit 7A2, mitochondrial OS=Homo sapiens GN=COX7A2 PE=1 SV=1</t>
  </si>
  <si>
    <t>P15374</t>
  </si>
  <si>
    <t>&gt;sp|P15374|UCHL3_HUMAN Ubiquitin carboxyl-terminal hydrolase isozyme L3 OS=Homo sapiens GN=UCHL3 PE=1 SV=1</t>
  </si>
  <si>
    <t>P17050</t>
  </si>
  <si>
    <t>&gt;sp|P17050|NAGAB_HUMAN Alpha-N-acetylgalactosaminidase OS=Homo sapiens GN=NAGA PE=1 SV=2</t>
  </si>
  <si>
    <t>P17655;P17655-2</t>
  </si>
  <si>
    <t>&gt;sp|P17655|CAN2_HUMAN Calpain-2 catalytic subunit OS=Homo sapiens GN=CAPN2 PE=1 SV=6</t>
  </si>
  <si>
    <t>P17655</t>
  </si>
  <si>
    <t>P19404</t>
  </si>
  <si>
    <t>&gt;sp|P19404|NDUV2_HUMAN NADH dehydrogenase [ubiquinone] flavoprotein 2, mitochondrial OS=Homo sapiens GN=NDUFV2 PE=1 SV=2</t>
  </si>
  <si>
    <t>P20160</t>
  </si>
  <si>
    <t>&gt;sp|P20160|CAP7_HUMAN Azurocidin OS=Homo sapiens GN=AZU1 PE=1 SV=3</t>
  </si>
  <si>
    <t>P23467-4;P23467-2;P23467;P23467-3;Q16827-4;Q16827-3;Q16827-2;Q16827</t>
  </si>
  <si>
    <t>&gt;sp|P23467-4|PTPRB_HUMAN Isoform 4 of Receptor-type tyrosine-protein phosphatase beta OS=Homo sapiens GN=PTPRB</t>
  </si>
  <si>
    <t>P23467-4</t>
  </si>
  <si>
    <t>P25398</t>
  </si>
  <si>
    <t>&gt;sp|P25398|RS12_HUMAN 40S ribosomal protein S12 OS=Homo sapiens GN=RPS12 PE=1 SV=3</t>
  </si>
  <si>
    <t>P27816-2;P27816-6;P27816</t>
  </si>
  <si>
    <t>&gt;sp|P27816-2|MAP4_HUMAN Isoform 2 of Microtubule-associated protein 4 OS=Homo sapiens GN=MAP4</t>
  </si>
  <si>
    <t>P27816-2</t>
  </si>
  <si>
    <t>P28065-2;P28065</t>
  </si>
  <si>
    <t>&gt;sp|P28065-2|PSB9_HUMAN Isoform LMP2.S of Proteasome subunit beta type-9 OS=Homo sapiens GN=PSMB9</t>
  </si>
  <si>
    <t>P28065-2</t>
  </si>
  <si>
    <t>P30520</t>
  </si>
  <si>
    <t>&gt;sp|P30520|PURA2_HUMAN Adenylosuccinate synthetase isozyme 2 OS=Homo sapiens GN=ADSS PE=1 SV=3</t>
  </si>
  <si>
    <t>P31689;P31689-2</t>
  </si>
  <si>
    <t>&gt;sp|P31689|DNJA1_HUMAN DnaJ homolog subfamily A member 1 OS=Homo sapiens GN=DNAJA1 PE=1 SV=2</t>
  </si>
  <si>
    <t>P31689</t>
  </si>
  <si>
    <t>P39019</t>
  </si>
  <si>
    <t>&gt;sp|P39019|RS19_HUMAN 40S ribosomal protein S19 OS=Homo sapiens GN=RPS19 PE=1 SV=2</t>
  </si>
  <si>
    <t>P40306</t>
  </si>
  <si>
    <t>&gt;sp|P40306|PSB10_HUMAN Proteasome subunit beta type-10 OS=Homo sapiens GN=PSMB10 PE=1 SV=1</t>
  </si>
  <si>
    <t>P46976-2;P46976;P46976-3</t>
  </si>
  <si>
    <t>&gt;sp|P46976-2|GLYG_HUMAN Isoform GN-1 of Glycogenin-1 OS=Homo sapiens GN=GYG1</t>
  </si>
  <si>
    <t>P46976-2</t>
  </si>
  <si>
    <t>P48449-2;P48449;P48449-3</t>
  </si>
  <si>
    <t>&gt;sp|P48449-2|ERG7_HUMAN Isoform 2 of Lanosterol synthase OS=Homo sapiens GN=LSS</t>
  </si>
  <si>
    <t>P48449-2</t>
  </si>
  <si>
    <t>P49354-2;P49354</t>
  </si>
  <si>
    <t>&gt;sp|P49354-2|FNTA_HUMAN Isoform 2 of Protein farnesyltransferase/geranylgeranyltransferase type-1 subunit alpha OS=Homo sapiens GN=FNTA</t>
  </si>
  <si>
    <t>P49354-2</t>
  </si>
  <si>
    <t>P50583</t>
  </si>
  <si>
    <t>&gt;sp|P50583|AP4A_HUMAN Bis(5-nucleosyl)-tetraphosphatase [asymmetrical] OS=Homo sapiens GN=NUDT2 PE=1 SV=3</t>
  </si>
  <si>
    <t>P53041</t>
  </si>
  <si>
    <t>&gt;sp|P53041|PPP5_HUMAN Serine/threonine-protein phosphatase 5 OS=Homo sapiens GN=PPP5C PE=1 SV=1</t>
  </si>
  <si>
    <t>P61956-2;Q6EEV6;P61956;P55854;P55854-2</t>
  </si>
  <si>
    <t>&gt;sp|P61956-2|SUMO2_HUMAN Isoform 2 of Small ubiquitin-related modifier 2 OS=Homo sapiens GN=SUMO2</t>
  </si>
  <si>
    <t>P61956-2</t>
  </si>
  <si>
    <t>Q04771</t>
  </si>
  <si>
    <t>&gt;sp|Q04771|ACVR1_HUMAN Activin receptor type-1 OS=Homo sapiens GN=ACVR1 PE=1 SV=1</t>
  </si>
  <si>
    <t>Q10713;Q10713-2</t>
  </si>
  <si>
    <t>&gt;sp|Q10713|MPPA_HUMAN Mitochondrial-processing peptidase subunit alpha OS=Homo sapiens GN=PMPCA PE=1 SV=2</t>
  </si>
  <si>
    <t>Q10713</t>
  </si>
  <si>
    <t>Q12912-2;Q12912</t>
  </si>
  <si>
    <t>&gt;sp|Q12912-2|LRMP_HUMAN Isoform 2 of Lymphoid-restricted membrane protein OS=Homo sapiens GN=LRMP</t>
  </si>
  <si>
    <t>Q12912-2</t>
  </si>
  <si>
    <t>Q13155</t>
  </si>
  <si>
    <t>&gt;sp|Q13155|AIMP2_HUMAN Aminoacyl tRNA synthase complex-interacting multifunctional protein 2 OS=Homo sapiens GN=AIMP2 PE=1 SV=2</t>
  </si>
  <si>
    <t>Q13363-2;Q13363</t>
  </si>
  <si>
    <t>&gt;sp|Q13363-2|CTBP1_HUMAN Isoform 2 of C-terminal-binding protein 1 OS=Homo sapiens GN=CTBP1</t>
  </si>
  <si>
    <t>Q13363-2</t>
  </si>
  <si>
    <t>Q13618-3;Q13618-2;Q13618</t>
  </si>
  <si>
    <t>&gt;sp|Q13618-3|CUL3_HUMAN Isoform 3 of Cullin-3 OS=Homo sapiens GN=CUL3</t>
  </si>
  <si>
    <t>Q13618-3</t>
  </si>
  <si>
    <t>Q14642</t>
  </si>
  <si>
    <t>&gt;sp|Q14642|I5P1_HUMAN Type I inositol 1,4,5-trisphosphate 5-phosphatase OS=Homo sapiens GN=INPP5A PE=1 SV=1</t>
  </si>
  <si>
    <t>Q14653-3;Q14653-2;Q14653;Q14653-4</t>
  </si>
  <si>
    <t>&gt;sp|Q14653-3|IRF3_HUMAN Isoform 3 of Interferon regulatory factor 3 OS=Homo sapiens GN=IRF3</t>
  </si>
  <si>
    <t>Q14653-3</t>
  </si>
  <si>
    <t>Q14766-3;Q9NS15-2;Q9NS15</t>
  </si>
  <si>
    <t>&gt;sp|Q14766-3|LTBP1_HUMAN Isoform 3 of Latent-transforming growth factor beta-binding protein 1 OS=Homo sapiens GN=LTBP1</t>
  </si>
  <si>
    <t>Q14766-3</t>
  </si>
  <si>
    <t>Q4V328-4;Q4V328;Q4V328-2</t>
  </si>
  <si>
    <t>&gt;sp|Q4V328-4|GRAP1_HUMAN Isoform 4 of GRIP1-associated protein 1 OS=Homo sapiens GN=GRIPAP1</t>
  </si>
  <si>
    <t>Q4V328-4</t>
  </si>
  <si>
    <t>Q63HN8;Q63HN8-4;Q63HN8-6</t>
  </si>
  <si>
    <t>&gt;sp|Q63HN8|RN213_HUMAN E3 ubiquitin-protein ligase RNF213 OS=Homo sapiens GN=RNF213 PE=1 SV=3</t>
  </si>
  <si>
    <t>Q63HN8</t>
  </si>
  <si>
    <t>Q6ZWL3-2;Q6ZWL3</t>
  </si>
  <si>
    <t>&gt;sp|Q6ZWL3-2|CP4V2_HUMAN Isoform 2 of Cytochrome P450 4V2 OS=Homo sapiens GN=CYP4V2</t>
  </si>
  <si>
    <t>Q6ZWL3-2</t>
  </si>
  <si>
    <t>Q8IYU8</t>
  </si>
  <si>
    <t>&gt;sp|Q8IYU8|MICU2_HUMAN Calcium uptake protein 2, mitochondrial OS=Homo sapiens GN=MICU2 PE=1 SV=2</t>
  </si>
  <si>
    <t>Q8WU79-3;Q8WU79-2;Q8WU79</t>
  </si>
  <si>
    <t>&gt;sp|Q8WU79-3|SMAP2_HUMAN Isoform 3 of Stromal membrane-associated protein 2 OS=Homo sapiens GN=SMAP2</t>
  </si>
  <si>
    <t>Q8WU79-3</t>
  </si>
  <si>
    <t>Q92783-2;Q92783</t>
  </si>
  <si>
    <t>&gt;sp|Q92783-2|STAM1_HUMAN Isoform 2 of Signal transducing adapter molecule 1 OS=Homo sapiens GN=STAM</t>
  </si>
  <si>
    <t>Q92783-2</t>
  </si>
  <si>
    <t>Q92888;Q92888-3;Q92888-2;Q92888-4</t>
  </si>
  <si>
    <t>&gt;sp|Q92888|ARHG1_HUMAN Rho guanine nucleotide exchange factor 1 OS=Homo sapiens GN=ARHGEF1 PE=1 SV=2</t>
  </si>
  <si>
    <t>Q92888</t>
  </si>
  <si>
    <t>Q96MK2;Q96MK2-2</t>
  </si>
  <si>
    <t>&gt;sp|Q96MK2|FA65C_HUMAN Protein FAM65C OS=Homo sapiens GN=FAM65C PE=2 SV=4</t>
  </si>
  <si>
    <t>Q96MK2</t>
  </si>
  <si>
    <t>Q99442</t>
  </si>
  <si>
    <t>&gt;sp|Q99442|SEC62_HUMAN Translocation protein SEC62 OS=Homo sapiens GN=SEC62 PE=1 SV=1</t>
  </si>
  <si>
    <t>Q9BQI6</t>
  </si>
  <si>
    <t>&gt;sp|Q9BQI6|ANR32_HUMAN Ankyrin repeat domain-containing protein 32 OS=Homo sapiens GN=ANKRD32 PE=1 SV=2</t>
  </si>
  <si>
    <t>Q9BSJ2;Q9BSJ2-4</t>
  </si>
  <si>
    <t>&gt;sp|Q9BSJ2|GCP2_HUMAN Gamma-tubulin complex component 2 OS=Homo sapiens GN=TUBGCP2 PE=1 SV=2</t>
  </si>
  <si>
    <t>Q9BSJ2</t>
  </si>
  <si>
    <t>Q9BWS9-3;Q9BWS9;Q9BWS9-2</t>
  </si>
  <si>
    <t>&gt;sp|Q9BWS9-3|CHID1_HUMAN Isoform 3 of Chitinase domain-containing protein 1 OS=Homo sapiens GN=CHID1</t>
  </si>
  <si>
    <t>Q9BWS9-3</t>
  </si>
  <si>
    <t>Q9GZT8-2;Q9GZT8;Q9GZT8-3</t>
  </si>
  <si>
    <t>&gt;sp|Q9GZT8-2|NIF3L_HUMAN Isoform 2 of NIF3-like protein 1 OS=Homo sapiens GN=NIF3L1</t>
  </si>
  <si>
    <t>Q9GZT8-2</t>
  </si>
  <si>
    <t>Q9H3P7</t>
  </si>
  <si>
    <t>&gt;sp|Q9H3P7|GCP60_HUMAN Golgi resident protein GCP60 OS=Homo sapiens GN=ACBD3 PE=1 SV=4</t>
  </si>
  <si>
    <t>Q9NRV9</t>
  </si>
  <si>
    <t>&gt;sp|Q9NRV9|HEBP1_HUMAN Heme-binding protein 1 OS=Homo sapiens GN=HEBP1 PE=1 SV=1</t>
  </si>
  <si>
    <t>Q9NX40;Q9NX40-3;Q9NX40-2;Q9NX40-4</t>
  </si>
  <si>
    <t>&gt;sp|Q9NX40|OCAD1_HUMAN OCIA domain-containing protein 1 OS=Homo sapiens GN=OCIAD1 PE=1 SV=1</t>
  </si>
  <si>
    <t>Q9NX40</t>
  </si>
  <si>
    <t>Q9NX63</t>
  </si>
  <si>
    <t>&gt;sp|Q9NX63|MIC19_HUMAN MICOS complex subunit MIC19 OS=Homo sapiens GN=CHCHD3 PE=1 SV=1</t>
  </si>
  <si>
    <t>Q9P289;Q9P289-2;Q9P289-3</t>
  </si>
  <si>
    <t>&gt;sp|Q9P289|STK26_HUMAN Serine/threonine-protein kinase 26 OS=Homo sapiens GN=STK26 PE=1 SV=2</t>
  </si>
  <si>
    <t>Q9P289</t>
  </si>
  <si>
    <t>Q9UBN7-2;Q9UBN7</t>
  </si>
  <si>
    <t>&gt;sp|Q9UBN7-2|HDAC6_HUMAN Isoform 2 of Histone deacetylase 6 OS=Homo sapiens GN=HDAC6</t>
  </si>
  <si>
    <t>Q9UBN7-2</t>
  </si>
  <si>
    <t>Q9UBX5</t>
  </si>
  <si>
    <t>&gt;sp|Q9UBX5|FBLN5_HUMAN Fibulin-5 OS=Homo sapiens GN=FBLN5 PE=1 SV=1</t>
  </si>
  <si>
    <t>Q9UFW8</t>
  </si>
  <si>
    <t>&gt;sp|Q9UFW8|CGBP1_HUMAN CGG triplet repeat-binding protein 1 OS=Homo sapiens GN=CGGBP1 PE=1 SV=2</t>
  </si>
  <si>
    <t>Q9UJS0;Q9UJS0-2</t>
  </si>
  <si>
    <t>&gt;sp|Q9UJS0|CMC2_HUMAN Calcium-binding mitochondrial carrier protein Aralar2 OS=Homo sapiens GN=SLC25A13 PE=1 SV=2</t>
  </si>
  <si>
    <t>Q9UJS0</t>
  </si>
  <si>
    <t>Q9UQ13-2;Q9UQ13</t>
  </si>
  <si>
    <t>&gt;sp|Q9UQ13-2|SHOC2_HUMAN Isoform 2 of Leucine-rich repeat protein SHOC-2 OS=Homo sapiens GN=SHOC2</t>
  </si>
  <si>
    <t>Q9UQ13-2</t>
  </si>
  <si>
    <t>Q9Y287-2;Q9Y287</t>
  </si>
  <si>
    <t>&gt;sp|Q9Y287-2|ITM2B_HUMAN Isoform 2 of Integral membrane protein 2B OS=Homo sapiens GN=ITM2B</t>
  </si>
  <si>
    <t>Q9Y287-2</t>
  </si>
  <si>
    <t>Q9Y2L5-2;Q9Y2L5</t>
  </si>
  <si>
    <t>&gt;sp|Q9Y2L5-2|TPPC8_HUMAN Isoform 2 of Trafficking protein particle complex subunit 8 OS=Homo sapiens GN=TRAPPC8</t>
  </si>
  <si>
    <t>Q9Y2L5-2</t>
  </si>
  <si>
    <t>Q9Y4K3</t>
  </si>
  <si>
    <t>&gt;sp|Q9Y4K3|TRAF6_HUMAN TNF receptor-associated factor 6 OS=Homo sapiens GN=TRAF6 PE=1 SV=1</t>
  </si>
  <si>
    <t>Q9Y4W6;Q01484-5;Q01484-2;Q01484</t>
  </si>
  <si>
    <t>&gt;sp|Q9Y4W6|AFG32_HUMAN AFG3-like protein 2 OS=Homo sapiens GN=AFG3L2 PE=1 SV=2</t>
  </si>
  <si>
    <t>Q9Y4W6</t>
  </si>
  <si>
    <t>B0I1T2-4;B0I1T2;B0I1T2-3</t>
  </si>
  <si>
    <t>&gt;sp|B0I1T2-4|MYO1G_HUMAN Isoform 4 of Unconventional myosin-Ig OS=Homo sapiens GN=MYO1G</t>
  </si>
  <si>
    <t>B0I1T2-4</t>
  </si>
  <si>
    <t>B2RUZ4</t>
  </si>
  <si>
    <t>&gt;sp|B2RUZ4|SMIM1_HUMAN Small integral membrane protein 1 OS=Homo sapiens GN=SMIM1 PE=1 SV=1</t>
  </si>
  <si>
    <t>O00501</t>
  </si>
  <si>
    <t>&gt;sp|O00501|CLD5_HUMAN Claudin-5 OS=Homo sapiens GN=CLDN5 PE=2 SV=1</t>
  </si>
  <si>
    <t>O00754-2;O00754</t>
  </si>
  <si>
    <t>&gt;sp|O00754-2|MA2B1_HUMAN Isoform 2 of Lysosomal alpha-mannosidase OS=Homo sapiens GN=MAN2B1</t>
  </si>
  <si>
    <t>O00754-2</t>
  </si>
  <si>
    <t>O14523;O14523-2</t>
  </si>
  <si>
    <t>&gt;sp|O14523|C2C2L_HUMAN C2 domain-containing protein 2-like OS=Homo sapiens GN=C2CD2L PE=1 SV=3</t>
  </si>
  <si>
    <t>O14523</t>
  </si>
  <si>
    <t>O14639-2;O14639-6;O14639-4;O14639-3;O14639-5;O14639</t>
  </si>
  <si>
    <t>&gt;sp|O14639-2|ABLM1_HUMAN Isoform 2 of Actin-binding LIM protein 1 OS=Homo sapiens GN=ABLIM1</t>
  </si>
  <si>
    <t>O14639-2</t>
  </si>
  <si>
    <t>O14656;O14656-2</t>
  </si>
  <si>
    <t>&gt;sp|O14656|TOR1A_HUMAN Torsin-1A OS=Homo sapiens GN=TOR1A PE=1 SV=1</t>
  </si>
  <si>
    <t>O14656</t>
  </si>
  <si>
    <t>O15111</t>
  </si>
  <si>
    <t>&gt;sp|O15111|IKKA_HUMAN Inhibitor of nuclear factor kappa-B kinase subunit alpha OS=Homo sapiens GN=CHUK PE=1 SV=2</t>
  </si>
  <si>
    <t>O15305</t>
  </si>
  <si>
    <t>&gt;sp|O15305|PMM2_HUMAN Phosphomannomutase 2 OS=Homo sapiens GN=PMM2 PE=1 SV=1</t>
  </si>
  <si>
    <t>O43768-6;O43768-5;O43768-2;O43768;O43768-9;O43768-7;O43768-3;O43768-4;P56211-2;P56211</t>
  </si>
  <si>
    <t>&gt;sp|O43768-6|ENSA_HUMAN Isoform 6 of Alpha-endosulfine OS=Homo sapiens GN=ENSA</t>
  </si>
  <si>
    <t>O43768-6</t>
  </si>
  <si>
    <t>O43837-2;O43837</t>
  </si>
  <si>
    <t>&gt;sp|O43837-2|IDH3B_HUMAN Isoform A of Isocitrate dehydrogenase [NAD] subunit beta, mitochondrial OS=Homo sapiens GN=IDH3B</t>
  </si>
  <si>
    <t>O43837-2</t>
  </si>
  <si>
    <t>O75154-2;O75154;O75154-3</t>
  </si>
  <si>
    <t>&gt;sp|O75154-2|RFIP3_HUMAN Isoform 2 of Rab11 family-interacting protein 3 OS=Homo sapiens GN=RAB11FIP3</t>
  </si>
  <si>
    <t>O75154-2</t>
  </si>
  <si>
    <t>O75165</t>
  </si>
  <si>
    <t>&gt;sp|O75165|DJC13_HUMAN DnaJ homolog subfamily C member 13 OS=Homo sapiens GN=DNAJC13 PE=1 SV=5</t>
  </si>
  <si>
    <t>O75190;Q8WWF6;O75190-2;O75190-4;Q7Z6W7;O75190-3</t>
  </si>
  <si>
    <t>&gt;sp|O75190|DNJB6_HUMAN DnaJ homolog subfamily B member 6 OS=Homo sapiens GN=DNAJB6 PE=1 SV=2</t>
  </si>
  <si>
    <t>O75190</t>
  </si>
  <si>
    <t>O75477;O94905-2;O94905-3;O94905</t>
  </si>
  <si>
    <t>&gt;sp|O75477|ERLN1_HUMAN Erlin-1 OS=Homo sapiens GN=ERLIN1 PE=1 SV=1</t>
  </si>
  <si>
    <t>O75477</t>
  </si>
  <si>
    <t>O95219-2;O95219</t>
  </si>
  <si>
    <t>&gt;sp|O95219-2|SNX4_HUMAN Isoform 2 of Sorting nexin-4 OS=Homo sapiens GN=SNX4</t>
  </si>
  <si>
    <t>O95219-2</t>
  </si>
  <si>
    <t>O96011-2;O96011</t>
  </si>
  <si>
    <t>&gt;sp|O96011-2|PX11B_HUMAN Isoform 2 of Peroxisomal membrane protein 11B OS=Homo sapiens GN=PEX11B</t>
  </si>
  <si>
    <t>O96011-2</t>
  </si>
  <si>
    <t>P04207</t>
  </si>
  <si>
    <t>&gt;sp|P04207|KV308_HUMAN Ig kappa chain V-III region CLL OS=Homo sapiens PE=4 SV=2</t>
  </si>
  <si>
    <t>P11117-2;P11117</t>
  </si>
  <si>
    <t>&gt;sp|P11117-2|PPAL_HUMAN Isoform 2 of Lysosomal acid phosphatase OS=Homo sapiens GN=ACP2</t>
  </si>
  <si>
    <t>P11117-2</t>
  </si>
  <si>
    <t>P12268</t>
  </si>
  <si>
    <t>&gt;sp|P12268|IMDH2_HUMAN Inosine-5-monophosphate dehydrogenase 2 OS=Homo sapiens GN=IMPDH2 PE=1 SV=2</t>
  </si>
  <si>
    <t>P12956-2;P12956</t>
  </si>
  <si>
    <t>&gt;sp|P12956-2|XRCC6_HUMAN Isoform 2 of X-ray repair cross-complementing protein 6 OS=Homo sapiens GN=XRCC6</t>
  </si>
  <si>
    <t>P12956-2</t>
  </si>
  <si>
    <t>P16083</t>
  </si>
  <si>
    <t>&gt;sp|P16083|NQO2_HUMAN Ribosyldihydronicotinamide dehydrogenase [quinone] OS=Homo sapiens GN=NQO2 PE=1 SV=5</t>
  </si>
  <si>
    <t>P30447</t>
  </si>
  <si>
    <t>&gt;sp|P30447|1A23_HUMAN HLA class I histocompatibility antigen, A-23 alpha chain OS=Homo sapiens GN=HLA-A PE=1 SV=1</t>
  </si>
  <si>
    <t>P30456</t>
  </si>
  <si>
    <t>&gt;sp|P30456|1A43_HUMAN HLA class I histocompatibility antigen, A-43 alpha chain OS=Homo sapiens GN=HLA-A PE=1 SV=1</t>
  </si>
  <si>
    <t>P30462;P17693</t>
  </si>
  <si>
    <t>&gt;sp|P30462|1B14_HUMAN HLA class I histocompatibility antigen, B-14 alpha chain OS=Homo sapiens GN=HLA-B PE=1 SV=1</t>
  </si>
  <si>
    <t>P30462</t>
  </si>
  <si>
    <t>P30479</t>
  </si>
  <si>
    <t>&gt;sp|P30479|1B41_HUMAN HLA class I histocompatibility antigen, B-41 alpha chain OS=Homo sapiens GN=HLA-B PE=1 SV=1</t>
  </si>
  <si>
    <t>P32321;P32321-2</t>
  </si>
  <si>
    <t>&gt;sp|P32321|DCTD_HUMAN Deoxycytidylate deaminase OS=Homo sapiens GN=DCTD PE=1 SV=2</t>
  </si>
  <si>
    <t>P32321</t>
  </si>
  <si>
    <t>P32754-2;P32754</t>
  </si>
  <si>
    <t>&gt;sp|P32754-2|HPPD_HUMAN Isoform 2 of 4-hydroxyphenylpyruvate dioxygenase OS=Homo sapiens GN=HPD</t>
  </si>
  <si>
    <t>P32754-2</t>
  </si>
  <si>
    <t>P34096</t>
  </si>
  <si>
    <t>&gt;sp|P34096|RNAS4_HUMAN Ribonuclease 4 OS=Homo sapiens GN=RNASE4 PE=1 SV=3</t>
  </si>
  <si>
    <t>P34949;P34949-2</t>
  </si>
  <si>
    <t>&gt;sp|P34949|MPI_HUMAN Mannose-6-phosphate isomerase OS=Homo sapiens GN=MPI PE=1 SV=2</t>
  </si>
  <si>
    <t>P34949</t>
  </si>
  <si>
    <t>P35475</t>
  </si>
  <si>
    <t>&gt;sp|P35475|IDUA_HUMAN Alpha-L-iduronidase OS=Homo sapiens GN=IDUA PE=1 SV=2</t>
  </si>
  <si>
    <t>P36578</t>
  </si>
  <si>
    <t>&gt;sp|P36578|RL4_HUMAN 60S ribosomal protein L4 OS=Homo sapiens GN=RPL4 PE=1 SV=5</t>
  </si>
  <si>
    <t>P38571-2;P38571</t>
  </si>
  <si>
    <t>&gt;sp|P38571-2|LICH_HUMAN Isoform 2 of Lysosomal acid lipase/cholesteryl ester hydrolase OS=Homo sapiens GN=LIPA</t>
  </si>
  <si>
    <t>P38571-2</t>
  </si>
  <si>
    <t>P40616-2;P40616</t>
  </si>
  <si>
    <t>&gt;sp|P40616-2|ARL1_HUMAN Isoform 2 of ADP-ribosylation factor-like protein 1 OS=Homo sapiens GN=ARL1</t>
  </si>
  <si>
    <t>P40616-2</t>
  </si>
  <si>
    <t>P42356</t>
  </si>
  <si>
    <t>&gt;sp|P42356|PI4KA_HUMAN Phosphatidylinositol 4-kinase alpha OS=Homo sapiens GN=PI4KA PE=1 SV=3</t>
  </si>
  <si>
    <t>P42898;P42898-2</t>
  </si>
  <si>
    <t>&gt;sp|P42898|MTHR_HUMAN Methylenetetrahydrofolate reductase OS=Homo sapiens GN=MTHFR PE=1 SV=3</t>
  </si>
  <si>
    <t>P42898</t>
  </si>
  <si>
    <t>P51570;P51570-2</t>
  </si>
  <si>
    <t>&gt;sp|P51570|GALK1_HUMAN Galactokinase OS=Homo sapiens GN=GALK1 PE=1 SV=1</t>
  </si>
  <si>
    <t>P51570</t>
  </si>
  <si>
    <t>P53007</t>
  </si>
  <si>
    <t>&gt;sp|P53007|TXTP_HUMAN Tricarboxylate transport protein, mitochondrial OS=Homo sapiens GN=SLC25A1 PE=1 SV=2</t>
  </si>
  <si>
    <t>P55058-3;P55058-2;P55058</t>
  </si>
  <si>
    <t>&gt;sp|P55058-3|PLTP_HUMAN Isoform 3 of Phospholipid transfer protein OS=Homo sapiens GN=PLTP</t>
  </si>
  <si>
    <t>P55058-3</t>
  </si>
  <si>
    <t>P58215;P58215-2;P58215-3</t>
  </si>
  <si>
    <t>&gt;sp|P58215|LOXL3_HUMAN Lysyl oxidase homolog 3 OS=Homo sapiens GN=LOXL3 PE=2 SV=1</t>
  </si>
  <si>
    <t>P58215</t>
  </si>
  <si>
    <t>P61081</t>
  </si>
  <si>
    <t>&gt;sp|P61081|UBC12_HUMAN NEDD8-conjugating enzyme Ubc12 OS=Homo sapiens GN=UBE2M PE=1 SV=1</t>
  </si>
  <si>
    <t>P80217;P80217-2</t>
  </si>
  <si>
    <t>&gt;sp|P80217|IN35_HUMAN Interferon-induced 35 kDa protein OS=Homo sapiens GN=IFI35 PE=1 SV=5</t>
  </si>
  <si>
    <t>P80217</t>
  </si>
  <si>
    <t>Q00796;Q00796-2</t>
  </si>
  <si>
    <t>&gt;sp|Q00796|DHSO_HUMAN Sorbitol dehydrogenase OS=Homo sapiens GN=SORD PE=1 SV=4</t>
  </si>
  <si>
    <t>Q00796</t>
  </si>
  <si>
    <t>Q04206-2;Q04206-3;Q04206-4;Q04206</t>
  </si>
  <si>
    <t>&gt;sp|Q04206-2|TF65_HUMAN Isoform 2 of Transcription factor p65 OS=Homo sapiens GN=RELA</t>
  </si>
  <si>
    <t>Q04206-2</t>
  </si>
  <si>
    <t>Q08211</t>
  </si>
  <si>
    <t>&gt;sp|Q08211|DHX9_HUMAN ATP-dependent RNA helicase A OS=Homo sapiens GN=DHX9 PE=1 SV=4</t>
  </si>
  <si>
    <t>Q12931-2;Q12931</t>
  </si>
  <si>
    <t>&gt;sp|Q12931-2|TRAP1_HUMAN Isoform 2 of Heat shock protein 75 kDa, mitochondrial OS=Homo sapiens GN=TRAP1</t>
  </si>
  <si>
    <t>Q12931-2</t>
  </si>
  <si>
    <t>Q13596-2;Q13596;Q13596-3</t>
  </si>
  <si>
    <t>&gt;sp|Q13596-2|SNX1_HUMAN Isoform 1A of Sorting nexin-1 OS=Homo sapiens GN=SNX1</t>
  </si>
  <si>
    <t>Q13596-2</t>
  </si>
  <si>
    <t>Q13724-2;Q13724</t>
  </si>
  <si>
    <t>&gt;sp|Q13724-2|MOGS_HUMAN Isoform 2 of Mannosyl-oligosaccharide glucosidase OS=Homo sapiens GN=MOGS</t>
  </si>
  <si>
    <t>Q13724-2</t>
  </si>
  <si>
    <t>Q14162-2;Q14162;Q14162-4;Q14162-5;Q14162-3</t>
  </si>
  <si>
    <t>&gt;sp|Q14162-2|SREC_HUMAN Isoform 2 of Scavenger receptor class F member 1 OS=Homo sapiens GN=SCARF1</t>
  </si>
  <si>
    <t>Q14162-2</t>
  </si>
  <si>
    <t>Q14739</t>
  </si>
  <si>
    <t>&gt;sp|Q14739|LBR_HUMAN Lamin-B receptor OS=Homo sapiens GN=LBR PE=1 SV=2</t>
  </si>
  <si>
    <t>Q15036-2;Q15036</t>
  </si>
  <si>
    <t>&gt;sp|Q15036-2|SNX17_HUMAN Isoform 2 of Sorting nexin-17 OS=Homo sapiens GN=SNX17</t>
  </si>
  <si>
    <t>Q15036-2</t>
  </si>
  <si>
    <t>Q15389-2;Q15389</t>
  </si>
  <si>
    <t>&gt;sp|Q15389-2|ANGP1_HUMAN Isoform 2 of Angiopoietin-1 OS=Homo sapiens GN=ANGPT1</t>
  </si>
  <si>
    <t>Q15389-2</t>
  </si>
  <si>
    <t>Q15485-2;Q15485</t>
  </si>
  <si>
    <t>&gt;sp|Q15485-2|FCN2_HUMAN Isoform 2 of Ficolin-2 OS=Homo sapiens GN=FCN2</t>
  </si>
  <si>
    <t>Q15485-2</t>
  </si>
  <si>
    <t>Q15717;Q15717-2</t>
  </si>
  <si>
    <t>&gt;sp|Q15717|ELAV1_HUMAN ELAV-like protein 1 OS=Homo sapiens GN=ELAVL1 PE=1 SV=2</t>
  </si>
  <si>
    <t>Q15717</t>
  </si>
  <si>
    <t>Q5VTQ0-2;Q5VTQ0-3;Q5VTQ0-4;Q5VTQ0;Q5VTQ0-7;Q5VTQ0-5;Q5VTQ0-6</t>
  </si>
  <si>
    <t>&gt;sp|Q5VTQ0-2|TT39B_HUMAN Isoform 2 of Tetratricopeptide repeat protein 39B OS=Homo sapiens GN=TTC39B</t>
  </si>
  <si>
    <t>Q5VTQ0-2</t>
  </si>
  <si>
    <t>Q86VS8;Q9UJC3-2;Q9UJC3</t>
  </si>
  <si>
    <t>&gt;sp|Q86VS8|HOOK3_HUMAN Protein Hook homolog 3 OS=Homo sapiens GN=HOOK3 PE=1 SV=2</t>
  </si>
  <si>
    <t>Q86VS8</t>
  </si>
  <si>
    <t>Q8IUB2</t>
  </si>
  <si>
    <t>&gt;sp|Q8IUB2|WFDC3_HUMAN WAP four-disulfide core domain protein 3 OS=Homo sapiens GN=WFDC3 PE=2 SV=1</t>
  </si>
  <si>
    <t>Q8IWB7</t>
  </si>
  <si>
    <t>&gt;sp|Q8IWB7|WDFY1_HUMAN WD repeat and FYVE domain-containing protein 1 OS=Homo sapiens GN=WDFY1 PE=1 SV=1</t>
  </si>
  <si>
    <t>Q8IYI6</t>
  </si>
  <si>
    <t>&gt;sp|Q8IYI6|EXOC8_HUMAN Exocyst complex component 8 OS=Homo sapiens GN=EXOC8 PE=1 SV=2</t>
  </si>
  <si>
    <t>Q8N0U8;Q8N0U8-2</t>
  </si>
  <si>
    <t>&gt;sp|Q8N0U8|VKORL_HUMAN Vitamin K epoxide reductase complex subunit 1-like protein 1 OS=Homo sapiens GN=VKORC1L1 PE=1 SV=2</t>
  </si>
  <si>
    <t>Q8N0U8</t>
  </si>
  <si>
    <t>Q8N556;Q8N556-2</t>
  </si>
  <si>
    <t>&gt;sp|Q8N556|AFAP1_HUMAN Actin filament-associated protein 1 OS=Homo sapiens GN=AFAP1 PE=1 SV=2</t>
  </si>
  <si>
    <t>Q8N556</t>
  </si>
  <si>
    <t>Q8TB36-2;Q8TB36</t>
  </si>
  <si>
    <t>&gt;sp|Q8TB36-2|GDAP1_HUMAN Isoform 2 of Ganglioside-induced differentiation-associated protein 1 OS=Homo sapiens GN=GDAP1</t>
  </si>
  <si>
    <t>Q8TB36-2</t>
  </si>
  <si>
    <t>Q92544</t>
  </si>
  <si>
    <t>&gt;sp|Q92544|TM9S4_HUMAN Transmembrane 9 superfamily member 4 OS=Homo sapiens GN=TM9SF4 PE=1 SV=2</t>
  </si>
  <si>
    <t>Q92572</t>
  </si>
  <si>
    <t>&gt;sp|Q92572|AP3S1_HUMAN AP-3 complex subunit sigma-1 OS=Homo sapiens GN=AP3S1 PE=1 SV=1</t>
  </si>
  <si>
    <t>Q92609;Q92609-2</t>
  </si>
  <si>
    <t>&gt;sp|Q92609|TBCD5_HUMAN TBC1 domain family member 5 OS=Homo sapiens GN=TBC1D5 PE=1 SV=1</t>
  </si>
  <si>
    <t>Q92609</t>
  </si>
  <si>
    <t>Q92974-3;Q92974-2;Q92974</t>
  </si>
  <si>
    <t>&gt;sp|Q92974-3|ARHG2_HUMAN Isoform 3 of Rho guanine nucleotide exchange factor 2 OS=Homo sapiens GN=ARHGEF2</t>
  </si>
  <si>
    <t>Q92974-3</t>
  </si>
  <si>
    <t>Q96CN4;Q96CN4-2</t>
  </si>
  <si>
    <t>&gt;sp|Q96CN4|EVI5L_HUMAN EVI5-like protein OS=Homo sapiens GN=EVI5L PE=1 SV=1</t>
  </si>
  <si>
    <t>Q96CN4</t>
  </si>
  <si>
    <t>Q96CS3</t>
  </si>
  <si>
    <t>&gt;sp|Q96CS3|FAF2_HUMAN FAS-associated factor 2 OS=Homo sapiens GN=FAF2 PE=1 SV=2</t>
  </si>
  <si>
    <t>Q99653</t>
  </si>
  <si>
    <t>&gt;sp|Q99653|CHP1_HUMAN Calcineurin B homologous protein 1 OS=Homo sapiens GN=CHP1 PE=1 SV=3</t>
  </si>
  <si>
    <t>Q9BPX7;Q9BPX7-2</t>
  </si>
  <si>
    <t>&gt;sp|Q9BPX7|CG025_HUMAN UPF0415 protein C7orf25 OS=Homo sapiens GN=C7orf25 PE=1 SV=1</t>
  </si>
  <si>
    <t>Q9BPX7</t>
  </si>
  <si>
    <t>Q9BXA5</t>
  </si>
  <si>
    <t>&gt;sp|Q9BXA5|SUCR1_HUMAN Succinate receptor 1 OS=Homo sapiens GN=SUCNR1 PE=1 SV=2</t>
  </si>
  <si>
    <t>Q9BXR6</t>
  </si>
  <si>
    <t>&gt;sp|Q9BXR6|FHR5_HUMAN Complement factor H-related protein 5 OS=Homo sapiens GN=CFHR5 PE=1 SV=1</t>
  </si>
  <si>
    <t>Q9H257-3;Q9H257-2;Q9H257</t>
  </si>
  <si>
    <t>&gt;sp|Q9H257-3|CARD9_HUMAN Isoform 3 of Caspase recruitment domain-containing protein 9 OS=Homo sapiens GN=CARD9</t>
  </si>
  <si>
    <t>Q9H257-3</t>
  </si>
  <si>
    <t>Q9H4E7</t>
  </si>
  <si>
    <t>&gt;sp|Q9H4E7|DEFI6_HUMAN Differentially expressed in FDCP 6 homolog OS=Homo sapiens GN=DEF6 PE=1 SV=1</t>
  </si>
  <si>
    <t>Q9H4G4</t>
  </si>
  <si>
    <t>&gt;sp|Q9H4G4|GAPR1_HUMAN Golgi-associated plant pathogenesis-related protein 1 OS=Homo sapiens GN=GLIPR2 PE=1 SV=3</t>
  </si>
  <si>
    <t>Q9NRP0;Q9NRP0-2</t>
  </si>
  <si>
    <t>&gt;sp|Q9NRP0|OSTC_HUMAN Oligosaccharyltransferase complex subunit OSTC OS=Homo sapiens GN=OSTC PE=1 SV=1</t>
  </si>
  <si>
    <t>Q9NRP0</t>
  </si>
  <si>
    <t>Q9NVK5-2;Q9NVK5;Q9NVK5-3</t>
  </si>
  <si>
    <t>&gt;sp|Q9NVK5-2|FGOP2_HUMAN Isoform 2 of FGFR1 oncogene partner 2 OS=Homo sapiens GN=FGFR1OP2</t>
  </si>
  <si>
    <t>Q9NVK5-2</t>
  </si>
  <si>
    <t>Q9NVZ3;Q9NVZ3-2;Q9NVZ3-3;Q9NVZ3-4</t>
  </si>
  <si>
    <t>&gt;sp|Q9NVZ3|NECP2_HUMAN Adaptin ear-binding coat-associated protein 2 OS=Homo sapiens GN=NECAP2 PE=1 SV=1</t>
  </si>
  <si>
    <t>Q9NVZ3</t>
  </si>
  <si>
    <t>Q9NZJ7-2;Q9NZJ7</t>
  </si>
  <si>
    <t>&gt;sp|Q9NZJ7-2|MTCH1_HUMAN Isoform 2 of Mitochondrial carrier homolog 1 OS=Homo sapiens GN=MTCH1</t>
  </si>
  <si>
    <t>Q9NZJ7-2</t>
  </si>
  <si>
    <t>Q9P1Z2-2;Q9P1Z2-3;Q9P1Z2;Q9P1Z2-4</t>
  </si>
  <si>
    <t>&gt;sp|Q9P1Z2-2|CACO1_HUMAN Isoform 2 of Calcium-binding and coiled-coil domain-containing protein 1 OS=Homo sapiens GN=CALCOCO1</t>
  </si>
  <si>
    <t>Q9P1Z2-2</t>
  </si>
  <si>
    <t>Q9P2J5-2;Q9P2J5;Q9P2J5-3</t>
  </si>
  <si>
    <t>&gt;sp|Q9P2J5-2|SYLC_HUMAN Isoform 2 of Leucine--tRNA ligase, cytoplasmic OS=Homo sapiens GN=LARS</t>
  </si>
  <si>
    <t>Q9P2J5-2</t>
  </si>
  <si>
    <t>Q9UKF7-2;Q9UKF7</t>
  </si>
  <si>
    <t>&gt;sp|Q9UKF7-2|PITC1_HUMAN Isoform 2 of Cytoplasmic phosphatidylinositol transfer protein 1 OS=Homo sapiens GN=PITPNC1</t>
  </si>
  <si>
    <t>Q9UKF7-2</t>
  </si>
  <si>
    <t>Q9ULL4;Q9ULL4-2</t>
  </si>
  <si>
    <t>&gt;sp|Q9ULL4|PLXB3_HUMAN Plexin-B3 OS=Homo sapiens GN=PLXNB3 PE=1 SV=2</t>
  </si>
  <si>
    <t>Q9ULL4</t>
  </si>
  <si>
    <t>Q9Y210-2;Q9Y210-3;Q9Y210;Q9HCX4-2;Q9HCX4-3;Q9HCX4</t>
  </si>
  <si>
    <t>&gt;sp|Q9Y210-2|TRPC6_HUMAN Isoform 2 of Short transient receptor potential channel 6 OS=Homo sapiens GN=TRPC6</t>
  </si>
  <si>
    <t>Q9Y210-2</t>
  </si>
  <si>
    <t>Q9Y2B0</t>
  </si>
  <si>
    <t>&gt;sp|Q9Y2B0|CNPY2_HUMAN Protein canopy homolog 2 OS=Homo sapiens GN=CNPY2 PE=1 SV=1</t>
  </si>
  <si>
    <t>Q9Y2J2-2;Q9Y2J2-4;Q9Y2J2;Q9Y2J2-3</t>
  </si>
  <si>
    <t>&gt;sp|Q9Y2J2-2|E41L3_HUMAN Isoform 2 of Band 4.1-like protein 3 OS=Homo sapiens GN=EPB41L3</t>
  </si>
  <si>
    <t>Q9Y2J2-2</t>
  </si>
  <si>
    <t>Q9Y4D8-4;Q9Y4D8;Q9Y4D8-2</t>
  </si>
  <si>
    <t>&gt;sp|Q9Y4D8-4|HECD4_HUMAN Isoform 4 of Probable E3 ubiquitin-protein ligase HECTD4 OS=Homo sapiens GN=HECTD4</t>
  </si>
  <si>
    <t>Q9Y4D8-4</t>
  </si>
  <si>
    <t>Q9Y6Y8-2;Q9Y6Y8</t>
  </si>
  <si>
    <t>&gt;sp|Q9Y6Y8-2|S23IP_HUMAN Isoform 2 of SEC23-interacting protein OS=Homo sapiens GN=SEC23IP</t>
  </si>
  <si>
    <t>Q9Y6Y8-2</t>
  </si>
  <si>
    <t>A1A4S6</t>
  </si>
  <si>
    <t>&gt;sp|A1A4S6|RHG10_HUMAN Rho GTPase-activating protein 10 OS=Homo sapiens GN=ARHGAP10 PE=1 SV=1</t>
  </si>
  <si>
    <t>O14545-2;O14545</t>
  </si>
  <si>
    <t>&gt;sp|O14545-2|TRAD1_HUMAN Isoform 2 of TRAF-type zinc finger domain-containing protein 1 OS=Homo sapiens GN=TRAFD1</t>
  </si>
  <si>
    <t>O14545-2</t>
  </si>
  <si>
    <t>O14744-4;O14744-2;O14744;O14744-3;O14744-5</t>
  </si>
  <si>
    <t>&gt;sp|O14744-4|ANM5_HUMAN Isoform 4 of Protein arginine N-methyltransferase 5 OS=Homo sapiens GN=PRMT5</t>
  </si>
  <si>
    <t>O14744-4</t>
  </si>
  <si>
    <t>O15357;O15357-2</t>
  </si>
  <si>
    <t>&gt;sp|O15357|SHIP2_HUMAN Phosphatidylinositol 3,4,5-trisphosphate 5-phosphatase 2 OS=Homo sapiens GN=INPPL1 PE=1 SV=2</t>
  </si>
  <si>
    <t>O15357</t>
  </si>
  <si>
    <t>O15551</t>
  </si>
  <si>
    <t>&gt;sp|O15551|CLD3_HUMAN Claudin-3 OS=Homo sapiens GN=CLDN3 PE=1 SV=1</t>
  </si>
  <si>
    <t>O43615</t>
  </si>
  <si>
    <t>&gt;sp|O43615|TIM44_HUMAN Mitochondrial import inner membrane translocase subunit TIM44 OS=Homo sapiens GN=TIMM44 PE=1 SV=2</t>
  </si>
  <si>
    <t>O43920</t>
  </si>
  <si>
    <t>&gt;sp|O43920|NDUS5_HUMAN NADH dehydrogenase [ubiquinone] iron-sulfur protein 5 OS=Homo sapiens GN=NDUFS5 PE=1 SV=3</t>
  </si>
  <si>
    <t>O94874-3;O94874-2;O94874</t>
  </si>
  <si>
    <t>&gt;sp|O94874-3|UFL1_HUMAN Isoform 3 of E3 UFM1-protein ligase 1 OS=Homo sapiens GN=UFL1</t>
  </si>
  <si>
    <t>O94874-3</t>
  </si>
  <si>
    <t>O95456-2;O95456</t>
  </si>
  <si>
    <t>&gt;sp|O95456-2|PSMG1_HUMAN Isoform 2 of Proteasome assembly chaperone 1 OS=Homo sapiens GN=PSMG1</t>
  </si>
  <si>
    <t>O95456-2</t>
  </si>
  <si>
    <t>O95573</t>
  </si>
  <si>
    <t>&gt;sp|O95573|ACSL3_HUMAN Long-chain-fatty-acid--CoA ligase 3 OS=Homo sapiens GN=ACSL3 PE=1 SV=3</t>
  </si>
  <si>
    <t>P01601</t>
  </si>
  <si>
    <t>&gt;sp|P01601|KV109_HUMAN Ig kappa chain V-ID region 16 (Fragment) OS=Homo sapiens GN=IGKV1D-16 PE=4 SV=2</t>
  </si>
  <si>
    <t>P01604</t>
  </si>
  <si>
    <t>&gt;sp|P01604|KV112_HUMAN Ig kappa chain V-I region Kue OS=Homo sapiens PE=1 SV=1</t>
  </si>
  <si>
    <t>P01889</t>
  </si>
  <si>
    <t>&gt;sp|P01889|1B07_HUMAN HLA class I histocompatibility antigen, B-7 alpha chain OS=Homo sapiens GN=HLA-B PE=1 SV=3</t>
  </si>
  <si>
    <t>P01891</t>
  </si>
  <si>
    <t>&gt;sp|P01891|1A68_HUMAN HLA class I histocompatibility antigen, A-68 alpha chain OS=Homo sapiens GN=HLA-A PE=1 SV=4</t>
  </si>
  <si>
    <t>P01903;P01906</t>
  </si>
  <si>
    <t>&gt;sp|P01903|DRA_HUMAN HLA class II histocompatibility antigen, DR alpha chain OS=Homo sapiens GN=HLA-DRA PE=1 SV=1</t>
  </si>
  <si>
    <t>P01903</t>
  </si>
  <si>
    <t>P02686-2;P02686</t>
  </si>
  <si>
    <t>&gt;sp|P02686-2|MBP_HUMAN Isoform 2 of Myelin basic protein OS=Homo sapiens GN=MBP</t>
  </si>
  <si>
    <t>P02686-2</t>
  </si>
  <si>
    <t>P06454-2;P06454</t>
  </si>
  <si>
    <t>&gt;sp|P06454-2|PTMA_HUMAN Isoform 2 of Prothymosin alpha OS=Homo sapiens GN=PTMA</t>
  </si>
  <si>
    <t>P06454-2</t>
  </si>
  <si>
    <t>P08294</t>
  </si>
  <si>
    <t>&gt;sp|P08294|SODE_HUMAN Extracellular superoxide dismutase [Cu-Zn] OS=Homo sapiens GN=SOD3 PE=1 SV=2</t>
  </si>
  <si>
    <t>P10124</t>
  </si>
  <si>
    <t>&gt;sp|P10124|SRGN_HUMAN Serglycin OS=Homo sapiens GN=SRGN PE=1 SV=3</t>
  </si>
  <si>
    <t>P14735;P14735-2</t>
  </si>
  <si>
    <t>&gt;sp|P14735|IDE_HUMAN Insulin-degrading enzyme OS=Homo sapiens GN=IDE PE=1 SV=4</t>
  </si>
  <si>
    <t>P14735</t>
  </si>
  <si>
    <t>P16150</t>
  </si>
  <si>
    <t>&gt;sp|P16150|LEUK_HUMAN Leukosialin OS=Homo sapiens GN=SPN PE=1 SV=1</t>
  </si>
  <si>
    <t>P22891;P22891-2</t>
  </si>
  <si>
    <t>&gt;sp|P22891|PROZ_HUMAN Vitamin K-dependent protein Z OS=Homo sapiens GN=PROZ PE=1 SV=2</t>
  </si>
  <si>
    <t>P22891</t>
  </si>
  <si>
    <t>P30466</t>
  </si>
  <si>
    <t>&gt;sp|P30466|1B18_HUMAN HLA class I histocompatibility antigen, B-18 alpha chain OS=Homo sapiens GN=HLA-B PE=1 SV=1</t>
  </si>
  <si>
    <t>P30475</t>
  </si>
  <si>
    <t>&gt;sp|P30475|1B39_HUMAN HLA class I histocompatibility antigen, B-39 alpha chain OS=Homo sapiens GN=HLA-B PE=1 SV=1</t>
  </si>
  <si>
    <t>P30481</t>
  </si>
  <si>
    <t>&gt;sp|P30481|1B44_HUMAN HLA class I histocompatibility antigen, B-44 alpha chain OS=Homo sapiens GN=HLA-B PE=1 SV=1</t>
  </si>
  <si>
    <t>P35236;P35236-2;P35236-3</t>
  </si>
  <si>
    <t>&gt;sp|P35236|PTN7_HUMAN Tyrosine-protein phosphatase non-receptor type 7 OS=Homo sapiens GN=PTPN7 PE=1 SV=3</t>
  </si>
  <si>
    <t>P35236</t>
  </si>
  <si>
    <t>P36776-3;P36776-2;P36776</t>
  </si>
  <si>
    <t>&gt;sp|P36776-3|LONM_HUMAN Isoform 3 of Lon protease homolog, mitochondrial OS=Homo sapiens GN=LONP1</t>
  </si>
  <si>
    <t>P36776-3</t>
  </si>
  <si>
    <t>P38159-2;P38159;Q96E39</t>
  </si>
  <si>
    <t>&gt;sp|P38159-2|RBMX_HUMAN Isoform 2 of RNA-binding motif protein, X chromosome OS=Homo sapiens GN=RBMX</t>
  </si>
  <si>
    <t>P38159-2</t>
  </si>
  <si>
    <t>P41252</t>
  </si>
  <si>
    <t>&gt;sp|P41252|SYIC_HUMAN Isoleucine--tRNA ligase, cytoplasmic OS=Homo sapiens GN=IARS PE=1 SV=2</t>
  </si>
  <si>
    <t>P48553;P48553-2</t>
  </si>
  <si>
    <t>&gt;sp|P48553|TPC10_HUMAN Trafficking protein particle complex subunit 10 OS=Homo sapiens GN=TRAPPC10 PE=1 SV=2</t>
  </si>
  <si>
    <t>P48553</t>
  </si>
  <si>
    <t>P50440-3;P50440-2;P50440</t>
  </si>
  <si>
    <t>&gt;sp|P50440-3|GATM_HUMAN Isoform 3 of Glycine amidinotransferase, mitochondrial OS=Homo sapiens GN=GATM</t>
  </si>
  <si>
    <t>P50440-3</t>
  </si>
  <si>
    <t>P51816-7;P51816-2;P51816-6;P51816-3;P51816-5;P51816</t>
  </si>
  <si>
    <t>&gt;sp|P51816-7|AFF2_HUMAN Isoform 7 of AF4/FMR2 family member 2 OS=Homo sapiens GN=AFF2</t>
  </si>
  <si>
    <t>P51816-7</t>
  </si>
  <si>
    <t>P52597</t>
  </si>
  <si>
    <t>&gt;sp|P52597|HNRPF_HUMAN Heterogeneous nuclear ribonucleoprotein F OS=Homo sapiens GN=HNRNPF PE=1 SV=3</t>
  </si>
  <si>
    <t>P55210-4;P55210;P55210-3;P55210-2</t>
  </si>
  <si>
    <t>&gt;sp|P55210-4|CASP7_HUMAN Isoform 4 of Caspase-7 OS=Homo sapiens GN=CASP7</t>
  </si>
  <si>
    <t>P55210-4</t>
  </si>
  <si>
    <t>P55211-3;P55211-2;P55211-4;P55211</t>
  </si>
  <si>
    <t>&gt;sp|P55211-3|CASP9_HUMAN Isoform 3 of Caspase-9 OS=Homo sapiens GN=CASP9</t>
  </si>
  <si>
    <t>P55211-3</t>
  </si>
  <si>
    <t>P63244</t>
  </si>
  <si>
    <t>&gt;sp|P63244|GBLP_HUMAN Guanine nucleotide-binding protein subunit beta-2-like 1 OS=Homo sapiens GN=GNB2L1 PE=1 SV=3</t>
  </si>
  <si>
    <t>P83593</t>
  </si>
  <si>
    <t>&gt;sp|P83593|KV405_HUMAN Ig kappa chain V-IV region STH (Fragment) OS=Homo sapiens PE=1 SV=1</t>
  </si>
  <si>
    <t>Q00059;Q00059-2</t>
  </si>
  <si>
    <t>&gt;sp|Q00059|TFAM_HUMAN Transcription factor A, mitochondrial OS=Homo sapiens GN=TFAM PE=1 SV=1</t>
  </si>
  <si>
    <t>Q00059</t>
  </si>
  <si>
    <t>Q02040</t>
  </si>
  <si>
    <t>&gt;sp|Q02040|AK17A_HUMAN A-kinase anchor protein 17A OS=Homo sapiens GN=AKAP17A PE=1 SV=2</t>
  </si>
  <si>
    <t>Q02790</t>
  </si>
  <si>
    <t>&gt;sp|Q02790|FKBP4_HUMAN Peptidyl-prolyl cis-trans isomerase FKBP4 OS=Homo sapiens GN=FKBP4 PE=1 SV=3</t>
  </si>
  <si>
    <t>Q07817-2;Q07817-3;Q07817</t>
  </si>
  <si>
    <t>&gt;sp|Q07817-2|B2CL1_HUMAN Isoform Bcl-X(S) of Bcl-2-like protein 1 OS=Homo sapiens GN=BCL2L1</t>
  </si>
  <si>
    <t>Q07817-2</t>
  </si>
  <si>
    <t>Q13103</t>
  </si>
  <si>
    <t>&gt;sp|Q13103|SPP24_HUMAN Secreted phosphoprotein 24 OS=Homo sapiens GN=SPP2 PE=1 SV=1</t>
  </si>
  <si>
    <t>Q13501-2;Q13501</t>
  </si>
  <si>
    <t>&gt;sp|Q13501-2|SQSTM_HUMAN Isoform 2 of Sequestosome-1 OS=Homo sapiens GN=SQSTM1</t>
  </si>
  <si>
    <t>Q13501-2</t>
  </si>
  <si>
    <t>Q14088</t>
  </si>
  <si>
    <t>&gt;sp|Q14088|RB33A_HUMAN Ras-related protein Rab-33A OS=Homo sapiens GN=RAB33A PE=1 SV=2</t>
  </si>
  <si>
    <t>Q14232-2;Q14232</t>
  </si>
  <si>
    <t>&gt;sp|Q14232-2|EI2BA_HUMAN Isoform 2 of Translation initiation factor eIF-2B subunit alpha OS=Homo sapiens GN=EIF2B1</t>
  </si>
  <si>
    <t>Q14232-2</t>
  </si>
  <si>
    <t>Q15057</t>
  </si>
  <si>
    <t>&gt;sp|Q15057|ACAP2_HUMAN Arf-GAP with coiled-coil, ANK repeat and PH domain-containing protein 2 OS=Homo sapiens GN=ACAP2 PE=1 SV=3</t>
  </si>
  <si>
    <t>Q16822;P35558-2;Q16822-2;P35558</t>
  </si>
  <si>
    <t>&gt;sp|Q16822|PCKGM_HUMAN Phosphoenolpyruvate carboxykinase [GTP], mitochondrial OS=Homo sapiens GN=PCK2 PE=1 SV=3</t>
  </si>
  <si>
    <t>Q16822</t>
  </si>
  <si>
    <t>Q5MNZ9-2;Q5MNZ9</t>
  </si>
  <si>
    <t>&gt;sp|Q5MNZ9-2|WIPI1_HUMAN Isoform 2 of WD repeat domain phosphoinositide-interacting protein 1 OS=Homo sapiens GN=WIPI1</t>
  </si>
  <si>
    <t>Q5MNZ9-2</t>
  </si>
  <si>
    <t>Q6PCE3</t>
  </si>
  <si>
    <t>&gt;sp|Q6PCE3|PGM2L_HUMAN Glucose 1,6-bisphosphate synthase OS=Homo sapiens GN=PGM2L1 PE=1 SV=3</t>
  </si>
  <si>
    <t>Q6PGP7</t>
  </si>
  <si>
    <t>&gt;sp|Q6PGP7|TTC37_HUMAN Tetratricopeptide repeat protein 37 OS=Homo sapiens GN=TTC37 PE=1 SV=1</t>
  </si>
  <si>
    <t>Q8IUD2-3;Q8IUD2</t>
  </si>
  <si>
    <t>&gt;sp|Q8IUD2-3|RB6I2_HUMAN Isoform 3 of ELKS/Rab6-interacting/CAST family member 1 OS=Homo sapiens GN=ERC1</t>
  </si>
  <si>
    <t>Q8IUD2-3</t>
  </si>
  <si>
    <t>Q8IUR0</t>
  </si>
  <si>
    <t>&gt;sp|Q8IUR0|TPPC5_HUMAN Trafficking protein particle complex subunit 5 OS=Homo sapiens GN=TRAPPC5 PE=1 SV=1</t>
  </si>
  <si>
    <t>Q8IZD0;Q8IZD0-2</t>
  </si>
  <si>
    <t>&gt;sp|Q8IZD0|SAM14_HUMAN Sterile alpha motif domain-containing protein 14 OS=Homo sapiens GN=SAMD14 PE=2 SV=2</t>
  </si>
  <si>
    <t>Q8IZD0</t>
  </si>
  <si>
    <t>Q8N3D4</t>
  </si>
  <si>
    <t>&gt;sp|Q8N3D4|EH1L1_HUMAN EH domain-binding protein 1-like protein 1 OS=Homo sapiens GN=EHBP1L1 PE=1 SV=2</t>
  </si>
  <si>
    <t>Q8NBJ7;Q8NBJ7-3;Q8NBJ7-2;Q8NBJ7-5;Q8NBJ7-4</t>
  </si>
  <si>
    <t>&gt;sp|Q8NBJ7|SUMF2_HUMAN Sulfatase-modifying factor 2 OS=Homo sapiens GN=SUMF2 PE=1 SV=2</t>
  </si>
  <si>
    <t>Q8NBJ7</t>
  </si>
  <si>
    <t>Q8NBQ5</t>
  </si>
  <si>
    <t>&gt;sp|Q8NBQ5|DHB11_HUMAN Estradiol 17-beta-dehydrogenase 11 OS=Homo sapiens GN=HSD17B11 PE=1 SV=3</t>
  </si>
  <si>
    <t>Q8NDC0</t>
  </si>
  <si>
    <t>&gt;sp|Q8NDC0|MISSL_HUMAN MAPK-interacting and spindle-stabilizing protein-like OS=Homo sapiens GN=MAPK1IP1L PE=1 SV=4</t>
  </si>
  <si>
    <t>Q8TB40-2;Q8TB40</t>
  </si>
  <si>
    <t>&gt;sp|Q8TB40-2|ABHD4_HUMAN Isoform 2 of Abhydrolase domain-containing protein 4 OS=Homo sapiens GN=ABHD4</t>
  </si>
  <si>
    <t>Q8TB40-2</t>
  </si>
  <si>
    <t>Q92954-5;Q92954-4;Q92954-3;Q92954-6;Q92954-2;Q92954</t>
  </si>
  <si>
    <t>&gt;sp|Q92954-5|PRG4_HUMAN Isoform E of Proteoglycan 4 OS=Homo sapiens GN=PRG4</t>
  </si>
  <si>
    <t>Q92954-5</t>
  </si>
  <si>
    <t>Q96A33-2;Q96A33</t>
  </si>
  <si>
    <t>&gt;sp|Q96A33-2|CCD47_HUMAN Isoform 2 of Coiled-coil domain-containing protein 47 OS=Homo sapiens GN=CCDC47</t>
  </si>
  <si>
    <t>Q96A33-2</t>
  </si>
  <si>
    <t>Q96BS2-3;Q96BS2</t>
  </si>
  <si>
    <t>&gt;sp|Q96BS2-3|CHP3_HUMAN Isoform 3 of Calcineurin B homologous protein 3 OS=Homo sapiens GN=TESC</t>
  </si>
  <si>
    <t>Q96BS2-3</t>
  </si>
  <si>
    <t>Q96KB5;Q96KB5-2</t>
  </si>
  <si>
    <t>&gt;sp|Q96KB5|TOPK_HUMAN Lymphokine-activated killer T-cell-originated protein kinase OS=Homo sapiens GN=PBK PE=1 SV=3</t>
  </si>
  <si>
    <t>Q96KB5</t>
  </si>
  <si>
    <t>Q96KG9-5;Q96KG9-3;Q96KG9-4;Q96KG9-6;Q96KG9-2;Q96KG9</t>
  </si>
  <si>
    <t>&gt;sp|Q96KG9-5|NTKL_HUMAN Isoform 5 of N-terminal kinase-like protein OS=Homo sapiens GN=SCYL1</t>
  </si>
  <si>
    <t>Q96KG9-5</t>
  </si>
  <si>
    <t>Q96P70</t>
  </si>
  <si>
    <t>&gt;sp|Q96P70|IPO9_HUMAN Importin-9 OS=Homo sapiens GN=IPO9 PE=1 SV=3</t>
  </si>
  <si>
    <t>Q96QS1-2;Q96QS1</t>
  </si>
  <si>
    <t>&gt;sp|Q96QS1-2|TSN32_HUMAN Isoform 2 of Tetraspanin-32 OS=Homo sapiens GN=TSPAN32</t>
  </si>
  <si>
    <t>Q96QS1-2</t>
  </si>
  <si>
    <t>Q96SL4</t>
  </si>
  <si>
    <t>&gt;sp|Q96SL4|GPX7_HUMAN Glutathione peroxidase 7 OS=Homo sapiens GN=GPX7 PE=1 SV=1</t>
  </si>
  <si>
    <t>Q99614</t>
  </si>
  <si>
    <t>&gt;sp|Q99614|TTC1_HUMAN Tetratricopeptide repeat protein 1 OS=Homo sapiens GN=TTC1 PE=1 SV=1</t>
  </si>
  <si>
    <t>Q9GZS3</t>
  </si>
  <si>
    <t>&gt;sp|Q9GZS3|WDR61_HUMAN WD repeat-containing protein 61 OS=Homo sapiens GN=WDR61 PE=1 SV=1</t>
  </si>
  <si>
    <t>Q9H074-3;Q9H074-2;Q9H074</t>
  </si>
  <si>
    <t>&gt;sp|Q9H074-3|PAIP1_HUMAN Isoform 3 of Polyadenylate-binding protein-interacting protein 1 OS=Homo sapiens GN=PAIP1</t>
  </si>
  <si>
    <t>Q9H074-3</t>
  </si>
  <si>
    <t>Q9H0Z9;Q9H0Z9-2;Q9BX46</t>
  </si>
  <si>
    <t>&gt;sp|Q9H0Z9|RBM38_HUMAN RNA-binding protein 38 OS=Homo sapiens GN=RBM38 PE=1 SV=2</t>
  </si>
  <si>
    <t>Q9H0Z9</t>
  </si>
  <si>
    <t>Q9H1B5;Q9H1B5-2</t>
  </si>
  <si>
    <t>&gt;sp|Q9H1B5|XYLT2_HUMAN Xylosyltransferase 2 OS=Homo sapiens GN=XYLT2 PE=2 SV=2</t>
  </si>
  <si>
    <t>Q9H1B5</t>
  </si>
  <si>
    <t>Q9H7Z7</t>
  </si>
  <si>
    <t>&gt;sp|Q9H7Z7|PGES2_HUMAN Prostaglandin E synthase 2 OS=Homo sapiens GN=PTGES2 PE=1 SV=1</t>
  </si>
  <si>
    <t>Q9H9B4</t>
  </si>
  <si>
    <t>&gt;sp|Q9H9B4|SFXN1_HUMAN Sideroflexin-1 OS=Homo sapiens GN=SFXN1 PE=1 SV=4</t>
  </si>
  <si>
    <t>Q9HCN8</t>
  </si>
  <si>
    <t>&gt;sp|Q9HCN8|SDF2L_HUMAN Stromal cell-derived factor 2-like protein 1 OS=Homo sapiens GN=SDF2L1 PE=1 SV=2</t>
  </si>
  <si>
    <t>Q9NR19;Q9NR19-2</t>
  </si>
  <si>
    <t>&gt;sp|Q9NR19|ACSA_HUMAN Acetyl-coenzyme A synthetase, cytoplasmic OS=Homo sapiens GN=ACSS2 PE=1 SV=1</t>
  </si>
  <si>
    <t>Q9NR19</t>
  </si>
  <si>
    <t>Q9NRK6</t>
  </si>
  <si>
    <t>&gt;sp|Q9NRK6|ABCBA_HUMAN ATP-binding cassette sub-family B member 10, mitochondrial OS=Homo sapiens GN=ABCB10 PE=1 SV=2</t>
  </si>
  <si>
    <t>Q9NT62-2;Q9NT62</t>
  </si>
  <si>
    <t>&gt;sp|Q9NT62-2|ATG3_HUMAN Isoform 2 of Ubiquitin-like-conjugating enzyme ATG3 OS=Homo sapiens GN=ATG3</t>
  </si>
  <si>
    <t>Q9NT62-2</t>
  </si>
  <si>
    <t>Q9UBM7</t>
  </si>
  <si>
    <t>&gt;sp|Q9UBM7|DHCR7_HUMAN 7-dehydrocholesterol reductase OS=Homo sapiens GN=DHCR7 PE=1 SV=1</t>
  </si>
  <si>
    <t>Q9UHD2</t>
  </si>
  <si>
    <t>&gt;sp|Q9UHD2|TBK1_HUMAN Serine/threonine-protein kinase TBK1 OS=Homo sapiens GN=TBK1 PE=1 SV=1</t>
  </si>
  <si>
    <t>Q9UHG3;Q9UHG3-2</t>
  </si>
  <si>
    <t>&gt;sp|Q9UHG3|PCYOX_HUMAN Prenylcysteine oxidase 1 OS=Homo sapiens GN=PCYOX1 PE=1 SV=3</t>
  </si>
  <si>
    <t>Q9UHG3</t>
  </si>
  <si>
    <t>Q9UI09-2;Q9UI09</t>
  </si>
  <si>
    <t>&gt;sp|Q9UI09-2|NDUAC_HUMAN Isoform 2 of NADH dehydrogenase [ubiquinone] 1 alpha subcomplex subunit 12 OS=Homo sapiens GN=NDUFA12</t>
  </si>
  <si>
    <t>Q9UI09-2</t>
  </si>
  <si>
    <t>Q9UI12-2;Q9UI12</t>
  </si>
  <si>
    <t>&gt;sp|Q9UI12-2|VATH_HUMAN Isoform 2 of V-type proton ATPase subunit H OS=Homo sapiens GN=ATP6V1H</t>
  </si>
  <si>
    <t>Q9UI12-2</t>
  </si>
  <si>
    <t>Q9UPN7</t>
  </si>
  <si>
    <t>&gt;sp|Q9UPN7|PP6R1_HUMAN Serine/threonine-protein phosphatase 6 regulatory subunit 1 OS=Homo sapiens GN=PPP6R1 PE=1 SV=5</t>
  </si>
  <si>
    <t>Q9Y6I9</t>
  </si>
  <si>
    <t>&gt;sp|Q9Y6I9|TX264_HUMAN Testis-expressed sequence 264 protein OS=Homo sapiens GN=TEX264 PE=1 SV=1</t>
  </si>
  <si>
    <t>Q9Y6M1-5;Q9Y6M1-6;Q9Y6M1-3;Q9Y6M1-4;Q9Y6M1-1;Q9Y6M1</t>
  </si>
  <si>
    <t>&gt;sp|Q9Y6M1-5|IF2B2_HUMAN Isoform 5 of Insulin-like growth factor 2 mRNA-binding protein 2 OS=Homo sapiens GN=IGF2BP2</t>
  </si>
  <si>
    <t>Q9Y6M1-5</t>
  </si>
  <si>
    <t>Q9Y6X5</t>
  </si>
  <si>
    <t>&gt;sp|Q9Y6X5|ENPP4_HUMAN Bis(5-adenosyl)-triphosphatase ENPP4 OS=Homo sapiens GN=ENPP4 PE=1 SV=3</t>
  </si>
  <si>
    <t>A0M8Q6</t>
  </si>
  <si>
    <t>&gt;sp|A0M8Q6|LAC7_HUMAN Ig lambda-7 chain C region OS=Homo sapiens GN=IGLC7 PE=4 SV=2</t>
  </si>
  <si>
    <t>O00178</t>
  </si>
  <si>
    <t>&gt;sp|O00178|GTPB1_HUMAN GTP-binding protein 1 OS=Homo sapiens GN=GTPBP1 PE=1 SV=3</t>
  </si>
  <si>
    <t>O14735-3;O14735</t>
  </si>
  <si>
    <t>&gt;sp|O14735-3|CDIPT_HUMAN Isoform 3 of CDP-diacylglycerol--inositol 3-phosphatidyltransferase OS=Homo sapiens GN=CDIPT</t>
  </si>
  <si>
    <t>O14735-3</t>
  </si>
  <si>
    <t>O14920-4;O14920-2;O14920</t>
  </si>
  <si>
    <t>&gt;sp|O14920-4|IKKB_HUMAN Isoform 4 of Inhibitor of nuclear factor kappa-B kinase subunit beta OS=Homo sapiens GN=IKBKB</t>
  </si>
  <si>
    <t>O14920-4</t>
  </si>
  <si>
    <t>O14976-2;O14976</t>
  </si>
  <si>
    <t>&gt;sp|O14976-2|GAK_HUMAN Isoform 2 of Cyclin-G-associated kinase OS=Homo sapiens GN=GAK</t>
  </si>
  <si>
    <t>O14976-2</t>
  </si>
  <si>
    <t>O15084-2;O15084;O15084-4;O15084-1</t>
  </si>
  <si>
    <t>&gt;sp|O15084-2|ANR28_HUMAN Isoform 2 of Serine/threonine-protein phosphatase 6 regulatory ankyrin repeat subunit A OS=Homo sapiens GN=ANKRD28</t>
  </si>
  <si>
    <t>O15084-2</t>
  </si>
  <si>
    <t>O43318-4;O43318-3;O43318-2;O43318</t>
  </si>
  <si>
    <t>&gt;sp|O43318-4|M3K7_HUMAN Isoform 1D of Mitogen-activated protein kinase kinase kinase 7 OS=Homo sapiens GN=MAP3K7</t>
  </si>
  <si>
    <t>O43318-4</t>
  </si>
  <si>
    <t>O43464-2;O43464-4;O43464-3;O43464</t>
  </si>
  <si>
    <t>&gt;sp|O43464-2|HTRA2_HUMAN Isoform 2 of Serine protease HTRA2, mitochondrial OS=Homo sapiens GN=HTRA2</t>
  </si>
  <si>
    <t>O43464-2</t>
  </si>
  <si>
    <t>O43752</t>
  </si>
  <si>
    <t>&gt;sp|O43752|STX6_HUMAN Syntaxin-6 OS=Homo sapiens GN=STX6 PE=1 SV=1</t>
  </si>
  <si>
    <t>O60826</t>
  </si>
  <si>
    <t>&gt;sp|O60826|CCD22_HUMAN Coiled-coil domain-containing protein 22 OS=Homo sapiens GN=CCDC22 PE=1 SV=1</t>
  </si>
  <si>
    <t>O75369-6;O75369-3;O75369-2;O75369-9;O75369;O75369-8;O75369-5;O75369-4;O75369-7</t>
  </si>
  <si>
    <t>&gt;sp|O75369-6|FLNB_HUMAN Isoform 6 of Filamin-B OS=Homo sapiens GN=FLNB</t>
  </si>
  <si>
    <t>O75369-6</t>
  </si>
  <si>
    <t>O94915</t>
  </si>
  <si>
    <t>&gt;sp|O94915|FRYL_HUMAN Protein furry homolog-like OS=Homo sapiens GN=FRYL PE=1 SV=2</t>
  </si>
  <si>
    <t>O95487-2;O95487;O95487-3</t>
  </si>
  <si>
    <t>&gt;sp|O95487-2|SC24B_HUMAN Isoform 2 of Protein transport protein Sec24B OS=Homo sapiens GN=SEC24B</t>
  </si>
  <si>
    <t>O95487-2</t>
  </si>
  <si>
    <t>P01040</t>
  </si>
  <si>
    <t>&gt;sp|P01040|CYTA_HUMAN Cystatin-A OS=Homo sapiens GN=CSTA PE=1 SV=1</t>
  </si>
  <si>
    <t>P01768</t>
  </si>
  <si>
    <t>&gt;sp|P01768|HV307_HUMAN Ig heavy chain V-III region CAM OS=Homo sapiens PE=1 SV=1</t>
  </si>
  <si>
    <t>P03956</t>
  </si>
  <si>
    <t>&gt;sp|P03956|MMP1_HUMAN Interstitial collagenase OS=Homo sapiens GN=MMP1 PE=1 SV=3</t>
  </si>
  <si>
    <t>Q93077;Q7L7L0;P04908</t>
  </si>
  <si>
    <t>&gt;sp|Q93077|H2A1C_HUMAN Histone H2A type 1-C OS=Homo sapiens GN=HIST1H2AC PE=1 SV=3</t>
  </si>
  <si>
    <t>Q93077</t>
  </si>
  <si>
    <t>P05165-3;P05165-2;P05165</t>
  </si>
  <si>
    <t>&gt;sp|P05165-3|PCCA_HUMAN Isoform 3 of Propionyl-CoA carboxylase alpha chain, mitochondrial OS=Homo sapiens GN=PCCA</t>
  </si>
  <si>
    <t>P05165-3</t>
  </si>
  <si>
    <t>P06311</t>
  </si>
  <si>
    <t>&gt;sp|P06311|KV311_HUMAN Ig kappa chain V-III region IARC/BL41 OS=Homo sapiens PE=4 SV=1</t>
  </si>
  <si>
    <t>P07332-3;P07332</t>
  </si>
  <si>
    <t>&gt;sp|P07332-3|FES_HUMAN Isoform 3 of Tyrosine-protein kinase Fes/Fps OS=Homo sapiens GN=FES</t>
  </si>
  <si>
    <t>P07332-3</t>
  </si>
  <si>
    <t>P07738</t>
  </si>
  <si>
    <t>&gt;sp|P07738|PMGE_HUMAN Bisphosphoglycerate mutase OS=Homo sapiens GN=BPGM PE=1 SV=2</t>
  </si>
  <si>
    <t>P08246</t>
  </si>
  <si>
    <t>&gt;sp|P08246|ELNE_HUMAN Neutrophil elastase OS=Homo sapiens GN=ELANE PE=1 SV=1</t>
  </si>
  <si>
    <t>P08754</t>
  </si>
  <si>
    <t>&gt;sp|P08754|GNAI3_HUMAN Guanine nucleotide-binding protein G(k) subunit alpha OS=Homo sapiens GN=GNAI3 PE=1 SV=3</t>
  </si>
  <si>
    <t>P09172</t>
  </si>
  <si>
    <t>&gt;sp|P09172|DOPO_HUMAN Dopamine beta-hydroxylase OS=Homo sapiens GN=DBH PE=1 SV=3</t>
  </si>
  <si>
    <t>P0DJI9</t>
  </si>
  <si>
    <t>&gt;sp|P0DJI9|SAA2_HUMAN Serum amyloid A-2 protein OS=Homo sapiens GN=SAA2 PE=1 SV=1</t>
  </si>
  <si>
    <t>P13727-2;P13727</t>
  </si>
  <si>
    <t>&gt;sp|P13727-2|PRG2_HUMAN Isoform 2 of Bone marrow proteoglycan OS=Homo sapiens GN=PRG2</t>
  </si>
  <si>
    <t>P13727-2</t>
  </si>
  <si>
    <t>P14649</t>
  </si>
  <si>
    <t>&gt;sp|P14649|MYL6B_HUMAN Myosin light chain 6B OS=Homo sapiens GN=MYL6B PE=1 SV=1</t>
  </si>
  <si>
    <t>P14927;P14927-2</t>
  </si>
  <si>
    <t>&gt;sp|P14927|QCR7_HUMAN Cytochrome b-c1 complex subunit 7 OS=Homo sapiens GN=UQCRB PE=1 SV=2</t>
  </si>
  <si>
    <t>P14927</t>
  </si>
  <si>
    <t>P15291-2;P15291</t>
  </si>
  <si>
    <t>&gt;sp|P15291-2|B4GT1_HUMAN Isoform Short of Beta-1,4-galactosyltransferase 1 OS=Homo sapiens GN=B4GALT1</t>
  </si>
  <si>
    <t>P15291-2</t>
  </si>
  <si>
    <t>P15880</t>
  </si>
  <si>
    <t>&gt;sp|P15880|RS2_HUMAN 40S ribosomal protein S2 OS=Homo sapiens GN=RPS2 PE=1 SV=2</t>
  </si>
  <si>
    <t>P19338</t>
  </si>
  <si>
    <t>&gt;sp|P19338|NUCL_HUMAN Nucleolin OS=Homo sapiens GN=NCL PE=1 SV=3</t>
  </si>
  <si>
    <t>P22694;P22694-4;P22694-3;P22694-5;P22694-7;P22694-6;P22694-9;P22694-10;P22694-8</t>
  </si>
  <si>
    <t>&gt;sp|P22694|KAPCB_HUMAN cAMP-dependent protein kinase catalytic subunit beta OS=Homo sapiens GN=PRKACB PE=1 SV=2</t>
  </si>
  <si>
    <t>P22694</t>
  </si>
  <si>
    <t>P23743</t>
  </si>
  <si>
    <t>&gt;sp|P23743|DGKA_HUMAN Diacylglycerol kinase alpha OS=Homo sapiens GN=DGKA PE=1 SV=3</t>
  </si>
  <si>
    <t>P26583</t>
  </si>
  <si>
    <t>&gt;sp|P26583|HMGB2_HUMAN High mobility group protein B2 OS=Homo sapiens GN=HMGB2 PE=1 SV=2</t>
  </si>
  <si>
    <t>P27695</t>
  </si>
  <si>
    <t>&gt;sp|P27695|APEX1_HUMAN DNA-(apurinic or apyrimidinic site) lyase OS=Homo sapiens GN=APEX1 PE=1 SV=2</t>
  </si>
  <si>
    <t>P28288;P28288-2</t>
  </si>
  <si>
    <t>&gt;sp|P28288|ABCD3_HUMAN ATP-binding cassette sub-family D member 3 OS=Homo sapiens GN=ABCD3 PE=1 SV=1</t>
  </si>
  <si>
    <t>P28288</t>
  </si>
  <si>
    <t>P29965</t>
  </si>
  <si>
    <t>&gt;sp|P29965|CD40L_HUMAN CD40 ligand OS=Homo sapiens GN=CD40LG PE=1 SV=1</t>
  </si>
  <si>
    <t>P30460</t>
  </si>
  <si>
    <t>&gt;sp|P30460|1B08_HUMAN HLA class I histocompatibility antigen, B-8 alpha chain OS=Homo sapiens GN=HLA-B PE=1 SV=1</t>
  </si>
  <si>
    <t>P31321</t>
  </si>
  <si>
    <t>&gt;sp|P31321|KAP1_HUMAN cAMP-dependent protein kinase type I-beta regulatory subunit OS=Homo sapiens GN=PRKAR1B PE=1 SV=4</t>
  </si>
  <si>
    <t>P31949</t>
  </si>
  <si>
    <t>&gt;sp|P31949|S10AB_HUMAN Protein S100-A11 OS=Homo sapiens GN=S100A11 PE=1 SV=2</t>
  </si>
  <si>
    <t>P42167-2;P42167;P42167-3;P42166</t>
  </si>
  <si>
    <t>&gt;sp|P42167-2|LAP2B_HUMAN Isoform Gamma of Lamina-associated polypeptide 2, isoforms beta/gamma OS=Homo sapiens GN=TMPO</t>
  </si>
  <si>
    <t>P42167-2</t>
  </si>
  <si>
    <t>P42262-4;P42262-2;P42262;P42262-3</t>
  </si>
  <si>
    <t>&gt;sp|P42262-4|GRIA2_HUMAN Isoform 4 of Glutamate receptor 2 OS=Homo sapiens GN=GRIA2</t>
  </si>
  <si>
    <t>P42262-4</t>
  </si>
  <si>
    <t>P45985;P45985-2</t>
  </si>
  <si>
    <t>&gt;sp|P45985|MP2K4_HUMAN Dual specificity mitogen-activated protein kinase kinase 4 OS=Homo sapiens GN=MAP2K4 PE=1 SV=1</t>
  </si>
  <si>
    <t>P45985</t>
  </si>
  <si>
    <t>P46940</t>
  </si>
  <si>
    <t>&gt;sp|P46940|IQGA1_HUMAN Ras GTPase-activating-like protein IQGAP1 OS=Homo sapiens GN=IQGAP1 PE=1 SV=1</t>
  </si>
  <si>
    <t>P49641-2;P49641-1;P49641</t>
  </si>
  <si>
    <t>&gt;sp|P49641-2|MA2A2_HUMAN Isoform 2 of Alpha-mannosidase 2x OS=Homo sapiens GN=MAN2A2</t>
  </si>
  <si>
    <t>P49641-2</t>
  </si>
  <si>
    <t>P49915-2;P49915</t>
  </si>
  <si>
    <t>&gt;sp|P49915-2|GUAA_HUMAN Isoform 2 of GMP synthase [glutamine-hydrolyzing] OS=Homo sapiens GN=GMPS</t>
  </si>
  <si>
    <t>P49915-2</t>
  </si>
  <si>
    <t>P51970</t>
  </si>
  <si>
    <t>&gt;sp|P51970|NDUA8_HUMAN NADH dehydrogenase [ubiquinone] 1 alpha subcomplex subunit 8 OS=Homo sapiens GN=NDUFA8 PE=1 SV=3</t>
  </si>
  <si>
    <t>P52272-2;P52272</t>
  </si>
  <si>
    <t>&gt;sp|P52272-2|HNRPM_HUMAN Isoform 2 of Heterogeneous nuclear ribonucleoprotein M OS=Homo sapiens GN=HNRNPM</t>
  </si>
  <si>
    <t>P52272-2</t>
  </si>
  <si>
    <t>P53814-5;P53814;P53814-6;P53814-2</t>
  </si>
  <si>
    <t>&gt;sp|P53814-5|SMTN_HUMAN Isoform B2 of Smoothelin OS=Homo sapiens GN=SMTN</t>
  </si>
  <si>
    <t>P53814-5</t>
  </si>
  <si>
    <t>P54922</t>
  </si>
  <si>
    <t>&gt;sp|P54922|ADPRH_HUMAN [Protein ADP-ribosylarginine] hydrolase OS=Homo sapiens GN=ADPRH PE=1 SV=1</t>
  </si>
  <si>
    <t>P55263-3;P55263-4;P55263-2;P55263</t>
  </si>
  <si>
    <t>&gt;sp|P55263-3|ADK_HUMAN Isoform 3 of Adenosine kinase OS=Homo sapiens GN=ADK</t>
  </si>
  <si>
    <t>P55263-3</t>
  </si>
  <si>
    <t>P57057</t>
  </si>
  <si>
    <t>&gt;sp|P57057|GLPT_HUMAN Glycerol-3-phosphate transporter OS=Homo sapiens GN=SLC37A1 PE=2 SV=2</t>
  </si>
  <si>
    <t>P57737-2;P57737-4;P57737;P57737-3</t>
  </si>
  <si>
    <t>&gt;sp|P57737-2|CORO7_HUMAN Isoform 2 of Coronin-7 OS=Homo sapiens GN=CORO7</t>
  </si>
  <si>
    <t>P57737-2</t>
  </si>
  <si>
    <t>P61619</t>
  </si>
  <si>
    <t>&gt;sp|P61619|S61A1_HUMAN Protein transport protein Sec61 subunit alpha isoform 1 OS=Homo sapiens GN=SEC61A1 PE=1 SV=2</t>
  </si>
  <si>
    <t>P67775;P67775-2</t>
  </si>
  <si>
    <t>&gt;sp|P67775|PP2AA_HUMAN Serine/threonine-protein phosphatase 2A catalytic subunit alpha isoform OS=Homo sapiens GN=PPP2CA PE=1 SV=1</t>
  </si>
  <si>
    <t>P67775</t>
  </si>
  <si>
    <t>P80419</t>
  </si>
  <si>
    <t>&gt;sp|P80419|HV322_HUMAN Ig heavy chain V-III region GAR OS=Homo sapiens PE=1 SV=1</t>
  </si>
  <si>
    <t>P98171;P98171-2</t>
  </si>
  <si>
    <t>&gt;sp|P98171|RHG04_HUMAN Rho GTPase-activating protein 4 OS=Homo sapiens GN=ARHGAP4 PE=1 SV=2</t>
  </si>
  <si>
    <t>P98171</t>
  </si>
  <si>
    <t>Q08830</t>
  </si>
  <si>
    <t>&gt;sp|Q08830|FGL1_HUMAN Fibrinogen-like protein 1 OS=Homo sapiens GN=FGL1 PE=1 SV=3</t>
  </si>
  <si>
    <t>Q08AM6;Q08AM6-2</t>
  </si>
  <si>
    <t>&gt;sp|Q08AM6|VAC14_HUMAN Protein VAC14 homolog OS=Homo sapiens GN=VAC14 PE=1 SV=1</t>
  </si>
  <si>
    <t>Q08AM6</t>
  </si>
  <si>
    <t>Q0ZGT2-2</t>
  </si>
  <si>
    <t>&gt;sp|Q0ZGT2-2|NEXN_HUMAN Isoform 2 of Nexilin OS=Homo sapiens GN=NEXN</t>
  </si>
  <si>
    <t>Q13148;Q13148-4</t>
  </si>
  <si>
    <t>&gt;sp|Q13148|TADBP_HUMAN TAR DNA-binding protein 43 OS=Homo sapiens GN=TARDBP PE=1 SV=1</t>
  </si>
  <si>
    <t>Q13148</t>
  </si>
  <si>
    <t>Q14118</t>
  </si>
  <si>
    <t>&gt;sp|Q14118|DAG1_HUMAN Dystroglycan OS=Homo sapiens GN=DAG1 PE=1 SV=2</t>
  </si>
  <si>
    <t>Q14156-3;Q14156-2;Q14156</t>
  </si>
  <si>
    <t>&gt;sp|Q14156-3|EFR3A_HUMAN Isoform 3 of Protein EFR3 homolog A OS=Homo sapiens GN=EFR3A</t>
  </si>
  <si>
    <t>Q14156-3</t>
  </si>
  <si>
    <t>Q15046;Q15046-2</t>
  </si>
  <si>
    <t>&gt;sp|Q15046|SYK_HUMAN Lysine--tRNA ligase OS=Homo sapiens GN=KARS PE=1 SV=3</t>
  </si>
  <si>
    <t>Q15046</t>
  </si>
  <si>
    <t>Q15819</t>
  </si>
  <si>
    <t>&gt;sp|Q15819|UB2V2_HUMAN Ubiquitin-conjugating enzyme E2 variant 2 OS=Homo sapiens GN=UBE2V2 PE=1 SV=4</t>
  </si>
  <si>
    <t>Q16204</t>
  </si>
  <si>
    <t>&gt;sp|Q16204|CCDC6_HUMAN Coiled-coil domain-containing protein 6 OS=Homo sapiens GN=CCDC6 PE=1 SV=2</t>
  </si>
  <si>
    <t>Q17RC7</t>
  </si>
  <si>
    <t>&gt;sp|Q17RC7|EX3L4_HUMAN Exocyst complex component 3-like protein 4 OS=Homo sapiens GN=EXOC3L4 PE=1 SV=2</t>
  </si>
  <si>
    <t>Q3ZAQ7</t>
  </si>
  <si>
    <t>&gt;sp|Q3ZAQ7|VMA21_HUMAN Vacuolar ATPase assembly integral membrane protein VMA21 OS=Homo sapiens GN=VMA21 PE=1 SV=1</t>
  </si>
  <si>
    <t>Q5T013-2;Q5T013-4;Q5T013-3;Q5T013</t>
  </si>
  <si>
    <t>&gt;sp|Q5T013-2|HYI_HUMAN Isoform 2 of Putative hydroxypyruvate isomerase OS=Homo sapiens GN=HYI</t>
  </si>
  <si>
    <t>Q5T013-2</t>
  </si>
  <si>
    <t>Q5UE93</t>
  </si>
  <si>
    <t>&gt;sp|Q5UE93|PI3R6_HUMAN Phosphoinositide 3-kinase regulatory subunit 6 OS=Homo sapiens GN=PIK3R6 PE=1 SV=1</t>
  </si>
  <si>
    <t>Q9Y4E1-5;Q9Y4E1-3;Q9Y4E1-6;Q9Y4E1-2;Q9Y4E1;Q9Y4E1-4;Q641Q2-2;Q641Q2</t>
  </si>
  <si>
    <t>&gt;sp|Q9Y4E1-5|FA21C_HUMAN Isoform 5 of WASH complex subunit FAM21C OS=Homo sapiens GN=FAM21C</t>
  </si>
  <si>
    <t>Q9Y4E1-5</t>
  </si>
  <si>
    <t>Q6FI81-3;Q6FI81</t>
  </si>
  <si>
    <t>&gt;sp|Q6FI81-3|CPIN1_HUMAN Isoform 3 of Anamorsin OS=Homo sapiens GN=CIAPIN1</t>
  </si>
  <si>
    <t>Q6FI81-3</t>
  </si>
  <si>
    <t>Q6JBY9-2;Q6JBY9</t>
  </si>
  <si>
    <t>&gt;sp|Q6JBY9-2|CPZIP_HUMAN Isoform 2 of CapZ-interacting protein OS=Homo sapiens GN=RCSD1</t>
  </si>
  <si>
    <t>Q6JBY9-2</t>
  </si>
  <si>
    <t>Q6P2E9-2;Q6P2E9</t>
  </si>
  <si>
    <t>&gt;sp|Q6P2E9-2|EDC4_HUMAN Isoform 2 of Enhancer of mRNA-decapping protein 4 OS=Homo sapiens GN=EDC4</t>
  </si>
  <si>
    <t>Q6P2E9-2</t>
  </si>
  <si>
    <t>Q6P996-2;Q6P474;Q6P996-4;Q6P996-5;Q6P996</t>
  </si>
  <si>
    <t>&gt;sp|Q6P996-2|PDXD1_HUMAN Isoform 2 of Pyridoxal-dependent decarboxylase domain-containing protein 1 OS=Homo sapiens GN=PDXDC1</t>
  </si>
  <si>
    <t>Q6P996-2</t>
  </si>
  <si>
    <t>Q6ZT21;Q6ZT21-2</t>
  </si>
  <si>
    <t>&gt;sp|Q6ZT21|TMPPE_HUMAN Transmembrane protein with metallophosphoesterase domain OS=Homo sapiens GN=TMPPE PE=2 SV=2</t>
  </si>
  <si>
    <t>Q6ZT21</t>
  </si>
  <si>
    <t>Q6ZU35</t>
  </si>
  <si>
    <t>&gt;sp|Q6ZU35|K1211_HUMAN Uncharacterized protein KIAA1211 OS=Homo sapiens GN=KIAA1211 PE=1 SV=3</t>
  </si>
  <si>
    <t>Q7L266-2;Q7L266</t>
  </si>
  <si>
    <t>&gt;sp|Q7L266-2|ASGL1_HUMAN Isoform 2 of Isoaspartyl peptidase/L-asparaginase OS=Homo sapiens GN=ASRGL1</t>
  </si>
  <si>
    <t>Q7L266-2</t>
  </si>
  <si>
    <t>Q7Z3D6-5;Q7Z3D6-4;Q7Z3D6-3;Q7Z3D6;Q7Z3D6-2</t>
  </si>
  <si>
    <t>&gt;sp|Q7Z3D6-5|CN159_HUMAN Isoform 5 of UPF0317 protein C14orf159, mitochondrial OS=Homo sapiens GN=C14orf159</t>
  </si>
  <si>
    <t>Q7Z3D6-5</t>
  </si>
  <si>
    <t>Q86TI2;Q86TI2-2;Q86TI2-4</t>
  </si>
  <si>
    <t>&gt;sp|Q86TI2|DPP9_HUMAN Dipeptidyl peptidase 9 OS=Homo sapiens GN=DPP9 PE=1 SV=3</t>
  </si>
  <si>
    <t>Q86TI2</t>
  </si>
  <si>
    <t>Q86X10-2;Q86X10-3;Q86X10</t>
  </si>
  <si>
    <t>&gt;sp|Q86X10-2|RLGPB_HUMAN Isoform 2 of Ral GTPase-activating protein subunit beta OS=Homo sapiens GN=RALGAPB</t>
  </si>
  <si>
    <t>Q86X10-2</t>
  </si>
  <si>
    <t>Q86X76-2;Q86X76-4;Q86X76;Q86X76-3;Q86X76-5</t>
  </si>
  <si>
    <t>&gt;sp|Q86X76-2|NIT1_HUMAN Isoform 1 of Nitrilase homolog 1 OS=Homo sapiens GN=NIT1</t>
  </si>
  <si>
    <t>Q86X76-2</t>
  </si>
  <si>
    <t>Q86YA3-7;Q86YA3-2;Q86YA3</t>
  </si>
  <si>
    <t>&gt;sp|Q86YA3-7|ZGRF1_HUMAN Isoform 7 of Protein ZGRF1 OS=Homo sapiens GN=ZGRF1</t>
  </si>
  <si>
    <t>Q86YA3-7</t>
  </si>
  <si>
    <t>Q8IYS2;Q8IYS2-2</t>
  </si>
  <si>
    <t>&gt;sp|Q8IYS2|K2013_HUMAN Uncharacterized protein KIAA2013 OS=Homo sapiens GN=KIAA2013 PE=2 SV=1</t>
  </si>
  <si>
    <t>Q8IYS2</t>
  </si>
  <si>
    <t>Q8N128;Q8N128-2</t>
  </si>
  <si>
    <t>&gt;sp|Q8N128|F177A_HUMAN Protein FAM177A1 OS=Homo sapiens GN=FAM177A1 PE=1 SV=1</t>
  </si>
  <si>
    <t>Q8N128</t>
  </si>
  <si>
    <t>Q8NCG7;Q8NCG7-3;Q8NCG7-2;Q8NCG7-4</t>
  </si>
  <si>
    <t>&gt;sp|Q8NCG7|DGLB_HUMAN Sn1-specific diacylglycerol lipase beta OS=Homo sapiens GN=DAGLB PE=1 SV=2</t>
  </si>
  <si>
    <t>Q8NCG7</t>
  </si>
  <si>
    <t>Q8TC26</t>
  </si>
  <si>
    <t>&gt;sp|Q8TC26|TM163_HUMAN Transmembrane protein 163 OS=Homo sapiens GN=TMEM163 PE=2 SV=1</t>
  </si>
  <si>
    <t>Q8TCT9-5;Q8TCT9;Q8TCT9-4;Q8TCT9-2</t>
  </si>
  <si>
    <t>&gt;sp|Q8TCT9-5|HM13_HUMAN Isoform 5 of Minor histocompatibility antigen H13 OS=Homo sapiens GN=HM13</t>
  </si>
  <si>
    <t>Q8TCT9-5</t>
  </si>
  <si>
    <t>Q8TF64</t>
  </si>
  <si>
    <t>&gt;sp|Q8TF64|GIPC3_HUMAN PDZ domain-containing protein GIPC3 OS=Homo sapiens GN=GIPC3 PE=1 SV=1</t>
  </si>
  <si>
    <t>Q8WV41</t>
  </si>
  <si>
    <t>&gt;sp|Q8WV41|SNX33_HUMAN Sorting nexin-33 OS=Homo sapiens GN=SNX33 PE=1 SV=1</t>
  </si>
  <si>
    <t>Q8WXE0;Q8WXE0-2</t>
  </si>
  <si>
    <t>&gt;sp|Q8WXE0|CSKI2_HUMAN Caskin-2 OS=Homo sapiens GN=CASKIN2 PE=1 SV=2</t>
  </si>
  <si>
    <t>Q8WXE0</t>
  </si>
  <si>
    <t>Q92504</t>
  </si>
  <si>
    <t>&gt;sp|Q92504|S39A7_HUMAN Zinc transporter SLC39A7 OS=Homo sapiens GN=SLC39A7 PE=1 SV=2</t>
  </si>
  <si>
    <t>Q92575</t>
  </si>
  <si>
    <t>&gt;sp|Q92575|UBXN4_HUMAN UBX domain-containing protein 4 OS=Homo sapiens GN=UBXN4 PE=1 SV=2</t>
  </si>
  <si>
    <t>Q96C19;Q9BUP0-2;Q9BUP0</t>
  </si>
  <si>
    <t>&gt;sp|Q96C19|EFHD2_HUMAN EF-hand domain-containing protein D2 OS=Homo sapiens GN=EFHD2 PE=1 SV=1</t>
  </si>
  <si>
    <t>Q96C19</t>
  </si>
  <si>
    <t>Q96EK7;Q96EK7-3;Q96EK7-2</t>
  </si>
  <si>
    <t>&gt;sp|Q96EK7|F120B_HUMAN Constitutive coactivator of peroxisome proliferator-activated receptor gamma OS=Homo sapiens GN=FAM120B PE=1 SV=1</t>
  </si>
  <si>
    <t>Q96EK7</t>
  </si>
  <si>
    <t>Q96HS1;Q96HS1-2</t>
  </si>
  <si>
    <t>&gt;sp|Q96HS1|PGAM5_HUMAN Serine/threonine-protein phosphatase PGAM5, mitochondrial OS=Homo sapiens GN=PGAM5 PE=1 SV=2</t>
  </si>
  <si>
    <t>Q96HS1</t>
  </si>
  <si>
    <t>Q96HY6-2;Q96HY6</t>
  </si>
  <si>
    <t>&gt;sp|Q96HY6-2|DDRGK_HUMAN Isoform 2 of DDRGK domain-containing protein 1 OS=Homo sapiens GN=DDRGK1</t>
  </si>
  <si>
    <t>Q96HY6-2</t>
  </si>
  <si>
    <t>Q96J02-3;Q96J02-2;Q96J02</t>
  </si>
  <si>
    <t>&gt;sp|Q96J02-3|ITCH_HUMAN Isoform 3 of E3 ubiquitin-protein ligase Itchy homolog OS=Homo sapiens GN=ITCH</t>
  </si>
  <si>
    <t>Q96J02-3</t>
  </si>
  <si>
    <t>Q96JC1-2;Q96JC1</t>
  </si>
  <si>
    <t>&gt;sp|Q96JC1-2|VPS39_HUMAN Isoform 2 of Vam6/Vps39-like protein OS=Homo sapiens GN=VPS39</t>
  </si>
  <si>
    <t>Q96JC1-2</t>
  </si>
  <si>
    <t>Q96JH7</t>
  </si>
  <si>
    <t>&gt;sp|Q96JH7|VCIP1_HUMAN Deubiquitinating protein VCIP135 OS=Homo sapiens GN=VCPIP1 PE=1 SV=2</t>
  </si>
  <si>
    <t>Q96Q05-3;Q96Q05;Q96Q05-2</t>
  </si>
  <si>
    <t>&gt;sp|Q96Q05-3|TPPC9_HUMAN Isoform 3 of Trafficking protein particle complex subunit 9 OS=Homo sapiens GN=TRAPPC9</t>
  </si>
  <si>
    <t>Q96Q05-3</t>
  </si>
  <si>
    <t>Q96SW2-2;Q96SW2</t>
  </si>
  <si>
    <t>&gt;sp|Q96SW2-2|CRBN_HUMAN Isoform 2 of Protein cereblon OS=Homo sapiens GN=CRBN</t>
  </si>
  <si>
    <t>Q96SW2-2</t>
  </si>
  <si>
    <t>Q99952-2;Q99952</t>
  </si>
  <si>
    <t>&gt;sp|Q99952-2|PTN18_HUMAN Isoform 2 of Tyrosine-protein phosphatase non-receptor type 18 OS=Homo sapiens GN=PTPN18</t>
  </si>
  <si>
    <t>Q99952-2</t>
  </si>
  <si>
    <t>Q9BRF8</t>
  </si>
  <si>
    <t>&gt;sp|Q9BRF8|CPPED_HUMAN Serine/threonine-protein phosphatase CPPED1 OS=Homo sapiens GN=CPPED1 PE=1 SV=3</t>
  </si>
  <si>
    <t>Q9BSU1</t>
  </si>
  <si>
    <t>&gt;sp|Q9BSU1|CP070_HUMAN UPF0183 protein C16orf70 OS=Homo sapiens GN=C16orf70 PE=1 SV=1</t>
  </si>
  <si>
    <t>Q9BVA1</t>
  </si>
  <si>
    <t>&gt;sp|Q9BVA1|TBB2B_HUMAN Tubulin beta-2B chain OS=Homo sapiens GN=TUBB2B PE=1 SV=1</t>
  </si>
  <si>
    <t>Q9BZL6;Q9BZL6-2;Q00532;Q8IVW4-2;Q92772;Q8IVW4;O94806;Q15139;O76039-2;Q9NRP7-2;Q9NRP7</t>
  </si>
  <si>
    <t>&gt;sp|Q9BZL6|KPCD2_HUMAN Serine/threonine-protein kinase D2 OS=Homo sapiens GN=PRKD2 PE=1 SV=2</t>
  </si>
  <si>
    <t>Q9BZL6</t>
  </si>
  <si>
    <t>Q9H3H3;Q9H3H3-2;Q9H3H3-3</t>
  </si>
  <si>
    <t>&gt;sp|Q9H3H3|CK068_HUMAN UPF0696 protein C11orf68 OS=Homo sapiens GN=C11orf68 PE=1 SV=2</t>
  </si>
  <si>
    <t>Q9H3H3</t>
  </si>
  <si>
    <t>Q9H9E3-2;Q9H9E3-3;Q9H9E3</t>
  </si>
  <si>
    <t>&gt;sp|Q9H9E3-2|COG4_HUMAN Isoform 2 of Conserved oligomeric Golgi complex subunit 4 OS=Homo sapiens GN=COG4</t>
  </si>
  <si>
    <t>Q9H9E3-2</t>
  </si>
  <si>
    <t>Q9HC07-2;Q9HC07</t>
  </si>
  <si>
    <t>&gt;sp|Q9HC07-2|TM165_HUMAN Isoform 2 of Transmembrane protein 165 OS=Homo sapiens GN=TMEM165</t>
  </si>
  <si>
    <t>Q9HC07-2</t>
  </si>
  <si>
    <t>Q9HD20-2;Q9HD20</t>
  </si>
  <si>
    <t>&gt;sp|Q9HD20-2|AT131_HUMAN Isoform B of Manganese-transporting ATPase 13A1 OS=Homo sapiens GN=ATP13A1</t>
  </si>
  <si>
    <t>Q9HD20-2</t>
  </si>
  <si>
    <t>Q9NRW4;Q9NRW4-2</t>
  </si>
  <si>
    <t>&gt;sp|Q9NRW4|DUS22_HUMAN Dual specificity protein phosphatase 22 OS=Homo sapiens GN=DUSP22 PE=1 SV=1</t>
  </si>
  <si>
    <t>Q9NRW4</t>
  </si>
  <si>
    <t>Q9NZI7-4;Q9NZI7</t>
  </si>
  <si>
    <t>&gt;sp|Q9NZI7-4|UBIP1_HUMAN Isoform 2 of Upstream-binding protein 1 OS=Homo sapiens GN=UBP1</t>
  </si>
  <si>
    <t>Q9NZI7-4</t>
  </si>
  <si>
    <t>Q9UEU0-2;Q9UEU0</t>
  </si>
  <si>
    <t>&gt;sp|Q9UEU0-2|VTI1B_HUMAN Isoform Short of Vesicle transport through interaction with t-SNAREs homolog 1B OS=Homo sapiens GN=VTI1B</t>
  </si>
  <si>
    <t>Q9UEU0-2</t>
  </si>
  <si>
    <t>Q9UEW8-2;Q9UEW8</t>
  </si>
  <si>
    <t>&gt;sp|Q9UEW8-2|STK39_HUMAN Isoform 2 of STE20/SPS1-related proline-alanine-rich protein kinase OS=Homo sapiens GN=STK39</t>
  </si>
  <si>
    <t>Q9UEW8-2</t>
  </si>
  <si>
    <t>Q9UHJ6</t>
  </si>
  <si>
    <t>&gt;sp|Q9UHJ6|SHPK_HUMAN Sedoheptulokinase OS=Homo sapiens GN=SHPK PE=1 SV=3</t>
  </si>
  <si>
    <t>Q9UIC8;Q9UIC8-2;Q9UIC8-3</t>
  </si>
  <si>
    <t>&gt;sp|Q9UIC8|LCMT1_HUMAN Leucine carboxyl methyltransferase 1 OS=Homo sapiens GN=LCMT1 PE=1 SV=2</t>
  </si>
  <si>
    <t>Q9UIC8</t>
  </si>
  <si>
    <t>Q9UKW4-2;Q9UKW4;Q9UKW4-4;Q9UKW4-3</t>
  </si>
  <si>
    <t>&gt;sp|Q9UKW4-2|VAV3_HUMAN Isoform 2 of Guanine nucleotide exchange factor VAV3 OS=Homo sapiens GN=VAV3</t>
  </si>
  <si>
    <t>Q9UKW4-2</t>
  </si>
  <si>
    <t>Q9ULA0</t>
  </si>
  <si>
    <t>&gt;sp|Q9ULA0|DNPEP_HUMAN Aspartyl aminopeptidase OS=Homo sapiens GN=DNPEP PE=1 SV=1</t>
  </si>
  <si>
    <t>Q9UPY6-2;Q9UPY6</t>
  </si>
  <si>
    <t>&gt;sp|Q9UPY6-2|WASF3_HUMAN Isoform 2 of Wiskott-Aldrich syndrome protein family member 3 OS=Homo sapiens GN=WASF3</t>
  </si>
  <si>
    <t>Q9UPY6-2</t>
  </si>
  <si>
    <t>Q9Y259;Q9Y259-2</t>
  </si>
  <si>
    <t>&gt;sp|Q9Y259|CHKB_HUMAN Choline/ethanolamine kinase OS=Homo sapiens GN=CHKB PE=1 SV=3</t>
  </si>
  <si>
    <t>Q9Y259</t>
  </si>
  <si>
    <t>Q9Y266</t>
  </si>
  <si>
    <t>&gt;sp|Q9Y266|NUDC_HUMAN Nuclear migration protein nudC OS=Homo sapiens GN=NUDC PE=1 SV=1</t>
  </si>
  <si>
    <t>Q9Y6K9-3;Q9Y6K9;Q9Y6K9-2</t>
  </si>
  <si>
    <t>&gt;sp|Q9Y6K9-3|NEMO_HUMAN Isoform 3 of NF-kappa-B essential modulator OS=Homo sapiens GN=IKBKG</t>
  </si>
  <si>
    <t>Q9Y6K9-3</t>
  </si>
  <si>
    <t>Q9Y6R7</t>
  </si>
  <si>
    <t>&gt;sp|Q9Y6R7|FCGBP_HUMAN IgGFc-binding protein OS=Homo sapiens GN=FCGBP PE=1 SV=3</t>
  </si>
  <si>
    <t>A2RTX5-2;A2RTX5</t>
  </si>
  <si>
    <t>&gt;sp|A2RTX5-2|SYTC2_HUMAN Isoform 2 of Probable threonine--tRNA ligase 2, cytoplasmic OS=Homo sapiens GN=TARSL2</t>
  </si>
  <si>
    <t>A2RTX5-2</t>
  </si>
  <si>
    <t>P22087;A6NHQ2</t>
  </si>
  <si>
    <t>&gt;sp|P22087|FBRL_HUMAN rRNA 2-O-methyltransferase fibrillarin OS=Homo sapiens GN=FBL PE=1 SV=2</t>
  </si>
  <si>
    <t>P22087</t>
  </si>
  <si>
    <t>Q9NQA3;C4AMC7;Q6VEQ5</t>
  </si>
  <si>
    <t>&gt;sp|Q9NQA3|WASH6_HUMAN WAS protein family homolog 6 OS=Homo sapiens GN=WASH6P PE=1 SV=3</t>
  </si>
  <si>
    <t>Q9NQA3</t>
  </si>
  <si>
    <t>O00139;O00139-4</t>
  </si>
  <si>
    <t>&gt;sp|O00139|KIF2A_HUMAN Kinesin-like protein KIF2A OS=Homo sapiens GN=KIF2A PE=1 SV=3</t>
  </si>
  <si>
    <t>O00139</t>
  </si>
  <si>
    <t>O00217</t>
  </si>
  <si>
    <t>&gt;sp|O00217|NDUS8_HUMAN NADH dehydrogenase [ubiquinone] iron-sulfur protein 8, mitochondrial OS=Homo sapiens GN=NDUFS8 PE=1 SV=1</t>
  </si>
  <si>
    <t>O14841</t>
  </si>
  <si>
    <t>&gt;sp|O14841|OPLA_HUMAN 5-oxoprolinase OS=Homo sapiens GN=OPLAH PE=1 SV=3</t>
  </si>
  <si>
    <t>O15027-2;O15027-4;O15027-3;O15027;O15027-5</t>
  </si>
  <si>
    <t>&gt;sp|O15027-2|SC16A_HUMAN Isoform 2 of Protein transport protein Sec16A OS=Homo sapiens GN=SEC16A</t>
  </si>
  <si>
    <t>O15027-2</t>
  </si>
  <si>
    <t>O15031</t>
  </si>
  <si>
    <t>&gt;sp|O15031|PLXB2_HUMAN Plexin-B2 OS=Homo sapiens GN=PLXNB2 PE=1 SV=3</t>
  </si>
  <si>
    <t>O43432-4;O43432;O43432-3</t>
  </si>
  <si>
    <t>&gt;sp|O43432-4|IF4G3_HUMAN Isoform 4 of Eukaryotic translation initiation factor 4 gamma 3 OS=Homo sapiens GN=EIF4G3</t>
  </si>
  <si>
    <t>O43432-4</t>
  </si>
  <si>
    <t>O75688-4;O75688-2;O75688;O75688-5;O75688-3</t>
  </si>
  <si>
    <t>&gt;sp|O75688-4|PPM1B_HUMAN Isoform 4 of Protein phosphatase 1B OS=Homo sapiens GN=PPM1B</t>
  </si>
  <si>
    <t>O75688-4</t>
  </si>
  <si>
    <t>P01599</t>
  </si>
  <si>
    <t>&gt;sp|P01599|KV107_HUMAN Ig kappa chain V-I region Gal OS=Homo sapiens PE=1 SV=1</t>
  </si>
  <si>
    <t>P01605</t>
  </si>
  <si>
    <t>&gt;sp|P01605|KV113_HUMAN Ig kappa chain V-I region Lay OS=Homo sapiens PE=1 SV=1</t>
  </si>
  <si>
    <t>P01778</t>
  </si>
  <si>
    <t>&gt;sp|P01778|HV317_HUMAN Ig heavy chain V-III region ZAP OS=Homo sapiens PE=1 SV=1</t>
  </si>
  <si>
    <t>Q5Y7A7;Q30167;Q30154;Q29974;P13760;P04229;P01912;P01911</t>
  </si>
  <si>
    <t>&gt;sp|Q5Y7A7|2B1D_HUMAN HLA class II histocompatibility antigen, DRB1-13 beta chain OS=Homo sapiens GN=HLA-DRB1 PE=1 SV=1</t>
  </si>
  <si>
    <t>Q5Y7A7</t>
  </si>
  <si>
    <t>P05771</t>
  </si>
  <si>
    <t>&gt;sp|P05771|KPCB_HUMAN Protein kinase C beta type OS=Homo sapiens GN=PRKCB PE=1 SV=4</t>
  </si>
  <si>
    <t>P06753</t>
  </si>
  <si>
    <t>&gt;sp|P06753|TPM3_HUMAN Tropomyosin alpha-3 chain OS=Homo sapiens GN=TPM3 PE=1 SV=2</t>
  </si>
  <si>
    <t>Q16778;P33778;P23527;P06899;Q6DRA6;Q6DN03</t>
  </si>
  <si>
    <t>&gt;sp|Q16778|H2B2E_HUMAN Histone H2B type 2-E OS=Homo sapiens GN=HIST2H2BE PE=1 SV=3</t>
  </si>
  <si>
    <t>Q16778</t>
  </si>
  <si>
    <t>P07948</t>
  </si>
  <si>
    <t>&gt;sp|P07948|LYN_HUMAN Tyrosine-protein kinase Lyn OS=Homo sapiens GN=LYN PE=1 SV=3</t>
  </si>
  <si>
    <t>P11465;P11464-3;P11464;P11464-4;P11464-2</t>
  </si>
  <si>
    <t>&gt;sp|P11465|PSG2_HUMAN Pregnancy-specific beta-1-glycoprotein 2 OS=Homo sapiens GN=PSG2 PE=2 SV=2</t>
  </si>
  <si>
    <t>P11465</t>
  </si>
  <si>
    <t>P14222</t>
  </si>
  <si>
    <t>&gt;sp|P14222|PERF_HUMAN Perforin-1 OS=Homo sapiens GN=PRF1 PE=1 SV=1</t>
  </si>
  <si>
    <t>P15531;P15531-2</t>
  </si>
  <si>
    <t>&gt;sp|P15531|NDKA_HUMAN Nucleoside diphosphate kinase A OS=Homo sapiens GN=NME1 PE=1 SV=1</t>
  </si>
  <si>
    <t>P15531</t>
  </si>
  <si>
    <t>P16190</t>
  </si>
  <si>
    <t>&gt;sp|P16190|1A33_HUMAN HLA class I histocompatibility antigen, A-33 alpha chain OS=Homo sapiens GN=HLA-A PE=1 SV=3</t>
  </si>
  <si>
    <t>P16389-2;P16389</t>
  </si>
  <si>
    <t>&gt;sp|P16389-2|KCNA2_HUMAN Isoform 2 of Potassium voltage-gated channel subfamily A member 2 OS=Homo sapiens GN=KCNA2</t>
  </si>
  <si>
    <t>P16389-2</t>
  </si>
  <si>
    <t>P22830;P22830-2</t>
  </si>
  <si>
    <t>&gt;sp|P22830|HEMH_HUMAN Ferrochelatase, mitochondrial OS=Homo sapiens GN=FECH PE=1 SV=2</t>
  </si>
  <si>
    <t>P22830</t>
  </si>
  <si>
    <t>P23246-2;P23246</t>
  </si>
  <si>
    <t>&gt;sp|P23246-2|SFPQ_HUMAN Isoform Short of Splicing factor, proline- and glutamine-rich OS=Homo sapiens GN=SFPQ</t>
  </si>
  <si>
    <t>P23246-2</t>
  </si>
  <si>
    <t>P23560;P23560-2;P23560-3;P23560-5;P23560-4</t>
  </si>
  <si>
    <t>&gt;sp|P23560|BDNF_HUMAN Brain-derived neurotrophic factor OS=Homo sapiens GN=BDNF PE=1 SV=1</t>
  </si>
  <si>
    <t>P23560</t>
  </si>
  <si>
    <t>P25815</t>
  </si>
  <si>
    <t>&gt;sp|P25815|S100P_HUMAN Protein S100-P OS=Homo sapiens GN=S100P PE=1 SV=2</t>
  </si>
  <si>
    <t>P30039-2;P30039</t>
  </si>
  <si>
    <t>&gt;sp|P30039-2|PBLD_HUMAN Isoform 2 of Phenazine biosynthesis-like domain-containing protein OS=Homo sapiens GN=PBLD</t>
  </si>
  <si>
    <t>P30039-2</t>
  </si>
  <si>
    <t>P30050;P30050-2</t>
  </si>
  <si>
    <t>&gt;sp|P30050|RL12_HUMAN 60S ribosomal protein L12 OS=Homo sapiens GN=RPL12 PE=1 SV=1</t>
  </si>
  <si>
    <t>P30050</t>
  </si>
  <si>
    <t>P30499</t>
  </si>
  <si>
    <t>&gt;sp|P30499|1C01_HUMAN HLA class I histocompatibility antigen, Cw-1 alpha chain OS=Homo sapiens GN=HLA-C PE=1 SV=1</t>
  </si>
  <si>
    <t>P31153-2;P31153;Q00266</t>
  </si>
  <si>
    <t>&gt;sp|P31153-2|METK2_HUMAN Isoform 2 of S-adenosylmethionine synthase isoform type-2 OS=Homo sapiens GN=MAT2A</t>
  </si>
  <si>
    <t>P31153-2</t>
  </si>
  <si>
    <t>P35244</t>
  </si>
  <si>
    <t>&gt;sp|P35244|RFA3_HUMAN Replication protein A 14 kDa subunit OS=Homo sapiens GN=RPA3 PE=1 SV=1</t>
  </si>
  <si>
    <t>P35579-2</t>
  </si>
  <si>
    <t>&gt;sp|P35579-2|MYH9_HUMAN Isoform 2 of Myosin-9 OS=Homo sapiens GN=MYH9</t>
  </si>
  <si>
    <t>P43243-2;P43243</t>
  </si>
  <si>
    <t>&gt;sp|P43243-2|MATR3_HUMAN Isoform 2 of Matrin-3 OS=Homo sapiens GN=MATR3</t>
  </si>
  <si>
    <t>P43243-2</t>
  </si>
  <si>
    <t>P43251-4;P43251;P43251-3;P43251-2</t>
  </si>
  <si>
    <t>&gt;sp|P43251-4|BTD_HUMAN Isoform 4 of Biotinidase OS=Homo sapiens GN=BTD</t>
  </si>
  <si>
    <t>P43251-4</t>
  </si>
  <si>
    <t>P49326</t>
  </si>
  <si>
    <t>&gt;sp|P49326|FMO5_HUMAN Dimethylaniline monooxygenase [N-oxide-forming] 5 OS=Homo sapiens GN=FMO5 PE=1 SV=2</t>
  </si>
  <si>
    <t>P51153</t>
  </si>
  <si>
    <t>&gt;sp|P51153|RAB13_HUMAN Ras-related protein Rab-13 OS=Homo sapiens GN=RAB13 PE=1 SV=1</t>
  </si>
  <si>
    <t>P51911-2;P51911</t>
  </si>
  <si>
    <t>&gt;sp|P51911-2|CNN1_HUMAN Isoform 2 of Calponin-1 OS=Homo sapiens GN=CNN1</t>
  </si>
  <si>
    <t>P51911-2</t>
  </si>
  <si>
    <t>P52815</t>
  </si>
  <si>
    <t>&gt;sp|P52815|RM12_HUMAN 39S ribosomal protein L12, mitochondrial OS=Homo sapiens GN=MRPL12 PE=1 SV=2</t>
  </si>
  <si>
    <t>P53611</t>
  </si>
  <si>
    <t>&gt;sp|P53611|PGTB2_HUMAN Geranylgeranyl transferase type-2 subunit beta OS=Homo sapiens GN=RABGGTB PE=1 SV=2</t>
  </si>
  <si>
    <t>P55103</t>
  </si>
  <si>
    <t>&gt;sp|P55103|INHBC_HUMAN Inhibin beta C chain OS=Homo sapiens GN=INHBC PE=2 SV=1</t>
  </si>
  <si>
    <t>P60866;P60866-2</t>
  </si>
  <si>
    <t>&gt;sp|P60866|RS20_HUMAN 40S ribosomal protein S20 OS=Homo sapiens GN=RPS20 PE=1 SV=1</t>
  </si>
  <si>
    <t>P60866</t>
  </si>
  <si>
    <t>P61964</t>
  </si>
  <si>
    <t>&gt;sp|P61964|WDR5_HUMAN WD repeat-containing protein 5 OS=Homo sapiens GN=WDR5 PE=1 SV=1</t>
  </si>
  <si>
    <t>P62937-2</t>
  </si>
  <si>
    <t>&gt;sp|P62937-2|PPIA_HUMAN Isoform 2 of Peptidyl-prolyl cis-trans isomerase A OS=Homo sapiens GN=PPIA</t>
  </si>
  <si>
    <t>P63096;P63096-2</t>
  </si>
  <si>
    <t>&gt;sp|P63096|GNAI1_HUMAN Guanine nucleotide-binding protein G(i) subunit alpha-1 OS=Homo sapiens GN=GNAI1 PE=1 SV=2</t>
  </si>
  <si>
    <t>P63096</t>
  </si>
  <si>
    <t>P63098</t>
  </si>
  <si>
    <t>&gt;sp|P63098|CANB1_HUMAN Calcineurin subunit B type 1 OS=Homo sapiens GN=PPP3R1 PE=1 SV=2</t>
  </si>
  <si>
    <t>P67809</t>
  </si>
  <si>
    <t>&gt;sp|P67809|YBOX1_HUMAN Nuclease-sensitive element-binding protein 1 OS=Homo sapiens GN=YBX1 PE=1 SV=3</t>
  </si>
  <si>
    <t>P68133</t>
  </si>
  <si>
    <t>&gt;sp|P68133|ACTS_HUMAN Actin, alpha skeletal muscle OS=Homo sapiens GN=ACTA1 PE=1 SV=1</t>
  </si>
  <si>
    <t>P80723-2;P80723</t>
  </si>
  <si>
    <t>&gt;sp|P80723-2|BASP1_HUMAN Isoform 2 of Brain acid soluble protein 1 OS=Homo sapiens GN=BASP1</t>
  </si>
  <si>
    <t>P80723-2</t>
  </si>
  <si>
    <t>Q02413</t>
  </si>
  <si>
    <t>&gt;sp|Q02413|DSG1_HUMAN Desmoglein-1 OS=Homo sapiens GN=DSG1 PE=1 SV=2</t>
  </si>
  <si>
    <t>Q03013-2;Q03013</t>
  </si>
  <si>
    <t>&gt;sp|Q03013-2|GSTM4_HUMAN Isoform 2 of Glutathione S-transferase Mu 4 OS=Homo sapiens GN=GSTM4</t>
  </si>
  <si>
    <t>Q03013-2</t>
  </si>
  <si>
    <t>Q08257-3;Q08257;Q08257-2</t>
  </si>
  <si>
    <t>&gt;sp|Q08257-3|QOR_HUMAN Isoform 3 of Quinone oxidoreductase OS=Homo sapiens GN=CRYZ</t>
  </si>
  <si>
    <t>Q08257-3</t>
  </si>
  <si>
    <t>Q08623-2;Q08623-3;Q08623;Q08623-4</t>
  </si>
  <si>
    <t>&gt;sp|Q08623-2|HDHD1_HUMAN Isoform 2 of Pseudouridine-5-phosphatase OS=Homo sapiens GN=HDHD1</t>
  </si>
  <si>
    <t>Q08623-2</t>
  </si>
  <si>
    <t>Q0VD83-2;Q0VD83-3;Q0VD83;Q0VD83-4</t>
  </si>
  <si>
    <t>&gt;sp|Q0VD83-2|APOBR_HUMAN Isoform 2 of Apolipoprotein B receptor OS=Homo sapiens GN=APOBR</t>
  </si>
  <si>
    <t>Q0VD83-2</t>
  </si>
  <si>
    <t>Q10567-3;Q10567-4</t>
  </si>
  <si>
    <t>&gt;sp|Q10567-3|AP1B1_HUMAN Isoform C of AP-1 complex subunit beta-1 OS=Homo sapiens GN=AP1B1</t>
  </si>
  <si>
    <t>Q10567-3</t>
  </si>
  <si>
    <t>Q13325-2;Q13325</t>
  </si>
  <si>
    <t>&gt;sp|Q13325-2|IFIT5_HUMAN Isoform 2 of Interferon-induced protein with tetratricopeptide repeats 5 OS=Homo sapiens GN=IFIT5</t>
  </si>
  <si>
    <t>Q13325-2</t>
  </si>
  <si>
    <t>Q13509;Q13509-2</t>
  </si>
  <si>
    <t>&gt;sp|Q13509|TBB3_HUMAN Tubulin beta-3 chain OS=Homo sapiens GN=TUBB3 PE=1 SV=2</t>
  </si>
  <si>
    <t>Q13509</t>
  </si>
  <si>
    <t>Q13510-3;Q13510;Q13510-2</t>
  </si>
  <si>
    <t>&gt;sp|Q13510-3|ASAH1_HUMAN Isoform 3 of Acid ceramidase OS=Homo sapiens GN=ASAH1</t>
  </si>
  <si>
    <t>Q13510-3</t>
  </si>
  <si>
    <t>Q13885</t>
  </si>
  <si>
    <t>&gt;sp|Q13885|TBB2A_HUMAN Tubulin beta-2A chain OS=Homo sapiens GN=TUBB2A PE=1 SV=1</t>
  </si>
  <si>
    <t>Q13907;Q13907-2</t>
  </si>
  <si>
    <t>&gt;sp|Q13907|IDI1_HUMAN Isopentenyl-diphosphate Delta-isomerase 1 OS=Homo sapiens GN=IDI1 PE=1 SV=2</t>
  </si>
  <si>
    <t>Q13907</t>
  </si>
  <si>
    <t>Q14353;Q14353-2</t>
  </si>
  <si>
    <t>&gt;sp|Q14353|GAMT_HUMAN Guanidinoacetate N-methyltransferase OS=Homo sapiens GN=GAMT PE=1 SV=1</t>
  </si>
  <si>
    <t>Q14353</t>
  </si>
  <si>
    <t>Q14699</t>
  </si>
  <si>
    <t>&gt;sp|Q14699|RFTN1_HUMAN Raftlin OS=Homo sapiens GN=RFTN1 PE=1 SV=4</t>
  </si>
  <si>
    <t>Q14980-4;Q14980-3;Q14980-2;Q14980</t>
  </si>
  <si>
    <t>&gt;sp|Q14980-4|NUMA1_HUMAN Isoform Numa-s of Nuclear mitotic apparatus protein 1 OS=Homo sapiens GN=NUMA1</t>
  </si>
  <si>
    <t>Q14980-4</t>
  </si>
  <si>
    <t>Q15121;Q15121-2</t>
  </si>
  <si>
    <t>&gt;sp|Q15121|PEA15_HUMAN Astrocytic phosphoprotein PEA-15 OS=Homo sapiens GN=PEA15 PE=1 SV=2</t>
  </si>
  <si>
    <t>Q15121</t>
  </si>
  <si>
    <t>Q15276-2;Q15276</t>
  </si>
  <si>
    <t>&gt;sp|Q15276-2|RABE1_HUMAN Isoform 2 of Rab GTPase-binding effector protein 1 OS=Homo sapiens GN=RABEP1</t>
  </si>
  <si>
    <t>Q15276-2</t>
  </si>
  <si>
    <t>Q15369-2;Q15369</t>
  </si>
  <si>
    <t>&gt;sp|Q15369-2|ELOC_HUMAN Isoform 2 of Transcription elongation factor B polypeptide 1 OS=Homo sapiens GN=TCEB1</t>
  </si>
  <si>
    <t>Q15369-2</t>
  </si>
  <si>
    <t>Q15477</t>
  </si>
  <si>
    <t>&gt;sp|Q15477|SKIV2_HUMAN Helicase SKI2W OS=Homo sapiens GN=SKIV2L PE=1 SV=3</t>
  </si>
  <si>
    <t>Q16539-2</t>
  </si>
  <si>
    <t>&gt;sp|Q16539-2|MK14_HUMAN Isoform CSBP1 of Mitogen-activated protein kinase 14 OS=Homo sapiens GN=MAPK14</t>
  </si>
  <si>
    <t>Q16777;Q6FI13</t>
  </si>
  <si>
    <t>&gt;sp|Q16777|H2A2C_HUMAN Histone H2A type 2-C OS=Homo sapiens GN=HIST2H2AC PE=1 SV=4</t>
  </si>
  <si>
    <t>Q16777</t>
  </si>
  <si>
    <t>Q2M3D2</t>
  </si>
  <si>
    <t>&gt;sp|Q2M3D2|EX3L2_HUMAN Exocyst complex component 3-like protein 2 OS=Homo sapiens GN=EXOC3L2 PE=2 SV=1</t>
  </si>
  <si>
    <t>Q2TB90</t>
  </si>
  <si>
    <t>&gt;sp|Q2TB90|HKDC1_HUMAN Putative hexokinase HKDC1 OS=Homo sapiens GN=HKDC1 PE=1 SV=3</t>
  </si>
  <si>
    <t>Q32P28-4;Q32P28;Q32P28-3</t>
  </si>
  <si>
    <t>&gt;sp|Q32P28-4|P3H1_HUMAN Isoform 4 of Prolyl 3-hydroxylase 1 OS=Homo sapiens GN=LEPRE1</t>
  </si>
  <si>
    <t>Q32P28-4</t>
  </si>
  <si>
    <t>Q5JTV8;Q5JTV8-3</t>
  </si>
  <si>
    <t>&gt;sp|Q5JTV8|TOIP1_HUMAN Torsin-1A-interacting protein 1 OS=Homo sapiens GN=TOR1AIP1 PE=1 SV=2</t>
  </si>
  <si>
    <t>Q5JTV8</t>
  </si>
  <si>
    <t>Q5SW96</t>
  </si>
  <si>
    <t>&gt;sp|Q5SW96|ARH_HUMAN Low density lipoprotein receptor adapter protein 1 OS=Homo sapiens GN=LDLRAP1 PE=1 SV=3</t>
  </si>
  <si>
    <t>Q5T0F9-4;Q5T0F9-3;Q5T0F9-2;Q5T0F9</t>
  </si>
  <si>
    <t>&gt;sp|Q5T0F9-4|C2D1B_HUMAN Isoform 4 of Coiled-coil and C2 domain-containing protein 1B OS=Homo sapiens GN=CC2D1B</t>
  </si>
  <si>
    <t>Q5T0F9-4</t>
  </si>
  <si>
    <t>Q5T0N5-3;Q5T0N5-4;Q5T0N5-2;Q5T0N5-5;Q5T0N5</t>
  </si>
  <si>
    <t>&gt;sp|Q5T0N5-3|FBP1L_HUMAN Isoform 3 of Formin-binding protein 1-like OS=Homo sapiens GN=FNBP1L</t>
  </si>
  <si>
    <t>Q5T0N5-3</t>
  </si>
  <si>
    <t>Q68EM7-2;Q68EM7-6;Q68EM7-5;Q68EM7;Q68EM7-4</t>
  </si>
  <si>
    <t>&gt;sp|Q68EM7-2|RHG17_HUMAN Isoform 2 of Rho GTPase-activating protein 17 OS=Homo sapiens GN=ARHGAP17</t>
  </si>
  <si>
    <t>Q68EM7-2</t>
  </si>
  <si>
    <t>Q6GMV3</t>
  </si>
  <si>
    <t>&gt;sp|Q6GMV3|PTRD1_HUMAN Putative peptidyl-tRNA hydrolase PTRHD1 OS=Homo sapiens GN=PTRHD1 PE=1 SV=1</t>
  </si>
  <si>
    <t>Q6IA69;Q6IA69-2</t>
  </si>
  <si>
    <t>&gt;sp|Q6IA69|NADE_HUMAN Glutamine-dependent NAD(+) synthetase OS=Homo sapiens GN=NADSYN1 PE=1 SV=3</t>
  </si>
  <si>
    <t>Q6IA69</t>
  </si>
  <si>
    <t>Q6UXR4</t>
  </si>
  <si>
    <t>&gt;sp|Q6UXR4|SPA13_HUMAN Putative serpin A13 OS=Homo sapiens GN=SERPINA13P PE=5 SV=1</t>
  </si>
  <si>
    <t>Q6ZMI0-3;Q6ZMI0-5;Q6ZMI0-2;Q6ZMI0</t>
  </si>
  <si>
    <t>&gt;sp|Q6ZMI0-3|PPR21_HUMAN Isoform 3 of Protein phosphatase 1 regulatory subunit 21 OS=Homo sapiens GN=PPP1R21</t>
  </si>
  <si>
    <t>Q6ZMI0-3</t>
  </si>
  <si>
    <t>Q70UQ0;Q70UQ0-4</t>
  </si>
  <si>
    <t>&gt;sp|Q70UQ0|IKIP_HUMAN Inhibitor of nuclear factor kappa-B kinase-interacting protein OS=Homo sapiens GN=IKBIP PE=1 SV=1</t>
  </si>
  <si>
    <t>Q70UQ0</t>
  </si>
  <si>
    <t>Q7L591-3;Q7L591-4;Q7L591-2</t>
  </si>
  <si>
    <t>&gt;sp|Q7L591-3|DOK3_HUMAN Isoform 3 of Docking protein 3 OS=Homo sapiens GN=DOK3</t>
  </si>
  <si>
    <t>Q7L591-3</t>
  </si>
  <si>
    <t>Q7Z3Z2</t>
  </si>
  <si>
    <t>&gt;sp|Q7Z3Z2|RD3_HUMAN Protein RD3 OS=Homo sapiens GN=RD3 PE=1 SV=1</t>
  </si>
  <si>
    <t>Q7Z6L1-3;Q7Z6L1;Q7Z6L1-2;Q7Z6L1-4</t>
  </si>
  <si>
    <t>&gt;sp|Q7Z6L1-3|TCPR1_HUMAN Isoform 3 of Tectonin beta-propeller repeat-containing protein 1 OS=Homo sapiens GN=TECPR1</t>
  </si>
  <si>
    <t>Q7Z6L1-3</t>
  </si>
  <si>
    <t>Q86VI3</t>
  </si>
  <si>
    <t>&gt;sp|Q86VI3|IQGA3_HUMAN Ras GTPase-activating-like protein IQGAP3 OS=Homo sapiens GN=IQGAP3 PE=1 SV=2</t>
  </si>
  <si>
    <t>Q86WV6</t>
  </si>
  <si>
    <t>&gt;sp|Q86WV6|STING_HUMAN Stimulator of interferon genes protein OS=Homo sapiens GN=TMEM173 PE=1 SV=1</t>
  </si>
  <si>
    <t>Q8IXI1-2;Q8IXI1;Q8IXI2-6;Q8IXI2-4;Q8IXI2;Q8IXI2-5;Q8IXI2-2;Q8IXI2-7;Q8IXI2-3</t>
  </si>
  <si>
    <t>&gt;sp|Q8IXI1-2|MIRO2_HUMAN Isoform 2 of Mitochondrial Rho GTPase 2 OS=Homo sapiens GN=RHOT2</t>
  </si>
  <si>
    <t>Q8IXI1-2</t>
  </si>
  <si>
    <t>Q8N4C8-5;Q8N4C8-2;Q8N4C8-3;Q8N4C8-4;Q8N4C8</t>
  </si>
  <si>
    <t>&gt;sp|Q8N4C8-5|MINK1_HUMAN Isoform 5 of Misshapen-like kinase 1 OS=Homo sapiens GN=MINK1</t>
  </si>
  <si>
    <t>Q8N4C8-5</t>
  </si>
  <si>
    <t>Q8NCE2-2;Q8NCE2;Q8NCE2-3</t>
  </si>
  <si>
    <t>&gt;sp|Q8NCE2-2|MTMRE_HUMAN Isoform 2 of Myotubularin-related protein 14 OS=Homo sapiens GN=MTMR14</t>
  </si>
  <si>
    <t>Q8NCE2-2</t>
  </si>
  <si>
    <t>Q8NF37</t>
  </si>
  <si>
    <t>&gt;sp|Q8NF37|PCAT1_HUMAN Lysophosphatidylcholine acyltransferase 1 OS=Homo sapiens GN=LPCAT1 PE=1 SV=2</t>
  </si>
  <si>
    <t>Q8TD16;Q8TD16-2</t>
  </si>
  <si>
    <t>&gt;sp|Q8TD16|BICD2_HUMAN Protein bicaudal D homolog 2 OS=Homo sapiens GN=BICD2 PE=1 SV=1</t>
  </si>
  <si>
    <t>Q8TD16</t>
  </si>
  <si>
    <t>Q8WTS1</t>
  </si>
  <si>
    <t>&gt;sp|Q8WTS1|ABHD5_HUMAN 1-acylglycerol-3-phosphate O-acyltransferase ABHD5 OS=Homo sapiens GN=ABHD5 PE=1 SV=1</t>
  </si>
  <si>
    <t>Q8WUA7</t>
  </si>
  <si>
    <t>&gt;sp|Q8WUA7|TB22A_HUMAN TBC1 domain family member 22A OS=Homo sapiens GN=TBC1D22A PE=1 SV=2</t>
  </si>
  <si>
    <t>Q8WUY1</t>
  </si>
  <si>
    <t>&gt;sp|Q8WUY1|THEM6_HUMAN Protein THEM6 OS=Homo sapiens GN=THEM6 PE=1 SV=2</t>
  </si>
  <si>
    <t>Q8WUY3-5;Q8WUY3-4;Q8WUY3;Q8WUY3-2;Q8WUY3-3</t>
  </si>
  <si>
    <t>&gt;sp|Q8WUY3-5|PRUN2_HUMAN Isoform 5 of Protein prune homolog 2 OS=Homo sapiens GN=PRUNE2</t>
  </si>
  <si>
    <t>Q8WUY3-5</t>
  </si>
  <si>
    <t>Q8WYJ6</t>
  </si>
  <si>
    <t>&gt;sp|Q8WYJ6|SEPT1_HUMAN Septin-1 OS=Homo sapiens GN=SEPT1 PE=1 SV=2</t>
  </si>
  <si>
    <t>Q92945</t>
  </si>
  <si>
    <t>&gt;sp|Q92945|FUBP2_HUMAN Far upstream element-binding protein 2 OS=Homo sapiens GN=KHSRP PE=1 SV=4</t>
  </si>
  <si>
    <t>Q96AB3-3;Q96AB3;Q96AB3-2</t>
  </si>
  <si>
    <t>&gt;sp|Q96AB3-3|ISOC2_HUMAN Isoform 3 of Isochorismatase domain-containing protein 2, mitochondrial OS=Homo sapiens GN=ISOC2</t>
  </si>
  <si>
    <t>Q96AB3-3</t>
  </si>
  <si>
    <t>Q96C01</t>
  </si>
  <si>
    <t>&gt;sp|Q96C01|F136A_HUMAN Protein FAM136A OS=Homo sapiens GN=FAM136A PE=1 SV=1</t>
  </si>
  <si>
    <t>Q96CV9-3;Q96CV9-2;Q96CV9</t>
  </si>
  <si>
    <t>&gt;sp|Q96CV9-3|OPTN_HUMAN Isoform 3 of Optineurin OS=Homo sapiens GN=OPTN</t>
  </si>
  <si>
    <t>Q96CV9-3</t>
  </si>
  <si>
    <t>Q96DZ1-3;Q96DZ1</t>
  </si>
  <si>
    <t>&gt;sp|Q96DZ1-3|ERLEC_HUMAN Isoform 3 of Endoplasmic reticulum lectin 1 OS=Homo sapiens GN=ERLEC1</t>
  </si>
  <si>
    <t>Q96DZ1-3</t>
  </si>
  <si>
    <t>Q96FN4-2;Q96FN4;Q86YQ8-2;Q9HCH3-2;Q8IYJ1;Q96A23;O95741;Q9UBL6-2;Q86YQ8;Q96A23-2;Q9HCH3;O95741-2;Q9UBL6</t>
  </si>
  <si>
    <t>&gt;sp|Q96FN4-2|CPNE2_HUMAN Isoform 2 of Copine-2 OS=Homo sapiens GN=CPNE2</t>
  </si>
  <si>
    <t>Q96FN4-2</t>
  </si>
  <si>
    <t>Q96HJ9-2;Q9Y383-3;Q9Y383-2;Q9Y383</t>
  </si>
  <si>
    <t>&gt;sp|Q96HJ9-2|CG055_HUMAN Isoform 2 of UPF0562 protein C7orf55 OS=Homo sapiens GN=C7orf55</t>
  </si>
  <si>
    <t>Q96HJ9-2</t>
  </si>
  <si>
    <t>Q9NZA1-3;Q9NZA1-2;Q9NZA1;Q96NY7-2;Q96NY7</t>
  </si>
  <si>
    <t>&gt;sp|Q9NZA1-3|CLIC5_HUMAN Isoform 3 of Chloride intracellular channel protein 5 OS=Homo sapiens GN=CLIC5</t>
  </si>
  <si>
    <t>Q9NZA1-3</t>
  </si>
  <si>
    <t>Q9BPW8</t>
  </si>
  <si>
    <t>&gt;sp|Q9BPW8|NIPS1_HUMAN Protein NipSnap homolog 1 OS=Homo sapiens GN=NIPSNAP1 PE=1 SV=1</t>
  </si>
  <si>
    <t>Q9BRR6-4;Q9BRR6-3;Q9BRR6-2;Q9BRR6</t>
  </si>
  <si>
    <t>&gt;sp|Q9BRR6-4|ADPGK_HUMAN Isoform 4 of ADP-dependent glucokinase OS=Homo sapiens GN=ADPGK</t>
  </si>
  <si>
    <t>Q9BRR6-4</t>
  </si>
  <si>
    <t>Q9BRZ2</t>
  </si>
  <si>
    <t>&gt;sp|Q9BRZ2|TRI56_HUMAN E3 ubiquitin-protein ligase TRIM56 OS=Homo sapiens GN=TRIM56 PE=1 SV=3</t>
  </si>
  <si>
    <t>Q9BSH5</t>
  </si>
  <si>
    <t>&gt;sp|Q9BSH5|HDHD3_HUMAN Haloacid dehalogenase-like hydrolase domain-containing protein 3 OS=Homo sapiens GN=HDHD3 PE=1 SV=1</t>
  </si>
  <si>
    <t>Q9BYI3</t>
  </si>
  <si>
    <t>&gt;sp|Q9BYI3|HYCCI_HUMAN Hyccin OS=Homo sapiens GN=FAM126A PE=1 SV=2</t>
  </si>
  <si>
    <t>Q9BYX7</t>
  </si>
  <si>
    <t>&gt;sp|Q9BYX7|ACTBM_HUMAN Putative beta-actin-like protein 3 OS=Homo sapiens GN=POTEKP PE=5 SV=1</t>
  </si>
  <si>
    <t>Q9C0E8-3;Q9C0E8-2;Q9C0E8;Q9C0E8-4</t>
  </si>
  <si>
    <t>&gt;sp|Q9C0E8-3|LNP_HUMAN Isoform 3 of Protein lunapark OS=Homo sapiens GN=LNP</t>
  </si>
  <si>
    <t>Q9C0E8-3</t>
  </si>
  <si>
    <t>Q9H1P3-2;Q9H1P3</t>
  </si>
  <si>
    <t>&gt;sp|Q9H1P3-2|OSBL2_HUMAN Isoform 2 of Oxysterol-binding protein-related protein 2 OS=Homo sapiens GN=OSBPL2</t>
  </si>
  <si>
    <t>Q9H1P3-2</t>
  </si>
  <si>
    <t>Q9H845</t>
  </si>
  <si>
    <t>&gt;sp|Q9H845|ACAD9_HUMAN Acyl-CoA dehydrogenase family member 9, mitochondrial OS=Homo sapiens GN=ACAD9 PE=1 SV=1</t>
  </si>
  <si>
    <t>Q9HBL0;Q9HBL0-2</t>
  </si>
  <si>
    <t>&gt;sp|Q9HBL0|TENS1_HUMAN Tensin-1 OS=Homo sapiens GN=TNS1 PE=1 SV=2</t>
  </si>
  <si>
    <t>Q9HBL0</t>
  </si>
  <si>
    <t>Q9HCG7-3;Q9HCG7-2;Q9HCG7</t>
  </si>
  <si>
    <t>&gt;sp|Q9HCG7-3|GBA2_HUMAN Isoform 3 of Non-lysosomal glucosylceramidase OS=Homo sapiens GN=GBA2</t>
  </si>
  <si>
    <t>Q9HCG7-3</t>
  </si>
  <si>
    <t>Q9NQT8</t>
  </si>
  <si>
    <t>&gt;sp|Q9NQT8|KI13B_HUMAN Kinesin-like protein KIF13B OS=Homo sapiens GN=KIF13B PE=1 SV=2</t>
  </si>
  <si>
    <t>Q9NR12-2</t>
  </si>
  <si>
    <t>&gt;sp|Q9NR12-2|PDLI7_HUMAN Isoform 2 of PDZ and LIM domain protein 7 OS=Homo sapiens GN=PDLIM7</t>
  </si>
  <si>
    <t>Q9NR48-2;Q9NR48</t>
  </si>
  <si>
    <t>&gt;sp|Q9NR48-2|ASH1L_HUMAN Isoform 2 of Histone-lysine N-methyltransferase ASH1L OS=Homo sapiens GN=ASH1L</t>
  </si>
  <si>
    <t>Q9NR48-2</t>
  </si>
  <si>
    <t>Q9NUU7;Q9UMR2;Q9UMR2-2;Q9UMR2-4;Q9UMR2-3;Q9NUU7-2</t>
  </si>
  <si>
    <t>&gt;sp|Q9NUU7|DD19A_HUMAN ATP-dependent RNA helicase DDX19A OS=Homo sapiens GN=DDX19A PE=1 SV=1</t>
  </si>
  <si>
    <t>Q9NUU7</t>
  </si>
  <si>
    <t>Q9NW15-2;Q9NW15-4;Q9NW15-3;Q9NW15-5;Q9NW15</t>
  </si>
  <si>
    <t>&gt;sp|Q9NW15-2|ANO10_HUMAN Isoform 2 of Anoctamin-10 OS=Homo sapiens GN=ANO10</t>
  </si>
  <si>
    <t>Q9NW15-2</t>
  </si>
  <si>
    <t>Q9NX14;Q9NX14-2</t>
  </si>
  <si>
    <t>&gt;sp|Q9NX14|NDUBB_HUMAN NADH dehydrogenase [ubiquinone] 1 beta subcomplex subunit 11, mitochondrial OS=Homo sapiens GN=NDUFB11 PE=1 SV=1</t>
  </si>
  <si>
    <t>Q9NX14</t>
  </si>
  <si>
    <t>Q9NXC2;Q3B7J2-2;Q9NXC2-2;Q3B7J2</t>
  </si>
  <si>
    <t>&gt;sp|Q9NXC2|GFOD1_HUMAN Glucose-fructose oxidoreductase domain-containing protein 1 OS=Homo sapiens GN=GFOD1 PE=1 SV=1</t>
  </si>
  <si>
    <t>Q9NXC2</t>
  </si>
  <si>
    <t>Q9NZ01</t>
  </si>
  <si>
    <t>&gt;sp|Q9NZ01|TECR_HUMAN Very-long-chain enoyl-CoA reductase OS=Homo sapiens GN=TECR PE=1 SV=1</t>
  </si>
  <si>
    <t>Q9P0T7</t>
  </si>
  <si>
    <t>&gt;sp|Q9P0T7|TMEM9_HUMAN Transmembrane protein 9 OS=Homo sapiens GN=TMEM9 PE=1 SV=1</t>
  </si>
  <si>
    <t>Q9P253</t>
  </si>
  <si>
    <t>&gt;sp|Q9P253|VPS18_HUMAN Vacuolar protein sorting-associated protein 18 homolog OS=Homo sapiens GN=VPS18 PE=1 SV=2</t>
  </si>
  <si>
    <t>Q9P2D3-3;Q9P2D3</t>
  </si>
  <si>
    <t>&gt;sp|Q9P2D3-3|HTR5B_HUMAN Isoform 3 of HEAT repeat-containing protein 5B OS=Homo sapiens GN=HEATR5B</t>
  </si>
  <si>
    <t>Q9P2D3-3</t>
  </si>
  <si>
    <t>Q9UGP4</t>
  </si>
  <si>
    <t>&gt;sp|Q9UGP4|LIMD1_HUMAN LIM domain-containing protein 1 OS=Homo sapiens GN=LIMD1 PE=1 SV=1</t>
  </si>
  <si>
    <t>Q9UI08-3;Q9UI08;Q9UI08-2</t>
  </si>
  <si>
    <t>&gt;sp|Q9UI08-3|EVL_HUMAN Isoform 3 of Ena/VASP-like protein OS=Homo sapiens GN=EVL</t>
  </si>
  <si>
    <t>Q9UI08-3</t>
  </si>
  <si>
    <t>Q9UKU0-7;Q9UKU0-2;Q9UKU0-5;Q9UKU0-3;Q9UKU0;Q9UKU0-9;Q9UKU0-8;Q9UKU0-1;Q9UKU0-6</t>
  </si>
  <si>
    <t>&gt;sp|Q9UKU0-7|ACSL6_HUMAN Isoform 7 of Long-chain-fatty-acid--CoA ligase 6 OS=Homo sapiens GN=ACSL6</t>
  </si>
  <si>
    <t>Q9UKU0-7</t>
  </si>
  <si>
    <t>Q9UKX7-2;Q9UKX7</t>
  </si>
  <si>
    <t>&gt;sp|Q9UKX7-2|NUP50_HUMAN Isoform 2 of Nuclear pore complex protein Nup50 OS=Homo sapiens GN=NUP50</t>
  </si>
  <si>
    <t>Q9UKX7-2</t>
  </si>
  <si>
    <t>Q9UNW1-4;Q9UNW1</t>
  </si>
  <si>
    <t>&gt;sp|Q9UNW1-4|MINP1_HUMAN Isoform 4 of Multiple inositol polyphosphate phosphatase 1 OS=Homo sapiens GN=MINPP1</t>
  </si>
  <si>
    <t>Q9UNW1-4</t>
  </si>
  <si>
    <t>Q9Y5L0-5;Q9Y5L0-3;Q9Y5L0;Q9Y5L0-1</t>
  </si>
  <si>
    <t>&gt;sp|Q9Y5L0-5|TNPO3_HUMAN Isoform 4 of Transportin-3 OS=Homo sapiens GN=TNPO3</t>
  </si>
  <si>
    <t>Q9Y5L0-5</t>
  </si>
  <si>
    <t>Q9Y5Z4</t>
  </si>
  <si>
    <t>&gt;sp|Q9Y5Z4|HEBP2_HUMAN Heme-binding protein 2 OS=Homo sapiens GN=HEBP2 PE=1 SV=1</t>
  </si>
  <si>
    <t>accession</t>
  </si>
  <si>
    <t>first_protein</t>
  </si>
  <si>
    <t>first_protein_description</t>
  </si>
  <si>
    <t>gene</t>
  </si>
  <si>
    <t>first_gene</t>
  </si>
  <si>
    <t>Log2 intensity (Y) Healthy.VUmc.Pt35.1</t>
  </si>
  <si>
    <t>Log2 intensity (W) Healthy.VUmc.Pt2</t>
  </si>
  <si>
    <t>Log2 intensity (S) Healthy.VUmc.Pt40</t>
  </si>
  <si>
    <t>Log2 intensity (R) PDAC.VUmc.Pt22</t>
  </si>
  <si>
    <t>Log2 intensity (Q) Healthy.VUmc.Pt97</t>
  </si>
  <si>
    <t>Log2 intensity (P) PDAC.VUmc.Pt91</t>
  </si>
  <si>
    <t>Log2 intensity (N) PDAC.VUmc.Pt18</t>
  </si>
  <si>
    <t>Log2 intensity (M) Healthy.VUmc.Pt10</t>
  </si>
  <si>
    <t>Log2 intensity (K) PDAC.VUmc.Pt8</t>
  </si>
  <si>
    <t>Log2 intensity (H) PDAC.VUmc.Pt95</t>
  </si>
  <si>
    <t>Log2 intensity (E) PDAC.VUmc.Pt94</t>
  </si>
  <si>
    <t>Log2 intensity (C) Healthy.VUmc.Pt82</t>
  </si>
  <si>
    <t>Immunoglobulin kappa constant</t>
  </si>
  <si>
    <t>IGKC</t>
  </si>
  <si>
    <t>CON__P01966</t>
  </si>
  <si>
    <t>Q5T3F8;Q5T3F8-3</t>
  </si>
  <si>
    <t>Q5T3F8</t>
  </si>
  <si>
    <t>CSC1-like protein 2</t>
  </si>
  <si>
    <t>TMEM63B;TMEM63B</t>
  </si>
  <si>
    <t>TMEM63B</t>
  </si>
  <si>
    <t>NA</t>
  </si>
  <si>
    <t>Q96RW7;Q96RW7-2</t>
  </si>
  <si>
    <t>Q96RW7</t>
  </si>
  <si>
    <t>Hemicentin-1</t>
  </si>
  <si>
    <t>HMCN1;HMCN1</t>
  </si>
  <si>
    <t>HMCN1</t>
  </si>
  <si>
    <t>CON__Q3SX14</t>
  </si>
  <si>
    <t>A0A0A0MRZ8;P04433</t>
  </si>
  <si>
    <t>A0A0A0MRZ8</t>
  </si>
  <si>
    <t>Immunoglobulin kappa variable 3D-11</t>
  </si>
  <si>
    <t>IGKV3D-11;IGKV3-11</t>
  </si>
  <si>
    <t>IGKV3D-11</t>
  </si>
  <si>
    <t>Platelet basic protein</t>
  </si>
  <si>
    <t>PPBP</t>
  </si>
  <si>
    <t>Platelet factor 4</t>
  </si>
  <si>
    <t>PF4</t>
  </si>
  <si>
    <t>P50579;P50579-3</t>
  </si>
  <si>
    <t>P50579</t>
  </si>
  <si>
    <t>Methionine aminopeptidase 2</t>
  </si>
  <si>
    <t>METAP2;METAP2</t>
  </si>
  <si>
    <t>METAP2</t>
  </si>
  <si>
    <t>Q92797</t>
  </si>
  <si>
    <t>Symplekin</t>
  </si>
  <si>
    <t>SYMPK</t>
  </si>
  <si>
    <t>Tubulin beta-1 chain</t>
  </si>
  <si>
    <t>TUBB1</t>
  </si>
  <si>
    <t>P01857;P0DOX5</t>
  </si>
  <si>
    <t>Immunoglobulin heavy constant gamma 1</t>
  </si>
  <si>
    <t>IGHG1;NA</t>
  </si>
  <si>
    <t>IGHG1</t>
  </si>
  <si>
    <t>Pleckstrin</t>
  </si>
  <si>
    <t>PLEK</t>
  </si>
  <si>
    <t>Immunoglobulin heavy constant gamma 2</t>
  </si>
  <si>
    <t>IGHG2</t>
  </si>
  <si>
    <t>Apolipoprotein A-I</t>
  </si>
  <si>
    <t>APOA1</t>
  </si>
  <si>
    <t>P02768</t>
  </si>
  <si>
    <t>Serum albumin</t>
  </si>
  <si>
    <t>ALB</t>
  </si>
  <si>
    <t>Actin, alpha cardiac muscle 1</t>
  </si>
  <si>
    <t>ACTC1</t>
  </si>
  <si>
    <t>Q9HBI1;Q9HBI1-2;Q9HBI1-3</t>
  </si>
  <si>
    <t>Q9HBI1</t>
  </si>
  <si>
    <t>Beta-parvin</t>
  </si>
  <si>
    <t>PARVB;PARVB;PARVB</t>
  </si>
  <si>
    <t>PARVB</t>
  </si>
  <si>
    <t>Q4LE39;Q4LE39-2;Q4LE39-3</t>
  </si>
  <si>
    <t>Q4LE39</t>
  </si>
  <si>
    <t>AT-rich interactive domain-containing protein 4B</t>
  </si>
  <si>
    <t>ARID4B;ARID4B;ARID4B</t>
  </si>
  <si>
    <t>ARID4B</t>
  </si>
  <si>
    <t>Immunoglobulin heavy constant alpha 1</t>
  </si>
  <si>
    <t>IGHA1</t>
  </si>
  <si>
    <t>P02679;P02679-2</t>
  </si>
  <si>
    <t>P02679</t>
  </si>
  <si>
    <t>Fibrinogen gamma chain</t>
  </si>
  <si>
    <t>FGG;FGG</t>
  </si>
  <si>
    <t>FGG</t>
  </si>
  <si>
    <t>Q8IYT4;Q8IYT4-2</t>
  </si>
  <si>
    <t>Q8IYT4</t>
  </si>
  <si>
    <t>Katanin p60 ATPase-containing subunit A-like 2</t>
  </si>
  <si>
    <t>KATNAL2;KATNAL2</t>
  </si>
  <si>
    <t>KATNAL2</t>
  </si>
  <si>
    <t>P02671;P02671-2</t>
  </si>
  <si>
    <t>Fibrinogen alpha chain</t>
  </si>
  <si>
    <t>FGA;FGA</t>
  </si>
  <si>
    <t>FGA</t>
  </si>
  <si>
    <t>O15195;O15195-2</t>
  </si>
  <si>
    <t>O15195</t>
  </si>
  <si>
    <t>Villin-like protein</t>
  </si>
  <si>
    <t>VILL;VILL</t>
  </si>
  <si>
    <t>VILL</t>
  </si>
  <si>
    <t>CON__P02584</t>
  </si>
  <si>
    <t>O95399;O95399-2</t>
  </si>
  <si>
    <t>O95399</t>
  </si>
  <si>
    <t>Urotensin-2</t>
  </si>
  <si>
    <t>UTS2;UTS2</t>
  </si>
  <si>
    <t>UTS2</t>
  </si>
  <si>
    <t>CON__ENSEMBL:ENSBTAP00000024146</t>
  </si>
  <si>
    <t>Q86UX7;Q86UX7-2</t>
  </si>
  <si>
    <t>Q86UX7</t>
  </si>
  <si>
    <t>Fermitin family homolog 3</t>
  </si>
  <si>
    <t>FERMT3;FERMT3</t>
  </si>
  <si>
    <t>FERMT3</t>
  </si>
  <si>
    <t>Immunoglobulin kappa variable 3-15</t>
  </si>
  <si>
    <t>Hemopexin</t>
  </si>
  <si>
    <t>HPX</t>
  </si>
  <si>
    <t>P0DOX7</t>
  </si>
  <si>
    <t>Hemoglobin subunit alpha</t>
  </si>
  <si>
    <t>HBA1</t>
  </si>
  <si>
    <t>Q9NXE4;Q9NXE4-10;Q9NXE4-2;Q9NXE4-3;Q9NXE4-4;Q9NXE4-6;Q9NXE4-7;Q9NXE4-8;Q9NXE4-9</t>
  </si>
  <si>
    <t>Q9NXE4</t>
  </si>
  <si>
    <t>Sphingomyelin phosphodiesterase 4</t>
  </si>
  <si>
    <t>SMPD4;SMPD4;SMPD4;SMPD4;SMPD4;SMPD4;SMPD4;SMPD4;SMPD4</t>
  </si>
  <si>
    <t>SMPD4</t>
  </si>
  <si>
    <t>P51159</t>
  </si>
  <si>
    <t>Ras-related protein Rab-27A</t>
  </si>
  <si>
    <t>RAB27A</t>
  </si>
  <si>
    <t>Actin, cytoplasmic 1</t>
  </si>
  <si>
    <t>ACTB</t>
  </si>
  <si>
    <t>Q14315;Q14315-2</t>
  </si>
  <si>
    <t>Q14315</t>
  </si>
  <si>
    <t>Filamin-C</t>
  </si>
  <si>
    <t>FLNC;FLNC</t>
  </si>
  <si>
    <t>FLNC</t>
  </si>
  <si>
    <t>CON__Q2UVX4</t>
  </si>
  <si>
    <t>P11169;Q8TDB8;Q8TDB8-2;Q8TDB8-4;Q8TDB8-5</t>
  </si>
  <si>
    <t>Solute carrier family 2, facilitated glucose transporter member 3</t>
  </si>
  <si>
    <t>SLC2A3;SLC2A14;SLC2A14;SLC2A14;SLC2A14</t>
  </si>
  <si>
    <t>SLC2A3</t>
  </si>
  <si>
    <t>CON__ENSEMBL:ENSBTAP00000007350|CON__P01030</t>
  </si>
  <si>
    <t>Q7Z794</t>
  </si>
  <si>
    <t>Keratin, type II cytoskeletal 1b</t>
  </si>
  <si>
    <t>KRT77</t>
  </si>
  <si>
    <t>Q05519;Q05519-2</t>
  </si>
  <si>
    <t>Q05519</t>
  </si>
  <si>
    <t>Serine/arginine-rich splicing factor 11</t>
  </si>
  <si>
    <t>SRSF11;SRSF11</t>
  </si>
  <si>
    <t>SRSF11</t>
  </si>
  <si>
    <t>Integrin beta-3</t>
  </si>
  <si>
    <t>ITGB3;ITGB3;ITGB3</t>
  </si>
  <si>
    <t>ITGB3</t>
  </si>
  <si>
    <t>Immunoglobulin kappa variable 3-20</t>
  </si>
  <si>
    <t>Q9NVD7</t>
  </si>
  <si>
    <t>Alpha-parvin</t>
  </si>
  <si>
    <t>PARVA</t>
  </si>
  <si>
    <t>Pregnancy zone protein</t>
  </si>
  <si>
    <t>PZP</t>
  </si>
  <si>
    <t>Q8N3R9;Q8N3R9-2</t>
  </si>
  <si>
    <t>Q8N3R9</t>
  </si>
  <si>
    <t>MAGUK p55 subfamily member 5</t>
  </si>
  <si>
    <t>MPP5;MPP5</t>
  </si>
  <si>
    <t>MPP5</t>
  </si>
  <si>
    <t>Q9Y5W7;Q9Y5W7-2;Q9Y5W7-3;Q9Y5W7-4</t>
  </si>
  <si>
    <t>Q9Y5W7</t>
  </si>
  <si>
    <t>Sorting nexin-14</t>
  </si>
  <si>
    <t>SNX14;SNX14;SNX14;SNX14</t>
  </si>
  <si>
    <t>SNX14</t>
  </si>
  <si>
    <t>Fibrinogen beta chain</t>
  </si>
  <si>
    <t>FGB</t>
  </si>
  <si>
    <t>P0CG12</t>
  </si>
  <si>
    <t>Chromosome transmission fidelity protein 8 homolog isoform 2</t>
  </si>
  <si>
    <t>CHTF8</t>
  </si>
  <si>
    <t>Tubulin alpha-4A chain</t>
  </si>
  <si>
    <t>TUBA4A;TUBA4A</t>
  </si>
  <si>
    <t>TUBA4A</t>
  </si>
  <si>
    <t>Immunoglobulin heavy constant gamma 4</t>
  </si>
  <si>
    <t>IGHG4</t>
  </si>
  <si>
    <t>CON__Q3SX09</t>
  </si>
  <si>
    <t>P18564;P18564-2</t>
  </si>
  <si>
    <t>P18564</t>
  </si>
  <si>
    <t>Integrin beta-6</t>
  </si>
  <si>
    <t>ITGB6;ITGB6</t>
  </si>
  <si>
    <t>ITGB6</t>
  </si>
  <si>
    <t>Ras suppressor protein 1</t>
  </si>
  <si>
    <t>RSU1</t>
  </si>
  <si>
    <t>Q8TF72</t>
  </si>
  <si>
    <t>Protein Shroom3</t>
  </si>
  <si>
    <t>SHROOM3</t>
  </si>
  <si>
    <t>P01700</t>
  </si>
  <si>
    <t>Immunoglobulin lambda variable 1-47</t>
  </si>
  <si>
    <t>Haptoglobin</t>
  </si>
  <si>
    <t>HP</t>
  </si>
  <si>
    <t>Talin-2</t>
  </si>
  <si>
    <t>TLN2</t>
  </si>
  <si>
    <t>P0DOY2;P0DOY3</t>
  </si>
  <si>
    <t>P0DOY2</t>
  </si>
  <si>
    <t>Immunoglobulin lambda constant 2</t>
  </si>
  <si>
    <t>IGLC2;IGLC3</t>
  </si>
  <si>
    <t>IGLC2</t>
  </si>
  <si>
    <t>Alpha-2-HS-glycoprotein</t>
  </si>
  <si>
    <t>AHSG</t>
  </si>
  <si>
    <t>Alpha-1-antitrypsin</t>
  </si>
  <si>
    <t>SERPINA1</t>
  </si>
  <si>
    <t>Talin-1</t>
  </si>
  <si>
    <t>TLN1</t>
  </si>
  <si>
    <t>P01782</t>
  </si>
  <si>
    <t>Immunoglobulin heavy variable 3-9</t>
  </si>
  <si>
    <t>IGHV3-9</t>
  </si>
  <si>
    <t>CON__Q2HJF0</t>
  </si>
  <si>
    <t>CON__P01030</t>
  </si>
  <si>
    <t>Complement C3</t>
  </si>
  <si>
    <t>C3</t>
  </si>
  <si>
    <t>O14950;P19105</t>
  </si>
  <si>
    <t>O14950</t>
  </si>
  <si>
    <t>Myosin regulatory light chain 12B</t>
  </si>
  <si>
    <t>MYL12B;MYL12A</t>
  </si>
  <si>
    <t>MYL12B</t>
  </si>
  <si>
    <t>Serotransferrin</t>
  </si>
  <si>
    <t>TF</t>
  </si>
  <si>
    <t>CON__P41361</t>
  </si>
  <si>
    <t>Alpha-2-macroglobulin</t>
  </si>
  <si>
    <t>A2M</t>
  </si>
  <si>
    <t>P0DOX2</t>
  </si>
  <si>
    <t>Q9Y484;Q9Y484-2;Q9Y484-3</t>
  </si>
  <si>
    <t>Q9Y484</t>
  </si>
  <si>
    <t>WD repeat domain phosphoinositide-interacting protein 4</t>
  </si>
  <si>
    <t>WDR45;WDR45;WDR45</t>
  </si>
  <si>
    <t>WDR45</t>
  </si>
  <si>
    <t>P80723</t>
  </si>
  <si>
    <t>Brain acid soluble protein 1</t>
  </si>
  <si>
    <t>BASP1</t>
  </si>
  <si>
    <t>Alpha-1B-glycoprotein</t>
  </si>
  <si>
    <t>A1BG</t>
  </si>
  <si>
    <t>P61224;P61224-3</t>
  </si>
  <si>
    <t>Ras-related protein Rap-1b</t>
  </si>
  <si>
    <t>RAP1B;RAP1B</t>
  </si>
  <si>
    <t>RAP1B</t>
  </si>
  <si>
    <t>Tubulin beta chain</t>
  </si>
  <si>
    <t>TUBB</t>
  </si>
  <si>
    <t>B9A064;P0DOX8</t>
  </si>
  <si>
    <t>Immunoglobulin lambda-like polypeptide 5</t>
  </si>
  <si>
    <t>IGLL5;NA</t>
  </si>
  <si>
    <t>IGLL5</t>
  </si>
  <si>
    <t>P51948;P51948-2</t>
  </si>
  <si>
    <t>P51948</t>
  </si>
  <si>
    <t>CDK-activating kinase assembly factor MAT1</t>
  </si>
  <si>
    <t>MNAT1;MNAT1</t>
  </si>
  <si>
    <t>MNAT1</t>
  </si>
  <si>
    <t>Tubulin alpha-1A chain</t>
  </si>
  <si>
    <t>TUBA1A;TUBA1A</t>
  </si>
  <si>
    <t>TUBA1A</t>
  </si>
  <si>
    <t>P35749;P35749-2;P35749-3;P35749-4</t>
  </si>
  <si>
    <t>P35749</t>
  </si>
  <si>
    <t>Myosin-11</t>
  </si>
  <si>
    <t>MYH11;MYH11;MYH11;MYH11</t>
  </si>
  <si>
    <t>MYH11</t>
  </si>
  <si>
    <t>Hemoglobin subunit beta</t>
  </si>
  <si>
    <t>HBB</t>
  </si>
  <si>
    <t>A0A087WW87;P01614</t>
  </si>
  <si>
    <t>A0A087WW87</t>
  </si>
  <si>
    <t>Immunoglobulin kappa variable 2-40</t>
  </si>
  <si>
    <t>IGKV2-40;IGKV2D-40</t>
  </si>
  <si>
    <t>IGKV2-40</t>
  </si>
  <si>
    <t>Q8N1N4</t>
  </si>
  <si>
    <t>Keratin, type II cytoskeletal 78</t>
  </si>
  <si>
    <t>KRT78</t>
  </si>
  <si>
    <t>Q8N3F8</t>
  </si>
  <si>
    <t>MICAL-like protein 1</t>
  </si>
  <si>
    <t>MICALL1</t>
  </si>
  <si>
    <t>CON__P00761</t>
  </si>
  <si>
    <t>Heparin cofactor 2</t>
  </si>
  <si>
    <t>SERPIND1</t>
  </si>
  <si>
    <t>P01593;P01594</t>
  </si>
  <si>
    <t>P01593</t>
  </si>
  <si>
    <t>Immunoglobulin kappa variable 1D-33</t>
  </si>
  <si>
    <t>IGKV1D-33;IGKV1-33</t>
  </si>
  <si>
    <t>Profilin-1</t>
  </si>
  <si>
    <t>PFN1</t>
  </si>
  <si>
    <t>Q96HP8</t>
  </si>
  <si>
    <t>Transmembrane protein 176A</t>
  </si>
  <si>
    <t>TMEM176A</t>
  </si>
  <si>
    <t>Tubulin beta-4B chain</t>
  </si>
  <si>
    <t>TUBB4B</t>
  </si>
  <si>
    <t>CON__P28800</t>
  </si>
  <si>
    <t>Lymphocyte cytosolic protein 2</t>
  </si>
  <si>
    <t>LCP2</t>
  </si>
  <si>
    <t>Myosin light chain 6B</t>
  </si>
  <si>
    <t>MYL6B</t>
  </si>
  <si>
    <t>Alpha-1-antichymotrypsin</t>
  </si>
  <si>
    <t>SERPINA3</t>
  </si>
  <si>
    <t>Immunoglobulin kappa variable 4-1</t>
  </si>
  <si>
    <t>P04350</t>
  </si>
  <si>
    <t>Tubulin beta-4A chain</t>
  </si>
  <si>
    <t>TUBB4A</t>
  </si>
  <si>
    <t>Q13885;Q9BVA1</t>
  </si>
  <si>
    <t>Tubulin beta-2A chain</t>
  </si>
  <si>
    <t>TUBB2A;TUBB2B</t>
  </si>
  <si>
    <t>TUBB2A</t>
  </si>
  <si>
    <t>Beta-actin-like protein 2</t>
  </si>
  <si>
    <t>ACTBL2</t>
  </si>
  <si>
    <t>Vitronectin</t>
  </si>
  <si>
    <t>VTN</t>
  </si>
  <si>
    <t>Immunoglobulin heavy constant mu</t>
  </si>
  <si>
    <t>IGHM;IGHM</t>
  </si>
  <si>
    <t>P01764;P01768</t>
  </si>
  <si>
    <t>Immunoglobulin heavy variable 3-23</t>
  </si>
  <si>
    <t>IGHV3-23;IGHV3-30</t>
  </si>
  <si>
    <t>Transthyretin</t>
  </si>
  <si>
    <t>TTR</t>
  </si>
  <si>
    <t>Q8IWB1</t>
  </si>
  <si>
    <t>Inositol 1,4,5-trisphosphate receptor-interacting protein</t>
  </si>
  <si>
    <t>ITPRIP</t>
  </si>
  <si>
    <t>P45877</t>
  </si>
  <si>
    <t>Peptidyl-prolyl cis-trans isomerase C</t>
  </si>
  <si>
    <t>PPIC</t>
  </si>
  <si>
    <t>Isoform 2 of Filamin-A</t>
  </si>
  <si>
    <t>FLNA</t>
  </si>
  <si>
    <t>POTE ankyrin domain family member E</t>
  </si>
  <si>
    <t>POTEE</t>
  </si>
  <si>
    <t>Q93084;Q93084-2;Q93084-3;Q93084-4;Q93084-5;Q93084-6;Q93084-7</t>
  </si>
  <si>
    <t>Q93084</t>
  </si>
  <si>
    <t>Sarcoplasmic/endoplasmic reticulum calcium ATPase 3</t>
  </si>
  <si>
    <t>ATP2A3;ATP2A3;ATP2A3;ATP2A3;ATP2A3;ATP2A3;ATP2A3</t>
  </si>
  <si>
    <t>ATP2A3</t>
  </si>
  <si>
    <t>Thrombospondin-1</t>
  </si>
  <si>
    <t>THBS1</t>
  </si>
  <si>
    <t>Actin-related protein 2/3 complex subunit 4</t>
  </si>
  <si>
    <t>ARPC4</t>
  </si>
  <si>
    <t>P02774;P02774-3</t>
  </si>
  <si>
    <t>Vitamin D-binding protein</t>
  </si>
  <si>
    <t>GC;GC</t>
  </si>
  <si>
    <t>GC</t>
  </si>
  <si>
    <t>P21589;P21589-2</t>
  </si>
  <si>
    <t>P21589</t>
  </si>
  <si>
    <t>5'-nucleotidase</t>
  </si>
  <si>
    <t>NT5E;NT5E</t>
  </si>
  <si>
    <t>NT5E</t>
  </si>
  <si>
    <t>O75369;O75369-2;O75369-3;O75369-6;O75369-8;O75369-9</t>
  </si>
  <si>
    <t>O75369</t>
  </si>
  <si>
    <t>Filamin-B</t>
  </si>
  <si>
    <t>FLNB;FLNB;FLNB;FLNB;FLNB;FLNB</t>
  </si>
  <si>
    <t>FLNB</t>
  </si>
  <si>
    <t>Immunoglobulin heavy variable 3-7</t>
  </si>
  <si>
    <t>A0A0B4J2D9</t>
  </si>
  <si>
    <t>Immunoglobulin kappa variable 1D-13</t>
  </si>
  <si>
    <t>IGKV1D-13</t>
  </si>
  <si>
    <t>Coagulation factor XIII A chain</t>
  </si>
  <si>
    <t>F13A1</t>
  </si>
  <si>
    <t>Beta-2-glycoprotein 1</t>
  </si>
  <si>
    <t>APOH</t>
  </si>
  <si>
    <t>Leucine-rich alpha-2-glycoprotein</t>
  </si>
  <si>
    <t>LRG1</t>
  </si>
  <si>
    <t>CON__Q3SZ57</t>
  </si>
  <si>
    <t>Kininogen-1</t>
  </si>
  <si>
    <t>KNG1</t>
  </si>
  <si>
    <t>A0A0C4DH41;P01824;P01825;P06331</t>
  </si>
  <si>
    <t>A0A0C4DH41</t>
  </si>
  <si>
    <t>Immunoglobulin heavy variable 4-61</t>
  </si>
  <si>
    <t>IGHV4-61;IGHV4-39;IGHV4-59;IGHV4-34</t>
  </si>
  <si>
    <t>IGHV4-61</t>
  </si>
  <si>
    <t>A0A075B6S5</t>
  </si>
  <si>
    <t>Immunoglobulin kappa variable 1-27</t>
  </si>
  <si>
    <t>IGKV1-27</t>
  </si>
  <si>
    <t>A0A0B4J1U7</t>
  </si>
  <si>
    <t>Immunoglobulin heavy variable 6-1</t>
  </si>
  <si>
    <t>IGHV6-1</t>
  </si>
  <si>
    <t>P08254;P09238</t>
  </si>
  <si>
    <t>P08254</t>
  </si>
  <si>
    <t>Stromelysin-1</t>
  </si>
  <si>
    <t>MMP3;MMP10</t>
  </si>
  <si>
    <t>MMP3</t>
  </si>
  <si>
    <t>Complement C4-B</t>
  </si>
  <si>
    <t>C4B</t>
  </si>
  <si>
    <t>Serum paraoxonase/arylesterase 1</t>
  </si>
  <si>
    <t>PON1</t>
  </si>
  <si>
    <t>Alpha-actinin-1</t>
  </si>
  <si>
    <t>ACTN1</t>
  </si>
  <si>
    <t>P30461</t>
  </si>
  <si>
    <t>HLA class I histocompatibility antigen, B-13 alpha chain</t>
  </si>
  <si>
    <t>HLA-B</t>
  </si>
  <si>
    <t>P0DOX6</t>
  </si>
  <si>
    <t>Q5T5C0;Q5T5C0-2</t>
  </si>
  <si>
    <t>Q5T5C0</t>
  </si>
  <si>
    <t>Syntaxin-binding protein 5</t>
  </si>
  <si>
    <t>STXBP5;STXBP5</t>
  </si>
  <si>
    <t>STXBP5</t>
  </si>
  <si>
    <t>P50452</t>
  </si>
  <si>
    <t>Serpin B8</t>
  </si>
  <si>
    <t>SERPINB8</t>
  </si>
  <si>
    <t>Pyruvate kinase PKM</t>
  </si>
  <si>
    <t>PKM</t>
  </si>
  <si>
    <t>A0A0B4J1Y8</t>
  </si>
  <si>
    <t>Immunoglobulin lambda variable 9-49</t>
  </si>
  <si>
    <t>IGLV9-49</t>
  </si>
  <si>
    <t>Q96KG9;Q96KG9-2;Q96KG9-3;Q96KG9-4;Q96KG9-5;Q96KG9-6</t>
  </si>
  <si>
    <t>Q96KG9</t>
  </si>
  <si>
    <t>N-terminal kinase-like protein</t>
  </si>
  <si>
    <t>SCYL1;SCYL1;SCYL1;SCYL1;SCYL1;SCYL1</t>
  </si>
  <si>
    <t>SCYL1</t>
  </si>
  <si>
    <t>P18206;P18206-2</t>
  </si>
  <si>
    <t>P18206</t>
  </si>
  <si>
    <t>Vinculin</t>
  </si>
  <si>
    <t>VCL;VCL</t>
  </si>
  <si>
    <t>VCL</t>
  </si>
  <si>
    <t>PDZ and LIM domain protein 1</t>
  </si>
  <si>
    <t>PDLIM1</t>
  </si>
  <si>
    <t>Myosin regulatory light polypeptide 9</t>
  </si>
  <si>
    <t>MYL9</t>
  </si>
  <si>
    <t>Integrin-linked protein kinase</t>
  </si>
  <si>
    <t>ILK</t>
  </si>
  <si>
    <t>Histidine-rich glycoprotein</t>
  </si>
  <si>
    <t>HRG</t>
  </si>
  <si>
    <t>Peroxiredoxin-6</t>
  </si>
  <si>
    <t>PRDX6</t>
  </si>
  <si>
    <t>O75150;O75150-3</t>
  </si>
  <si>
    <t>O75150</t>
  </si>
  <si>
    <t>E3 ubiquitin-protein ligase BRE1B</t>
  </si>
  <si>
    <t>RNF40;RNF40</t>
  </si>
  <si>
    <t>RNF40</t>
  </si>
  <si>
    <t>Guanine nucleotide-binding protein G(q) subunit alpha</t>
  </si>
  <si>
    <t>GNAQ</t>
  </si>
  <si>
    <t>Q70UQ0-4</t>
  </si>
  <si>
    <t>Isoform 4 of Inhibitor of nuclear factor kappa-B kinase-interacting protein</t>
  </si>
  <si>
    <t>IKBIP</t>
  </si>
  <si>
    <t>P36404</t>
  </si>
  <si>
    <t>ADP-ribosylation factor-like protein 2</t>
  </si>
  <si>
    <t>ARL2</t>
  </si>
  <si>
    <t>Transgelin-2</t>
  </si>
  <si>
    <t>TAGLN2</t>
  </si>
  <si>
    <t>P05155;P05155-2;P05155-3</t>
  </si>
  <si>
    <t>P05155</t>
  </si>
  <si>
    <t>Plasma protease C1 inhibitor</t>
  </si>
  <si>
    <t>SERPING1;SERPING1;SERPING1</t>
  </si>
  <si>
    <t>SERPING1</t>
  </si>
  <si>
    <t>Q05639</t>
  </si>
  <si>
    <t>Elongation factor 1-alpha 2</t>
  </si>
  <si>
    <t>EEF1A2</t>
  </si>
  <si>
    <t>Hemoglobin subunit delta</t>
  </si>
  <si>
    <t>HBD</t>
  </si>
  <si>
    <t>Macrophage migration inhibitory factor</t>
  </si>
  <si>
    <t>MIF</t>
  </si>
  <si>
    <t>P16671;P16671-4</t>
  </si>
  <si>
    <t>Platelet glycoprotein 4</t>
  </si>
  <si>
    <t>CD36;CD36</t>
  </si>
  <si>
    <t>CD36</t>
  </si>
  <si>
    <t>A0A0B4J1Y9</t>
  </si>
  <si>
    <t>Immunoglobulin heavy variable 3-72</t>
  </si>
  <si>
    <t>IGHV3-72</t>
  </si>
  <si>
    <t>A0A0C4DH68</t>
  </si>
  <si>
    <t>Immunoglobulin kappa variable 2-24</t>
  </si>
  <si>
    <t>IGKV2-24</t>
  </si>
  <si>
    <t>Complement C4-A</t>
  </si>
  <si>
    <t>C4A</t>
  </si>
  <si>
    <t>Q96NY7;Q96NY7-2;Q9NZA1;Q9NZA1-2;Q9NZA1-3</t>
  </si>
  <si>
    <t>Q96NY7</t>
  </si>
  <si>
    <t>Chloride intracellular channel protein 6</t>
  </si>
  <si>
    <t>CLIC6;CLIC6;CLIC5;CLIC5;CLIC5</t>
  </si>
  <si>
    <t>CLIC6</t>
  </si>
  <si>
    <t>Apolipoprotein B-100</t>
  </si>
  <si>
    <t>APOB</t>
  </si>
  <si>
    <t>A0A0A0MS15</t>
  </si>
  <si>
    <t>Immunoglobulin heavy variable 3-49</t>
  </si>
  <si>
    <t>IGHV3-49</t>
  </si>
  <si>
    <t>P51911</t>
  </si>
  <si>
    <t>Calponin-1</t>
  </si>
  <si>
    <t>CNN1</t>
  </si>
  <si>
    <t>Transmembrane protein 109</t>
  </si>
  <si>
    <t>TMEM109</t>
  </si>
  <si>
    <t>Ras-related protein Rab-13</t>
  </si>
  <si>
    <t>RAB13</t>
  </si>
  <si>
    <t>Inter-alpha-trypsin inhibitor heavy chain H4</t>
  </si>
  <si>
    <t>ITIH4</t>
  </si>
  <si>
    <t>Prothrombin</t>
  </si>
  <si>
    <t>F2</t>
  </si>
  <si>
    <t>P54652</t>
  </si>
  <si>
    <t>Heat shock-related 70 kDa protein 2</t>
  </si>
  <si>
    <t>HSPA2</t>
  </si>
  <si>
    <t>Isoform Smooth muscle of Myosin light polypeptide 6</t>
  </si>
  <si>
    <t>MYL6</t>
  </si>
  <si>
    <t>Ras-related protein Rab-27B</t>
  </si>
  <si>
    <t>RAB27B</t>
  </si>
  <si>
    <t>A0A0C4DH29</t>
  </si>
  <si>
    <t>Immunoglobulin heavy variable 1-3</t>
  </si>
  <si>
    <t>IGHV1-3</t>
  </si>
  <si>
    <t>Cofilin-1</t>
  </si>
  <si>
    <t>CFL1</t>
  </si>
  <si>
    <t>Caveolae-associated protein 2</t>
  </si>
  <si>
    <t>CAVIN2</t>
  </si>
  <si>
    <t>HLA class I histocompatibility antigen, B-39 alpha chain</t>
  </si>
  <si>
    <t>Gelsolin</t>
  </si>
  <si>
    <t>GSN</t>
  </si>
  <si>
    <t>ATP synthase subunit alpha, mitochondrial</t>
  </si>
  <si>
    <t>ATP5F1A</t>
  </si>
  <si>
    <t>CD9 antigen</t>
  </si>
  <si>
    <t>CD9</t>
  </si>
  <si>
    <t>Putative heat shock protein HSP 90-beta 2</t>
  </si>
  <si>
    <t>HSP90AB2P</t>
  </si>
  <si>
    <t>Afamin</t>
  </si>
  <si>
    <t>AFM</t>
  </si>
  <si>
    <t>Peptidyl-prolyl cis-trans isomerase A</t>
  </si>
  <si>
    <t>PPIA</t>
  </si>
  <si>
    <t>Q5SXH7;Q5SXH7-2;Q5SXH7-3;Q5SXH7-4;Q5SXH7-5</t>
  </si>
  <si>
    <t>Q5SXH7</t>
  </si>
  <si>
    <t>Pleckstrin homology domain-containing family S member 1</t>
  </si>
  <si>
    <t>PLEKHS1;PLEKHS1;PLEKHS1;PLEKHS1;PLEKHS1</t>
  </si>
  <si>
    <t>PLEKHS1</t>
  </si>
  <si>
    <t>P01597;P04432</t>
  </si>
  <si>
    <t>Immunoglobulin kappa variable 1-39</t>
  </si>
  <si>
    <t>IGKV1-39;IGKV1D-39</t>
  </si>
  <si>
    <t>Myosin-9</t>
  </si>
  <si>
    <t>MYH9</t>
  </si>
  <si>
    <t>Heat shock protein beta-1</t>
  </si>
  <si>
    <t>HSPB1</t>
  </si>
  <si>
    <t>Rho-related GTP-binding protein RhoC</t>
  </si>
  <si>
    <t>RHOC</t>
  </si>
  <si>
    <t>C4b-binding protein alpha chain</t>
  </si>
  <si>
    <t>C4BPA</t>
  </si>
  <si>
    <t>CON__P00978</t>
  </si>
  <si>
    <t>Q7Z406;Q7Z406-2;Q7Z406-6</t>
  </si>
  <si>
    <t>Myosin-14</t>
  </si>
  <si>
    <t>MYH14;MYH14;MYH14</t>
  </si>
  <si>
    <t>MYH14</t>
  </si>
  <si>
    <t>Q02338</t>
  </si>
  <si>
    <t>D-beta-hydroxybutyrate dehydrogenase, mitochondrial</t>
  </si>
  <si>
    <t>BDH1</t>
  </si>
  <si>
    <t>CON__Q03247</t>
  </si>
  <si>
    <t>Chloride intracellular channel protein 1</t>
  </si>
  <si>
    <t>CLIC1</t>
  </si>
  <si>
    <t>Tubulin alpha-1C chain</t>
  </si>
  <si>
    <t>TUBA1C</t>
  </si>
  <si>
    <t>EH domain-binding protein 1-like protein 1</t>
  </si>
  <si>
    <t>EHBP1L1</t>
  </si>
  <si>
    <t>Immunoglobulin heavy variable 1-2</t>
  </si>
  <si>
    <t>P12931;P12931-2</t>
  </si>
  <si>
    <t>Proto-oncogene tyrosine-protein kinase Src</t>
  </si>
  <si>
    <t>SRC;SRC</t>
  </si>
  <si>
    <t>SRC</t>
  </si>
  <si>
    <t>Glyceraldehyde-3-phosphate dehydrogenase</t>
  </si>
  <si>
    <t>GAPDH</t>
  </si>
  <si>
    <t>Purine nucleoside phosphorylase</t>
  </si>
  <si>
    <t>PNP</t>
  </si>
  <si>
    <t>Platelet-activating factor acetylhydrolase IB subunit beta</t>
  </si>
  <si>
    <t>PAFAH1B2</t>
  </si>
  <si>
    <t>Antithrombin-III</t>
  </si>
  <si>
    <t>SERPINC1</t>
  </si>
  <si>
    <t>WD repeat-containing protein 1</t>
  </si>
  <si>
    <t>WDR1</t>
  </si>
  <si>
    <t>Glutathione S-transferase P</t>
  </si>
  <si>
    <t>GSTP1</t>
  </si>
  <si>
    <t>Erythrocyte band 7 integral membrane protein</t>
  </si>
  <si>
    <t>STOM</t>
  </si>
  <si>
    <t>P11217</t>
  </si>
  <si>
    <t>Glycogen phosphorylase, muscle form</t>
  </si>
  <si>
    <t>PYGM</t>
  </si>
  <si>
    <t>Zyxin</t>
  </si>
  <si>
    <t>ZYX</t>
  </si>
  <si>
    <t>Isoform 2 of Gelsolin</t>
  </si>
  <si>
    <t>Corticosteroid-binding globulin</t>
  </si>
  <si>
    <t>SERPINA6</t>
  </si>
  <si>
    <t>SPARC</t>
  </si>
  <si>
    <t>Q92526</t>
  </si>
  <si>
    <t>T-complex protein 1 subunit zeta-2</t>
  </si>
  <si>
    <t>CCT6B</t>
  </si>
  <si>
    <t>Carbonic anhydrase 2</t>
  </si>
  <si>
    <t>CA2</t>
  </si>
  <si>
    <t>Alpha-1-acid glycoprotein 2</t>
  </si>
  <si>
    <t>ORM2</t>
  </si>
  <si>
    <t>Ceruloplasmin</t>
  </si>
  <si>
    <t>CP</t>
  </si>
  <si>
    <t>Q15084;Q15084-2;Q15084-3;Q15084-4;Q15084-5</t>
  </si>
  <si>
    <t>Q15084</t>
  </si>
  <si>
    <t>Protein disulfide-isomerase A6</t>
  </si>
  <si>
    <t>PDIA6;PDIA6;PDIA6;PDIA6;PDIA6</t>
  </si>
  <si>
    <t>PDIA6</t>
  </si>
  <si>
    <t>O75643</t>
  </si>
  <si>
    <t>U5 small nuclear ribonucleoprotein 200 kDa helicase</t>
  </si>
  <si>
    <t>SNRNP200</t>
  </si>
  <si>
    <t>P10909;P10909-2;P10909-4;P10909-5</t>
  </si>
  <si>
    <t>P10909</t>
  </si>
  <si>
    <t>Clusterin</t>
  </si>
  <si>
    <t>CLU;CLU;CLU;CLU</t>
  </si>
  <si>
    <t>CLU</t>
  </si>
  <si>
    <t>Q08722;Q08722-2;Q08722-3;Q08722-4</t>
  </si>
  <si>
    <t>Q08722</t>
  </si>
  <si>
    <t>Leukocyte surface antigen CD47</t>
  </si>
  <si>
    <t>CD47;CD47;CD47;CD47</t>
  </si>
  <si>
    <t>CD47</t>
  </si>
  <si>
    <t>P0CG39</t>
  </si>
  <si>
    <t>POTE ankyrin domain family member J</t>
  </si>
  <si>
    <t>POTEJ</t>
  </si>
  <si>
    <t>Tropomyosin alpha-4 chain</t>
  </si>
  <si>
    <t>TPM4</t>
  </si>
  <si>
    <t>O75330;O75330-2;O75330-3;O75330-4</t>
  </si>
  <si>
    <t>O75330</t>
  </si>
  <si>
    <t>Hyaluronan mediated motility receptor</t>
  </si>
  <si>
    <t>HMMR;HMMR;HMMR;HMMR</t>
  </si>
  <si>
    <t>HMMR</t>
  </si>
  <si>
    <t>P29317</t>
  </si>
  <si>
    <t>Ephrin type-A receptor 2</t>
  </si>
  <si>
    <t>EPHA2</t>
  </si>
  <si>
    <t>SH3 domain-binding glutamic acid-rich-like protein 2</t>
  </si>
  <si>
    <t>SH3BGRL2</t>
  </si>
  <si>
    <t>Heat shock cognate 71 kDa protein</t>
  </si>
  <si>
    <t>HSPA8</t>
  </si>
  <si>
    <t>Inter-alpha-trypsin inhibitor heavy chain H2</t>
  </si>
  <si>
    <t>ITIH2</t>
  </si>
  <si>
    <t>Actin-related protein 3</t>
  </si>
  <si>
    <t>ACTR3</t>
  </si>
  <si>
    <t>Ras-related protein Rab-11B</t>
  </si>
  <si>
    <t>RAB11B</t>
  </si>
  <si>
    <t>Ficolin-3</t>
  </si>
  <si>
    <t>FCN3;FCN3</t>
  </si>
  <si>
    <t>FCN3</t>
  </si>
  <si>
    <t>ATP synthase subunit beta, mitochondrial</t>
  </si>
  <si>
    <t>ATP5F1B</t>
  </si>
  <si>
    <t>Q86YV5</t>
  </si>
  <si>
    <t>Inactive tyrosine-protein kinase PRAG1</t>
  </si>
  <si>
    <t>PRAG1</t>
  </si>
  <si>
    <t>Zinc-alpha-2-glycoprotein</t>
  </si>
  <si>
    <t>AZGP1</t>
  </si>
  <si>
    <t>Peptidyl-prolyl cis-trans isomerase B</t>
  </si>
  <si>
    <t>PPIB</t>
  </si>
  <si>
    <t>Tropomyosin alpha-3 chain</t>
  </si>
  <si>
    <t>TPM3</t>
  </si>
  <si>
    <t>Ras-related protein Rab-39A</t>
  </si>
  <si>
    <t>RAB39A</t>
  </si>
  <si>
    <t>P37059</t>
  </si>
  <si>
    <t>Estradiol 17-beta-dehydrogenase 2</t>
  </si>
  <si>
    <t>HSD17B2</t>
  </si>
  <si>
    <t>EH domain-containing protein 3</t>
  </si>
  <si>
    <t>EHD3</t>
  </si>
  <si>
    <t>Complement C1q subcomponent subunit B</t>
  </si>
  <si>
    <t>C1QB</t>
  </si>
  <si>
    <t>Q8WWA1;Q8WWA1-2</t>
  </si>
  <si>
    <t>Transmembrane protein 40</t>
  </si>
  <si>
    <t>TMEM40;TMEM40</t>
  </si>
  <si>
    <t>TMEM40</t>
  </si>
  <si>
    <t>Superoxide dismutase [Cu-Zn]</t>
  </si>
  <si>
    <t>SOD1</t>
  </si>
  <si>
    <t>Complement factor B</t>
  </si>
  <si>
    <t>CFB</t>
  </si>
  <si>
    <t>Transforming protein RhoA</t>
  </si>
  <si>
    <t>RHOA</t>
  </si>
  <si>
    <t>Ras GTPase-activating protein 3</t>
  </si>
  <si>
    <t>RASA3;RASA3</t>
  </si>
  <si>
    <t>RASA3</t>
  </si>
  <si>
    <t>Q16513;Q16513-2;Q16513-3;Q16513-4;Q16513-5</t>
  </si>
  <si>
    <t>Q16513</t>
  </si>
  <si>
    <t>Serine/threonine-protein kinase N2</t>
  </si>
  <si>
    <t>PKN2;PKN2;PKN2;PKN2;PKN2</t>
  </si>
  <si>
    <t>PKN2</t>
  </si>
  <si>
    <t>Q9NR30;Q9NR30-2</t>
  </si>
  <si>
    <t>Q9NR30</t>
  </si>
  <si>
    <t>Nucleolar RNA helicase 2</t>
  </si>
  <si>
    <t>DDX21;DDX21</t>
  </si>
  <si>
    <t>DDX21</t>
  </si>
  <si>
    <t>Galectin-related protein</t>
  </si>
  <si>
    <t>LGALSL</t>
  </si>
  <si>
    <t>P61204;P84077</t>
  </si>
  <si>
    <t>P61204</t>
  </si>
  <si>
    <t>ADP-ribosylation factor 3</t>
  </si>
  <si>
    <t>ARF3;ARF1</t>
  </si>
  <si>
    <t>ARF3</t>
  </si>
  <si>
    <t>Serum amyloid P-component</t>
  </si>
  <si>
    <t>APCS</t>
  </si>
  <si>
    <t>Tubulin beta-6 chain</t>
  </si>
  <si>
    <t>TUBB6</t>
  </si>
  <si>
    <t>CON__ENSEMBL:ENSBTAP00000032840</t>
  </si>
  <si>
    <t>Apolipoprotein A-IV</t>
  </si>
  <si>
    <t>APOA4</t>
  </si>
  <si>
    <t>O15117;O15117-2;O15117-3</t>
  </si>
  <si>
    <t>O15117</t>
  </si>
  <si>
    <t>FYN-binding protein 1</t>
  </si>
  <si>
    <t>FYB1;FYB1;FYB1</t>
  </si>
  <si>
    <t>FYB1</t>
  </si>
  <si>
    <t>von Willebrand factor</t>
  </si>
  <si>
    <t>VWF</t>
  </si>
  <si>
    <t>Calpain-1 catalytic subunit</t>
  </si>
  <si>
    <t>CAPN1</t>
  </si>
  <si>
    <t>Kallistatin</t>
  </si>
  <si>
    <t>SERPINA4</t>
  </si>
  <si>
    <t>Complement C1q subcomponent subunit C</t>
  </si>
  <si>
    <t>C1QC</t>
  </si>
  <si>
    <t>CON__ENSEMBL:ENSBTAP00000018574</t>
  </si>
  <si>
    <t>Costars family protein ABRACL</t>
  </si>
  <si>
    <t>ABRACL</t>
  </si>
  <si>
    <t>Glutathione S-transferase omega-1</t>
  </si>
  <si>
    <t>GSTO1</t>
  </si>
  <si>
    <t>C-reactive protein</t>
  </si>
  <si>
    <t>CRP</t>
  </si>
  <si>
    <t>Complement factor H</t>
  </si>
  <si>
    <t>CFH</t>
  </si>
  <si>
    <t>Alpha-enolase</t>
  </si>
  <si>
    <t>ENO1</t>
  </si>
  <si>
    <t>P01703</t>
  </si>
  <si>
    <t>Immunoglobulin lambda variable 1-40</t>
  </si>
  <si>
    <t>IGLV1-40</t>
  </si>
  <si>
    <t>P0C0S8;P20671;Q16777;Q6FI13;Q96KK5;Q99878;Q9BTM1</t>
  </si>
  <si>
    <t>P0C0S8</t>
  </si>
  <si>
    <t>Histone H2A type 1</t>
  </si>
  <si>
    <t>HIST1H2AG;HIST1H2AD;HIST2H2AC;HIST2H2AA3;HIST1H2AH;HIST1H2AJ;H2AFJ</t>
  </si>
  <si>
    <t>HIST1H2AG</t>
  </si>
  <si>
    <t>Q96PD5;Q96PD5-2</t>
  </si>
  <si>
    <t>N-acetylmuramoyl-L-alanine amidase</t>
  </si>
  <si>
    <t>PGLYRP2;PGLYRP2</t>
  </si>
  <si>
    <t>PGLYRP2</t>
  </si>
  <si>
    <t>CON__Q9TTE1</t>
  </si>
  <si>
    <t>CON__H-INV:HIT000292931</t>
  </si>
  <si>
    <t>P63000;P63000-2</t>
  </si>
  <si>
    <t>Ras-related C3 botulinum toxin substrate 1</t>
  </si>
  <si>
    <t>RAC1;RAC1</t>
  </si>
  <si>
    <t>RAC1</t>
  </si>
  <si>
    <t>LIM and senescent cell antigen-like-containing domain protein 1</t>
  </si>
  <si>
    <t>LIMS1</t>
  </si>
  <si>
    <t>Inter-alpha-trypsin inhibitor heavy chain H1</t>
  </si>
  <si>
    <t>ITIH1</t>
  </si>
  <si>
    <t>Tubulin beta-3 chain</t>
  </si>
  <si>
    <t>TUBB3</t>
  </si>
  <si>
    <t>P08697;P08697-2</t>
  </si>
  <si>
    <t>Alpha-2-antiplasmin</t>
  </si>
  <si>
    <t>SERPINF2;SERPINF2</t>
  </si>
  <si>
    <t>SERPINF2</t>
  </si>
  <si>
    <t>P24557;P24557-3</t>
  </si>
  <si>
    <t>Thromboxane-A synthase</t>
  </si>
  <si>
    <t>TBXAS1;TBXAS1</t>
  </si>
  <si>
    <t>TBXAS1</t>
  </si>
  <si>
    <t>P0DMV8;P0DMV9</t>
  </si>
  <si>
    <t>P0DMV8</t>
  </si>
  <si>
    <t>Heat shock 70 kDa protein 1A</t>
  </si>
  <si>
    <t>HSPA1A;HSPA1B</t>
  </si>
  <si>
    <t>HSPA1A</t>
  </si>
  <si>
    <t>Q9Y576</t>
  </si>
  <si>
    <t>Ankyrin repeat and SOCS box protein 1</t>
  </si>
  <si>
    <t>ASB1</t>
  </si>
  <si>
    <t>A0A0B4J1V6</t>
  </si>
  <si>
    <t>Immunoglobulin heavy variable 3-73</t>
  </si>
  <si>
    <t>IGHV3-73</t>
  </si>
  <si>
    <t>Phosphoglycerate kinase 1</t>
  </si>
  <si>
    <t>PGK1</t>
  </si>
  <si>
    <t>O95154</t>
  </si>
  <si>
    <t>Aflatoxin B1 aldehyde reductase member 3</t>
  </si>
  <si>
    <t>AKR7A3</t>
  </si>
  <si>
    <t>P30044;P30044-2</t>
  </si>
  <si>
    <t>P30044</t>
  </si>
  <si>
    <t>Peroxiredoxin-5, mitochondrial</t>
  </si>
  <si>
    <t>PRDX5;PRDX5</t>
  </si>
  <si>
    <t>PRDX5</t>
  </si>
  <si>
    <t>O00267;O00267-2</t>
  </si>
  <si>
    <t>O00267</t>
  </si>
  <si>
    <t>Transcription elongation factor SPT5</t>
  </si>
  <si>
    <t>SUPT5H;SUPT5H</t>
  </si>
  <si>
    <t>SUPT5H</t>
  </si>
  <si>
    <t>Actin-related protein 2</t>
  </si>
  <si>
    <t>ACTR2</t>
  </si>
  <si>
    <t>Heat shock 70 kDa protein 6</t>
  </si>
  <si>
    <t>HSPA6</t>
  </si>
  <si>
    <t>Fructose-bisphosphate aldolase A</t>
  </si>
  <si>
    <t>ALDOA</t>
  </si>
  <si>
    <t>CON__Q0IIK2;CON__Q29443</t>
  </si>
  <si>
    <t>CON__Q0IIK2</t>
  </si>
  <si>
    <t>P23219;P23219-2;P23219-3;P23219-4;P23219-5;P23219-6</t>
  </si>
  <si>
    <t>P23219</t>
  </si>
  <si>
    <t>Prostaglandin G/H synthase 1</t>
  </si>
  <si>
    <t>PTGS1;PTGS1;PTGS1;PTGS1;PTGS1;PTGS1</t>
  </si>
  <si>
    <t>PTGS1</t>
  </si>
  <si>
    <t>Alpha-1-acid glycoprotein 1</t>
  </si>
  <si>
    <t>ORM1</t>
  </si>
  <si>
    <t>Ras-related protein Rap-1A</t>
  </si>
  <si>
    <t>RAP1A</t>
  </si>
  <si>
    <t>Q9ULV4;Q9ULV4-2;Q9ULV4-3</t>
  </si>
  <si>
    <t>Coronin-1C</t>
  </si>
  <si>
    <t>CORO1C;CORO1C;CORO1C</t>
  </si>
  <si>
    <t>CORO1C</t>
  </si>
  <si>
    <t>CON__P02535-1</t>
  </si>
  <si>
    <t>Plasminogen</t>
  </si>
  <si>
    <t>PLG</t>
  </si>
  <si>
    <t>ADP/ATP translocase 2</t>
  </si>
  <si>
    <t>SLC25A5</t>
  </si>
  <si>
    <t>CON__Q3ZBD7</t>
  </si>
  <si>
    <t>O60229;O60229-4;O60229-5;O60229-6</t>
  </si>
  <si>
    <t>O60229</t>
  </si>
  <si>
    <t>Kalirin</t>
  </si>
  <si>
    <t>KALRN;KALRN;KALRN;KALRN</t>
  </si>
  <si>
    <t>KALRN</t>
  </si>
  <si>
    <t>P06899;P23527;P33778;Q16778;Q8N257</t>
  </si>
  <si>
    <t>P06899</t>
  </si>
  <si>
    <t>Histone H2B type 1-J</t>
  </si>
  <si>
    <t>HIST1H2BJ;HIST1H2BO;HIST1H2BB;HIST2H2BE;HIST3H2BB</t>
  </si>
  <si>
    <t>HIST1H2BJ</t>
  </si>
  <si>
    <t>10 kDa heat shock protein, mitochondrial</t>
  </si>
  <si>
    <t>HSPE1</t>
  </si>
  <si>
    <t>Endonuclease domain-containing 1 protein</t>
  </si>
  <si>
    <t>ENDOD1</t>
  </si>
  <si>
    <t>Gamma-enolase</t>
  </si>
  <si>
    <t>ENO2</t>
  </si>
  <si>
    <t>P56385</t>
  </si>
  <si>
    <t>ATP synthase subunit e, mitochondrial</t>
  </si>
  <si>
    <t>ATP5ME</t>
  </si>
  <si>
    <t>Q01968;Q01968-2</t>
  </si>
  <si>
    <t>Q01968</t>
  </si>
  <si>
    <t>Inositol polyphosphate 5-phosphatase OCRL-1</t>
  </si>
  <si>
    <t>OCRL;OCRL</t>
  </si>
  <si>
    <t>OCRL</t>
  </si>
  <si>
    <t>O95620;O95620-2</t>
  </si>
  <si>
    <t>O95620</t>
  </si>
  <si>
    <t>tRNA-dihydrouridine(20a/20b) synthase [NAD(P)+]-like</t>
  </si>
  <si>
    <t>DUS4L;DUS4L</t>
  </si>
  <si>
    <t>DUS4L</t>
  </si>
  <si>
    <t>F-actin-capping protein subunit alpha-2</t>
  </si>
  <si>
    <t>CAPZA2</t>
  </si>
  <si>
    <t>CON__P17690</t>
  </si>
  <si>
    <t>Pituitary tumor-transforming gene 1 protein-interacting protein</t>
  </si>
  <si>
    <t>PTTG1IP</t>
  </si>
  <si>
    <t>Immunoglobulin lambda variable 3-21</t>
  </si>
  <si>
    <t>Serum amyloid A-4 protein</t>
  </si>
  <si>
    <t>SAA4</t>
  </si>
  <si>
    <t>P27824;P27824-2</t>
  </si>
  <si>
    <t>Calnexin</t>
  </si>
  <si>
    <t>CANX;CANX</t>
  </si>
  <si>
    <t>CANX</t>
  </si>
  <si>
    <t>P60174;P60174-1</t>
  </si>
  <si>
    <t>P60174</t>
  </si>
  <si>
    <t>Triosephosphate isomerase</t>
  </si>
  <si>
    <t>TPI1;TPI1</t>
  </si>
  <si>
    <t>TPI1</t>
  </si>
  <si>
    <t>Apolipoprotein C-II</t>
  </si>
  <si>
    <t>APOC2</t>
  </si>
  <si>
    <t>P45880;P45880-1;P45880-2</t>
  </si>
  <si>
    <t>Voltage-dependent anion-selective channel protein 2</t>
  </si>
  <si>
    <t>VDAC2;VDAC2;VDAC2</t>
  </si>
  <si>
    <t>VDAC2</t>
  </si>
  <si>
    <t>P0DOX3</t>
  </si>
  <si>
    <t>P55209;P55209-2</t>
  </si>
  <si>
    <t>P55209</t>
  </si>
  <si>
    <t>Nucleosome assembly protein 1-like 1</t>
  </si>
  <si>
    <t>NAP1L1;NAP1L1</t>
  </si>
  <si>
    <t>NAP1L1</t>
  </si>
  <si>
    <t>P02751;P02751-17;P02751-3</t>
  </si>
  <si>
    <t>Fibronectin</t>
  </si>
  <si>
    <t>FN1;FN1;FN1</t>
  </si>
  <si>
    <t>FN1</t>
  </si>
  <si>
    <t>Rho GTPase-activating protein 45</t>
  </si>
  <si>
    <t>ARHGAP45</t>
  </si>
  <si>
    <t>P0CG47;P0CG48;P62979;P62987</t>
  </si>
  <si>
    <t>P0CG47</t>
  </si>
  <si>
    <t>Polyubiquitin-B</t>
  </si>
  <si>
    <t>UBB;UBC;RPS27A;UBA52</t>
  </si>
  <si>
    <t>UBB</t>
  </si>
  <si>
    <t>Q31610</t>
  </si>
  <si>
    <t>HLA class I histocompatibility antigen, B-81 alpha chain</t>
  </si>
  <si>
    <t>Q69YQ0;Q69YQ0-2</t>
  </si>
  <si>
    <t>Q69YQ0</t>
  </si>
  <si>
    <t>Cytospin-A</t>
  </si>
  <si>
    <t>SPECC1L;SPECC1L</t>
  </si>
  <si>
    <t>SPECC1L</t>
  </si>
  <si>
    <t>Glutathione peroxidase 1</t>
  </si>
  <si>
    <t>GPX1</t>
  </si>
  <si>
    <t>Endoplasmic reticulum resident protein 29</t>
  </si>
  <si>
    <t>ERP29</t>
  </si>
  <si>
    <t>Q15052;Q15052-2</t>
  </si>
  <si>
    <t>Q15052</t>
  </si>
  <si>
    <t>Rho guanine nucleotide exchange factor 6</t>
  </si>
  <si>
    <t>ARHGEF6;ARHGEF6</t>
  </si>
  <si>
    <t>ARHGEF6</t>
  </si>
  <si>
    <t>Q16836;Q16836-2;Q16836-3</t>
  </si>
  <si>
    <t>Hydroxyacyl-coenzyme A dehydrogenase, mitochondrial</t>
  </si>
  <si>
    <t>HADH;HADH;HADH</t>
  </si>
  <si>
    <t>HADH</t>
  </si>
  <si>
    <t>L-lactate dehydrogenase A chain</t>
  </si>
  <si>
    <t>LDHA</t>
  </si>
  <si>
    <t>Citrate synthase, mitochondrial</t>
  </si>
  <si>
    <t>CS</t>
  </si>
  <si>
    <t>Q8N5J2;Q8N5J2-3</t>
  </si>
  <si>
    <t>Ubiquitin carboxyl-terminal hydrolase MINDY-1</t>
  </si>
  <si>
    <t>MINDY1;MINDY1</t>
  </si>
  <si>
    <t>MINDY1</t>
  </si>
  <si>
    <t>Septin-5</t>
  </si>
  <si>
    <t>P16284;P16284-3;P16284-4;P16284-5;P16284-6</t>
  </si>
  <si>
    <t>P16284</t>
  </si>
  <si>
    <t>Platelet endothelial cell adhesion molecule</t>
  </si>
  <si>
    <t>PECAM1;PECAM1;PECAM1;PECAM1;PECAM1</t>
  </si>
  <si>
    <t>PECAM1</t>
  </si>
  <si>
    <t>Apolipoprotein E</t>
  </si>
  <si>
    <t>APOE</t>
  </si>
  <si>
    <t>Exocyst complex component 2</t>
  </si>
  <si>
    <t>EXOC2</t>
  </si>
  <si>
    <t>Q8N7C3;Q8N7C3-2</t>
  </si>
  <si>
    <t>Q8N7C3</t>
  </si>
  <si>
    <t>Probable E3 ubiquitin-protein ligase TRIML2</t>
  </si>
  <si>
    <t>TRIML2;TRIML2</t>
  </si>
  <si>
    <t>TRIML2</t>
  </si>
  <si>
    <t>Voltage-dependent anion-selective channel protein 1</t>
  </si>
  <si>
    <t>VDAC1</t>
  </si>
  <si>
    <t>Protein disulfide-isomerase A3</t>
  </si>
  <si>
    <t>PDIA3</t>
  </si>
  <si>
    <t>Q6ZN19;Q6ZN19-2;Q6ZN19-3</t>
  </si>
  <si>
    <t>Q6ZN19</t>
  </si>
  <si>
    <t>Zinc finger protein 841</t>
  </si>
  <si>
    <t>ZNF841;ZNF841;ZNF841</t>
  </si>
  <si>
    <t>ZNF841</t>
  </si>
  <si>
    <t>Actin-related protein 2/3 complex subunit 3</t>
  </si>
  <si>
    <t>ARPC3</t>
  </si>
  <si>
    <t>Q13404;Q13404-1;Q13404-2;Q13404-7</t>
  </si>
  <si>
    <t>Ubiquitin-conjugating enzyme E2 variant 1</t>
  </si>
  <si>
    <t>UBE2V1;UBE2V1;UBE2V1;UBE2V1</t>
  </si>
  <si>
    <t>UBE2V1</t>
  </si>
  <si>
    <t>P17693</t>
  </si>
  <si>
    <t>HLA class I histocompatibility antigen, alpha chain G</t>
  </si>
  <si>
    <t>HLA-G</t>
  </si>
  <si>
    <t>Q02127</t>
  </si>
  <si>
    <t>Dihydroorotate dehydrogenase (quinone), mitochondrial</t>
  </si>
  <si>
    <t>DHODH</t>
  </si>
  <si>
    <t>P63092;P63092-2;P63092-3;P63092-4;Q5JWF2;Q5JWF2-2</t>
  </si>
  <si>
    <t>P63092</t>
  </si>
  <si>
    <t>Guanine nucleotide-binding protein G(s) subunit alpha isoforms short</t>
  </si>
  <si>
    <t>GNAS;GNAS;GNAS;GNAS;GNAS;GNAS</t>
  </si>
  <si>
    <t>GNAS</t>
  </si>
  <si>
    <t>Endothelial cell-selective adhesion molecule</t>
  </si>
  <si>
    <t>ESAM</t>
  </si>
  <si>
    <t>P35241;P35241-5</t>
  </si>
  <si>
    <t>Radixin</t>
  </si>
  <si>
    <t>RDX;RDX</t>
  </si>
  <si>
    <t>RDX</t>
  </si>
  <si>
    <t>Ubiquitin-like modifier-activating enzyme 7</t>
  </si>
  <si>
    <t>UBA7</t>
  </si>
  <si>
    <t>O00429</t>
  </si>
  <si>
    <t>Dynamin-1-like protein</t>
  </si>
  <si>
    <t>DNM1L</t>
  </si>
  <si>
    <t>P05062</t>
  </si>
  <si>
    <t>Fructose-bisphosphate aldolase B</t>
  </si>
  <si>
    <t>ALDOB</t>
  </si>
  <si>
    <t>P19367;P19367-2;P19367-3;P19367-4</t>
  </si>
  <si>
    <t>Hexokinase-1</t>
  </si>
  <si>
    <t>HK1;HK1;HK1;HK1</t>
  </si>
  <si>
    <t>HK1</t>
  </si>
  <si>
    <t>P39656</t>
  </si>
  <si>
    <t>Dolichyl-diphosphooligosaccharide--protein glycosyltransferase 48 kDa subunit</t>
  </si>
  <si>
    <t>DDOST</t>
  </si>
  <si>
    <t>Immunoglobulin heavy constant gamma 3</t>
  </si>
  <si>
    <t>IGHG3</t>
  </si>
  <si>
    <t>Vitamin K-dependent protein S</t>
  </si>
  <si>
    <t>PROS1</t>
  </si>
  <si>
    <t>Leukocyte elastase inhibitor</t>
  </si>
  <si>
    <t>SERPINB1</t>
  </si>
  <si>
    <t>Actin, cytoplasmic 2</t>
  </si>
  <si>
    <t>ACTG1</t>
  </si>
  <si>
    <t>Synaptophysin-like protein 1</t>
  </si>
  <si>
    <t>SYPL1;SYPL1</t>
  </si>
  <si>
    <t>SYPL1</t>
  </si>
  <si>
    <t>Prohibitin</t>
  </si>
  <si>
    <t>PHB</t>
  </si>
  <si>
    <t>P85298;P85298-3</t>
  </si>
  <si>
    <t>P85298</t>
  </si>
  <si>
    <t>Rho GTPase-activating protein 8</t>
  </si>
  <si>
    <t>ARHGAP8;ARHGAP8</t>
  </si>
  <si>
    <t>ARHGAP8</t>
  </si>
  <si>
    <t>Protein AMBP</t>
  </si>
  <si>
    <t>AMBP</t>
  </si>
  <si>
    <t>Isoform 3 of Tropomyosin alpha-1 chain</t>
  </si>
  <si>
    <t>TPM1</t>
  </si>
  <si>
    <t>Cytochrome c oxidase subunit 2</t>
  </si>
  <si>
    <t>MT-CO2</t>
  </si>
  <si>
    <t>Isoform 2 of Tropomyosin alpha-3 chain</t>
  </si>
  <si>
    <t>Tubulin beta-8 chain</t>
  </si>
  <si>
    <t>TUBB8</t>
  </si>
  <si>
    <t>Angiotensinogen</t>
  </si>
  <si>
    <t>AGT</t>
  </si>
  <si>
    <t>Q66GS9</t>
  </si>
  <si>
    <t>Centrosomal protein of 135 kDa</t>
  </si>
  <si>
    <t>CEP135</t>
  </si>
  <si>
    <t>P07741</t>
  </si>
  <si>
    <t>Adenine phosphoribosyltransferase</t>
  </si>
  <si>
    <t>APRT</t>
  </si>
  <si>
    <t>Q13310;Q13310-2;Q13310-3</t>
  </si>
  <si>
    <t>Q13310</t>
  </si>
  <si>
    <t>Polyadenylate-binding protein 4</t>
  </si>
  <si>
    <t>PABPC4;PABPC4;PABPC4</t>
  </si>
  <si>
    <t>PABPC4</t>
  </si>
  <si>
    <t>14-3-3 protein beta/alpha</t>
  </si>
  <si>
    <t>YWHAB</t>
  </si>
  <si>
    <t>Isoform 2 of Ras-related protein Rab-6A</t>
  </si>
  <si>
    <t>RAB6A</t>
  </si>
  <si>
    <t>Rho GDP-dissociation inhibitor 1</t>
  </si>
  <si>
    <t>ARHGDIA</t>
  </si>
  <si>
    <t>CON__Q9N2I2</t>
  </si>
  <si>
    <t>Voltage-dependent anion-selective channel protein 3</t>
  </si>
  <si>
    <t>VDAC3</t>
  </si>
  <si>
    <t>HLA class I histocompatibility antigen, B-7 alpha chain</t>
  </si>
  <si>
    <t>P08962;P08962-2;P08962-3</t>
  </si>
  <si>
    <t>P08962</t>
  </si>
  <si>
    <t>CD63 antigen</t>
  </si>
  <si>
    <t>CD63;CD63;CD63</t>
  </si>
  <si>
    <t>CD63</t>
  </si>
  <si>
    <t>Peroxiredoxin-2</t>
  </si>
  <si>
    <t>PRDX2</t>
  </si>
  <si>
    <t>Complement factor I</t>
  </si>
  <si>
    <t>CFI</t>
  </si>
  <si>
    <t>P20591;P20591-2</t>
  </si>
  <si>
    <t>P20591</t>
  </si>
  <si>
    <t>Interferon-induced GTP-binding protein Mx1</t>
  </si>
  <si>
    <t>MX1;MX1</t>
  </si>
  <si>
    <t>MX1</t>
  </si>
  <si>
    <t>P36406;P36406-2;P36406-3</t>
  </si>
  <si>
    <t>P36406</t>
  </si>
  <si>
    <t>E3 ubiquitin-protein ligase TRIM23</t>
  </si>
  <si>
    <t>TRIM23;TRIM23;TRIM23</t>
  </si>
  <si>
    <t>TRIM23</t>
  </si>
  <si>
    <t>O75387;O75387-2</t>
  </si>
  <si>
    <t>O75387</t>
  </si>
  <si>
    <t>Large neutral amino acids transporter small subunit 3</t>
  </si>
  <si>
    <t>SLC43A1;SLC43A1</t>
  </si>
  <si>
    <t>SLC43A1</t>
  </si>
  <si>
    <t>Q66K74;Q66K74-2</t>
  </si>
  <si>
    <t>Q66K74</t>
  </si>
  <si>
    <t>Microtubule-associated protein 1S</t>
  </si>
  <si>
    <t>MAP1S;MAP1S</t>
  </si>
  <si>
    <t>MAP1S</t>
  </si>
  <si>
    <t>Q96FN4</t>
  </si>
  <si>
    <t>Copine-2</t>
  </si>
  <si>
    <t>CPNE2</t>
  </si>
  <si>
    <t>Q96AT9;Q96AT9-2;Q96AT9-4</t>
  </si>
  <si>
    <t>Q96AT9</t>
  </si>
  <si>
    <t>Ribulose-phosphate 3-epimerase</t>
  </si>
  <si>
    <t>RPE;RPE;RPE</t>
  </si>
  <si>
    <t>RPE</t>
  </si>
  <si>
    <t>Q8N1F7;Q8N1F7-2</t>
  </si>
  <si>
    <t>Q8N1F7</t>
  </si>
  <si>
    <t>Nuclear pore complex protein Nup93</t>
  </si>
  <si>
    <t>NUP93;NUP93</t>
  </si>
  <si>
    <t>NUP93</t>
  </si>
  <si>
    <t>Q15746;Q15746-2;Q15746-7;Q15746-9</t>
  </si>
  <si>
    <t>Q15746</t>
  </si>
  <si>
    <t>Myosin light chain kinase, smooth muscle</t>
  </si>
  <si>
    <t>MYLK;MYLK;MYLK;MYLK</t>
  </si>
  <si>
    <t>MYLK</t>
  </si>
  <si>
    <t>O75608;O75608-2</t>
  </si>
  <si>
    <t>O75608</t>
  </si>
  <si>
    <t>Acyl-protein thioesterase 1</t>
  </si>
  <si>
    <t>LYPLA1;LYPLA1</t>
  </si>
  <si>
    <t>LYPLA1</t>
  </si>
  <si>
    <t>A0A0C4DH38</t>
  </si>
  <si>
    <t>Immunoglobulin heavy variable 5-51</t>
  </si>
  <si>
    <t>IGHV5-51</t>
  </si>
  <si>
    <t>Endoplasmic reticulum chaperone BiP</t>
  </si>
  <si>
    <t>HSPA5</t>
  </si>
  <si>
    <t>P22392</t>
  </si>
  <si>
    <t>Nucleoside diphosphate kinase B</t>
  </si>
  <si>
    <t>NME2</t>
  </si>
  <si>
    <t>Ras-related protein Rab-8A</t>
  </si>
  <si>
    <t>RAB8A</t>
  </si>
  <si>
    <t>Phosphatidylinositol 5-phosphate 4-kinase type-2 alpha</t>
  </si>
  <si>
    <t>PIP4K2A</t>
  </si>
  <si>
    <t>O95757</t>
  </si>
  <si>
    <t>Heat shock 70 kDa protein 4L</t>
  </si>
  <si>
    <t>HSPA4L</t>
  </si>
  <si>
    <t>Ras-related protein Rab-1B</t>
  </si>
  <si>
    <t>RAB1B</t>
  </si>
  <si>
    <t>Adenylyl cyclase-associated protein 1</t>
  </si>
  <si>
    <t>CAP1</t>
  </si>
  <si>
    <t>P35580;P35580-2;P35580-3;P35580-4;P35580-5</t>
  </si>
  <si>
    <t>P35580</t>
  </si>
  <si>
    <t>Myosin-10</t>
  </si>
  <si>
    <t>MYH10;MYH10;MYH10;MYH10;MYH10</t>
  </si>
  <si>
    <t>MYH10</t>
  </si>
  <si>
    <t>Q70J99;Q70J99-3</t>
  </si>
  <si>
    <t>Protein unc-13 homolog D</t>
  </si>
  <si>
    <t>UNC13D;UNC13D</t>
  </si>
  <si>
    <t>UNC13D</t>
  </si>
  <si>
    <t>Proteasome subunit beta type-2</t>
  </si>
  <si>
    <t>PSMB2</t>
  </si>
  <si>
    <t>Ras-related protein Rab-7a</t>
  </si>
  <si>
    <t>RAB7A</t>
  </si>
  <si>
    <t>Haptoglobin-related protein</t>
  </si>
  <si>
    <t>HPR;HPR</t>
  </si>
  <si>
    <t>HPR</t>
  </si>
  <si>
    <t>Malate dehydrogenase, mitochondrial</t>
  </si>
  <si>
    <t>MDH2</t>
  </si>
  <si>
    <t>P07900;P07900-2</t>
  </si>
  <si>
    <t>Heat shock protein HSP 90-alpha</t>
  </si>
  <si>
    <t>HSP90AA1;HSP90AA1</t>
  </si>
  <si>
    <t>HSP90AA1</t>
  </si>
  <si>
    <t>Cytoplasmic protein NCK2</t>
  </si>
  <si>
    <t>NCK2</t>
  </si>
  <si>
    <t>NEDD8-conjugating enzyme Ubc12</t>
  </si>
  <si>
    <t>UBE2M</t>
  </si>
  <si>
    <t>Immunoglobulin J chain</t>
  </si>
  <si>
    <t>JCHAIN</t>
  </si>
  <si>
    <t>55 kDa erythrocyte membrane protein</t>
  </si>
  <si>
    <t>MPP1;MPP1;MPP1</t>
  </si>
  <si>
    <t>MPP1</t>
  </si>
  <si>
    <t>Cysteine and glycine-rich protein 1</t>
  </si>
  <si>
    <t>CSRP1</t>
  </si>
  <si>
    <t>Q15398;Q15398-1;Q15398-3</t>
  </si>
  <si>
    <t>Q15398</t>
  </si>
  <si>
    <t>Disks large-associated protein 5</t>
  </si>
  <si>
    <t>DLGAP5;DLGAP5;DLGAP5</t>
  </si>
  <si>
    <t>DLGAP5</t>
  </si>
  <si>
    <t>Pigment epithelium-derived factor</t>
  </si>
  <si>
    <t>SERPINF1</t>
  </si>
  <si>
    <t>Complement component C8 gamma chain</t>
  </si>
  <si>
    <t>C8G</t>
  </si>
  <si>
    <t>Peroxiredoxin-1</t>
  </si>
  <si>
    <t>PRDX1</t>
  </si>
  <si>
    <t>PRA1 family protein 3</t>
  </si>
  <si>
    <t>ARL6IP5</t>
  </si>
  <si>
    <t>Cytochrome c oxidase subunit NDUFA4</t>
  </si>
  <si>
    <t>NDUFA4</t>
  </si>
  <si>
    <t>Q15555-5</t>
  </si>
  <si>
    <t>Isoform 5 of Microtubule-associated protein RP/EB family member 2</t>
  </si>
  <si>
    <t>MAPRE2</t>
  </si>
  <si>
    <t>P30048;P30048-2</t>
  </si>
  <si>
    <t>P30048</t>
  </si>
  <si>
    <t>Thioredoxin-dependent peroxide reductase, mitochondrial</t>
  </si>
  <si>
    <t>PRDX3;PRDX3</t>
  </si>
  <si>
    <t>PRDX3</t>
  </si>
  <si>
    <t>P23229;P23229-2;P23229-3;P23229-4;P23229-5;P23229-6;P23229-9</t>
  </si>
  <si>
    <t>P23229</t>
  </si>
  <si>
    <t>Integrin alpha-6</t>
  </si>
  <si>
    <t>ITGA6;ITGA6;ITGA6;ITGA6;ITGA6;ITGA6;ITGA6</t>
  </si>
  <si>
    <t>ITGA6</t>
  </si>
  <si>
    <t>Elongation factor 1-gamma</t>
  </si>
  <si>
    <t>EEF1G</t>
  </si>
  <si>
    <t>Cadherin EGF LAG seven-pass G-type receptor 2</t>
  </si>
  <si>
    <t>CELSR2</t>
  </si>
  <si>
    <t>Heat shock protein HSP 90-beta</t>
  </si>
  <si>
    <t>HSP90AB1</t>
  </si>
  <si>
    <t>Twinfilin-2</t>
  </si>
  <si>
    <t>TWF2</t>
  </si>
  <si>
    <t>Complement C1q subcomponent subunit A</t>
  </si>
  <si>
    <t>C1QA</t>
  </si>
  <si>
    <t>Superoxide dismutase [Mn], mitochondrial</t>
  </si>
  <si>
    <t>SOD2</t>
  </si>
  <si>
    <t>Calreticulin</t>
  </si>
  <si>
    <t>CALR</t>
  </si>
  <si>
    <t>Quinone oxidoreductase PIG3</t>
  </si>
  <si>
    <t>TP53I3</t>
  </si>
  <si>
    <t>Lysozyme C</t>
  </si>
  <si>
    <t>LYZ</t>
  </si>
  <si>
    <t>ADP-ribosylation factor 4</t>
  </si>
  <si>
    <t>ARF4</t>
  </si>
  <si>
    <t>Monoglyceride lipase</t>
  </si>
  <si>
    <t>MGLL</t>
  </si>
  <si>
    <t>Peptidyl-prolyl cis-trans isomerase FKBP2</t>
  </si>
  <si>
    <t>FKBP2</t>
  </si>
  <si>
    <t>Rho GTPase-activating protein 1</t>
  </si>
  <si>
    <t>ARHGAP1</t>
  </si>
  <si>
    <t>Q6PKG0;Q6PKG0-3</t>
  </si>
  <si>
    <t>Q6PKG0</t>
  </si>
  <si>
    <t>La-related protein 1</t>
  </si>
  <si>
    <t>LARP1;LARP1</t>
  </si>
  <si>
    <t>LARP1</t>
  </si>
  <si>
    <t>Insulin-like growth factor-binding protein complex acid labile subunit</t>
  </si>
  <si>
    <t>IGFALS;IGFALS</t>
  </si>
  <si>
    <t>IGFALS</t>
  </si>
  <si>
    <t>Ceramide synthase 2</t>
  </si>
  <si>
    <t>CERS2</t>
  </si>
  <si>
    <t>Transitional endoplasmic reticulum ATPase</t>
  </si>
  <si>
    <t>VCP</t>
  </si>
  <si>
    <t>Calcium/calmodulin-dependent protein kinase type 1</t>
  </si>
  <si>
    <t>CAMK1</t>
  </si>
  <si>
    <t>Rho GDP-dissociation inhibitor 2</t>
  </si>
  <si>
    <t>ARHGDIB</t>
  </si>
  <si>
    <t>14-3-3 protein zeta/delta</t>
  </si>
  <si>
    <t>YWHAZ</t>
  </si>
  <si>
    <t>Ras-related C3 botulinum toxin substrate 2</t>
  </si>
  <si>
    <t>RAC2</t>
  </si>
  <si>
    <t>Q96P48;Q96P48-3</t>
  </si>
  <si>
    <t>Q96P48</t>
  </si>
  <si>
    <t>Arf-GAP with Rho-GAP domain, ANK repeat and PH domain-containing protein 1</t>
  </si>
  <si>
    <t>ARAP1;ARAP1</t>
  </si>
  <si>
    <t>ARAP1</t>
  </si>
  <si>
    <t>Complement C5</t>
  </si>
  <si>
    <t>C5</t>
  </si>
  <si>
    <t>CON__P15497</t>
  </si>
  <si>
    <t>Complement component C9</t>
  </si>
  <si>
    <t>C9</t>
  </si>
  <si>
    <t>Histone H4</t>
  </si>
  <si>
    <t>HIST1H4A</t>
  </si>
  <si>
    <t>P62873;P62873-2</t>
  </si>
  <si>
    <t>P62873</t>
  </si>
  <si>
    <t>Guanine nucleotide-binding protein G(I)/G(S)/G(T) subunit beta-1</t>
  </si>
  <si>
    <t>GNB1;GNB1</t>
  </si>
  <si>
    <t>GNB1</t>
  </si>
  <si>
    <t>Cell division control protein 42 homolog</t>
  </si>
  <si>
    <t>CDC42</t>
  </si>
  <si>
    <t>Lumican</t>
  </si>
  <si>
    <t>LUM</t>
  </si>
  <si>
    <t>Dual specificity protein phosphatase 3</t>
  </si>
  <si>
    <t>DUSP3</t>
  </si>
  <si>
    <t>Actin-related protein 2/3 complex subunit 5</t>
  </si>
  <si>
    <t>ARPC5</t>
  </si>
  <si>
    <t>6-phosphogluconolactonase</t>
  </si>
  <si>
    <t>PGLS</t>
  </si>
  <si>
    <t>P22694;P22694-2;P22694-3;P22694-4;P22694-5;P22694-6;P22694-7;P22694-9</t>
  </si>
  <si>
    <t>cAMP-dependent protein kinase catalytic subunit beta</t>
  </si>
  <si>
    <t>PRKACB;PRKACB;PRKACB;PRKACB;PRKACB;PRKACB;PRKACB;PRKACB</t>
  </si>
  <si>
    <t>PRKACB</t>
  </si>
  <si>
    <t>L-lactate dehydrogenase B chain</t>
  </si>
  <si>
    <t>LDHB</t>
  </si>
  <si>
    <t>Ubiquitin-associated and SH3 domain-containing protein B</t>
  </si>
  <si>
    <t>UBASH3B</t>
  </si>
  <si>
    <t>Glutathione peroxidase 3</t>
  </si>
  <si>
    <t>GPX3</t>
  </si>
  <si>
    <t>Q9NR50;Q9NR50-2;Q9NR50-3</t>
  </si>
  <si>
    <t>Q9NR50</t>
  </si>
  <si>
    <t>Translation initiation factor eIF-2B subunit gamma</t>
  </si>
  <si>
    <t>EIF2B3;EIF2B3;EIF2B3</t>
  </si>
  <si>
    <t>EIF2B3</t>
  </si>
  <si>
    <t>Q8IY22;Q8IY22-2;Q8IY22-3</t>
  </si>
  <si>
    <t>Q8IY22</t>
  </si>
  <si>
    <t>C-Maf-inducing protein</t>
  </si>
  <si>
    <t>CMIP;CMIP;CMIP</t>
  </si>
  <si>
    <t>CMIP</t>
  </si>
  <si>
    <t>Q684P5;Q684P5-2;Q684P5-3</t>
  </si>
  <si>
    <t>Q684P5</t>
  </si>
  <si>
    <t>Rap1 GTPase-activating protein 2</t>
  </si>
  <si>
    <t>RAP1GAP2;RAP1GAP2;RAP1GAP2</t>
  </si>
  <si>
    <t>RAP1GAP2</t>
  </si>
  <si>
    <t>Rab GDP dissociation inhibitor alpha</t>
  </si>
  <si>
    <t>GDI1</t>
  </si>
  <si>
    <t>O15400;O15400-2</t>
  </si>
  <si>
    <t>O15400</t>
  </si>
  <si>
    <t>Syntaxin-7</t>
  </si>
  <si>
    <t>STX7;STX7</t>
  </si>
  <si>
    <t>STX7</t>
  </si>
  <si>
    <t>Coagulation factor XII</t>
  </si>
  <si>
    <t>F12</t>
  </si>
  <si>
    <t>Ras-related protein Rab-14</t>
  </si>
  <si>
    <t>RAB14</t>
  </si>
  <si>
    <t>Crk-like protein</t>
  </si>
  <si>
    <t>CRKL</t>
  </si>
  <si>
    <t>P36969;P36969-2</t>
  </si>
  <si>
    <t>P36969</t>
  </si>
  <si>
    <t>Phospholipid hydroperoxide glutathione peroxidase</t>
  </si>
  <si>
    <t>GPX4;GPX4</t>
  </si>
  <si>
    <t>GPX4</t>
  </si>
  <si>
    <t>Q96PP9</t>
  </si>
  <si>
    <t>Guanylate-binding protein 4</t>
  </si>
  <si>
    <t>GBP4</t>
  </si>
  <si>
    <t>P04264</t>
  </si>
  <si>
    <t>Keratin, type II cytoskeletal 1</t>
  </si>
  <si>
    <t>KRT1</t>
  </si>
  <si>
    <t>Delta-aminolevulinic acid dehydratase</t>
  </si>
  <si>
    <t>ALAD</t>
  </si>
  <si>
    <t>Q12792;Q12792-3</t>
  </si>
  <si>
    <t>Q12792</t>
  </si>
  <si>
    <t>Twinfilin-1</t>
  </si>
  <si>
    <t>TWF1;TWF1</t>
  </si>
  <si>
    <t>TWF1</t>
  </si>
  <si>
    <t>P00387;P00387-2;P00387-3</t>
  </si>
  <si>
    <t>P00387</t>
  </si>
  <si>
    <t>NADH-cytochrome b5 reductase 3</t>
  </si>
  <si>
    <t>CYB5R3;CYB5R3;CYB5R3</t>
  </si>
  <si>
    <t>CYB5R3</t>
  </si>
  <si>
    <t>P62837</t>
  </si>
  <si>
    <t>Ubiquitin-conjugating enzyme E2 D2</t>
  </si>
  <si>
    <t>UBE2D2</t>
  </si>
  <si>
    <t>Actin-related protein 2/3 complex subunit 2</t>
  </si>
  <si>
    <t>ARPC2</t>
  </si>
  <si>
    <t>P52209;P52209-2</t>
  </si>
  <si>
    <t>P52209</t>
  </si>
  <si>
    <t>6-phosphogluconate dehydrogenase, decarboxylating</t>
  </si>
  <si>
    <t>PGD;PGD</t>
  </si>
  <si>
    <t>PGD</t>
  </si>
  <si>
    <t>Calpain small subunit 1</t>
  </si>
  <si>
    <t>CAPNS1</t>
  </si>
  <si>
    <t>HLA class I histocompatibility antigen, B-44 alpha chain</t>
  </si>
  <si>
    <t>Apolipoprotein C-III</t>
  </si>
  <si>
    <t>APOC3</t>
  </si>
  <si>
    <t>Phosphatidylethanolamine-binding protein 1</t>
  </si>
  <si>
    <t>PEBP1</t>
  </si>
  <si>
    <t>Thiosulfate sulfurtransferase</t>
  </si>
  <si>
    <t>TST</t>
  </si>
  <si>
    <t>P09493-6</t>
  </si>
  <si>
    <t>Isoform 6 of Tropomyosin alpha-1 chain</t>
  </si>
  <si>
    <t>Q8NBU5;Q8NBU5-2</t>
  </si>
  <si>
    <t>Q8NBU5</t>
  </si>
  <si>
    <t>ATPase family AAA domain-containing protein 1</t>
  </si>
  <si>
    <t>ATAD1;ATAD1</t>
  </si>
  <si>
    <t>ATAD1</t>
  </si>
  <si>
    <t>Hsc70-interacting protein</t>
  </si>
  <si>
    <t>ST13</t>
  </si>
  <si>
    <t>CON__Q3SZV7</t>
  </si>
  <si>
    <t>HLA class I histocompatibility antigen, A-24 alpha chain</t>
  </si>
  <si>
    <t>HLA-A</t>
  </si>
  <si>
    <t>Moesin</t>
  </si>
  <si>
    <t>MSN</t>
  </si>
  <si>
    <t>Q9UKY7</t>
  </si>
  <si>
    <t>Protein CDV3 homolog</t>
  </si>
  <si>
    <t>CDV3</t>
  </si>
  <si>
    <t>P0DMM9;P0DMM9-3;P0DMN0</t>
  </si>
  <si>
    <t>P0DMM9</t>
  </si>
  <si>
    <t>Sulfotransferase 1A3</t>
  </si>
  <si>
    <t>SULT1A3;SULT1A3;SULT1A4</t>
  </si>
  <si>
    <t>SULT1A3</t>
  </si>
  <si>
    <t>Q86U86;Q86U86-2;Q86U86-3;Q86U86-4;Q86U86-5;Q86U86-7;Q86U86-8;Q86U86-9</t>
  </si>
  <si>
    <t>Q86U86</t>
  </si>
  <si>
    <t>Protein polybromo-1</t>
  </si>
  <si>
    <t>PBRM1;PBRM1;PBRM1;PBRM1;PBRM1;PBRM1;PBRM1;PBRM1</t>
  </si>
  <si>
    <t>PBRM1</t>
  </si>
  <si>
    <t>Protein disulfide-isomerase</t>
  </si>
  <si>
    <t>P4HB</t>
  </si>
  <si>
    <t>Complement component C7</t>
  </si>
  <si>
    <t>C7</t>
  </si>
  <si>
    <t>P68104;Q5VTE0</t>
  </si>
  <si>
    <t>Elongation factor 1-alpha 1</t>
  </si>
  <si>
    <t>EEF1A1;EEF1A1P5</t>
  </si>
  <si>
    <t>EEF1A1</t>
  </si>
  <si>
    <t>Transforming growth factor beta-1 proprotein</t>
  </si>
  <si>
    <t>TGFB1</t>
  </si>
  <si>
    <t>CON__P00735</t>
  </si>
  <si>
    <t>O14791;O14791-2;O14791-3</t>
  </si>
  <si>
    <t>O14791</t>
  </si>
  <si>
    <t>Apolipoprotein L1</t>
  </si>
  <si>
    <t>APOL1;APOL1;APOL1</t>
  </si>
  <si>
    <t>APOL1</t>
  </si>
  <si>
    <t>cAMP-dependent protein kinase type II-beta regulatory subunit</t>
  </si>
  <si>
    <t>PRKAR2B</t>
  </si>
  <si>
    <t>Q16181;Q16181-2</t>
  </si>
  <si>
    <t>Q16181</t>
  </si>
  <si>
    <t>Septin-7</t>
  </si>
  <si>
    <t>SEPT7;SEPT7</t>
  </si>
  <si>
    <t>Q9H9Y6;Q9H9Y6-2;Q9H9Y6-3;Q9H9Y6-5</t>
  </si>
  <si>
    <t>Q9H9Y6</t>
  </si>
  <si>
    <t>DNA-directed RNA polymerase I subunit RPA2</t>
  </si>
  <si>
    <t>POLR1B;POLR1B;POLR1B;POLR1B</t>
  </si>
  <si>
    <t>POLR1B</t>
  </si>
  <si>
    <t>P16189</t>
  </si>
  <si>
    <t>HLA class I histocompatibility antigen, A-31 alpha chain</t>
  </si>
  <si>
    <t>Alpha-centractin</t>
  </si>
  <si>
    <t>ACTR1A</t>
  </si>
  <si>
    <t>SH3 domain-binding glutamic acid-rich-like protein 3</t>
  </si>
  <si>
    <t>SH3BGRL3</t>
  </si>
  <si>
    <t>Prohibitin-2</t>
  </si>
  <si>
    <t>PHB2</t>
  </si>
  <si>
    <t>Q9Y4K1</t>
  </si>
  <si>
    <t>Beta/gamma crystallin domain-containing protein 1</t>
  </si>
  <si>
    <t>CRYBG1</t>
  </si>
  <si>
    <t>CON__P02769</t>
  </si>
  <si>
    <t>Isoform 2 of Reticulon-4</t>
  </si>
  <si>
    <t>RTN4</t>
  </si>
  <si>
    <t>T-complex protein 1 subunit theta</t>
  </si>
  <si>
    <t>CCT8</t>
  </si>
  <si>
    <t>Isoform ATE1-2 of Arginyl-tRNA--protein transferase 1</t>
  </si>
  <si>
    <t>ATE1</t>
  </si>
  <si>
    <t>Isoform A of Serine/threonine-protein kinase 24</t>
  </si>
  <si>
    <t>STK24</t>
  </si>
  <si>
    <t>Q9UL42</t>
  </si>
  <si>
    <t>Paraneoplastic antigen Ma2</t>
  </si>
  <si>
    <t>PNMA2</t>
  </si>
  <si>
    <t>Q16698;Q16698-2</t>
  </si>
  <si>
    <t>Q16698</t>
  </si>
  <si>
    <t>2,4-dienoyl-CoA reductase, mitochondrial</t>
  </si>
  <si>
    <t>DECR1;DECR1</t>
  </si>
  <si>
    <t>DECR1</t>
  </si>
  <si>
    <t>O43852;O43852-3</t>
  </si>
  <si>
    <t>Calumenin</t>
  </si>
  <si>
    <t>CALU;CALU</t>
  </si>
  <si>
    <t>CALU</t>
  </si>
  <si>
    <t>O43432;O43432-3</t>
  </si>
  <si>
    <t>O43432</t>
  </si>
  <si>
    <t>Eukaryotic translation initiation factor 4 gamma 3</t>
  </si>
  <si>
    <t>EIF4G3;EIF4G3</t>
  </si>
  <si>
    <t>EIF4G3</t>
  </si>
  <si>
    <t>P15086</t>
  </si>
  <si>
    <t>Carboxypeptidase B</t>
  </si>
  <si>
    <t>CPB1</t>
  </si>
  <si>
    <t>Q9Y6E2</t>
  </si>
  <si>
    <t>Basic leucine zipper and W2 domain-containing protein 2</t>
  </si>
  <si>
    <t>BZW2</t>
  </si>
  <si>
    <t>Vasodilator-stimulated phosphoprotein</t>
  </si>
  <si>
    <t>VASP</t>
  </si>
  <si>
    <t>Carboxypeptidase B2</t>
  </si>
  <si>
    <t>CPB2</t>
  </si>
  <si>
    <t>Amine oxidase [flavin-containing] B</t>
  </si>
  <si>
    <t>MAOB</t>
  </si>
  <si>
    <t>Metalloproteinase inhibitor 1</t>
  </si>
  <si>
    <t>TIMP1</t>
  </si>
  <si>
    <t>Protein disulfide-isomerase A5</t>
  </si>
  <si>
    <t>PDIA5</t>
  </si>
  <si>
    <t>P68431;P84243;Q16695;Q71DI3</t>
  </si>
  <si>
    <t>P68431</t>
  </si>
  <si>
    <t>Histone H3.1</t>
  </si>
  <si>
    <t>HIST1H3A;H3F3A;HIST3H3;HIST2H3A</t>
  </si>
  <si>
    <t>HIST1H3A</t>
  </si>
  <si>
    <t>Q7L7X3;Q7L7X3-3</t>
  </si>
  <si>
    <t>Serine/threonine-protein kinase TAO1</t>
  </si>
  <si>
    <t>TAOK1;TAOK1</t>
  </si>
  <si>
    <t>TAOK1</t>
  </si>
  <si>
    <t>Dolichyl-diphosphooligosaccharide--protein glycosyltransferase subunit 1</t>
  </si>
  <si>
    <t>RPN1</t>
  </si>
  <si>
    <t>P11234;P11234-2;P11234-3</t>
  </si>
  <si>
    <t>Ras-related protein Ral-B</t>
  </si>
  <si>
    <t>RALB;RALB;RALB</t>
  </si>
  <si>
    <t>RALB</t>
  </si>
  <si>
    <t>Dihydrolipoyllysine-residue succinyltransferase component of 2-oxoglutarate dehydrogenase complex, mitochondrial</t>
  </si>
  <si>
    <t>DLST</t>
  </si>
  <si>
    <t>Isoform M1 of Pyruvate kinase PKM</t>
  </si>
  <si>
    <t>Fructose-bisphosphate aldolase C</t>
  </si>
  <si>
    <t>ALDOC</t>
  </si>
  <si>
    <t>Aflatoxin B1 aldehyde reductase member 2</t>
  </si>
  <si>
    <t>AKR7A2</t>
  </si>
  <si>
    <t>P15311</t>
  </si>
  <si>
    <t>Ezrin</t>
  </si>
  <si>
    <t>EZR</t>
  </si>
  <si>
    <t>Apolipoprotein F</t>
  </si>
  <si>
    <t>APOF</t>
  </si>
  <si>
    <t>Endoplasmin</t>
  </si>
  <si>
    <t>HSP90B1</t>
  </si>
  <si>
    <t>Isoform 2 of Kinesin-like protein KIF2A</t>
  </si>
  <si>
    <t>KIF2A</t>
  </si>
  <si>
    <t>UMP-CMP kinase</t>
  </si>
  <si>
    <t>CMPK1</t>
  </si>
  <si>
    <t>Tropomodulin-3</t>
  </si>
  <si>
    <t>TMOD3</t>
  </si>
  <si>
    <t>Q70IA6;Q70IA6-2;Q70IA6-3</t>
  </si>
  <si>
    <t>Q70IA6</t>
  </si>
  <si>
    <t>MOB kinase activator 2</t>
  </si>
  <si>
    <t>MOB2;MOB2;MOB2</t>
  </si>
  <si>
    <t>MOB2</t>
  </si>
  <si>
    <t>A0A0B4J1X8</t>
  </si>
  <si>
    <t>Immunoglobulin heavy variable 3-43</t>
  </si>
  <si>
    <t>IGHV3-43</t>
  </si>
  <si>
    <t>Isoform Beta of cGMP-dependent protein kinase 1</t>
  </si>
  <si>
    <t>PRKG1</t>
  </si>
  <si>
    <t>Uroporphyrinogen decarboxylase</t>
  </si>
  <si>
    <t>UROD</t>
  </si>
  <si>
    <t>Junctional adhesion molecule A</t>
  </si>
  <si>
    <t>F11R</t>
  </si>
  <si>
    <t>Q14247</t>
  </si>
  <si>
    <t>Src substrate cortactin</t>
  </si>
  <si>
    <t>CTTN</t>
  </si>
  <si>
    <t>P55084</t>
  </si>
  <si>
    <t>Trifunctional enzyme subunit beta, mitochondrial</t>
  </si>
  <si>
    <t>HADHB</t>
  </si>
  <si>
    <t>Q15185;Q15185-4</t>
  </si>
  <si>
    <t>Q15185</t>
  </si>
  <si>
    <t>Prostaglandin E synthase 3</t>
  </si>
  <si>
    <t>PTGES3;PTGES3</t>
  </si>
  <si>
    <t>PTGES3</t>
  </si>
  <si>
    <t>NAD-dependent malic enzyme, mitochondrial</t>
  </si>
  <si>
    <t>ME2</t>
  </si>
  <si>
    <t>Carbonic anhydrase 1</t>
  </si>
  <si>
    <t>CA1</t>
  </si>
  <si>
    <t>Syntaxin-binding protein 2</t>
  </si>
  <si>
    <t>STXBP2;STXBP2;STXBP2</t>
  </si>
  <si>
    <t>STXBP2</t>
  </si>
  <si>
    <t>Hypoxanthine-guanine phosphoribosyltransferase</t>
  </si>
  <si>
    <t>HPRT1</t>
  </si>
  <si>
    <t>Ras-related protein Rab-5B</t>
  </si>
  <si>
    <t>RAB5B</t>
  </si>
  <si>
    <t>Translocon-associated protein subunit delta</t>
  </si>
  <si>
    <t>SSR4</t>
  </si>
  <si>
    <t>O00148</t>
  </si>
  <si>
    <t>ATP-dependent RNA helicase DDX39A</t>
  </si>
  <si>
    <t>DDX39A</t>
  </si>
  <si>
    <t>Thymidine phosphorylase</t>
  </si>
  <si>
    <t>TYMP</t>
  </si>
  <si>
    <t>Mitogen-activated protein kinase 1</t>
  </si>
  <si>
    <t>MAPK1</t>
  </si>
  <si>
    <t>CON__P02662</t>
  </si>
  <si>
    <t>Translin</t>
  </si>
  <si>
    <t>TSN</t>
  </si>
  <si>
    <t>Apolipoprotein(a)</t>
  </si>
  <si>
    <t>LPA</t>
  </si>
  <si>
    <t>Q9Y2H2</t>
  </si>
  <si>
    <t>Phosphatidylinositide phosphatase SAC2</t>
  </si>
  <si>
    <t>INPP5F</t>
  </si>
  <si>
    <t>P04908;Q7L7L0;Q93077</t>
  </si>
  <si>
    <t>P04908</t>
  </si>
  <si>
    <t>Histone H2A type 1-B/E</t>
  </si>
  <si>
    <t>HIST1H2AB;HIST3H2A;HIST1H2AC</t>
  </si>
  <si>
    <t>HIST1H2AB</t>
  </si>
  <si>
    <t>Q8N9U0;Q8N9U0-2</t>
  </si>
  <si>
    <t>Q8N9U0</t>
  </si>
  <si>
    <t>Tandem C2 domains nuclear protein</t>
  </si>
  <si>
    <t>TC2N;TC2N</t>
  </si>
  <si>
    <t>TC2N</t>
  </si>
  <si>
    <t>Q00610;Q00610-2</t>
  </si>
  <si>
    <t>Q00610</t>
  </si>
  <si>
    <t>Clathrin heavy chain 1</t>
  </si>
  <si>
    <t>CLTC;CLTC</t>
  </si>
  <si>
    <t>CLTC</t>
  </si>
  <si>
    <t>P05976;P05976-2;P08590</t>
  </si>
  <si>
    <t>P05976</t>
  </si>
  <si>
    <t>Myosin light chain 1/3, skeletal muscle isoform</t>
  </si>
  <si>
    <t>MYL1;MYL1;MYL3</t>
  </si>
  <si>
    <t>MYL1</t>
  </si>
  <si>
    <t>Sulfotransferase 1A1</t>
  </si>
  <si>
    <t>SULT1A1</t>
  </si>
  <si>
    <t>CON__ENSEMBL:ENSBTAP00000038253</t>
  </si>
  <si>
    <t>Complement component C8 beta chain</t>
  </si>
  <si>
    <t>C8B</t>
  </si>
  <si>
    <t>Isocitrate dehydrogenase [NADP], mitochondrial</t>
  </si>
  <si>
    <t>IDH2</t>
  </si>
  <si>
    <t>Ragulator complex protein LAMTOR3</t>
  </si>
  <si>
    <t>LAMTOR3;LAMTOR3</t>
  </si>
  <si>
    <t>LAMTOR3</t>
  </si>
  <si>
    <t>Q01433;Q01433-2</t>
  </si>
  <si>
    <t>AMP deaminase 2</t>
  </si>
  <si>
    <t>AMPD2;AMPD2</t>
  </si>
  <si>
    <t>AMPD2</t>
  </si>
  <si>
    <t>Exopolyphosphatase PRUNE1</t>
  </si>
  <si>
    <t>PRUNE1</t>
  </si>
  <si>
    <t>Q9UKV3;Q9UKV3-2;Q9UKV3-3;Q9UKV3-5</t>
  </si>
  <si>
    <t>Q9UKV3</t>
  </si>
  <si>
    <t>Apoptotic chromatin condensation inducer in the nucleus</t>
  </si>
  <si>
    <t>ACIN1;ACIN1;ACIN1;ACIN1</t>
  </si>
  <si>
    <t>ACIN1</t>
  </si>
  <si>
    <t>Q9H4K7</t>
  </si>
  <si>
    <t>Mitochondrial ribosome-associated GTPase 2</t>
  </si>
  <si>
    <t>MTG2</t>
  </si>
  <si>
    <t>Serine/threonine-protein phosphatase PP1-alpha catalytic subunit</t>
  </si>
  <si>
    <t>PPP1CA</t>
  </si>
  <si>
    <t>Coactosin-like protein</t>
  </si>
  <si>
    <t>COTL1</t>
  </si>
  <si>
    <t>Immunoglobulin lambda variable 1-51</t>
  </si>
  <si>
    <t>Q00325;Q00325-2</t>
  </si>
  <si>
    <t>Q00325</t>
  </si>
  <si>
    <t>Phosphate carrier protein, mitochondrial</t>
  </si>
  <si>
    <t>SLC25A3;SLC25A3</t>
  </si>
  <si>
    <t>SLC25A3</t>
  </si>
  <si>
    <t>Torsin-4A</t>
  </si>
  <si>
    <t>TOR4A</t>
  </si>
  <si>
    <t>Actin-related protein 2/3 complex subunit 1B</t>
  </si>
  <si>
    <t>ARPC1B</t>
  </si>
  <si>
    <t>Glycerol-3-phosphate dehydrogenase, mitochondrial</t>
  </si>
  <si>
    <t>GPD2</t>
  </si>
  <si>
    <t>Programmed cell death protein 10</t>
  </si>
  <si>
    <t>PDCD10</t>
  </si>
  <si>
    <t>ATP synthase subunit O, mitochondrial</t>
  </si>
  <si>
    <t>ATP5PO</t>
  </si>
  <si>
    <t>Transketolase</t>
  </si>
  <si>
    <t>TKT;TKT</t>
  </si>
  <si>
    <t>TKT</t>
  </si>
  <si>
    <t>Carboxypeptidase N subunit 2</t>
  </si>
  <si>
    <t>CPN2</t>
  </si>
  <si>
    <t>A0A075B6I0</t>
  </si>
  <si>
    <t>Immunoglobulin lambda variable 8-61</t>
  </si>
  <si>
    <t>IGLV8-61</t>
  </si>
  <si>
    <t>F-actin-capping protein subunit alpha-1</t>
  </si>
  <si>
    <t>CAPZA1</t>
  </si>
  <si>
    <t>Immunoglobulin kappa variable 1-5</t>
  </si>
  <si>
    <t>Guanine nucleotide-binding protein G(i) subunit alpha-2</t>
  </si>
  <si>
    <t>GNAI2</t>
  </si>
  <si>
    <t>Receptor-type tyrosine-protein phosphatase eta</t>
  </si>
  <si>
    <t>PTPRJ</t>
  </si>
  <si>
    <t>Annexin A5</t>
  </si>
  <si>
    <t>ANXA5</t>
  </si>
  <si>
    <t>GTP-binding protein SAR1a</t>
  </si>
  <si>
    <t>SAR1A</t>
  </si>
  <si>
    <t>CON__P17697</t>
  </si>
  <si>
    <t>Actin-related protein 2/3 complex subunit 1A</t>
  </si>
  <si>
    <t>ARPC1A</t>
  </si>
  <si>
    <t>Endoplasmic reticulum resident protein 44</t>
  </si>
  <si>
    <t>ERP44</t>
  </si>
  <si>
    <t>O60814;P57053;P58876;P62807;Q5QNW6;Q5QNW6-2;Q93079;Q99877;Q99879;Q99880</t>
  </si>
  <si>
    <t>O60814</t>
  </si>
  <si>
    <t>Histone H2B type 1-K</t>
  </si>
  <si>
    <t>HIST1H2BK;H2BFS;HIST1H2BD;HIST1H2BC;HIST2H2BF;HIST2H2BF;HIST1H2BH;HIST1H2BN;HIST1H2BM;HIST1H2BL</t>
  </si>
  <si>
    <t>HIST1H2BK</t>
  </si>
  <si>
    <t>Q9P1U1</t>
  </si>
  <si>
    <t>Actin-related protein 3B</t>
  </si>
  <si>
    <t>ACTR3B</t>
  </si>
  <si>
    <t>O14773</t>
  </si>
  <si>
    <t>Tripeptidyl-peptidase 1</t>
  </si>
  <si>
    <t>TPP1</t>
  </si>
  <si>
    <t>A0A0B4J1X5</t>
  </si>
  <si>
    <t>Immunoglobulin heavy variable 3-74</t>
  </si>
  <si>
    <t>IGHV3-74</t>
  </si>
  <si>
    <t>Osteoclast-stimulating factor 1</t>
  </si>
  <si>
    <t>OSTF1</t>
  </si>
  <si>
    <t>CON__Q0V8M9</t>
  </si>
  <si>
    <t>Q0ZGT2;Q0ZGT2-4</t>
  </si>
  <si>
    <t>Q0ZGT2</t>
  </si>
  <si>
    <t>Nexilin</t>
  </si>
  <si>
    <t>NEXN;NEXN</t>
  </si>
  <si>
    <t>NEXN</t>
  </si>
  <si>
    <t>V-type proton ATPase subunit d 1</t>
  </si>
  <si>
    <t>ATP6V0D1</t>
  </si>
  <si>
    <t>CON__Q28107</t>
  </si>
  <si>
    <t>Protein ABHD16A</t>
  </si>
  <si>
    <t>ABHD16A</t>
  </si>
  <si>
    <t>P14543;P14543-2</t>
  </si>
  <si>
    <t>P14543</t>
  </si>
  <si>
    <t>Nidogen-1</t>
  </si>
  <si>
    <t>NID1;NID1</t>
  </si>
  <si>
    <t>NID1</t>
  </si>
  <si>
    <t>O43665;O43665-2;O43665-3</t>
  </si>
  <si>
    <t>O43665</t>
  </si>
  <si>
    <t>Regulator of G-protein signaling 10</t>
  </si>
  <si>
    <t>RGS10;RGS10;RGS10</t>
  </si>
  <si>
    <t>RGS10</t>
  </si>
  <si>
    <t>CON__Q2KJF1</t>
  </si>
  <si>
    <t>Coronin-1B</t>
  </si>
  <si>
    <t>CORO1B</t>
  </si>
  <si>
    <t>14-3-3 protein gamma</t>
  </si>
  <si>
    <t>YWHAG</t>
  </si>
  <si>
    <t>P29350;P29350-3;P29350-4</t>
  </si>
  <si>
    <t>Tyrosine-protein phosphatase non-receptor type 6</t>
  </si>
  <si>
    <t>PTPN6;PTPN6;PTPN6</t>
  </si>
  <si>
    <t>PTPN6</t>
  </si>
  <si>
    <t>O43294;O43294-2</t>
  </si>
  <si>
    <t>O43294</t>
  </si>
  <si>
    <t>Transforming growth factor beta-1-induced transcript 1 protein</t>
  </si>
  <si>
    <t>TGFB1I1;TGFB1I1</t>
  </si>
  <si>
    <t>TGFB1I1</t>
  </si>
  <si>
    <t>P35900</t>
  </si>
  <si>
    <t>Keratin, type I cytoskeletal 20</t>
  </si>
  <si>
    <t>KRT20</t>
  </si>
  <si>
    <t>NADH dehydrogenase [ubiquinone] iron-sulfur protein 3, mitochondrial</t>
  </si>
  <si>
    <t>NDUFS3</t>
  </si>
  <si>
    <t>P08575;P08575-2</t>
  </si>
  <si>
    <t>P08575</t>
  </si>
  <si>
    <t>Receptor-type tyrosine-protein phosphatase C</t>
  </si>
  <si>
    <t>PTPRC;NA</t>
  </si>
  <si>
    <t>PTPRC</t>
  </si>
  <si>
    <t>14-3-3 protein epsilon</t>
  </si>
  <si>
    <t>YWHAE</t>
  </si>
  <si>
    <t>Tyrosine-protein kinase CSK</t>
  </si>
  <si>
    <t>CSK</t>
  </si>
  <si>
    <t>Peroxisomal multifunctional enzyme type 2</t>
  </si>
  <si>
    <t>HSD17B4</t>
  </si>
  <si>
    <t>Disintegrin and metalloproteinase domain-containing protein 10</t>
  </si>
  <si>
    <t>ADAM10</t>
  </si>
  <si>
    <t>Isoform 2 of F-actin-capping protein subunit beta</t>
  </si>
  <si>
    <t>CAPZB</t>
  </si>
  <si>
    <t>Membrane-associated progesterone receptor component 1</t>
  </si>
  <si>
    <t>PGRMC1</t>
  </si>
  <si>
    <t>Glycogen phosphorylase, brain form</t>
  </si>
  <si>
    <t>PYGB</t>
  </si>
  <si>
    <t>Q15257;Q15257-2;Q15257-3</t>
  </si>
  <si>
    <t>Q15257</t>
  </si>
  <si>
    <t>Serine/threonine-protein phosphatase 2A activator</t>
  </si>
  <si>
    <t>PTPA;PTPA;PTPA</t>
  </si>
  <si>
    <t>PTPA</t>
  </si>
  <si>
    <t>Vacuolar protein sorting-associated protein VTA1 homolog</t>
  </si>
  <si>
    <t>VTA1</t>
  </si>
  <si>
    <t>Peroxiredoxin-4</t>
  </si>
  <si>
    <t>PRDX4</t>
  </si>
  <si>
    <t>Q9HAU5</t>
  </si>
  <si>
    <t>Regulator of nonsense transcripts 2</t>
  </si>
  <si>
    <t>UPF2</t>
  </si>
  <si>
    <t>EH domain-containing protein 1</t>
  </si>
  <si>
    <t>EHD1</t>
  </si>
  <si>
    <t>Beta-centractin</t>
  </si>
  <si>
    <t>ACTR1B</t>
  </si>
  <si>
    <t>Serpin B6</t>
  </si>
  <si>
    <t>SERPINB6</t>
  </si>
  <si>
    <t>Ras-related protein Rab-21</t>
  </si>
  <si>
    <t>RAB21</t>
  </si>
  <si>
    <t>P43405;P43405-2</t>
  </si>
  <si>
    <t>Tyrosine-protein kinase SYK</t>
  </si>
  <si>
    <t>SYK;SYK</t>
  </si>
  <si>
    <t>SYK</t>
  </si>
  <si>
    <t>Copine-1</t>
  </si>
  <si>
    <t>CPNE1</t>
  </si>
  <si>
    <t>Q92890;Q92890-1</t>
  </si>
  <si>
    <t>Ubiquitin recognition factor in ER-associated degradation protein 1</t>
  </si>
  <si>
    <t>UFD1;UFD1</t>
  </si>
  <si>
    <t>UFD1</t>
  </si>
  <si>
    <t>LIM and SH3 domain protein 1</t>
  </si>
  <si>
    <t>LASP1</t>
  </si>
  <si>
    <t>Alpha-actinin-4</t>
  </si>
  <si>
    <t>ACTN4</t>
  </si>
  <si>
    <t>PDZ and LIM domain protein 7</t>
  </si>
  <si>
    <t>PDLIM7</t>
  </si>
  <si>
    <t>P22314;P22314-2</t>
  </si>
  <si>
    <t>P22314</t>
  </si>
  <si>
    <t>Ubiquitin-like modifier-activating enzyme 1</t>
  </si>
  <si>
    <t>UBA1;UBA1</t>
  </si>
  <si>
    <t>UBA1</t>
  </si>
  <si>
    <t>Q06033;Q06033-2</t>
  </si>
  <si>
    <t>Q06033</t>
  </si>
  <si>
    <t>Inter-alpha-trypsin inhibitor heavy chain H3</t>
  </si>
  <si>
    <t>ITIH3;ITIH3</t>
  </si>
  <si>
    <t>ITIH3</t>
  </si>
  <si>
    <t>Phosphatidylinositol-glycan-specific phospholipase D</t>
  </si>
  <si>
    <t>GPLD1</t>
  </si>
  <si>
    <t>Q13561;Q13561-2;Q13561-3</t>
  </si>
  <si>
    <t>Dynactin subunit 2</t>
  </si>
  <si>
    <t>DCTN2;DCTN2;DCTN2</t>
  </si>
  <si>
    <t>DCTN2</t>
  </si>
  <si>
    <t>P07951-3</t>
  </si>
  <si>
    <t>Isoform 3 of Tropomyosin beta chain</t>
  </si>
  <si>
    <t>TPM2</t>
  </si>
  <si>
    <t>Serine--tRNA ligase, cytoplasmic</t>
  </si>
  <si>
    <t>SARS</t>
  </si>
  <si>
    <t>Alpha-soluble NSF attachment protein</t>
  </si>
  <si>
    <t>NAPA</t>
  </si>
  <si>
    <t>Ras-related protein Rab-10</t>
  </si>
  <si>
    <t>RAB10</t>
  </si>
  <si>
    <t>Q04760;Q04760-2</t>
  </si>
  <si>
    <t>Q04760</t>
  </si>
  <si>
    <t>Lactoylglutathione lyase</t>
  </si>
  <si>
    <t>GLO1;GLO1</t>
  </si>
  <si>
    <t>GLO1</t>
  </si>
  <si>
    <t>Vesicular integral-membrane protein VIP36</t>
  </si>
  <si>
    <t>LMAN2</t>
  </si>
  <si>
    <t>GTP-binding nuclear protein Ran</t>
  </si>
  <si>
    <t>RAN</t>
  </si>
  <si>
    <t>Haloacid dehalogenase-like hydrolase domain-containing protein 2</t>
  </si>
  <si>
    <t>HDHD2;HDHD2</t>
  </si>
  <si>
    <t>HDHD2</t>
  </si>
  <si>
    <t>Haloacid dehalogenase-like hydrolase domain-containing protein 3</t>
  </si>
  <si>
    <t>HDHD3</t>
  </si>
  <si>
    <t>Thioredoxin domain-containing protein 17</t>
  </si>
  <si>
    <t>TXNDC17</t>
  </si>
  <si>
    <t>Dolichyl-diphosphooligosaccharide--protein glycosyltransferase subunit STT3A</t>
  </si>
  <si>
    <t>STT3A</t>
  </si>
  <si>
    <t>Rab GDP dissociation inhibitor beta</t>
  </si>
  <si>
    <t>GDI2</t>
  </si>
  <si>
    <t>Thioredoxin domain-containing protein 12</t>
  </si>
  <si>
    <t>TXNDC12</t>
  </si>
  <si>
    <t>Phosphomannomutase 2</t>
  </si>
  <si>
    <t>PMM2</t>
  </si>
  <si>
    <t>Glutathione synthetase</t>
  </si>
  <si>
    <t>GSS</t>
  </si>
  <si>
    <t>Heat shock 70 kDa protein 1-like</t>
  </si>
  <si>
    <t>HSPA1L</t>
  </si>
  <si>
    <t>Q9P1Z2;Q9P1Z2-2;Q9P1Z2-3;Q9P1Z2-4</t>
  </si>
  <si>
    <t>Q9P1Z2</t>
  </si>
  <si>
    <t>Calcium-binding and coiled-coil domain-containing protein 1</t>
  </si>
  <si>
    <t>CALCOCO1;CALCOCO1;CALCOCO1;CALCOCO1</t>
  </si>
  <si>
    <t>CALCOCO1</t>
  </si>
  <si>
    <t>ATP-dependent 6-phosphofructokinase, platelet type</t>
  </si>
  <si>
    <t>PFKP</t>
  </si>
  <si>
    <t>CON__P06868</t>
  </si>
  <si>
    <t>P11413;P11413-2</t>
  </si>
  <si>
    <t>Glucose-6-phosphate 1-dehydrogenase</t>
  </si>
  <si>
    <t>G6PD;G6PD</t>
  </si>
  <si>
    <t>G6PD</t>
  </si>
  <si>
    <t>UTP--glucose-1-phosphate uridylyltransferase</t>
  </si>
  <si>
    <t>UGP2</t>
  </si>
  <si>
    <t>Myotrophin</t>
  </si>
  <si>
    <t>MTPN</t>
  </si>
  <si>
    <t>Ras-related protein Rab-35</t>
  </si>
  <si>
    <t>RAB35</t>
  </si>
  <si>
    <t>HLA class I histocompatibility antigen, A-3 alpha chain</t>
  </si>
  <si>
    <t>T-complex protein 1 subunit gamma</t>
  </si>
  <si>
    <t>CCT3</t>
  </si>
  <si>
    <t>Proteasome subunit beta type-1</t>
  </si>
  <si>
    <t>PSMB1</t>
  </si>
  <si>
    <t>Serine/threonine-protein phosphatase 2A catalytic subunit beta isoform</t>
  </si>
  <si>
    <t>PPP2CB</t>
  </si>
  <si>
    <t>Q14766;Q14766-2;Q14766-4;Q14766-5</t>
  </si>
  <si>
    <t>Latent-transforming growth factor beta-binding protein 1</t>
  </si>
  <si>
    <t>LTBP1;LTBP1;LTBP1;LTBP1</t>
  </si>
  <si>
    <t>LTBP1</t>
  </si>
  <si>
    <t>Vacuolar protein sorting-associated protein 4B</t>
  </si>
  <si>
    <t>VPS4B</t>
  </si>
  <si>
    <t>Carbonyl reductase [NADPH] 1</t>
  </si>
  <si>
    <t>CBR1</t>
  </si>
  <si>
    <t>P04222</t>
  </si>
  <si>
    <t>HLA class I histocompatibility antigen, Cw-3 alpha chain</t>
  </si>
  <si>
    <t>HLA-C</t>
  </si>
  <si>
    <t>P38606;P38606-2</t>
  </si>
  <si>
    <t>P38606</t>
  </si>
  <si>
    <t>V-type proton ATPase catalytic subunit A</t>
  </si>
  <si>
    <t>ATP6V1A;ATP6V1A</t>
  </si>
  <si>
    <t>ATP6V1A</t>
  </si>
  <si>
    <t>O15260;O15260-2</t>
  </si>
  <si>
    <t>O15260</t>
  </si>
  <si>
    <t>Surfeit locus protein 4</t>
  </si>
  <si>
    <t>SURF4;SURF4</t>
  </si>
  <si>
    <t>SURF4</t>
  </si>
  <si>
    <t>P06737;P06737-2</t>
  </si>
  <si>
    <t>P06737</t>
  </si>
  <si>
    <t>Glycogen phosphorylase, liver form</t>
  </si>
  <si>
    <t>PYGL;PYGL</t>
  </si>
  <si>
    <t>PYGL</t>
  </si>
  <si>
    <t>T-complex protein 1 subunit alpha</t>
  </si>
  <si>
    <t>TCP1</t>
  </si>
  <si>
    <t>Protein S100-A4</t>
  </si>
  <si>
    <t>S100A4</t>
  </si>
  <si>
    <t>Eukaryotic translation initiation factor 3 subunit G</t>
  </si>
  <si>
    <t>EIF3G</t>
  </si>
  <si>
    <t>Complement C2</t>
  </si>
  <si>
    <t>C2</t>
  </si>
  <si>
    <t>P48200;P48200-2</t>
  </si>
  <si>
    <t>P48200</t>
  </si>
  <si>
    <t>Iron-responsive element-binding protein 2</t>
  </si>
  <si>
    <t>IREB2;IREB2</t>
  </si>
  <si>
    <t>IREB2</t>
  </si>
  <si>
    <t>PITH domain-containing protein 1</t>
  </si>
  <si>
    <t>PITHD1;PITHD1</t>
  </si>
  <si>
    <t>PITHD1</t>
  </si>
  <si>
    <t>Guanine nucleotide-binding protein subunit alpha-13</t>
  </si>
  <si>
    <t>GNA13</t>
  </si>
  <si>
    <t>Q16555;Q16555-2</t>
  </si>
  <si>
    <t>Q16555</t>
  </si>
  <si>
    <t>Dihydropyrimidinase-related protein 2</t>
  </si>
  <si>
    <t>DPYSL2;DPYSL2</t>
  </si>
  <si>
    <t>DPYSL2</t>
  </si>
  <si>
    <t>Cytochrome c1, heme protein, mitochondrial</t>
  </si>
  <si>
    <t>CYC1</t>
  </si>
  <si>
    <t>Q9BV73;Q9BV73-2</t>
  </si>
  <si>
    <t>Q9BV73</t>
  </si>
  <si>
    <t>Centrosome-associated protein CEP250</t>
  </si>
  <si>
    <t>CEP250;CEP250</t>
  </si>
  <si>
    <t>CEP250</t>
  </si>
  <si>
    <t>P63241;P63241-2</t>
  </si>
  <si>
    <t>Eukaryotic translation initiation factor 5A-1</t>
  </si>
  <si>
    <t>EIF5A;EIF5A</t>
  </si>
  <si>
    <t>EIF5A</t>
  </si>
  <si>
    <t>P10619;P10619-2</t>
  </si>
  <si>
    <t>P10619</t>
  </si>
  <si>
    <t>Lysosomal protective protein</t>
  </si>
  <si>
    <t>CTSA;CTSA</t>
  </si>
  <si>
    <t>CTSA</t>
  </si>
  <si>
    <t>Complement C1s subcomponent</t>
  </si>
  <si>
    <t>C1S</t>
  </si>
  <si>
    <t>Plasma kallikrein</t>
  </si>
  <si>
    <t>KLKB1</t>
  </si>
  <si>
    <t>Ras GTPase-activating-like protein IQGAP2</t>
  </si>
  <si>
    <t>IQGAP2</t>
  </si>
  <si>
    <t>Glutamate--cysteine ligase regulatory subunit</t>
  </si>
  <si>
    <t>GCLM</t>
  </si>
  <si>
    <t>Q9Y394;Q9Y394-2</t>
  </si>
  <si>
    <t>Q9Y394</t>
  </si>
  <si>
    <t>Dehydrogenase/reductase SDR family member 7</t>
  </si>
  <si>
    <t>DHRS7;DHRS7</t>
  </si>
  <si>
    <t>DHRS7</t>
  </si>
  <si>
    <t>O60437</t>
  </si>
  <si>
    <t>Periplakin</t>
  </si>
  <si>
    <t>PPL</t>
  </si>
  <si>
    <t>Prenylcysteine oxidase-like</t>
  </si>
  <si>
    <t>PCYOX1L</t>
  </si>
  <si>
    <t>Guanine nucleotide-binding protein G(I)/G(S)/G(T) subunit beta-2</t>
  </si>
  <si>
    <t>GNB2</t>
  </si>
  <si>
    <t>A0A0B4J1U3</t>
  </si>
  <si>
    <t>Immunoglobulin lambda variable 1-36</t>
  </si>
  <si>
    <t>IGLV1-36</t>
  </si>
  <si>
    <t>CON__Q0VCM5</t>
  </si>
  <si>
    <t>Neutral alpha-glucosidase AB</t>
  </si>
  <si>
    <t>GANAB</t>
  </si>
  <si>
    <t>Proteasome subunit alpha type-7</t>
  </si>
  <si>
    <t>PSMA7</t>
  </si>
  <si>
    <t>P49915;P49915-2</t>
  </si>
  <si>
    <t>P49915</t>
  </si>
  <si>
    <t>GMP synthase [glutamine-hydrolyzing]</t>
  </si>
  <si>
    <t>GMPS;GMPS</t>
  </si>
  <si>
    <t>GMPS</t>
  </si>
  <si>
    <t>Isoform 5 of Tropomyosin alpha-1 chain</t>
  </si>
  <si>
    <t>Rho-associated protein kinase 1</t>
  </si>
  <si>
    <t>ROCK1</t>
  </si>
  <si>
    <t>Catalase</t>
  </si>
  <si>
    <t>CAT</t>
  </si>
  <si>
    <t>Adenylate kinase isoenzyme 1</t>
  </si>
  <si>
    <t>AK1</t>
  </si>
  <si>
    <t>Destrin</t>
  </si>
  <si>
    <t>DSTN</t>
  </si>
  <si>
    <t>Staphylococcal nuclease domain-containing protein 1</t>
  </si>
  <si>
    <t>SND1</t>
  </si>
  <si>
    <t>P53990;P53990-2;P53990-3;P53990-4;P53990-5</t>
  </si>
  <si>
    <t>P53990</t>
  </si>
  <si>
    <t>IST1 homolog</t>
  </si>
  <si>
    <t>IST1;IST1;IST1;IST1;IST1</t>
  </si>
  <si>
    <t>IST1</t>
  </si>
  <si>
    <t>Coronin-1A</t>
  </si>
  <si>
    <t>CORO1A</t>
  </si>
  <si>
    <t>Q13510;Q13510-2</t>
  </si>
  <si>
    <t>Q13510</t>
  </si>
  <si>
    <t>Acid ceramidase</t>
  </si>
  <si>
    <t>ASAH1;ASAH1</t>
  </si>
  <si>
    <t>ASAH1</t>
  </si>
  <si>
    <t>Coagulation factor XIII B chain</t>
  </si>
  <si>
    <t>F13B</t>
  </si>
  <si>
    <t>Q9NZQ3;Q9NZQ3-3</t>
  </si>
  <si>
    <t>Q9NZQ3</t>
  </si>
  <si>
    <t>NCK-interacting protein with SH3 domain</t>
  </si>
  <si>
    <t>NCKIPSD;NCKIPSD</t>
  </si>
  <si>
    <t>NCKIPSD</t>
  </si>
  <si>
    <t>Q9Y3Z3;Q9Y3Z3-4</t>
  </si>
  <si>
    <t>Q9Y3Z3</t>
  </si>
  <si>
    <t>Deoxynucleoside triphosphate triphosphohydrolase SAMHD1</t>
  </si>
  <si>
    <t>SAMHD1;SAMHD1</t>
  </si>
  <si>
    <t>SAMHD1</t>
  </si>
  <si>
    <t>60 kDa heat shock protein, mitochondrial</t>
  </si>
  <si>
    <t>HSPD1</t>
  </si>
  <si>
    <t>Q5VU43;Q5VU43-3;Q5VU43-4</t>
  </si>
  <si>
    <t>Q5VU43</t>
  </si>
  <si>
    <t>Myomegalin</t>
  </si>
  <si>
    <t>PDE4DIP;PDE4DIP;PDE4DIP</t>
  </si>
  <si>
    <t>PDE4DIP</t>
  </si>
  <si>
    <t>Q8WWI5;Q8WWI5-2;Q8WWI5-3</t>
  </si>
  <si>
    <t>Q8WWI5</t>
  </si>
  <si>
    <t>Choline transporter-like protein 1</t>
  </si>
  <si>
    <t>SLC44A1;SLC44A1;SLC44A1</t>
  </si>
  <si>
    <t>SLC44A1</t>
  </si>
  <si>
    <t>P36542;P36542-2</t>
  </si>
  <si>
    <t>P36542</t>
  </si>
  <si>
    <t>ATP synthase subunit gamma, mitochondrial</t>
  </si>
  <si>
    <t>ATP5F1C;ATP5F1C</t>
  </si>
  <si>
    <t>ATP5F1C</t>
  </si>
  <si>
    <t>cGMP-specific 3',5'-cyclic phosphodiesterase</t>
  </si>
  <si>
    <t>PDE5A;PDE5A</t>
  </si>
  <si>
    <t>PDE5A</t>
  </si>
  <si>
    <t>Stonin-2</t>
  </si>
  <si>
    <t>STON2;STON2</t>
  </si>
  <si>
    <t>STON2</t>
  </si>
  <si>
    <t>26S proteasome non-ATPase regulatory subunit 7</t>
  </si>
  <si>
    <t>PSMD7</t>
  </si>
  <si>
    <t>Microtubule-associated protein RP/EB family member 1</t>
  </si>
  <si>
    <t>MAPRE1</t>
  </si>
  <si>
    <t>O75828</t>
  </si>
  <si>
    <t>Carbonyl reductase [NADPH] 3</t>
  </si>
  <si>
    <t>CBR3</t>
  </si>
  <si>
    <t>Sortilin</t>
  </si>
  <si>
    <t>SORT1;SORT1</t>
  </si>
  <si>
    <t>SORT1</t>
  </si>
  <si>
    <t>Q9UBW5;Q9UBW5-2</t>
  </si>
  <si>
    <t>Bridging integrator 2</t>
  </si>
  <si>
    <t>BIN2;BIN2</t>
  </si>
  <si>
    <t>BIN2</t>
  </si>
  <si>
    <t>Isoform 2 of Tyrosine-protein kinase Lyn</t>
  </si>
  <si>
    <t>LYN</t>
  </si>
  <si>
    <t>Q9Y2V7;Q9Y2V7-2</t>
  </si>
  <si>
    <t>Q9Y2V7</t>
  </si>
  <si>
    <t>Conserved oligomeric Golgi complex subunit 6</t>
  </si>
  <si>
    <t>COG6;COG6</t>
  </si>
  <si>
    <t>COG6</t>
  </si>
  <si>
    <t>Myeloid-associated differentiation marker</t>
  </si>
  <si>
    <t>MYADM</t>
  </si>
  <si>
    <t>CON__ENSEMBL:ENSBTAP00000018229</t>
  </si>
  <si>
    <t>A0A0C4DH31</t>
  </si>
  <si>
    <t>Immunoglobulin heavy variable 1-18</t>
  </si>
  <si>
    <t>IGHV1-18</t>
  </si>
  <si>
    <t>Q15102</t>
  </si>
  <si>
    <t>Platelet-activating factor acetylhydrolase IB subunit gamma</t>
  </si>
  <si>
    <t>PAFAH1B3</t>
  </si>
  <si>
    <t>Ribonuclease inhibitor</t>
  </si>
  <si>
    <t>RNH1</t>
  </si>
  <si>
    <t>Q07817;Q07817-3</t>
  </si>
  <si>
    <t>Q07817</t>
  </si>
  <si>
    <t>Bcl-2-like protein 1</t>
  </si>
  <si>
    <t>BCL2L1;BCL2L1</t>
  </si>
  <si>
    <t>BCL2L1</t>
  </si>
  <si>
    <t>Q96RT1;Q96RT1-2;Q96RT1-3;Q96RT1-4;Q96RT1-5;Q96RT1-6;Q96RT1-7;Q96RT1-8;Q96RT1-9</t>
  </si>
  <si>
    <t>Q96RT1</t>
  </si>
  <si>
    <t>Erbin</t>
  </si>
  <si>
    <t>ERBIN;ERBIN;ERBIN;ERBIN;ERBIN;ERBIN;ERBIN;ERBIN;ERBIN</t>
  </si>
  <si>
    <t>ERBIN</t>
  </si>
  <si>
    <t>Q8IZP0;Q8IZP0-10;Q8IZP0-2;Q8IZP0-3;Q8IZP0-4;Q8IZP0-5;Q8IZP0-6;Q8IZP0-7;Q8IZP0-8;Q8IZP0-9</t>
  </si>
  <si>
    <t>Q8IZP0</t>
  </si>
  <si>
    <t>Abl interactor 1</t>
  </si>
  <si>
    <t>ABI1;ABI1;ABI1;ABI1;ABI1;ABI1;ABI1;ABI1;ABI1;ABI1</t>
  </si>
  <si>
    <t>ABI1</t>
  </si>
  <si>
    <t>Diphosphoinositol polyphosphate phosphohydrolase 1</t>
  </si>
  <si>
    <t>NUDT3</t>
  </si>
  <si>
    <t>O00743;O00743-2;O00743-3</t>
  </si>
  <si>
    <t>O00743</t>
  </si>
  <si>
    <t>Serine/threonine-protein phosphatase 6 catalytic subunit</t>
  </si>
  <si>
    <t>PPP6C;PPP6C;PPP6C</t>
  </si>
  <si>
    <t>PPP6C</t>
  </si>
  <si>
    <t>Copper chaperone for superoxide dismutase</t>
  </si>
  <si>
    <t>CCS</t>
  </si>
  <si>
    <t>Transmembrane emp24 domain-containing protein 9</t>
  </si>
  <si>
    <t>TMED9</t>
  </si>
  <si>
    <t>Transaldolase</t>
  </si>
  <si>
    <t>TALDO1</t>
  </si>
  <si>
    <t>Protein S100-A8</t>
  </si>
  <si>
    <t>S100A8</t>
  </si>
  <si>
    <t>Q9UJ72</t>
  </si>
  <si>
    <t>Annexin A10</t>
  </si>
  <si>
    <t>ANXA10</t>
  </si>
  <si>
    <t>Junctional adhesion molecule C</t>
  </si>
  <si>
    <t>JAM3;JAM3</t>
  </si>
  <si>
    <t>JAM3</t>
  </si>
  <si>
    <t>Extended synaptotagmin-1</t>
  </si>
  <si>
    <t>ESYT1;ESYT1</t>
  </si>
  <si>
    <t>ESYT1</t>
  </si>
  <si>
    <t>Thyroxine-binding globulin</t>
  </si>
  <si>
    <t>SERPINA7</t>
  </si>
  <si>
    <t>Glutaredoxin-3</t>
  </si>
  <si>
    <t>GLRX3</t>
  </si>
  <si>
    <t>NADH dehydrogenase [ubiquinone] 1 beta subcomplex subunit 10</t>
  </si>
  <si>
    <t>NDUFB10</t>
  </si>
  <si>
    <t>O60610</t>
  </si>
  <si>
    <t>Protein diaphanous homolog 1</t>
  </si>
  <si>
    <t>DIAPH1</t>
  </si>
  <si>
    <t>Q16643;Q16643-3</t>
  </si>
  <si>
    <t>Drebrin</t>
  </si>
  <si>
    <t>DBN1;DBN1</t>
  </si>
  <si>
    <t>DBN1</t>
  </si>
  <si>
    <t>Q9UGP8</t>
  </si>
  <si>
    <t>Translocation protein SEC63 homolog</t>
  </si>
  <si>
    <t>SEC63</t>
  </si>
  <si>
    <t>Annexin A3</t>
  </si>
  <si>
    <t>ANXA3</t>
  </si>
  <si>
    <t>P54819;P54819-2;P54819-5</t>
  </si>
  <si>
    <t>P54819</t>
  </si>
  <si>
    <t>Adenylate kinase 2, mitochondrial</t>
  </si>
  <si>
    <t>AK2;AK2;AK2</t>
  </si>
  <si>
    <t>AK2</t>
  </si>
  <si>
    <t>Cytochrome c oxidase subunit 6C</t>
  </si>
  <si>
    <t>COX6C</t>
  </si>
  <si>
    <t>Low molecular weight phosphotyrosine protein phosphatase</t>
  </si>
  <si>
    <t>ACP1</t>
  </si>
  <si>
    <t>Guanine nucleotide-binding protein G(i) subunit alpha-1</t>
  </si>
  <si>
    <t>GNAI1</t>
  </si>
  <si>
    <t>Phosphatidylinositide phosphatase SAC1</t>
  </si>
  <si>
    <t>SACM1L</t>
  </si>
  <si>
    <t>cAMP-dependent protein kinase type I-alpha regulatory subunit</t>
  </si>
  <si>
    <t>PRKAR1A</t>
  </si>
  <si>
    <t>Leucine-rich repeat-containing protein 59</t>
  </si>
  <si>
    <t>LRRC59</t>
  </si>
  <si>
    <t>CXXC motif containing zinc binding protein</t>
  </si>
  <si>
    <t>CZIB</t>
  </si>
  <si>
    <t>Ras-related protein Rab-1A</t>
  </si>
  <si>
    <t>RAB1A</t>
  </si>
  <si>
    <t>Delta(3,5)-Delta(2,4)-dienoyl-CoA isomerase, mitochondrial</t>
  </si>
  <si>
    <t>ECH1</t>
  </si>
  <si>
    <t>Q9GZT6;Q9GZT6-2;Q9GZT6-3</t>
  </si>
  <si>
    <t>Q9GZT6</t>
  </si>
  <si>
    <t>Coiled-coil domain-containing protein 90B, mitochondrial</t>
  </si>
  <si>
    <t>CCDC90B;CCDC90B;CCDC90B</t>
  </si>
  <si>
    <t>CCDC90B</t>
  </si>
  <si>
    <t>CKLF-like MARVEL transmembrane domain-containing protein 6</t>
  </si>
  <si>
    <t>CMTM6</t>
  </si>
  <si>
    <t>Retinol-binding protein 4</t>
  </si>
  <si>
    <t>RBP4</t>
  </si>
  <si>
    <t>Translocon-associated protein subunit alpha</t>
  </si>
  <si>
    <t>SSR1</t>
  </si>
  <si>
    <t>3-hydroxyacyl-CoA dehydrogenase type-2</t>
  </si>
  <si>
    <t>HSD17B10</t>
  </si>
  <si>
    <t>Cytochrome c oxidase subunit 6B1</t>
  </si>
  <si>
    <t>COX6B1</t>
  </si>
  <si>
    <t>Stress-70 protein, mitochondrial</t>
  </si>
  <si>
    <t>HSPA9</t>
  </si>
  <si>
    <t>P80303;P80303-2</t>
  </si>
  <si>
    <t>P80303</t>
  </si>
  <si>
    <t>Nucleobindin-2</t>
  </si>
  <si>
    <t>NUCB2;NUCB2</t>
  </si>
  <si>
    <t>NUCB2</t>
  </si>
  <si>
    <t>P14324;P14324-2</t>
  </si>
  <si>
    <t>P14324</t>
  </si>
  <si>
    <t>Farnesyl pyrophosphate synthase</t>
  </si>
  <si>
    <t>FDPS;FDPS</t>
  </si>
  <si>
    <t>FDPS</t>
  </si>
  <si>
    <t>Ubiquitin-conjugating enzyme E2 N</t>
  </si>
  <si>
    <t>UBE2N</t>
  </si>
  <si>
    <t>Coatomer subunit zeta-1</t>
  </si>
  <si>
    <t>COPZ1</t>
  </si>
  <si>
    <t>Saccharopine dehydrogenase-like oxidoreductase</t>
  </si>
  <si>
    <t>SCCPDH</t>
  </si>
  <si>
    <t>Galectin-3-binding protein</t>
  </si>
  <si>
    <t>LGALS3BP</t>
  </si>
  <si>
    <t>Q8NE86;Q8NE86-3</t>
  </si>
  <si>
    <t>Q8NE86</t>
  </si>
  <si>
    <t>Calcium uniporter protein, mitochondrial</t>
  </si>
  <si>
    <t>MCU;MCU</t>
  </si>
  <si>
    <t>MCU</t>
  </si>
  <si>
    <t>Q06323;Q06323-2;Q06323-3</t>
  </si>
  <si>
    <t>Q06323</t>
  </si>
  <si>
    <t>Proteasome activator complex subunit 1</t>
  </si>
  <si>
    <t>PSME1;PSME1;PSME1</t>
  </si>
  <si>
    <t>PSME1</t>
  </si>
  <si>
    <t>Dolichol-phosphate mannosyltransferase subunit 1</t>
  </si>
  <si>
    <t>DPM1</t>
  </si>
  <si>
    <t>Q15366-3;Q15366-6</t>
  </si>
  <si>
    <t>Q15366-3</t>
  </si>
  <si>
    <t>Isoform 3 of Poly(rC)-binding protein 2</t>
  </si>
  <si>
    <t>PCBP2;PCBP2</t>
  </si>
  <si>
    <t>PCBP2</t>
  </si>
  <si>
    <t>Q14114;Q14114-2;Q14114-3;Q14114-4</t>
  </si>
  <si>
    <t>Q14114</t>
  </si>
  <si>
    <t>Low-density lipoprotein receptor-related protein 8</t>
  </si>
  <si>
    <t>LRP8;LRP8;LRP8;LRP8</t>
  </si>
  <si>
    <t>LRP8</t>
  </si>
  <si>
    <t>CD151 antigen</t>
  </si>
  <si>
    <t>CD151</t>
  </si>
  <si>
    <t>O94905</t>
  </si>
  <si>
    <t>Erlin-2</t>
  </si>
  <si>
    <t>ERLIN2</t>
  </si>
  <si>
    <t>Q96RL7;Q96RL7-2;Q96RL7-3;Q96RL7-4</t>
  </si>
  <si>
    <t>Q96RL7</t>
  </si>
  <si>
    <t>Vacuolar protein sorting-associated protein 13A</t>
  </si>
  <si>
    <t>VPS13A;VPS13A;VPS13A;VPS13A</t>
  </si>
  <si>
    <t>VPS13A</t>
  </si>
  <si>
    <t>Mitochondrial carrier homolog 2</t>
  </si>
  <si>
    <t>MTCH2</t>
  </si>
  <si>
    <t>Q16186</t>
  </si>
  <si>
    <t>Proteasomal ubiquitin receptor ADRM1</t>
  </si>
  <si>
    <t>ADRM1</t>
  </si>
  <si>
    <t>Integrin alpha-2</t>
  </si>
  <si>
    <t>ITGA2</t>
  </si>
  <si>
    <t>Q13045;Q13045-2</t>
  </si>
  <si>
    <t>Protein flightless-1 homolog</t>
  </si>
  <si>
    <t>FLII;FLII</t>
  </si>
  <si>
    <t>FLII</t>
  </si>
  <si>
    <t>P01111</t>
  </si>
  <si>
    <t>GTPase NRas</t>
  </si>
  <si>
    <t>NRAS</t>
  </si>
  <si>
    <t>P35813;P35813-3</t>
  </si>
  <si>
    <t>Protein phosphatase 1A</t>
  </si>
  <si>
    <t>PPM1A;PPM1A</t>
  </si>
  <si>
    <t>PPM1A</t>
  </si>
  <si>
    <t>Ribose-phosphate pyrophosphokinase 2</t>
  </si>
  <si>
    <t>PRPS2;PRPS2</t>
  </si>
  <si>
    <t>PRPS2</t>
  </si>
  <si>
    <t>Q13131;Q13131-2</t>
  </si>
  <si>
    <t>5'-AMP-activated protein kinase catalytic subunit alpha-1</t>
  </si>
  <si>
    <t>PRKAA1;PRKAA1</t>
  </si>
  <si>
    <t>PRKAA1</t>
  </si>
  <si>
    <t>Plasminogen activator inhibitor 1</t>
  </si>
  <si>
    <t>SERPINE1</t>
  </si>
  <si>
    <t>Phosphoglycerate mutase 1</t>
  </si>
  <si>
    <t>PGAM1</t>
  </si>
  <si>
    <t>Phosphoglucomutase-1</t>
  </si>
  <si>
    <t>PGM1</t>
  </si>
  <si>
    <t>P13645</t>
  </si>
  <si>
    <t>Keratin, type I cytoskeletal 10</t>
  </si>
  <si>
    <t>KRT10</t>
  </si>
  <si>
    <t>Protein XRP2</t>
  </si>
  <si>
    <t>RP2</t>
  </si>
  <si>
    <t>Membrane-associated progesterone receptor component 2</t>
  </si>
  <si>
    <t>PGRMC2;PGRMC2</t>
  </si>
  <si>
    <t>PGRMC2</t>
  </si>
  <si>
    <t>Serpin B9</t>
  </si>
  <si>
    <t>SERPINB9</t>
  </si>
  <si>
    <t>P06744;P06744-2</t>
  </si>
  <si>
    <t>Glucose-6-phosphate isomerase</t>
  </si>
  <si>
    <t>GPI;GPI</t>
  </si>
  <si>
    <t>GPI</t>
  </si>
  <si>
    <t>Q9UEY8;Q9UEY8-2</t>
  </si>
  <si>
    <t>Q9UEY8</t>
  </si>
  <si>
    <t>Gamma-adducin</t>
  </si>
  <si>
    <t>ADD3;ADD3</t>
  </si>
  <si>
    <t>ADD3</t>
  </si>
  <si>
    <t>Ras-related protein Rab-2A</t>
  </si>
  <si>
    <t>RAB2A</t>
  </si>
  <si>
    <t>P20851;P20851-2</t>
  </si>
  <si>
    <t>P20851</t>
  </si>
  <si>
    <t>C4b-binding protein beta chain</t>
  </si>
  <si>
    <t>C4BPB;C4BPB</t>
  </si>
  <si>
    <t>C4BPB</t>
  </si>
  <si>
    <t>Q86YB8</t>
  </si>
  <si>
    <t>ERO1-like protein beta</t>
  </si>
  <si>
    <t>ERO1B</t>
  </si>
  <si>
    <t>Proteasome subunit alpha type-5</t>
  </si>
  <si>
    <t>PSMA5</t>
  </si>
  <si>
    <t>Isoform 1 of Four and a half LIM domains protein 1</t>
  </si>
  <si>
    <t>FHL1</t>
  </si>
  <si>
    <t>Q9NZL9;Q9NZL9-2;Q9NZL9-3;Q9NZL9-4</t>
  </si>
  <si>
    <t>Q9NZL9</t>
  </si>
  <si>
    <t>Methionine adenosyltransferase 2 subunit beta</t>
  </si>
  <si>
    <t>MAT2B;MAT2B;MAT2B;MAT2B</t>
  </si>
  <si>
    <t>MAT2B</t>
  </si>
  <si>
    <t>O75367;O75367-2;O75367-3</t>
  </si>
  <si>
    <t>O75367</t>
  </si>
  <si>
    <t>Core histone macro-H2A.1</t>
  </si>
  <si>
    <t>H2AFY;H2AFY;H2AFY</t>
  </si>
  <si>
    <t>H2AFY</t>
  </si>
  <si>
    <t>P00390;P00390-2</t>
  </si>
  <si>
    <t>P00390</t>
  </si>
  <si>
    <t>Glutathione reductase, mitochondrial</t>
  </si>
  <si>
    <t>GSR;GSR</t>
  </si>
  <si>
    <t>GSR</t>
  </si>
  <si>
    <t>HLA class I histocompatibility antigen, A-68 alpha chain</t>
  </si>
  <si>
    <t>Isochorismatase domain-containing protein 1</t>
  </si>
  <si>
    <t>ISOC1</t>
  </si>
  <si>
    <t>Sarcoplasmic/endoplasmic reticulum calcium ATPase 2</t>
  </si>
  <si>
    <t>ATP2A2</t>
  </si>
  <si>
    <t>Dual adapter for phosphotyrosine and 3-phosphotyrosine and 3-phosphoinositide</t>
  </si>
  <si>
    <t>DAPP1;DAPP1</t>
  </si>
  <si>
    <t>DAPP1</t>
  </si>
  <si>
    <t>P37840;P37840-2</t>
  </si>
  <si>
    <t>P37840</t>
  </si>
  <si>
    <t>Alpha-synuclein</t>
  </si>
  <si>
    <t>SNCA;SNCA</t>
  </si>
  <si>
    <t>SNCA</t>
  </si>
  <si>
    <t>Growth factor receptor-bound protein 2</t>
  </si>
  <si>
    <t>GRB2</t>
  </si>
  <si>
    <t>P19012</t>
  </si>
  <si>
    <t>Keratin, type I cytoskeletal 15</t>
  </si>
  <si>
    <t>KRT15</t>
  </si>
  <si>
    <t>P49593;P49593-2</t>
  </si>
  <si>
    <t>P49593</t>
  </si>
  <si>
    <t>Protein phosphatase 1F</t>
  </si>
  <si>
    <t>PPM1F;PPM1F</t>
  </si>
  <si>
    <t>PPM1F</t>
  </si>
  <si>
    <t>P31939</t>
  </si>
  <si>
    <t>Bifunctional purine biosynthesis protein PURH</t>
  </si>
  <si>
    <t>ATIC</t>
  </si>
  <si>
    <t>Antigen peptide transporter 1</t>
  </si>
  <si>
    <t>TAP1</t>
  </si>
  <si>
    <t>Q86V87</t>
  </si>
  <si>
    <t>Protein FAM160B2</t>
  </si>
  <si>
    <t>FAM160B2</t>
  </si>
  <si>
    <t>Lysophospholipase-like protein 1</t>
  </si>
  <si>
    <t>LYPLAL1</t>
  </si>
  <si>
    <t>Glia maturation factor gamma</t>
  </si>
  <si>
    <t>GMFG</t>
  </si>
  <si>
    <t>Cathepsin D</t>
  </si>
  <si>
    <t>CTSD</t>
  </si>
  <si>
    <t>Aminoacyl tRNA synthase complex-interacting multifunctional protein 1</t>
  </si>
  <si>
    <t>AIMP1;AIMP1</t>
  </si>
  <si>
    <t>AIMP1</t>
  </si>
  <si>
    <t>Q01415;Q01415-2</t>
  </si>
  <si>
    <t>Q01415</t>
  </si>
  <si>
    <t>N-acetylgalactosamine kinase</t>
  </si>
  <si>
    <t>GALK2;GALK2</t>
  </si>
  <si>
    <t>GALK2</t>
  </si>
  <si>
    <t>Stress-induced-phosphoprotein 1</t>
  </si>
  <si>
    <t>STIP1</t>
  </si>
  <si>
    <t>Dolichyl-diphosphooligosaccharide--protein glycosyltransferase subunit STT3B</t>
  </si>
  <si>
    <t>STT3B</t>
  </si>
  <si>
    <t>Methyltransferase-like protein 7A</t>
  </si>
  <si>
    <t>METTL7A</t>
  </si>
  <si>
    <t>P05164;P05164-2;P05164-3</t>
  </si>
  <si>
    <t>P05164</t>
  </si>
  <si>
    <t>Myeloperoxidase</t>
  </si>
  <si>
    <t>MPO;MPO;MPO</t>
  </si>
  <si>
    <t>MPO</t>
  </si>
  <si>
    <t>Cytoplasmic FMR1-interacting protein 1</t>
  </si>
  <si>
    <t>CYFIP1</t>
  </si>
  <si>
    <t>Transmembrane emp24 domain-containing protein 10</t>
  </si>
  <si>
    <t>TMED10</t>
  </si>
  <si>
    <t>Vesicle transport protein GOT1B</t>
  </si>
  <si>
    <t>GOLT1B</t>
  </si>
  <si>
    <t>O75410;O75410-2;O75410-3;O75410-4;O75410-5;O75410-6;O75410-7</t>
  </si>
  <si>
    <t>O75410</t>
  </si>
  <si>
    <t>Transforming acidic coiled-coil-containing protein 1</t>
  </si>
  <si>
    <t>TACC1;TACC1;TACC1;TACC1;TACC1;TACC1;TACC1</t>
  </si>
  <si>
    <t>TACC1</t>
  </si>
  <si>
    <t>CON__P02663</t>
  </si>
  <si>
    <t>P20073;P20073-2</t>
  </si>
  <si>
    <t>P20073</t>
  </si>
  <si>
    <t>Annexin A7</t>
  </si>
  <si>
    <t>ANXA7;ANXA7</t>
  </si>
  <si>
    <t>ANXA7</t>
  </si>
  <si>
    <t>Alcohol dehydrogenase class-3</t>
  </si>
  <si>
    <t>ADH5</t>
  </si>
  <si>
    <t>P43487;P43487-2</t>
  </si>
  <si>
    <t>P43487</t>
  </si>
  <si>
    <t>Ran-specific GTPase-activating protein</t>
  </si>
  <si>
    <t>RANBP1;RANBP1</t>
  </si>
  <si>
    <t>RANBP1</t>
  </si>
  <si>
    <t>AP-1 complex subunit gamma-1</t>
  </si>
  <si>
    <t>AP1G1;AP1G1</t>
  </si>
  <si>
    <t>AP1G1</t>
  </si>
  <si>
    <t>Rho GTPase-activating protein 18</t>
  </si>
  <si>
    <t>ARHGAP18</t>
  </si>
  <si>
    <t>P08397;P08397-2;P08397-3;P08397-4</t>
  </si>
  <si>
    <t>P08397</t>
  </si>
  <si>
    <t>Porphobilinogen deaminase</t>
  </si>
  <si>
    <t>HMBS;HMBS;HMBS;HMBS</t>
  </si>
  <si>
    <t>HMBS</t>
  </si>
  <si>
    <t>GTP-binding protein Rheb</t>
  </si>
  <si>
    <t>RHEB</t>
  </si>
  <si>
    <t>Caspase-3</t>
  </si>
  <si>
    <t>CASP3</t>
  </si>
  <si>
    <t>14-3-3 protein eta</t>
  </si>
  <si>
    <t>YWHAH</t>
  </si>
  <si>
    <t>Eukaryotic initiation factor 4A-I</t>
  </si>
  <si>
    <t>EIF4A1</t>
  </si>
  <si>
    <t>Q9UJU6;Q9UJU6-2;Q9UJU6-3</t>
  </si>
  <si>
    <t>Drebrin-like protein</t>
  </si>
  <si>
    <t>DBNL;DBNL;DBNL</t>
  </si>
  <si>
    <t>DBNL</t>
  </si>
  <si>
    <t>Apolipoprotein D</t>
  </si>
  <si>
    <t>APOD</t>
  </si>
  <si>
    <t>P13473;P13473-2;P13473-3</t>
  </si>
  <si>
    <t>P13473</t>
  </si>
  <si>
    <t>Lysosome-associated membrane glycoprotein 2</t>
  </si>
  <si>
    <t>LAMP2;LAMP2;LAMP2</t>
  </si>
  <si>
    <t>LAMP2</t>
  </si>
  <si>
    <t>T-complex protein 1 subunit delta</t>
  </si>
  <si>
    <t>CCT4</t>
  </si>
  <si>
    <t>CON__Q28194</t>
  </si>
  <si>
    <t>P35527</t>
  </si>
  <si>
    <t>Keratin, type I cytoskeletal 9</t>
  </si>
  <si>
    <t>KRT9</t>
  </si>
  <si>
    <t>Eukaryotic peptide chain release factor subunit 1</t>
  </si>
  <si>
    <t>ETF1;ETF1</t>
  </si>
  <si>
    <t>ETF1</t>
  </si>
  <si>
    <t>P08559;P08559-2;P08559-3;P08559-4</t>
  </si>
  <si>
    <t>P08559</t>
  </si>
  <si>
    <t>Pyruvate dehydrogenase E1 component subunit alpha, somatic form, mitochondrial</t>
  </si>
  <si>
    <t>PDHA1;PDHA1;PDHA1;PDHA1</t>
  </si>
  <si>
    <t>PDHA1</t>
  </si>
  <si>
    <t>Hippocalcin-like protein 1</t>
  </si>
  <si>
    <t>HPCAL1</t>
  </si>
  <si>
    <t>Galectin-1</t>
  </si>
  <si>
    <t>LGALS1</t>
  </si>
  <si>
    <t>P04844;P04844-2</t>
  </si>
  <si>
    <t>P04844</t>
  </si>
  <si>
    <t>Dolichyl-diphosphooligosaccharide--protein glycosyltransferase subunit 2</t>
  </si>
  <si>
    <t>RPN2;RPN2</t>
  </si>
  <si>
    <t>RPN2</t>
  </si>
  <si>
    <t>Protein-L-isoaspartate(D-aspartate) O-methyltransferase</t>
  </si>
  <si>
    <t>PCMT1;PCMT1</t>
  </si>
  <si>
    <t>PCMT1</t>
  </si>
  <si>
    <t>Multifunctional protein ADE2</t>
  </si>
  <si>
    <t>PAICS;PAICS</t>
  </si>
  <si>
    <t>PAICS</t>
  </si>
  <si>
    <t>Atlastin-3</t>
  </si>
  <si>
    <t>ATL3</t>
  </si>
  <si>
    <t>Ras-related protein Rab-6B</t>
  </si>
  <si>
    <t>RAB6B</t>
  </si>
  <si>
    <t>P08237;P08237-3</t>
  </si>
  <si>
    <t>P08237</t>
  </si>
  <si>
    <t>ATP-dependent 6-phosphofructokinase, muscle type</t>
  </si>
  <si>
    <t>PFKM;PFKM</t>
  </si>
  <si>
    <t>PFKM</t>
  </si>
  <si>
    <t>O00391;O00391-2</t>
  </si>
  <si>
    <t>O00391</t>
  </si>
  <si>
    <t>Sulfhydryl oxidase 1</t>
  </si>
  <si>
    <t>QSOX1;QSOX1</t>
  </si>
  <si>
    <t>QSOX1</t>
  </si>
  <si>
    <t>L-xylulose reductase</t>
  </si>
  <si>
    <t>DCXR</t>
  </si>
  <si>
    <t>NADH-cytochrome b5 reductase 1</t>
  </si>
  <si>
    <t>CYB5R1</t>
  </si>
  <si>
    <t>P29279;P29279-2</t>
  </si>
  <si>
    <t>P29279</t>
  </si>
  <si>
    <t>Connective tissue growth factor</t>
  </si>
  <si>
    <t>CTGF;CTGF</t>
  </si>
  <si>
    <t>CTGF</t>
  </si>
  <si>
    <t>O60716;O60716-10;O60716-11;O60716-12;O60716-13;O60716-14;O60716-15;O60716-16;O60716-2;O60716-3;O60716-4;O60716-5;O60716-6;O60716-7;O60716-8;O60716-9</t>
  </si>
  <si>
    <t>O60716</t>
  </si>
  <si>
    <t>Catenin delta-1</t>
  </si>
  <si>
    <t>CTNND1;CTNND1;CTNND1;CTNND1;CTNND1;CTNND1;CTNND1;CTNND1;CTNND1;CTNND1;CTNND1;CTNND1;CTNND1;CTNND1;CTNND1;CTNND1</t>
  </si>
  <si>
    <t>CTNND1</t>
  </si>
  <si>
    <t>Tubulin-folding cofactor B</t>
  </si>
  <si>
    <t>TBCB</t>
  </si>
  <si>
    <t>O15042;O15042-2</t>
  </si>
  <si>
    <t>O15042</t>
  </si>
  <si>
    <t>U2 snRNP-associated SURP motif-containing protein</t>
  </si>
  <si>
    <t>U2SURP;U2SURP</t>
  </si>
  <si>
    <t>U2SURP</t>
  </si>
  <si>
    <t>Protein phosphatase 1 regulatory subunit 14A</t>
  </si>
  <si>
    <t>PPP1R14A;PPP1R14A</t>
  </si>
  <si>
    <t>PPP1R14A</t>
  </si>
  <si>
    <t>O75935;O75935-3</t>
  </si>
  <si>
    <t>O75935</t>
  </si>
  <si>
    <t>Dynactin subunit 3</t>
  </si>
  <si>
    <t>DCTN3;DCTN3</t>
  </si>
  <si>
    <t>DCTN3</t>
  </si>
  <si>
    <t>Immunoglobulin heavy variable 1-46</t>
  </si>
  <si>
    <t>IGHV1-46</t>
  </si>
  <si>
    <t>P13861;P13861-2</t>
  </si>
  <si>
    <t>P13861</t>
  </si>
  <si>
    <t>cAMP-dependent protein kinase type II-alpha regulatory subunit</t>
  </si>
  <si>
    <t>PRKAR2A;PRKAR2A</t>
  </si>
  <si>
    <t>PRKAR2A</t>
  </si>
  <si>
    <t>SCY1-like protein 2</t>
  </si>
  <si>
    <t>SCYL2</t>
  </si>
  <si>
    <t>UPF0687 protein C20orf27</t>
  </si>
  <si>
    <t>C20orf27;C20orf27</t>
  </si>
  <si>
    <t>C20orf27</t>
  </si>
  <si>
    <t>Q05682-4;Q05682-5</t>
  </si>
  <si>
    <t>Isoform 4 of Caldesmon</t>
  </si>
  <si>
    <t>CALD1;CALD1</t>
  </si>
  <si>
    <t>CALD1</t>
  </si>
  <si>
    <t>Interleukin-1 receptor-associated kinase 4</t>
  </si>
  <si>
    <t>IRAK4;IRAK4</t>
  </si>
  <si>
    <t>IRAK4</t>
  </si>
  <si>
    <t>P50570;P50570-5</t>
  </si>
  <si>
    <t>P50570</t>
  </si>
  <si>
    <t>Dynamin-2</t>
  </si>
  <si>
    <t>DNM2;DNM2</t>
  </si>
  <si>
    <t>DNM2</t>
  </si>
  <si>
    <t>Q9H3U5;Q9H3U5-2;Q9H3U5-3;Q9H3U5-5;Q9H3U5-6</t>
  </si>
  <si>
    <t>Q9H3U5</t>
  </si>
  <si>
    <t>Major facilitator superfamily domain-containing protein 1</t>
  </si>
  <si>
    <t>MFSD1;MFSD1;MFSD1;MFSD1;MFSD1</t>
  </si>
  <si>
    <t>MFSD1</t>
  </si>
  <si>
    <t>Fructosamine-3-kinase</t>
  </si>
  <si>
    <t>FN3K</t>
  </si>
  <si>
    <t>Transmembrane protein 50A</t>
  </si>
  <si>
    <t>TMEM50A</t>
  </si>
  <si>
    <t>Tyrosine-protein phosphatase non-receptor type 12</t>
  </si>
  <si>
    <t>PTPN12</t>
  </si>
  <si>
    <t>O43286</t>
  </si>
  <si>
    <t>Beta-1,4-galactosyltransferase 5</t>
  </si>
  <si>
    <t>B4GALT5</t>
  </si>
  <si>
    <t>Peptidyl-prolyl cis-trans isomerase F, mitochondrial</t>
  </si>
  <si>
    <t>PPIF</t>
  </si>
  <si>
    <t>T-complex protein 1 subunit eta</t>
  </si>
  <si>
    <t>CCT7</t>
  </si>
  <si>
    <t>Electron transfer flavoprotein subunit beta</t>
  </si>
  <si>
    <t>ETFB</t>
  </si>
  <si>
    <t>Beta-adrenergic receptor kinase 1</t>
  </si>
  <si>
    <t>GRK2</t>
  </si>
  <si>
    <t>CSC1-like protein 1</t>
  </si>
  <si>
    <t>TMEM63A</t>
  </si>
  <si>
    <t>P50995;P50995-2</t>
  </si>
  <si>
    <t>P50995</t>
  </si>
  <si>
    <t>Annexin A11</t>
  </si>
  <si>
    <t>ANXA11;ANXA11</t>
  </si>
  <si>
    <t>ANXA11</t>
  </si>
  <si>
    <t>Q9BPX5</t>
  </si>
  <si>
    <t>Actin-related protein 2/3 complex subunit 5-like protein</t>
  </si>
  <si>
    <t>ARPC5L</t>
  </si>
  <si>
    <t>Thioredoxin-like protein 1</t>
  </si>
  <si>
    <t>TXNL1</t>
  </si>
  <si>
    <t>Myeloid-derived growth factor</t>
  </si>
  <si>
    <t>MYDGF</t>
  </si>
  <si>
    <t>Q8NCW5;Q8NCW5-2</t>
  </si>
  <si>
    <t>Q8NCW5</t>
  </si>
  <si>
    <t>NAD(P)H-hydrate epimerase</t>
  </si>
  <si>
    <t>NAXE;NAXE</t>
  </si>
  <si>
    <t>NAXE</t>
  </si>
  <si>
    <t>Tyrosine-protein phosphatase non-receptor type 1</t>
  </si>
  <si>
    <t>PTPN1</t>
  </si>
  <si>
    <t>Poly(rC)-binding protein 1</t>
  </si>
  <si>
    <t>PCBP1</t>
  </si>
  <si>
    <t>Puromycin-sensitive aminopeptidase</t>
  </si>
  <si>
    <t>NPEPPS</t>
  </si>
  <si>
    <t>Q4KMQ2;Q4KMQ2-2;Q4KMQ2-3</t>
  </si>
  <si>
    <t>Q4KMQ2</t>
  </si>
  <si>
    <t>Anoctamin-6</t>
  </si>
  <si>
    <t>ANO6;ANO6;ANO6</t>
  </si>
  <si>
    <t>ANO6</t>
  </si>
  <si>
    <t>HLA class I histocompatibility antigen, B-18 alpha chain</t>
  </si>
  <si>
    <t>Q9UJ68;Q9UJ68-2;Q9UJ68-3;Q9UJ68-4;Q9UJ68-5</t>
  </si>
  <si>
    <t>Q9UJ68</t>
  </si>
  <si>
    <t>Mitochondrial peptide methionine sulfoxide reductase</t>
  </si>
  <si>
    <t>MSRA;MSRA;MSRA;MSRA;MSRA</t>
  </si>
  <si>
    <t>MSRA</t>
  </si>
  <si>
    <t>Wiskott-Aldrich syndrome protein family member 2</t>
  </si>
  <si>
    <t>WASF2</t>
  </si>
  <si>
    <t>Complement C1r subcomponent</t>
  </si>
  <si>
    <t>C1R</t>
  </si>
  <si>
    <t>P63267</t>
  </si>
  <si>
    <t>Actin, gamma-enteric smooth muscle</t>
  </si>
  <si>
    <t>ACTG2</t>
  </si>
  <si>
    <t>Q9UQ80</t>
  </si>
  <si>
    <t>Proliferation-associated protein 2G4</t>
  </si>
  <si>
    <t>PA2G4</t>
  </si>
  <si>
    <t>Xaa-Pro dipeptidase</t>
  </si>
  <si>
    <t>PEPD</t>
  </si>
  <si>
    <t>Cytoplasmic aconitate hydratase</t>
  </si>
  <si>
    <t>ACO1</t>
  </si>
  <si>
    <t>P00740</t>
  </si>
  <si>
    <t>Coagulation factor IX</t>
  </si>
  <si>
    <t>F9</t>
  </si>
  <si>
    <t>P11940;P11940-2</t>
  </si>
  <si>
    <t>P11940</t>
  </si>
  <si>
    <t>Polyadenylate-binding protein 1</t>
  </si>
  <si>
    <t>PABPC1;PABPC1</t>
  </si>
  <si>
    <t>PABPC1</t>
  </si>
  <si>
    <t>Q13442</t>
  </si>
  <si>
    <t>28 kDa heat- and acid-stable phosphoprotein</t>
  </si>
  <si>
    <t>PDAP1</t>
  </si>
  <si>
    <t>Endoplasmic reticulum aminopeptidase 1</t>
  </si>
  <si>
    <t>ERAP1;ERAP1</t>
  </si>
  <si>
    <t>ERAP1</t>
  </si>
  <si>
    <t>Isoform 1B of Beta-arrestin-1</t>
  </si>
  <si>
    <t>ARRB1</t>
  </si>
  <si>
    <t>Vesicle-trafficking protein SEC22b</t>
  </si>
  <si>
    <t>SEC22B</t>
  </si>
  <si>
    <t>Aldose reductase</t>
  </si>
  <si>
    <t>AKR1B1</t>
  </si>
  <si>
    <t>Gamma-soluble NSF attachment protein</t>
  </si>
  <si>
    <t>NAPG</t>
  </si>
  <si>
    <t>O94979;O94979-10;O94979-2;O94979-3;O94979-4;O94979-6;O94979-8;O94979-9</t>
  </si>
  <si>
    <t>O94979</t>
  </si>
  <si>
    <t>Protein transport protein Sec31A</t>
  </si>
  <si>
    <t>SEC31A;SEC31A;SEC31A;SEC31A;SEC31A;SEC31A;SEC31A;SEC31A</t>
  </si>
  <si>
    <t>SEC31A</t>
  </si>
  <si>
    <t>Inorganic pyrophosphatase</t>
  </si>
  <si>
    <t>PPA1</t>
  </si>
  <si>
    <t>Glutamate dehydrogenase 1, mitochondrial</t>
  </si>
  <si>
    <t>GLUD1</t>
  </si>
  <si>
    <t>P05771;P05771-2</t>
  </si>
  <si>
    <t>Protein kinase C beta type</t>
  </si>
  <si>
    <t>PRKCB;PRKCB</t>
  </si>
  <si>
    <t>PRKCB</t>
  </si>
  <si>
    <t>Persulfide dioxygenase ETHE1, mitochondrial</t>
  </si>
  <si>
    <t>ETHE1</t>
  </si>
  <si>
    <t>P49748;P49748-2;P49748-3</t>
  </si>
  <si>
    <t>P49748</t>
  </si>
  <si>
    <t>Very long-chain specific acyl-CoA dehydrogenase, mitochondrial</t>
  </si>
  <si>
    <t>ACADVL;ACADVL;ACADVL</t>
  </si>
  <si>
    <t>ACADVL</t>
  </si>
  <si>
    <t>Medium-chain specific acyl-CoA dehydrogenase, mitochondrial</t>
  </si>
  <si>
    <t>ACADM;ACADM</t>
  </si>
  <si>
    <t>ACADM</t>
  </si>
  <si>
    <t>Myeloblastin</t>
  </si>
  <si>
    <t>PRTN3</t>
  </si>
  <si>
    <t>TSC22 domain family protein 4</t>
  </si>
  <si>
    <t>TSC22D4</t>
  </si>
  <si>
    <t>Q9Y251;Q9Y251-2;Q9Y251-3</t>
  </si>
  <si>
    <t>Q9Y251</t>
  </si>
  <si>
    <t>Heparanase</t>
  </si>
  <si>
    <t>HPSE;HPSE;HPSE</t>
  </si>
  <si>
    <t>HPSE</t>
  </si>
  <si>
    <t>Protein/nucleic acid deglycase DJ-1</t>
  </si>
  <si>
    <t>PARK7</t>
  </si>
  <si>
    <t>Integrin beta-1</t>
  </si>
  <si>
    <t>ITGB1</t>
  </si>
  <si>
    <t>O43399;O43399-5;O43399-7</t>
  </si>
  <si>
    <t>Tumor protein D54</t>
  </si>
  <si>
    <t>TPD52L2;TPD52L2;TPD52L2</t>
  </si>
  <si>
    <t>TPD52L2</t>
  </si>
  <si>
    <t>P05067;P05067-11;P05067-8</t>
  </si>
  <si>
    <t>P05067</t>
  </si>
  <si>
    <t>Amyloid-beta precursor protein</t>
  </si>
  <si>
    <t>APP;APP;APP</t>
  </si>
  <si>
    <t>APP</t>
  </si>
  <si>
    <t>Q9NR56;Q9NR56-2;Q9NR56-3;Q9NR56-4;Q9NR56-5;Q9NR56-6;Q9NR56-7</t>
  </si>
  <si>
    <t>Q9NR56</t>
  </si>
  <si>
    <t>Muscleblind-like protein 1</t>
  </si>
  <si>
    <t>MBNL1;MBNL1;MBNL1;MBNL1;MBNL1;MBNL1;MBNL1</t>
  </si>
  <si>
    <t>MBNL1</t>
  </si>
  <si>
    <t>Aspartate--tRNA ligase, cytoplasmic</t>
  </si>
  <si>
    <t>DARS</t>
  </si>
  <si>
    <t>Q9NZD2</t>
  </si>
  <si>
    <t>Glycolipid transfer protein</t>
  </si>
  <si>
    <t>GLTP</t>
  </si>
  <si>
    <t>Q9H2U2;Q9H2U2-2</t>
  </si>
  <si>
    <t>Inorganic pyrophosphatase 2, mitochondrial</t>
  </si>
  <si>
    <t>PPA2;PPA2</t>
  </si>
  <si>
    <t>PPA2</t>
  </si>
  <si>
    <t>V-type proton ATPase subunit B, brain isoform</t>
  </si>
  <si>
    <t>ATP6V1B2</t>
  </si>
  <si>
    <t>P53396;P53396-2</t>
  </si>
  <si>
    <t>P53396</t>
  </si>
  <si>
    <t>ATP-citrate synthase</t>
  </si>
  <si>
    <t>ACLY;ACLY</t>
  </si>
  <si>
    <t>ACLY</t>
  </si>
  <si>
    <t>Protein kinase C alpha type</t>
  </si>
  <si>
    <t>PRKCA</t>
  </si>
  <si>
    <t>Aconitate hydratase, mitochondrial</t>
  </si>
  <si>
    <t>ACO2</t>
  </si>
  <si>
    <t>Q86X76;Q86X76-2;Q86X76-4</t>
  </si>
  <si>
    <t>Q86X76</t>
  </si>
  <si>
    <t>Deaminated glutathione amidase</t>
  </si>
  <si>
    <t>NIT1;NIT1;NIT1</t>
  </si>
  <si>
    <t>NIT1</t>
  </si>
  <si>
    <t>Protein kinase C delta type</t>
  </si>
  <si>
    <t>PRKCD</t>
  </si>
  <si>
    <t>O95834;O95834-2;O95834-3</t>
  </si>
  <si>
    <t>Echinoderm microtubule-associated protein-like 2</t>
  </si>
  <si>
    <t>EML2;EML2;EML2</t>
  </si>
  <si>
    <t>EML2</t>
  </si>
  <si>
    <t>DnaJ homolog subfamily B member 11</t>
  </si>
  <si>
    <t>DNAJB11</t>
  </si>
  <si>
    <t>Very-long-chain (3R)-3-hydroxyacyl-CoA dehydratase 3</t>
  </si>
  <si>
    <t>HACD3</t>
  </si>
  <si>
    <t>Q8WZA0;Q8WZA0-2</t>
  </si>
  <si>
    <t>Q8WZA0</t>
  </si>
  <si>
    <t>Protein LZIC</t>
  </si>
  <si>
    <t>LZIC;LZIC</t>
  </si>
  <si>
    <t>LZIC</t>
  </si>
  <si>
    <t>Plasma serine protease inhibitor</t>
  </si>
  <si>
    <t>SERPINA5</t>
  </si>
  <si>
    <t>Septin-11</t>
  </si>
  <si>
    <t>Cytosolic non-specific dipeptidase</t>
  </si>
  <si>
    <t>CNDP2</t>
  </si>
  <si>
    <t>Cullin-associated NEDD8-dissociated protein 1</t>
  </si>
  <si>
    <t>CAND1</t>
  </si>
  <si>
    <t>Calponin-2</t>
  </si>
  <si>
    <t>CNN2</t>
  </si>
  <si>
    <t>Q9NZN4</t>
  </si>
  <si>
    <t>EH domain-containing protein 2</t>
  </si>
  <si>
    <t>EHD2</t>
  </si>
  <si>
    <t>Probable ATP-dependent RNA helicase DDX6</t>
  </si>
  <si>
    <t>DDX6</t>
  </si>
  <si>
    <t>P40925;P40925-3</t>
  </si>
  <si>
    <t>Malate dehydrogenase, cytoplasmic</t>
  </si>
  <si>
    <t>MDH1;MDH1</t>
  </si>
  <si>
    <t>MDH1</t>
  </si>
  <si>
    <t>O60256;O60256-2;O60256-4</t>
  </si>
  <si>
    <t>Phosphoribosyl pyrophosphate synthase-associated protein 2</t>
  </si>
  <si>
    <t>PRPSAP2;PRPSAP2;PRPSAP2</t>
  </si>
  <si>
    <t>PRPSAP2</t>
  </si>
  <si>
    <t>Calcyclin-binding protein</t>
  </si>
  <si>
    <t>CACYBP</t>
  </si>
  <si>
    <t>3-mercaptopyruvate sulfurtransferase</t>
  </si>
  <si>
    <t>MPST;MPST</t>
  </si>
  <si>
    <t>MPST</t>
  </si>
  <si>
    <t>DnaJ homolog subfamily C member 3</t>
  </si>
  <si>
    <t>DNAJC3</t>
  </si>
  <si>
    <t>40S ribosomal protein S2</t>
  </si>
  <si>
    <t>RPS2</t>
  </si>
  <si>
    <t>Q9BUP3;Q9BUP3-3</t>
  </si>
  <si>
    <t>Oxidoreductase HTATIP2</t>
  </si>
  <si>
    <t>HTATIP2;HTATIP2</t>
  </si>
  <si>
    <t>HTATIP2</t>
  </si>
  <si>
    <t>Histidine triad nucleotide-binding protein 1</t>
  </si>
  <si>
    <t>HINT1</t>
  </si>
  <si>
    <t>Q9HAB8</t>
  </si>
  <si>
    <t>Phosphopantothenate--cysteine ligase</t>
  </si>
  <si>
    <t>PPCS</t>
  </si>
  <si>
    <t>Q05315</t>
  </si>
  <si>
    <t>Galectin-10</t>
  </si>
  <si>
    <t>CLC</t>
  </si>
  <si>
    <t>P02730;P02730-2</t>
  </si>
  <si>
    <t>Band 3 anion transport protein</t>
  </si>
  <si>
    <t>SLC4A1;SLC4A1</t>
  </si>
  <si>
    <t>SLC4A1</t>
  </si>
  <si>
    <t>P40616;P40616-2</t>
  </si>
  <si>
    <t>P40616</t>
  </si>
  <si>
    <t>ADP-ribosylation factor-like protein 1</t>
  </si>
  <si>
    <t>ARL1;ARL1</t>
  </si>
  <si>
    <t>ARL1</t>
  </si>
  <si>
    <t>Biliverdin reductase A</t>
  </si>
  <si>
    <t>BLVRA</t>
  </si>
  <si>
    <t>Lactotransferrin</t>
  </si>
  <si>
    <t>LTF</t>
  </si>
  <si>
    <t>Complement component C6</t>
  </si>
  <si>
    <t>C6</t>
  </si>
  <si>
    <t>Immunoglobulin kappa variable 1-17</t>
  </si>
  <si>
    <t>Protein NipSnap homolog 3A</t>
  </si>
  <si>
    <t>NIPSNAP3A</t>
  </si>
  <si>
    <t>Sulfide:quinone oxidoreductase, mitochondrial</t>
  </si>
  <si>
    <t>SQOR</t>
  </si>
  <si>
    <t>P68036;P68036-2;P68036-3</t>
  </si>
  <si>
    <t>P68036</t>
  </si>
  <si>
    <t>Ubiquitin-conjugating enzyme E2 L3</t>
  </si>
  <si>
    <t>UBE2L3;UBE2L3;UBE2L3</t>
  </si>
  <si>
    <t>UBE2L3</t>
  </si>
  <si>
    <t>Isoform 2 of TIR domain-containing adapter molecule 2</t>
  </si>
  <si>
    <t>TICAM2</t>
  </si>
  <si>
    <t>Serum amyloid A-1 protein</t>
  </si>
  <si>
    <t>SAA1</t>
  </si>
  <si>
    <t>T-complex protein 1 subunit epsilon</t>
  </si>
  <si>
    <t>CCT5</t>
  </si>
  <si>
    <t>Q08209;Q08209-2</t>
  </si>
  <si>
    <t>Q08209</t>
  </si>
  <si>
    <t>Serine/threonine-protein phosphatase 2B catalytic subunit alpha isoform</t>
  </si>
  <si>
    <t>PPP3CA;PPP3CA</t>
  </si>
  <si>
    <t>PPP3CA</t>
  </si>
  <si>
    <t>GTP:AMP phosphotransferase AK3, mitochondrial</t>
  </si>
  <si>
    <t>AK3</t>
  </si>
  <si>
    <t>Syntaxin-4</t>
  </si>
  <si>
    <t>STX4</t>
  </si>
  <si>
    <t>P25788;P25788-2</t>
  </si>
  <si>
    <t>P25788</t>
  </si>
  <si>
    <t>Proteasome subunit alpha type-3</t>
  </si>
  <si>
    <t>PSMA3;PSMA3</t>
  </si>
  <si>
    <t>PSMA3</t>
  </si>
  <si>
    <t>Q16610;Q16610-4</t>
  </si>
  <si>
    <t>Extracellular matrix protein 1</t>
  </si>
  <si>
    <t>ECM1;ECM1</t>
  </si>
  <si>
    <t>ECM1</t>
  </si>
  <si>
    <t>P67812;P67812-3;P67812-4</t>
  </si>
  <si>
    <t>P67812</t>
  </si>
  <si>
    <t>Signal peptidase complex catalytic subunit SEC11A</t>
  </si>
  <si>
    <t>SEC11A;SEC11A;SEC11A</t>
  </si>
  <si>
    <t>SEC11A</t>
  </si>
  <si>
    <t>O95865</t>
  </si>
  <si>
    <t>N(G),N(G)-dimethylarginine dimethylaminohydrolase 2</t>
  </si>
  <si>
    <t>DDAH2</t>
  </si>
  <si>
    <t>Vesicle-associated membrane protein-associated protein A</t>
  </si>
  <si>
    <t>VAPA</t>
  </si>
  <si>
    <t>Guanine nucleotide-binding protein G(k) subunit alpha</t>
  </si>
  <si>
    <t>GNAI3</t>
  </si>
  <si>
    <t>Thioredoxin-related transmembrane protein 1</t>
  </si>
  <si>
    <t>TMX1</t>
  </si>
  <si>
    <t>Thioredoxin domain-containing protein 5</t>
  </si>
  <si>
    <t>TXNDC5;TXNDC5</t>
  </si>
  <si>
    <t>TXNDC5</t>
  </si>
  <si>
    <t>Ras-related protein Rab-32</t>
  </si>
  <si>
    <t>RAB32</t>
  </si>
  <si>
    <t>ATPase ASNA1</t>
  </si>
  <si>
    <t>ASNA1</t>
  </si>
  <si>
    <t>Cytochrome b-c1 complex subunit 2, mitochondrial</t>
  </si>
  <si>
    <t>UQCRC2</t>
  </si>
  <si>
    <t>Q14141;Q14141-2;Q14141-4</t>
  </si>
  <si>
    <t>Q14141</t>
  </si>
  <si>
    <t>Septin-6</t>
  </si>
  <si>
    <t>SEPT6;SEPT6;SEPT6</t>
  </si>
  <si>
    <t>Q29865</t>
  </si>
  <si>
    <t>HLA class I histocompatibility antigen, Cw-18 alpha chain</t>
  </si>
  <si>
    <t>ADP/ATP translocase 3</t>
  </si>
  <si>
    <t>SLC25A6</t>
  </si>
  <si>
    <t>Q15067;Q15067-2</t>
  </si>
  <si>
    <t>Q15067</t>
  </si>
  <si>
    <t>Peroxisomal acyl-coenzyme A oxidase 1</t>
  </si>
  <si>
    <t>ACOX1;ACOX1</t>
  </si>
  <si>
    <t>ACOX1</t>
  </si>
  <si>
    <t>Protein-tyrosine sulfotransferase 2</t>
  </si>
  <si>
    <t>TPST2</t>
  </si>
  <si>
    <t>O75815;O75815-3;Q6S5L8;Q6S5L8-2;Q92529;Q92529-2</t>
  </si>
  <si>
    <t>O75815</t>
  </si>
  <si>
    <t>Breast cancer anti-estrogen resistance protein 3</t>
  </si>
  <si>
    <t>BCAR3;BCAR3;SHC4;SHC4;SHC3;SHC3</t>
  </si>
  <si>
    <t>BCAR3</t>
  </si>
  <si>
    <t>WW domain-binding protein 2</t>
  </si>
  <si>
    <t>WBP2</t>
  </si>
  <si>
    <t>CON__Q3KUS7</t>
  </si>
  <si>
    <t>Q9NVI7-2;Q9NVI7-3</t>
  </si>
  <si>
    <t>Isoform 2 of ATPase family AAA domain-containing protein 3A</t>
  </si>
  <si>
    <t>ATAD3A;ATAD3A</t>
  </si>
  <si>
    <t>ATAD3A</t>
  </si>
  <si>
    <t>P07954;P07954-2</t>
  </si>
  <si>
    <t>P07954</t>
  </si>
  <si>
    <t>Fumarate hydratase, mitochondrial</t>
  </si>
  <si>
    <t>FH;FH</t>
  </si>
  <si>
    <t>FH</t>
  </si>
  <si>
    <t>Reticulon-1</t>
  </si>
  <si>
    <t>RTN1</t>
  </si>
  <si>
    <t>Protein FAM49B</t>
  </si>
  <si>
    <t>FAM49B</t>
  </si>
  <si>
    <t>A0A075B6K4</t>
  </si>
  <si>
    <t>Immunoglobulin lambda variable 3-10</t>
  </si>
  <si>
    <t>IGLV3-10</t>
  </si>
  <si>
    <t>Q9UDT6;Q9UDT6-2</t>
  </si>
  <si>
    <t>Q9UDT6</t>
  </si>
  <si>
    <t>CAP-Gly domain-containing linker protein 2</t>
  </si>
  <si>
    <t>CLIP2;CLIP2</t>
  </si>
  <si>
    <t>CLIP2</t>
  </si>
  <si>
    <t>Q9P2B2</t>
  </si>
  <si>
    <t>Prostaglandin F2 receptor negative regulator</t>
  </si>
  <si>
    <t>PTGFRN</t>
  </si>
  <si>
    <t>P35908</t>
  </si>
  <si>
    <t>Keratin, type II cytoskeletal 2 epidermal</t>
  </si>
  <si>
    <t>KRT2</t>
  </si>
  <si>
    <t>Q14643;Q14643-2;Q14643-3;Q14643-4;Q14643-5;Q14643-6;Q14643-7;Q14643-8</t>
  </si>
  <si>
    <t>Q14643</t>
  </si>
  <si>
    <t>Inositol 1,4,5-trisphosphate receptor type 1</t>
  </si>
  <si>
    <t>ITPR1;ITPR1;ITPR1;ITPR1;ITPR1;ITPR1;ITPR1;ITPR1</t>
  </si>
  <si>
    <t>ITPR1</t>
  </si>
  <si>
    <t>ADP-ribosylation factor-like protein 8B</t>
  </si>
  <si>
    <t>ARL8B</t>
  </si>
  <si>
    <t>Grancalcin</t>
  </si>
  <si>
    <t>GCA</t>
  </si>
  <si>
    <t>Protein kinase C and casein kinase substrate in neurons protein 2</t>
  </si>
  <si>
    <t>PACSIN2;PACSIN2</t>
  </si>
  <si>
    <t>PACSIN2</t>
  </si>
  <si>
    <t>Cytochrome c oxidase subunit 4 isoform 1, mitochondrial</t>
  </si>
  <si>
    <t>COX4I1</t>
  </si>
  <si>
    <t>Electron transfer flavoprotein subunit alpha, mitochondrial</t>
  </si>
  <si>
    <t>ETFA</t>
  </si>
  <si>
    <t>Q9BXS5;Q9BXS5-2</t>
  </si>
  <si>
    <t>AP-1 complex subunit mu-1</t>
  </si>
  <si>
    <t>AP1M1;AP1M1</t>
  </si>
  <si>
    <t>AP1M1</t>
  </si>
  <si>
    <t>Mitochondrial 2-oxoglutarate/malate carrier protein</t>
  </si>
  <si>
    <t>SLC25A11</t>
  </si>
  <si>
    <t>O14974;O14974-4;O14974-5</t>
  </si>
  <si>
    <t>O14974</t>
  </si>
  <si>
    <t>Protein phosphatase 1 regulatory subunit 12A</t>
  </si>
  <si>
    <t>PPP1R12A;PPP1R12A;PPP1R12A</t>
  </si>
  <si>
    <t>PPP1R12A</t>
  </si>
  <si>
    <t>Inosine-5'-monophosphate dehydrogenase 2</t>
  </si>
  <si>
    <t>IMPDH2</t>
  </si>
  <si>
    <t>Nucleoside diphosphate kinase A</t>
  </si>
  <si>
    <t>NME1;NME1</t>
  </si>
  <si>
    <t>NME1</t>
  </si>
  <si>
    <t>Coatomer subunit alpha</t>
  </si>
  <si>
    <t>COPA;COPA</t>
  </si>
  <si>
    <t>COPA</t>
  </si>
  <si>
    <t>Plastin-3</t>
  </si>
  <si>
    <t>PLS3</t>
  </si>
  <si>
    <t>Q14112;Q14112-2</t>
  </si>
  <si>
    <t>Q14112</t>
  </si>
  <si>
    <t>Nidogen-2</t>
  </si>
  <si>
    <t>NID2;NID2</t>
  </si>
  <si>
    <t>NID2</t>
  </si>
  <si>
    <t>Q27J81;Q27J81-2</t>
  </si>
  <si>
    <t>Q27J81</t>
  </si>
  <si>
    <t>Inverted formin-2</t>
  </si>
  <si>
    <t>INF2;INF2</t>
  </si>
  <si>
    <t>INF2</t>
  </si>
  <si>
    <t>P55060;P55060-3</t>
  </si>
  <si>
    <t>P55060</t>
  </si>
  <si>
    <t>Exportin-2</t>
  </si>
  <si>
    <t>CSE1L;CSE1L</t>
  </si>
  <si>
    <t>CSE1L</t>
  </si>
  <si>
    <t>Q8TB24</t>
  </si>
  <si>
    <t>Ras and Rab interactor 3</t>
  </si>
  <si>
    <t>RIN3</t>
  </si>
  <si>
    <t>Q7Z460;Q7Z460-2;Q7Z460-3;Q7Z460-4;Q7Z460-5</t>
  </si>
  <si>
    <t>Q7Z460</t>
  </si>
  <si>
    <t>CLIP-associating protein 1</t>
  </si>
  <si>
    <t>CLASP1;CLASP1;CLASP1;CLASP1;CLASP1</t>
  </si>
  <si>
    <t>CLASP1</t>
  </si>
  <si>
    <t>Alpha-(1,6)-fucosyltransferase</t>
  </si>
  <si>
    <t>FUT8</t>
  </si>
  <si>
    <t>Calcium-binding protein 39</t>
  </si>
  <si>
    <t>CAB39</t>
  </si>
  <si>
    <t>Acylamino-acid-releasing enzyme</t>
  </si>
  <si>
    <t>APEH</t>
  </si>
  <si>
    <t>Proteasome subunit alpha type-1</t>
  </si>
  <si>
    <t>PSMA1;PSMA1</t>
  </si>
  <si>
    <t>PSMA1</t>
  </si>
  <si>
    <t>P23396;P23396-2</t>
  </si>
  <si>
    <t>P23396</t>
  </si>
  <si>
    <t>40S ribosomal protein S3</t>
  </si>
  <si>
    <t>RPS3;RPS3</t>
  </si>
  <si>
    <t>RPS3</t>
  </si>
  <si>
    <t>Phosphofurin acidic cluster sorting protein 1</t>
  </si>
  <si>
    <t>PACS1;PACS1</t>
  </si>
  <si>
    <t>PACS1</t>
  </si>
  <si>
    <t>Triokinase/FMN cyclase</t>
  </si>
  <si>
    <t>TKFC</t>
  </si>
  <si>
    <t>Mesencephalic astrocyte-derived neurotrophic factor</t>
  </si>
  <si>
    <t>MANF</t>
  </si>
  <si>
    <t>Polymeric immunoglobulin receptor</t>
  </si>
  <si>
    <t>PIGR</t>
  </si>
  <si>
    <t>NADH dehydrogenase [ubiquinone] iron-sulfur protein 5</t>
  </si>
  <si>
    <t>NDUFS5</t>
  </si>
  <si>
    <t>NHL repeat-containing protein 2</t>
  </si>
  <si>
    <t>NHLRC2</t>
  </si>
  <si>
    <t>O15347</t>
  </si>
  <si>
    <t>High mobility group protein B3</t>
  </si>
  <si>
    <t>HMGB3</t>
  </si>
  <si>
    <t>Complement component C8 alpha chain</t>
  </si>
  <si>
    <t>C8A</t>
  </si>
  <si>
    <t>Nuclear receptor-binding protein</t>
  </si>
  <si>
    <t>NRBP1</t>
  </si>
  <si>
    <t>O43815;O43815-2</t>
  </si>
  <si>
    <t>O43815</t>
  </si>
  <si>
    <t>Striatin</t>
  </si>
  <si>
    <t>STRN;STRN</t>
  </si>
  <si>
    <t>STRN</t>
  </si>
  <si>
    <t>26S proteasome non-ATPase regulatory subunit 14</t>
  </si>
  <si>
    <t>PSMD14</t>
  </si>
  <si>
    <t>Protein S100-A9</t>
  </si>
  <si>
    <t>S100A9</t>
  </si>
  <si>
    <t>Tripeptidyl-peptidase 2</t>
  </si>
  <si>
    <t>TPP2</t>
  </si>
  <si>
    <t>CON__P34955</t>
  </si>
  <si>
    <t>Q658P3;Q658P3-2;Q658P3-3</t>
  </si>
  <si>
    <t>Q658P3</t>
  </si>
  <si>
    <t>Metalloreductase STEAP3</t>
  </si>
  <si>
    <t>STEAP3;STEAP3;STEAP3</t>
  </si>
  <si>
    <t>STEAP3</t>
  </si>
  <si>
    <t>Transforming growth factor beta activator LRRC32</t>
  </si>
  <si>
    <t>LRRC32</t>
  </si>
  <si>
    <t>Chloride intracellular channel protein 4</t>
  </si>
  <si>
    <t>CLIC4</t>
  </si>
  <si>
    <t>P34897;P34897-3</t>
  </si>
  <si>
    <t>P34897</t>
  </si>
  <si>
    <t>Serine hydroxymethyltransferase, mitochondrial</t>
  </si>
  <si>
    <t>SHMT2;SHMT2</t>
  </si>
  <si>
    <t>SHMT2</t>
  </si>
  <si>
    <t>Transforming growth factor-beta-induced protein ig-h3</t>
  </si>
  <si>
    <t>TGFBI</t>
  </si>
  <si>
    <t>Q14573</t>
  </si>
  <si>
    <t>Inositol 1,4,5-trisphosphate receptor type 3</t>
  </si>
  <si>
    <t>ITPR3</t>
  </si>
  <si>
    <t>Ras-related protein Rab-18</t>
  </si>
  <si>
    <t>RAB18</t>
  </si>
  <si>
    <t>Q8NCM8;Q8NCM8-2</t>
  </si>
  <si>
    <t>Q8NCM8</t>
  </si>
  <si>
    <t>Cytoplasmic dynein 2 heavy chain 1</t>
  </si>
  <si>
    <t>DYNC2H1;DYNC2H1</t>
  </si>
  <si>
    <t>DYNC2H1</t>
  </si>
  <si>
    <t>NAD(P) transhydrogenase, mitochondrial</t>
  </si>
  <si>
    <t>NNT</t>
  </si>
  <si>
    <t>Q13098;Q13098-5;Q13098-7</t>
  </si>
  <si>
    <t>Q13098</t>
  </si>
  <si>
    <t>COP9 signalosome complex subunit 1</t>
  </si>
  <si>
    <t>GPS1;GPS1;GPS1</t>
  </si>
  <si>
    <t>GPS1</t>
  </si>
  <si>
    <t>Q9UM22</t>
  </si>
  <si>
    <t>Mammalian ependymin-related protein 1</t>
  </si>
  <si>
    <t>EPDR1</t>
  </si>
  <si>
    <t>Arf-GAP with SH3 domain, ANK repeat and PH domain-containing protein 2</t>
  </si>
  <si>
    <t>ASAP2;ASAP2</t>
  </si>
  <si>
    <t>ASAP2</t>
  </si>
  <si>
    <t>Proteolipid protein 2</t>
  </si>
  <si>
    <t>PLP2</t>
  </si>
  <si>
    <t>Synaptotagmin-like protein 4</t>
  </si>
  <si>
    <t>SYTL4</t>
  </si>
  <si>
    <t>Q9Y5K8</t>
  </si>
  <si>
    <t>V-type proton ATPase subunit D</t>
  </si>
  <si>
    <t>ATP6V1D</t>
  </si>
  <si>
    <t>Protein FAM177A1</t>
  </si>
  <si>
    <t>FAM177A1;FAM177A1</t>
  </si>
  <si>
    <t>FAM177A1</t>
  </si>
  <si>
    <t>P60520</t>
  </si>
  <si>
    <t>Gamma-aminobutyric acid receptor-associated protein-like 2</t>
  </si>
  <si>
    <t>GABARAPL2</t>
  </si>
  <si>
    <t>Ubiquitin thioesterase OTUB1</t>
  </si>
  <si>
    <t>OTUB1</t>
  </si>
  <si>
    <t>26S proteasome non-ATPase regulatory subunit 6</t>
  </si>
  <si>
    <t>PSMD6</t>
  </si>
  <si>
    <t>T-complex protein 1 subunit zeta</t>
  </si>
  <si>
    <t>CCT6A</t>
  </si>
  <si>
    <t>Cytosolic phospholipase A2</t>
  </si>
  <si>
    <t>PLA2G4A</t>
  </si>
  <si>
    <t>O15533;O15533-2;O15533-3</t>
  </si>
  <si>
    <t>O15533</t>
  </si>
  <si>
    <t>Tapasin</t>
  </si>
  <si>
    <t>TAPBP;TAPBP;TAPBP</t>
  </si>
  <si>
    <t>TAPBP</t>
  </si>
  <si>
    <t>Na(+)/H(+) exchange regulatory cofactor NHE-RF1</t>
  </si>
  <si>
    <t>SLC9A3R1</t>
  </si>
  <si>
    <t>Cytochrome b-c1 complex subunit 8</t>
  </si>
  <si>
    <t>UQCRQ</t>
  </si>
  <si>
    <t>A0FGR8;A0FGR8-2;A0FGR8-6</t>
  </si>
  <si>
    <t>A0FGR8</t>
  </si>
  <si>
    <t>Extended synaptotagmin-2</t>
  </si>
  <si>
    <t>ESYT2;ESYT2;ESYT2</t>
  </si>
  <si>
    <t>ESYT2</t>
  </si>
  <si>
    <t>P08133;P08133-2</t>
  </si>
  <si>
    <t>P08133</t>
  </si>
  <si>
    <t>Annexin A6</t>
  </si>
  <si>
    <t>ANXA6;ANXA6</t>
  </si>
  <si>
    <t>ANXA6</t>
  </si>
  <si>
    <t>Q14558;Q14558-2</t>
  </si>
  <si>
    <t>Q14558</t>
  </si>
  <si>
    <t>Phosphoribosyl pyrophosphate synthase-associated protein 1</t>
  </si>
  <si>
    <t>PRPSAP1;PRPSAP1</t>
  </si>
  <si>
    <t>PRPSAP1</t>
  </si>
  <si>
    <t>Q02153;Q02153-2;Q02153-3</t>
  </si>
  <si>
    <t>Guanylate cyclase soluble subunit beta-1</t>
  </si>
  <si>
    <t>GUCY1B1;GUCY1B1;GUCY1B1</t>
  </si>
  <si>
    <t>GUCY1B1</t>
  </si>
  <si>
    <t>Glutathione S-transferase kappa 1</t>
  </si>
  <si>
    <t>GSTK1</t>
  </si>
  <si>
    <t>P36543</t>
  </si>
  <si>
    <t>V-type proton ATPase subunit E 1</t>
  </si>
  <si>
    <t>ATP6V1E1</t>
  </si>
  <si>
    <t>[Pyruvate dehydrogenase (acetyl-transferring)] kinase isozyme 1, mitochondrial</t>
  </si>
  <si>
    <t>PDK1</t>
  </si>
  <si>
    <t>Q9NYU2;Q9NYU2-2</t>
  </si>
  <si>
    <t>Q9NYU2</t>
  </si>
  <si>
    <t>UDP-glucose:glycoprotein glucosyltransferase 1</t>
  </si>
  <si>
    <t>UGGT1;UGGT1</t>
  </si>
  <si>
    <t>UGGT1</t>
  </si>
  <si>
    <t>P84103;P84103-2</t>
  </si>
  <si>
    <t>P84103</t>
  </si>
  <si>
    <t>Serine/arginine-rich splicing factor 3</t>
  </si>
  <si>
    <t>SRSF3;SRSF3</t>
  </si>
  <si>
    <t>SRSF3</t>
  </si>
  <si>
    <t>SH3 domain-binding glutamic acid-rich-like protein</t>
  </si>
  <si>
    <t>SH3BGRL</t>
  </si>
  <si>
    <t>Q8N9N7</t>
  </si>
  <si>
    <t>Leucine-rich repeat-containing protein 57</t>
  </si>
  <si>
    <t>LRRC57</t>
  </si>
  <si>
    <t>P17936;P17936-2</t>
  </si>
  <si>
    <t>P17936</t>
  </si>
  <si>
    <t>Insulin-like growth factor-binding protein 3</t>
  </si>
  <si>
    <t>IGFBP3;IGFBP3</t>
  </si>
  <si>
    <t>IGFBP3</t>
  </si>
  <si>
    <t>Protein FAM162A</t>
  </si>
  <si>
    <t>FAM162A</t>
  </si>
  <si>
    <t>Q9H6K4;Q9H6K4-2</t>
  </si>
  <si>
    <t>Q9H6K4</t>
  </si>
  <si>
    <t>Optic atrophy 3 protein</t>
  </si>
  <si>
    <t>OPA3;OPA3</t>
  </si>
  <si>
    <t>OPA3</t>
  </si>
  <si>
    <t>CON__P02668</t>
  </si>
  <si>
    <t>O14579</t>
  </si>
  <si>
    <t>Coatomer subunit epsilon</t>
  </si>
  <si>
    <t>COPE</t>
  </si>
  <si>
    <t>Sorting nexin-3</t>
  </si>
  <si>
    <t>SNX3</t>
  </si>
  <si>
    <t>O94973;O94973-2</t>
  </si>
  <si>
    <t>O94973</t>
  </si>
  <si>
    <t>AP-2 complex subunit alpha-2</t>
  </si>
  <si>
    <t>AP2A2;AP2A2</t>
  </si>
  <si>
    <t>AP2A2</t>
  </si>
  <si>
    <t>Proteasome subunit alpha type-6</t>
  </si>
  <si>
    <t>PSMA6</t>
  </si>
  <si>
    <t>T-complex protein 1 subunit beta</t>
  </si>
  <si>
    <t>CCT2</t>
  </si>
  <si>
    <t>NLR family member X1</t>
  </si>
  <si>
    <t>NLRX1;NLRX1</t>
  </si>
  <si>
    <t>NLRX1</t>
  </si>
  <si>
    <t>O95433</t>
  </si>
  <si>
    <t>Activator of 90 kDa heat shock protein ATPase homolog 1</t>
  </si>
  <si>
    <t>AHSA1</t>
  </si>
  <si>
    <t>Q15796;Q15796-2</t>
  </si>
  <si>
    <t>Q15796</t>
  </si>
  <si>
    <t>Mothers against decapentaplegic homolog 2</t>
  </si>
  <si>
    <t>SMAD2;SMAD2</t>
  </si>
  <si>
    <t>SMAD2</t>
  </si>
  <si>
    <t>Q93050;Q93050-1;Q93050-3</t>
  </si>
  <si>
    <t>Q93050</t>
  </si>
  <si>
    <t>V-type proton ATPase 116 kDa subunit a isoform 1</t>
  </si>
  <si>
    <t>ATP6V0A1;ATP6V0A1;ATP6V0A1</t>
  </si>
  <si>
    <t>ATP6V0A1</t>
  </si>
  <si>
    <t>EMILIN-1</t>
  </si>
  <si>
    <t>EMILIN1</t>
  </si>
  <si>
    <t>Immunoglobulin heavy variable 3-13</t>
  </si>
  <si>
    <t>Protein canopy homolog 2</t>
  </si>
  <si>
    <t>CNPY2</t>
  </si>
  <si>
    <t>von Willebrand factor A domain-containing protein 5A</t>
  </si>
  <si>
    <t>VWA5A</t>
  </si>
  <si>
    <t>Polypyrimidine tract-binding protein 1</t>
  </si>
  <si>
    <t>PTBP1;PTBP1;PTBP1</t>
  </si>
  <si>
    <t>PTBP1</t>
  </si>
  <si>
    <t>Q5THJ4;Q5THJ4-2</t>
  </si>
  <si>
    <t>Q5THJ4</t>
  </si>
  <si>
    <t>Vacuolar protein sorting-associated protein 13D</t>
  </si>
  <si>
    <t>VPS13D;VPS13D</t>
  </si>
  <si>
    <t>VPS13D</t>
  </si>
  <si>
    <t>Proteasome subunit alpha type-2</t>
  </si>
  <si>
    <t>PSMA2</t>
  </si>
  <si>
    <t>Oligosaccharyltransferase complex subunit OSTC</t>
  </si>
  <si>
    <t>OSTC</t>
  </si>
  <si>
    <t>Endophilin-A2</t>
  </si>
  <si>
    <t>SH3GL1</t>
  </si>
  <si>
    <t>Vacuolar protein sorting-associated protein 26B</t>
  </si>
  <si>
    <t>VPS26B</t>
  </si>
  <si>
    <t>ATP-dependent 6-phosphofructokinase, liver type</t>
  </si>
  <si>
    <t>PFKL</t>
  </si>
  <si>
    <t>P23919;P23919-2</t>
  </si>
  <si>
    <t>P23919</t>
  </si>
  <si>
    <t>Thymidylate kinase</t>
  </si>
  <si>
    <t>DTYMK;DTYMK</t>
  </si>
  <si>
    <t>DTYMK</t>
  </si>
  <si>
    <t>Ras-related protein Rap-2b</t>
  </si>
  <si>
    <t>RAP2B</t>
  </si>
  <si>
    <t>TOM1-like protein 2</t>
  </si>
  <si>
    <t>TOM1L2</t>
  </si>
  <si>
    <t>Azurocidin</t>
  </si>
  <si>
    <t>AZU1</t>
  </si>
  <si>
    <t>Heat shock 70 kDa protein 4</t>
  </si>
  <si>
    <t>HSPA4</t>
  </si>
  <si>
    <t>40S ribosomal protein S19</t>
  </si>
  <si>
    <t>RPS19</t>
  </si>
  <si>
    <t>Q9UHD8;Q9UHD8-2;Q9UHD8-3;Q9UHD8-5;Q9UHD8-7</t>
  </si>
  <si>
    <t>Q9UHD8</t>
  </si>
  <si>
    <t>Septin-9</t>
  </si>
  <si>
    <t>SEPT9;SEPT9;SEPT9;SEPT9;SEPT9</t>
  </si>
  <si>
    <t>Isoform Crk-I of Adapter molecule crk</t>
  </si>
  <si>
    <t>CRK</t>
  </si>
  <si>
    <t>Trifunctional enzyme subunit alpha, mitochondrial</t>
  </si>
  <si>
    <t>HADHA</t>
  </si>
  <si>
    <t>Thioredoxin</t>
  </si>
  <si>
    <t>TXN</t>
  </si>
  <si>
    <t>Importin subunit alpha-3</t>
  </si>
  <si>
    <t>KPNA4</t>
  </si>
  <si>
    <t>Sideroflexin-1</t>
  </si>
  <si>
    <t>SFXN1</t>
  </si>
  <si>
    <t>Centrosomal protein of 290 kDa</t>
  </si>
  <si>
    <t>CEP290</t>
  </si>
  <si>
    <t>Succinate dehydrogenase [ubiquinone] iron-sulfur subunit, mitochondrial</t>
  </si>
  <si>
    <t>SDHB</t>
  </si>
  <si>
    <t>Pleckstrin homology domain-containing family O member 2</t>
  </si>
  <si>
    <t>PLEKHO2</t>
  </si>
  <si>
    <t>Q8TC07;Q8TC07-2;Q8TC07-3</t>
  </si>
  <si>
    <t>Q8TC07</t>
  </si>
  <si>
    <t>TBC1 domain family member 15</t>
  </si>
  <si>
    <t>TBC1D15;TBC1D15;TBC1D15</t>
  </si>
  <si>
    <t>TBC1D15</t>
  </si>
  <si>
    <t>Serine/threonine-protein kinase OSR1</t>
  </si>
  <si>
    <t>OXSR1</t>
  </si>
  <si>
    <t>Trafficking protein particle complex subunit 3</t>
  </si>
  <si>
    <t>TRAPPC3;TRAPPC3</t>
  </si>
  <si>
    <t>TRAPPC3</t>
  </si>
  <si>
    <t>Copine-3</t>
  </si>
  <si>
    <t>CPNE3</t>
  </si>
  <si>
    <t>Proteasome subunit alpha type-4</t>
  </si>
  <si>
    <t>PSMA4</t>
  </si>
  <si>
    <t>Q9C0E8;Q9C0E8-4</t>
  </si>
  <si>
    <t>Q9C0E8</t>
  </si>
  <si>
    <t>Endoplasmic reticulum junction formation protein lunapark</t>
  </si>
  <si>
    <t>LNPK;LNPK</t>
  </si>
  <si>
    <t>LNPK</t>
  </si>
  <si>
    <t>Ubiquitin-fold modifier-conjugating enzyme 1</t>
  </si>
  <si>
    <t>UFC1</t>
  </si>
  <si>
    <t>Q8IWA5;Q8IWA5-2;Q8IWA5-3</t>
  </si>
  <si>
    <t>Q8IWA5</t>
  </si>
  <si>
    <t>Choline transporter-like protein 2</t>
  </si>
  <si>
    <t>SLC44A2;SLC44A2;SLC44A2</t>
  </si>
  <si>
    <t>SLC44A2</t>
  </si>
  <si>
    <t>P56377</t>
  </si>
  <si>
    <t>AP-1 complex subunit sigma-2</t>
  </si>
  <si>
    <t>AP1S2</t>
  </si>
  <si>
    <t>Serine/threonine-protein kinase 38</t>
  </si>
  <si>
    <t>STK38</t>
  </si>
  <si>
    <t>Q9NW15;Q9NW15-2</t>
  </si>
  <si>
    <t>Q9NW15</t>
  </si>
  <si>
    <t>Anoctamin-10</t>
  </si>
  <si>
    <t>ANO10;ANO10</t>
  </si>
  <si>
    <t>ANO10</t>
  </si>
  <si>
    <t>Retinol dehydrogenase 11</t>
  </si>
  <si>
    <t>RDH11</t>
  </si>
  <si>
    <t>Septin-2</t>
  </si>
  <si>
    <t>SEPT2;SEPT2;SEPT2</t>
  </si>
  <si>
    <t>Synaptobrevin homolog YKT6</t>
  </si>
  <si>
    <t>YKT6</t>
  </si>
  <si>
    <t>Transmembrane 9 superfamily member 2</t>
  </si>
  <si>
    <t>TM9SF2</t>
  </si>
  <si>
    <t>P55854;P55854-2;P61956;P61956-2;Q6EEV6</t>
  </si>
  <si>
    <t>P55854</t>
  </si>
  <si>
    <t>Small ubiquitin-related modifier 3</t>
  </si>
  <si>
    <t>SUMO3;SUMO3;SUMO2;SUMO2;SUMO4</t>
  </si>
  <si>
    <t>SUMO3</t>
  </si>
  <si>
    <t>Glycogen debranching enzyme</t>
  </si>
  <si>
    <t>AGL</t>
  </si>
  <si>
    <t>Isoform 3 of Reticulon-3</t>
  </si>
  <si>
    <t>RTN3</t>
  </si>
  <si>
    <t>P46379;P46379-2;P46379-3</t>
  </si>
  <si>
    <t>P46379</t>
  </si>
  <si>
    <t>Large proline-rich protein BAG6</t>
  </si>
  <si>
    <t>BAG6;BAG6;BAG6</t>
  </si>
  <si>
    <t>BAG6</t>
  </si>
  <si>
    <t>Integrin alpha-5</t>
  </si>
  <si>
    <t>ITGA5</t>
  </si>
  <si>
    <t>Q9UBC2;Q9UBC2-2;Q9UBC2-3</t>
  </si>
  <si>
    <t>Q9UBC2</t>
  </si>
  <si>
    <t>Epidermal growth factor receptor substrate 15-like 1</t>
  </si>
  <si>
    <t>EPS15L1;EPS15L1;EPS15L1</t>
  </si>
  <si>
    <t>EPS15L1</t>
  </si>
  <si>
    <t>Q15032;Q15032-2;Q15032-3;Q15032-4</t>
  </si>
  <si>
    <t>Q15032</t>
  </si>
  <si>
    <t>R3H domain-containing protein 1</t>
  </si>
  <si>
    <t>R3HDM1;R3HDM1;R3HDM1;R3HDM1</t>
  </si>
  <si>
    <t>R3HDM1</t>
  </si>
  <si>
    <t>Aspartate aminotransferase, mitochondrial</t>
  </si>
  <si>
    <t>GOT2</t>
  </si>
  <si>
    <t>HLA class I histocompatibility antigen, Cw-7 alpha chain</t>
  </si>
  <si>
    <t>Mannose-1-phosphate guanyltransferase alpha</t>
  </si>
  <si>
    <t>GMPPA;GMPPA</t>
  </si>
  <si>
    <t>GMPPA</t>
  </si>
  <si>
    <t>Q15056;Q15056-2</t>
  </si>
  <si>
    <t>Q15056</t>
  </si>
  <si>
    <t>Eukaryotic translation initiation factor 4H</t>
  </si>
  <si>
    <t>EIF4H;EIF4H</t>
  </si>
  <si>
    <t>EIF4H</t>
  </si>
  <si>
    <t>Threonine--tRNA ligase, cytoplasmic</t>
  </si>
  <si>
    <t>TARS;TARS</t>
  </si>
  <si>
    <t>TARS</t>
  </si>
  <si>
    <t>Q99627;Q99627-2</t>
  </si>
  <si>
    <t>Q99627</t>
  </si>
  <si>
    <t>COP9 signalosome complex subunit 8</t>
  </si>
  <si>
    <t>COPS8;COPS8</t>
  </si>
  <si>
    <t>COPS8</t>
  </si>
  <si>
    <t>EH domain-containing protein 4</t>
  </si>
  <si>
    <t>EHD4</t>
  </si>
  <si>
    <t>Cytochrome c oxidase subunit 5B, mitochondrial</t>
  </si>
  <si>
    <t>COX5B</t>
  </si>
  <si>
    <t>Proteasome subunit beta type-10</t>
  </si>
  <si>
    <t>PSMB10</t>
  </si>
  <si>
    <t>Vacuolar protein sorting-associated protein 35</t>
  </si>
  <si>
    <t>VPS35</t>
  </si>
  <si>
    <t>Protein disulfide-isomerase A4</t>
  </si>
  <si>
    <t>PDIA4</t>
  </si>
  <si>
    <t>26S proteasome non-ATPase regulatory subunit 9</t>
  </si>
  <si>
    <t>PSMD9</t>
  </si>
  <si>
    <t>Q5M775;Q5M775-2;Q5M775-3;Q5M775-4;Q5M775-5</t>
  </si>
  <si>
    <t>Q5M775</t>
  </si>
  <si>
    <t>Cytospin-B</t>
  </si>
  <si>
    <t>SPECC1;SPECC1;SPECC1;SPECC1;SPECC1</t>
  </si>
  <si>
    <t>SPECC1</t>
  </si>
  <si>
    <t>Integrin beta-5</t>
  </si>
  <si>
    <t>ITGB5</t>
  </si>
  <si>
    <t>Q9BPX6;Q9BPX6-2;Q9BPX6-3;Q9BPX6-4;Q9BPX6-5</t>
  </si>
  <si>
    <t>Q9BPX6</t>
  </si>
  <si>
    <t>Calcium uptake protein 1, mitochondrial</t>
  </si>
  <si>
    <t>MICU1;MICU1;MICU1;MICU1;MICU1</t>
  </si>
  <si>
    <t>MICU1</t>
  </si>
  <si>
    <t>P29218;P29218-3</t>
  </si>
  <si>
    <t>Inositol monophosphatase 1</t>
  </si>
  <si>
    <t>IMPA1;IMPA1</t>
  </si>
  <si>
    <t>IMPA1</t>
  </si>
  <si>
    <t>Ras-related protein R-Ras</t>
  </si>
  <si>
    <t>RRAS</t>
  </si>
  <si>
    <t>Q16512;Q16512-2</t>
  </si>
  <si>
    <t>Serine/threonine-protein kinase N1</t>
  </si>
  <si>
    <t>PKN1;PKN1</t>
  </si>
  <si>
    <t>PKN1</t>
  </si>
  <si>
    <t>Very-long-chain 3-oxoacyl-CoA reductase</t>
  </si>
  <si>
    <t>HSD17B12</t>
  </si>
  <si>
    <t>14-3-3 protein theta</t>
  </si>
  <si>
    <t>YWHAQ</t>
  </si>
  <si>
    <t>Q9BZV1;Q9BZV1-2</t>
  </si>
  <si>
    <t>Q9BZV1</t>
  </si>
  <si>
    <t>UBX domain-containing protein 6</t>
  </si>
  <si>
    <t>UBXN6;UBXN6</t>
  </si>
  <si>
    <t>UBXN6</t>
  </si>
  <si>
    <t>26S proteasome non-ATPase regulatory subunit 8</t>
  </si>
  <si>
    <t>PSMD8</t>
  </si>
  <si>
    <t>Serine/threonine-protein phosphatase PP1-gamma catalytic subunit</t>
  </si>
  <si>
    <t>PPP1CC;PPP1CC</t>
  </si>
  <si>
    <t>PPP1CC</t>
  </si>
  <si>
    <t>CD5 antigen-like</t>
  </si>
  <si>
    <t>CD5L</t>
  </si>
  <si>
    <t>P55957;P55957-2</t>
  </si>
  <si>
    <t>BH3-interacting domain death agonist</t>
  </si>
  <si>
    <t>BID;BID</t>
  </si>
  <si>
    <t>BID</t>
  </si>
  <si>
    <t>FH1/FH2 domain-containing protein 1</t>
  </si>
  <si>
    <t>FHOD1</t>
  </si>
  <si>
    <t>Signal peptidase complex subunit 3</t>
  </si>
  <si>
    <t>SPCS3</t>
  </si>
  <si>
    <t>Protein ABHD11</t>
  </si>
  <si>
    <t>ABHD11</t>
  </si>
  <si>
    <t>Tyrosine--tRNA ligase, cytoplasmic</t>
  </si>
  <si>
    <t>YARS</t>
  </si>
  <si>
    <t>P63208</t>
  </si>
  <si>
    <t>S-phase kinase-associated protein 1</t>
  </si>
  <si>
    <t>SKP1</t>
  </si>
  <si>
    <t>Q05397;Q05397-5;Q05397-7</t>
  </si>
  <si>
    <t>Q05397</t>
  </si>
  <si>
    <t>Focal adhesion kinase 1</t>
  </si>
  <si>
    <t>PTK2;PTK2;PTK2</t>
  </si>
  <si>
    <t>PTK2</t>
  </si>
  <si>
    <t>C-1-tetrahydrofolate synthase, cytoplasmic</t>
  </si>
  <si>
    <t>MTHFD1</t>
  </si>
  <si>
    <t>Eukaryotic translation initiation factor 3 subunit B</t>
  </si>
  <si>
    <t>EIF3B;EIF3B</t>
  </si>
  <si>
    <t>EIF3B</t>
  </si>
  <si>
    <t>CD2-associated protein</t>
  </si>
  <si>
    <t>CD2AP</t>
  </si>
  <si>
    <t>Elongation factor Tu, mitochondrial</t>
  </si>
  <si>
    <t>TUFM</t>
  </si>
  <si>
    <t>Plastin-2</t>
  </si>
  <si>
    <t>LCP1</t>
  </si>
  <si>
    <t>Protein disulfide-isomerase TMX3</t>
  </si>
  <si>
    <t>TMX3</t>
  </si>
  <si>
    <t>Vesicle-associated membrane protein 7</t>
  </si>
  <si>
    <t>VAMP7</t>
  </si>
  <si>
    <t>Bleomycin hydrolase</t>
  </si>
  <si>
    <t>BLMH</t>
  </si>
  <si>
    <t>Mannose-1-phosphate guanyltransferase beta</t>
  </si>
  <si>
    <t>GMPPB;GMPPB</t>
  </si>
  <si>
    <t>GMPPB</t>
  </si>
  <si>
    <t>Alcohol dehydrogenase [NADP(+)]</t>
  </si>
  <si>
    <t>AKR1A1</t>
  </si>
  <si>
    <t>Q15149</t>
  </si>
  <si>
    <t>Plectin</t>
  </si>
  <si>
    <t>PLEC</t>
  </si>
  <si>
    <t>P43251;P43251-2;P43251-3;P43251-4</t>
  </si>
  <si>
    <t>P43251</t>
  </si>
  <si>
    <t>Biotinidase</t>
  </si>
  <si>
    <t>BTD;BTD;BTD;BTD</t>
  </si>
  <si>
    <t>BTD</t>
  </si>
  <si>
    <t>Prolyl endopeptidase</t>
  </si>
  <si>
    <t>PREP</t>
  </si>
  <si>
    <t>P35611;P35611-2;P35611-3;P35611-6</t>
  </si>
  <si>
    <t>P35611</t>
  </si>
  <si>
    <t>Alpha-adducin</t>
  </si>
  <si>
    <t>ADD1;ADD1;ADD1;ADD1</t>
  </si>
  <si>
    <t>ADD1</t>
  </si>
  <si>
    <t>Q9Y371;Q9Y371-2</t>
  </si>
  <si>
    <t>Endophilin-B1</t>
  </si>
  <si>
    <t>SH3GLB1;SH3GLB1</t>
  </si>
  <si>
    <t>SH3GLB1</t>
  </si>
  <si>
    <t>Malectin</t>
  </si>
  <si>
    <t>MLEC</t>
  </si>
  <si>
    <t>PDZ and LIM domain protein 5</t>
  </si>
  <si>
    <t>PDLIM5</t>
  </si>
  <si>
    <t>P28838;P28838-2</t>
  </si>
  <si>
    <t>P28838</t>
  </si>
  <si>
    <t>Cytosol aminopeptidase</t>
  </si>
  <si>
    <t>LAP3;LAP3</t>
  </si>
  <si>
    <t>LAP3</t>
  </si>
  <si>
    <t>Mitochondrial carnitine/acylcarnitine carrier protein</t>
  </si>
  <si>
    <t>SLC25A20</t>
  </si>
  <si>
    <t>Q13825;Q13825-2</t>
  </si>
  <si>
    <t>Q13825</t>
  </si>
  <si>
    <t>Methylglutaconyl-CoA hydratase, mitochondrial</t>
  </si>
  <si>
    <t>AUH;AUH</t>
  </si>
  <si>
    <t>AUH</t>
  </si>
  <si>
    <t>Rho-related GTP-binding protein RhoF</t>
  </si>
  <si>
    <t>RHOF</t>
  </si>
  <si>
    <t>Elongation factor 1-beta</t>
  </si>
  <si>
    <t>EEF1B2</t>
  </si>
  <si>
    <t>Ubiquitin-conjugating enzyme E2 K</t>
  </si>
  <si>
    <t>UBE2K</t>
  </si>
  <si>
    <t>Phosphoglucomutase-2</t>
  </si>
  <si>
    <t>PGM2</t>
  </si>
  <si>
    <t>Glutathione S-transferase LANCL1</t>
  </si>
  <si>
    <t>LANCL1</t>
  </si>
  <si>
    <t>Retinoic acid receptor responder protein 2</t>
  </si>
  <si>
    <t>RARRES2</t>
  </si>
  <si>
    <t>Ferritin heavy chain</t>
  </si>
  <si>
    <t>FTH1</t>
  </si>
  <si>
    <t>P50416;P50416-2</t>
  </si>
  <si>
    <t>P50416</t>
  </si>
  <si>
    <t>Carnitine O-palmitoyltransferase 1, liver isoform</t>
  </si>
  <si>
    <t>CPT1A;CPT1A</t>
  </si>
  <si>
    <t>CPT1A</t>
  </si>
  <si>
    <t>Emerin</t>
  </si>
  <si>
    <t>EMD</t>
  </si>
  <si>
    <t>Q9BXK5</t>
  </si>
  <si>
    <t>Bcl-2-like protein 13</t>
  </si>
  <si>
    <t>BCL2L13</t>
  </si>
  <si>
    <t>P14314;P14314-2</t>
  </si>
  <si>
    <t>P14314</t>
  </si>
  <si>
    <t>Glucosidase 2 subunit beta</t>
  </si>
  <si>
    <t>PRKCSH;PRKCSH</t>
  </si>
  <si>
    <t>PRKCSH</t>
  </si>
  <si>
    <t>P21964;P21964-2</t>
  </si>
  <si>
    <t>P21964</t>
  </si>
  <si>
    <t>Catechol O-methyltransferase</t>
  </si>
  <si>
    <t>COMT;COMT</t>
  </si>
  <si>
    <t>COMT</t>
  </si>
  <si>
    <t>O75882;O75882-2;O75882-3</t>
  </si>
  <si>
    <t>O75882</t>
  </si>
  <si>
    <t>Attractin</t>
  </si>
  <si>
    <t>ATRN;ATRN;ATRN</t>
  </si>
  <si>
    <t>ATRN</t>
  </si>
  <si>
    <t>Metalloproteinase inhibitor 3</t>
  </si>
  <si>
    <t>TIMP3</t>
  </si>
  <si>
    <t>Synaptosomal-associated protein 23</t>
  </si>
  <si>
    <t>SNAP23</t>
  </si>
  <si>
    <t>ELAV-like protein 1</t>
  </si>
  <si>
    <t>ELAVL1;ELAVL1</t>
  </si>
  <si>
    <t>ELAVL1</t>
  </si>
  <si>
    <t>Q9BYP7;Q9BYP7-2;Q9BYP7-3;Q9BYP7-4;Q9Y3S1;Q9Y3S1-2;Q9Y3S1-3;Q9Y3S1-4</t>
  </si>
  <si>
    <t>Q9BYP7</t>
  </si>
  <si>
    <t>Serine/threonine-protein kinase WNK3</t>
  </si>
  <si>
    <t>WNK3;WNK3;WNK3;WNK3;WNK2;WNK2;WNK2;WNK2</t>
  </si>
  <si>
    <t>WNK3</t>
  </si>
  <si>
    <t>Cytochrome b5 type B</t>
  </si>
  <si>
    <t>CYB5B</t>
  </si>
  <si>
    <t>Q5JSH3;Q5JSH3-2</t>
  </si>
  <si>
    <t>Q5JSH3</t>
  </si>
  <si>
    <t>WD repeat-containing protein 44</t>
  </si>
  <si>
    <t>WDR44;WDR44</t>
  </si>
  <si>
    <t>WDR44</t>
  </si>
  <si>
    <t>O95831;O95831-3</t>
  </si>
  <si>
    <t>O95831</t>
  </si>
  <si>
    <t>Apoptosis-inducing factor 1, mitochondrial</t>
  </si>
  <si>
    <t>AIFM1;AIFM1</t>
  </si>
  <si>
    <t>AIFM1</t>
  </si>
  <si>
    <t>Coatomer subunit beta</t>
  </si>
  <si>
    <t>COPB1</t>
  </si>
  <si>
    <t>Q8IYD1</t>
  </si>
  <si>
    <t>Eukaryotic peptide chain release factor GTP-binding subunit ERF3B</t>
  </si>
  <si>
    <t>GSPT2</t>
  </si>
  <si>
    <t>RuvB-like 2</t>
  </si>
  <si>
    <t>RUVBL2</t>
  </si>
  <si>
    <t>Proteasome subunit beta type-4</t>
  </si>
  <si>
    <t>PSMB4</t>
  </si>
  <si>
    <t>P12081;P12081-4</t>
  </si>
  <si>
    <t>P12081</t>
  </si>
  <si>
    <t>Histidine--tRNA ligase, cytoplasmic</t>
  </si>
  <si>
    <t>HARS;HARS</t>
  </si>
  <si>
    <t>HARS</t>
  </si>
  <si>
    <t>Tubulin-specific chaperone A</t>
  </si>
  <si>
    <t>TBCA</t>
  </si>
  <si>
    <t>Galactokinase</t>
  </si>
  <si>
    <t>GALK1;GALK1</t>
  </si>
  <si>
    <t>GALK1</t>
  </si>
  <si>
    <t>Q14008;Q14008-2;Q14008-3</t>
  </si>
  <si>
    <t>Q14008</t>
  </si>
  <si>
    <t>Cytoskeleton-associated protein 5</t>
  </si>
  <si>
    <t>CKAP5;CKAP5;CKAP5</t>
  </si>
  <si>
    <t>CKAP5</t>
  </si>
  <si>
    <t>P39748;P39748-2</t>
  </si>
  <si>
    <t>P39748</t>
  </si>
  <si>
    <t>Flap endonuclease 1</t>
  </si>
  <si>
    <t>FEN1;FEN1</t>
  </si>
  <si>
    <t>FEN1</t>
  </si>
  <si>
    <t>A0A0B4J1V0</t>
  </si>
  <si>
    <t>Immunoglobulin heavy variable 3-15</t>
  </si>
  <si>
    <t>IGHV3-15</t>
  </si>
  <si>
    <t>P16402</t>
  </si>
  <si>
    <t>Histone H1.3</t>
  </si>
  <si>
    <t>HIST1H1D</t>
  </si>
  <si>
    <t>Q16401;Q16401-2</t>
  </si>
  <si>
    <t>Q16401</t>
  </si>
  <si>
    <t>26S proteasome non-ATPase regulatory subunit 5</t>
  </si>
  <si>
    <t>PSMD5;PSMD5</t>
  </si>
  <si>
    <t>PSMD5</t>
  </si>
  <si>
    <t>Complement factor D</t>
  </si>
  <si>
    <t>CFD</t>
  </si>
  <si>
    <t>Cyclin-dependent-like kinase 5</t>
  </si>
  <si>
    <t>CDK5</t>
  </si>
  <si>
    <t>Serine/threonine-protein phosphatase 2A 56 kDa regulatory subunit alpha isoform</t>
  </si>
  <si>
    <t>PPP2R5A;PPP2R5A</t>
  </si>
  <si>
    <t>PPP2R5A</t>
  </si>
  <si>
    <t>Q9HBL7</t>
  </si>
  <si>
    <t>Plasminogen receptor (KT)</t>
  </si>
  <si>
    <t>PLGRKT</t>
  </si>
  <si>
    <t>P35606;P35606-2</t>
  </si>
  <si>
    <t>P35606</t>
  </si>
  <si>
    <t>Coatomer subunit beta'</t>
  </si>
  <si>
    <t>COPB2;COPB2</t>
  </si>
  <si>
    <t>COPB2</t>
  </si>
  <si>
    <t>Fibulin-1</t>
  </si>
  <si>
    <t>FBLN1</t>
  </si>
  <si>
    <t>Nicotinate phosphoribosyltransferase</t>
  </si>
  <si>
    <t>NAPRT</t>
  </si>
  <si>
    <t>Cytochrome c oxidase subunit 5A, mitochondrial</t>
  </si>
  <si>
    <t>COX5A</t>
  </si>
  <si>
    <t>Programmed cell death 6-interacting protein</t>
  </si>
  <si>
    <t>PDCD6IP</t>
  </si>
  <si>
    <t>Serine/threonine-protein phosphatase 2A 65 kDa regulatory subunit A alpha isoform</t>
  </si>
  <si>
    <t>PPP2R1A</t>
  </si>
  <si>
    <t>Cytochrome c</t>
  </si>
  <si>
    <t>CYCS</t>
  </si>
  <si>
    <t>P07093;P07093-2;P07093-3</t>
  </si>
  <si>
    <t>P07093</t>
  </si>
  <si>
    <t>Glia-derived nexin</t>
  </si>
  <si>
    <t>SERPINE2;SERPINE2;SERPINE2</t>
  </si>
  <si>
    <t>SERPINE2</t>
  </si>
  <si>
    <t>Q9Y570;Q9Y570-4</t>
  </si>
  <si>
    <t>Q9Y570</t>
  </si>
  <si>
    <t>Protein phosphatase methylesterase 1</t>
  </si>
  <si>
    <t>PPME1;PPME1</t>
  </si>
  <si>
    <t>PPME1</t>
  </si>
  <si>
    <t>DnaJ homolog subfamily A member 2</t>
  </si>
  <si>
    <t>DNAJA2</t>
  </si>
  <si>
    <t>P45974;P45974-2</t>
  </si>
  <si>
    <t>P45974</t>
  </si>
  <si>
    <t>Ubiquitin carboxyl-terminal hydrolase 5</t>
  </si>
  <si>
    <t>USP5;USP5</t>
  </si>
  <si>
    <t>USP5</t>
  </si>
  <si>
    <t>Q13445</t>
  </si>
  <si>
    <t>Transmembrane emp24 domain-containing protein 1</t>
  </si>
  <si>
    <t>TMED1</t>
  </si>
  <si>
    <t>Vimentin</t>
  </si>
  <si>
    <t>VIM</t>
  </si>
  <si>
    <t>Isoform C of Fibulin-1</t>
  </si>
  <si>
    <t>Q9NUB1;Q9NUB1-2;Q9NUB1-3</t>
  </si>
  <si>
    <t>Q9NUB1</t>
  </si>
  <si>
    <t>Acetyl-coenzyme A synthetase 2-like, mitochondrial</t>
  </si>
  <si>
    <t>ACSS1;ACSS1;ACSS1</t>
  </si>
  <si>
    <t>ACSS1</t>
  </si>
  <si>
    <t>P50213;P50213-2</t>
  </si>
  <si>
    <t>P50213</t>
  </si>
  <si>
    <t>Isocitrate dehydrogenase [NAD] subunit alpha, mitochondrial</t>
  </si>
  <si>
    <t>IDH3A;IDH3A</t>
  </si>
  <si>
    <t>IDH3A</t>
  </si>
  <si>
    <t>3-hydroxyisobutyryl-CoA hydrolase, mitochondrial</t>
  </si>
  <si>
    <t>HIBCH;HIBCH</t>
  </si>
  <si>
    <t>HIBCH</t>
  </si>
  <si>
    <t>P78527;P78527-2</t>
  </si>
  <si>
    <t>P78527</t>
  </si>
  <si>
    <t>DNA-dependent protein kinase catalytic subunit</t>
  </si>
  <si>
    <t>PRKDC;PRKDC</t>
  </si>
  <si>
    <t>PRKDC</t>
  </si>
  <si>
    <t>P54578;P54578-2;P54578-3</t>
  </si>
  <si>
    <t>P54578</t>
  </si>
  <si>
    <t>Ubiquitin carboxyl-terminal hydrolase 14</t>
  </si>
  <si>
    <t>USP14;USP14;USP14</t>
  </si>
  <si>
    <t>USP14</t>
  </si>
  <si>
    <t>Serine palmitoyltransferase 2</t>
  </si>
  <si>
    <t>SPTLC2</t>
  </si>
  <si>
    <t>Signal transducer and activator of transcription 1-alpha/beta</t>
  </si>
  <si>
    <t>STAT1;STAT1</t>
  </si>
  <si>
    <t>STAT1</t>
  </si>
  <si>
    <t>Transmembrane 9 superfamily member 3</t>
  </si>
  <si>
    <t>TM9SF3</t>
  </si>
  <si>
    <t>O00203;O00203-3</t>
  </si>
  <si>
    <t>O00203</t>
  </si>
  <si>
    <t>AP-3 complex subunit beta-1</t>
  </si>
  <si>
    <t>AP3B1;AP3B1</t>
  </si>
  <si>
    <t>AP3B1</t>
  </si>
  <si>
    <t>Sideroflexin-3</t>
  </si>
  <si>
    <t>SFXN3</t>
  </si>
  <si>
    <t>Arf-GAP with SH3 domain, ANK repeat and PH domain-containing protein 1</t>
  </si>
  <si>
    <t>ASAP1;ASAP1</t>
  </si>
  <si>
    <t>ASAP1</t>
  </si>
  <si>
    <t>P31751;P31751-2</t>
  </si>
  <si>
    <t>P31751</t>
  </si>
  <si>
    <t>RAC-beta serine/threonine-protein kinase</t>
  </si>
  <si>
    <t>AKT2;AKT2</t>
  </si>
  <si>
    <t>AKT2</t>
  </si>
  <si>
    <t>Q13085;Q13085-2;Q13085-3;Q13085-4</t>
  </si>
  <si>
    <t>Q13085</t>
  </si>
  <si>
    <t>Acetyl-CoA carboxylase 1</t>
  </si>
  <si>
    <t>ACACA;ACACA;ACACA;ACACA</t>
  </si>
  <si>
    <t>ACACA</t>
  </si>
  <si>
    <t>Q9Y6F6;Q9Y6F6-2;Q9Y6F6-3;Q9Y6F6-4;Q9Y6F6-5;Q9Y6F6-7;Q9Y6F6-9</t>
  </si>
  <si>
    <t>Q9Y6F6</t>
  </si>
  <si>
    <t>Protein MRVI1</t>
  </si>
  <si>
    <t>MRVI1;MRVI1;MRVI1;MRVI1;MRVI1;MRVI1;NA</t>
  </si>
  <si>
    <t>MRVI1</t>
  </si>
  <si>
    <t>P59665;P59666</t>
  </si>
  <si>
    <t>P59665</t>
  </si>
  <si>
    <t>Neutrophil defensin 1</t>
  </si>
  <si>
    <t>DEFA1;DEFA3</t>
  </si>
  <si>
    <t>DEFA1</t>
  </si>
  <si>
    <t>Glutathione S-transferase Mu 1</t>
  </si>
  <si>
    <t>GSTM1</t>
  </si>
  <si>
    <t>P02533</t>
  </si>
  <si>
    <t>Keratin, type I cytoskeletal 14</t>
  </si>
  <si>
    <t>KRT14</t>
  </si>
  <si>
    <t>Complement component 1 Q subcomponent-binding protein, mitochondrial</t>
  </si>
  <si>
    <t>C1QBP</t>
  </si>
  <si>
    <t>P09622;P09622-3</t>
  </si>
  <si>
    <t>Dihydrolipoyl dehydrogenase, mitochondrial</t>
  </si>
  <si>
    <t>DLD;DLD</t>
  </si>
  <si>
    <t>DLD</t>
  </si>
  <si>
    <t>Nck-associated protein 1</t>
  </si>
  <si>
    <t>NCKAP1;NCKAP1</t>
  </si>
  <si>
    <t>NCKAP1</t>
  </si>
  <si>
    <t>Hypoxia up-regulated protein 1</t>
  </si>
  <si>
    <t>HYOU1</t>
  </si>
  <si>
    <t>O75340</t>
  </si>
  <si>
    <t>Programmed cell death protein 6</t>
  </si>
  <si>
    <t>PDCD6</t>
  </si>
  <si>
    <t>Translationally-controlled tumor protein</t>
  </si>
  <si>
    <t>TPT1</t>
  </si>
  <si>
    <t>Flotillin-2</t>
  </si>
  <si>
    <t>FLOT2</t>
  </si>
  <si>
    <t>Ras-related protein Rab-4B</t>
  </si>
  <si>
    <t>RAB4B</t>
  </si>
  <si>
    <t>Nucleosome assembly protein 1-like 4</t>
  </si>
  <si>
    <t>NAP1L4;NAP1L4</t>
  </si>
  <si>
    <t>NAP1L4</t>
  </si>
  <si>
    <t>Ragulator complex protein LAMTOR1</t>
  </si>
  <si>
    <t>LAMTOR1</t>
  </si>
  <si>
    <t>Q02252;Q02252-2</t>
  </si>
  <si>
    <t>Q02252</t>
  </si>
  <si>
    <t>Methylmalonate-semialdehyde dehydrogenase [acylating], mitochondrial</t>
  </si>
  <si>
    <t>ALDH6A1;ALDH6A1</t>
  </si>
  <si>
    <t>ALDH6A1</t>
  </si>
  <si>
    <t>TBC1 domain family member 13</t>
  </si>
  <si>
    <t>TBC1D13</t>
  </si>
  <si>
    <t>Nuclear protein localization protein 4 homolog</t>
  </si>
  <si>
    <t>NPLOC4;NPLOC4</t>
  </si>
  <si>
    <t>NPLOC4</t>
  </si>
  <si>
    <t>P25116</t>
  </si>
  <si>
    <t>Proteinase-activated receptor 1</t>
  </si>
  <si>
    <t>F2R</t>
  </si>
  <si>
    <t>P50851</t>
  </si>
  <si>
    <t>Lipopolysaccharide-responsive and beige-like anchor protein</t>
  </si>
  <si>
    <t>LRBA</t>
  </si>
  <si>
    <t>Bifunctional epoxide hydrolase 2</t>
  </si>
  <si>
    <t>EPHX2</t>
  </si>
  <si>
    <t>O95782;O95782-2</t>
  </si>
  <si>
    <t>O95782</t>
  </si>
  <si>
    <t>AP-2 complex subunit alpha-1</t>
  </si>
  <si>
    <t>AP2A1;AP2A1</t>
  </si>
  <si>
    <t>AP2A1</t>
  </si>
  <si>
    <t>Q8N4C8;Q8N4C8-2;Q8N4C8-3;Q8N4C8-4;Q8N4C8-5</t>
  </si>
  <si>
    <t>Q8N4C8</t>
  </si>
  <si>
    <t>Misshapen-like kinase 1</t>
  </si>
  <si>
    <t>MINK1;MINK1;MINK1;MINK1;MINK1</t>
  </si>
  <si>
    <t>MINK1</t>
  </si>
  <si>
    <t>Q92963;Q92963-2;Q92963-3</t>
  </si>
  <si>
    <t>Q92963</t>
  </si>
  <si>
    <t>GTP-binding protein Rit1</t>
  </si>
  <si>
    <t>RIT1;RIT1;RIT1</t>
  </si>
  <si>
    <t>RIT1</t>
  </si>
  <si>
    <t>P11171;P11171-2</t>
  </si>
  <si>
    <t>P11171</t>
  </si>
  <si>
    <t>Protein 4.1</t>
  </si>
  <si>
    <t>EPB41;EPB41</t>
  </si>
  <si>
    <t>EPB41</t>
  </si>
  <si>
    <t>Glyoxylate reductase/hydroxypyruvate reductase</t>
  </si>
  <si>
    <t>GRHPR</t>
  </si>
  <si>
    <t>Transcription factor A, mitochondrial</t>
  </si>
  <si>
    <t>TFAM</t>
  </si>
  <si>
    <t>Q9Y5K5;Q9Y5K5-2;Q9Y5K5-3;Q9Y5K5-4</t>
  </si>
  <si>
    <t>Q9Y5K5</t>
  </si>
  <si>
    <t>Ubiquitin carboxyl-terminal hydrolase isozyme L5</t>
  </si>
  <si>
    <t>UCHL5;UCHL5;UCHL5;UCHL5</t>
  </si>
  <si>
    <t>UCHL5</t>
  </si>
  <si>
    <t>CAAX prenyl protease 1 homolog</t>
  </si>
  <si>
    <t>ZMPSTE24</t>
  </si>
  <si>
    <t>P40763;P40763-3</t>
  </si>
  <si>
    <t>P40763</t>
  </si>
  <si>
    <t>Signal transducer and activator of transcription 3</t>
  </si>
  <si>
    <t>STAT3;STAT3</t>
  </si>
  <si>
    <t>STAT3</t>
  </si>
  <si>
    <t>Q13363;Q13363-2</t>
  </si>
  <si>
    <t>Q13363</t>
  </si>
  <si>
    <t>C-terminal-binding protein 1</t>
  </si>
  <si>
    <t>CTBP1;CTBP1</t>
  </si>
  <si>
    <t>CTBP1</t>
  </si>
  <si>
    <t>P48668</t>
  </si>
  <si>
    <t>Keratin, type II cytoskeletal 6C</t>
  </si>
  <si>
    <t>KRT6C</t>
  </si>
  <si>
    <t>Serine/threonine-protein phosphatase PP1-beta catalytic subunit</t>
  </si>
  <si>
    <t>PPP1CB</t>
  </si>
  <si>
    <t>Coatomer subunit delta</t>
  </si>
  <si>
    <t>ARCN1</t>
  </si>
  <si>
    <t>Q13546</t>
  </si>
  <si>
    <t>Receptor-interacting serine/threonine-protein kinase 1</t>
  </si>
  <si>
    <t>RIPK1</t>
  </si>
  <si>
    <t>P16278;P16278-3</t>
  </si>
  <si>
    <t>P16278</t>
  </si>
  <si>
    <t>Beta-galactosidase</t>
  </si>
  <si>
    <t>GLB1;GLB1</t>
  </si>
  <si>
    <t>GLB1</t>
  </si>
  <si>
    <t>P35221;P35221-2</t>
  </si>
  <si>
    <t>P35221</t>
  </si>
  <si>
    <t>Catenin alpha-1</t>
  </si>
  <si>
    <t>CTNNA1;CTNNA1</t>
  </si>
  <si>
    <t>CTNNA1</t>
  </si>
  <si>
    <t>Transmembrane emp24 domain-containing protein 5</t>
  </si>
  <si>
    <t>TMED5</t>
  </si>
  <si>
    <t>Importin subunit beta-1</t>
  </si>
  <si>
    <t>KPNB1</t>
  </si>
  <si>
    <t>P51648;P51648-2</t>
  </si>
  <si>
    <t>P51648</t>
  </si>
  <si>
    <t>Fatty aldehyde dehydrogenase</t>
  </si>
  <si>
    <t>ALDH3A2;ALDH3A2</t>
  </si>
  <si>
    <t>ALDH3A2</t>
  </si>
  <si>
    <t>1-phosphatidylinositol 4,5-bisphosphate phosphodiesterase gamma-2</t>
  </si>
  <si>
    <t>PLCG2</t>
  </si>
  <si>
    <t>O75436</t>
  </si>
  <si>
    <t>Vacuolar protein sorting-associated protein 26A</t>
  </si>
  <si>
    <t>VPS26A</t>
  </si>
  <si>
    <t>Serine/threonine-protein kinase PAK 2</t>
  </si>
  <si>
    <t>PAK2</t>
  </si>
  <si>
    <t>O60664;O60664-3;O60664-4</t>
  </si>
  <si>
    <t>O60664</t>
  </si>
  <si>
    <t>Perilipin-3</t>
  </si>
  <si>
    <t>PLIN3;PLIN3;PLIN3</t>
  </si>
  <si>
    <t>PLIN3</t>
  </si>
  <si>
    <t>Sorting and assembly machinery component 50 homolog</t>
  </si>
  <si>
    <t>SAMM50</t>
  </si>
  <si>
    <t>Q14C86;Q14C86-2;Q14C86-3;Q14C86-5;Q14C86-6</t>
  </si>
  <si>
    <t>Q14C86</t>
  </si>
  <si>
    <t>GTPase-activating protein and VPS9 domain-containing protein 1</t>
  </si>
  <si>
    <t>GAPVD1;GAPVD1;GAPVD1;GAPVD1;GAPVD1</t>
  </si>
  <si>
    <t>GAPVD1</t>
  </si>
  <si>
    <t>Q9Y262;Q9Y262-2</t>
  </si>
  <si>
    <t>Q9Y262</t>
  </si>
  <si>
    <t>Eukaryotic translation initiation factor 3 subunit L</t>
  </si>
  <si>
    <t>EIF3L;EIF3L</t>
  </si>
  <si>
    <t>EIF3L</t>
  </si>
  <si>
    <t>Tryptophan--tRNA ligase, cytoplasmic</t>
  </si>
  <si>
    <t>WARS;WARS</t>
  </si>
  <si>
    <t>WARS</t>
  </si>
  <si>
    <t>Synaptosomal-associated protein 29</t>
  </si>
  <si>
    <t>SNAP29</t>
  </si>
  <si>
    <t>Q9Y608;Q9Y608-4</t>
  </si>
  <si>
    <t>Q9Y608</t>
  </si>
  <si>
    <t>Leucine-rich repeat flightless-interacting protein 2</t>
  </si>
  <si>
    <t>LRRFIP2;LRRFIP2</t>
  </si>
  <si>
    <t>LRRFIP2</t>
  </si>
  <si>
    <t>DENN domain-containing protein 3</t>
  </si>
  <si>
    <t>DENND3;DENND3</t>
  </si>
  <si>
    <t>DENND3</t>
  </si>
  <si>
    <t>Q9HC38;Q9HC38-2</t>
  </si>
  <si>
    <t>Q9HC38</t>
  </si>
  <si>
    <t>Glyoxalase domain-containing protein 4</t>
  </si>
  <si>
    <t>GLOD4;GLOD4</t>
  </si>
  <si>
    <t>GLOD4</t>
  </si>
  <si>
    <t>Phosphomevalonate kinase</t>
  </si>
  <si>
    <t>PMVK</t>
  </si>
  <si>
    <t>Tumor susceptibility gene 101 protein</t>
  </si>
  <si>
    <t>TSG101</t>
  </si>
  <si>
    <t>P11177;P11177-2</t>
  </si>
  <si>
    <t>P11177</t>
  </si>
  <si>
    <t>Pyruvate dehydrogenase E1 component subunit beta, mitochondrial</t>
  </si>
  <si>
    <t>PDHB;PDHB</t>
  </si>
  <si>
    <t>PDHB</t>
  </si>
  <si>
    <t>Obg-like ATPase 1</t>
  </si>
  <si>
    <t>OLA1</t>
  </si>
  <si>
    <t>Q9UNZ2;Q9UNZ2-5</t>
  </si>
  <si>
    <t>NSFL1 cofactor p47</t>
  </si>
  <si>
    <t>NSFL1C;NSFL1C</t>
  </si>
  <si>
    <t>NSFL1C</t>
  </si>
  <si>
    <t>Asparagine--tRNA ligase, cytoplasmic</t>
  </si>
  <si>
    <t>NARS</t>
  </si>
  <si>
    <t>Protein transport protein Sec24C</t>
  </si>
  <si>
    <t>SEC24C</t>
  </si>
  <si>
    <t>P30511;P30511-3</t>
  </si>
  <si>
    <t>P30511</t>
  </si>
  <si>
    <t>HLA class I histocompatibility antigen, alpha chain F</t>
  </si>
  <si>
    <t>HLA-F;HLA-F</t>
  </si>
  <si>
    <t>HLA-F</t>
  </si>
  <si>
    <t>Charged multivesicular body protein 6</t>
  </si>
  <si>
    <t>CHMP6</t>
  </si>
  <si>
    <t>DCC-interacting protein 13-beta</t>
  </si>
  <si>
    <t>APPL2;APPL2;APPL2</t>
  </si>
  <si>
    <t>APPL2</t>
  </si>
  <si>
    <t>Complement factor H-related protein 1</t>
  </si>
  <si>
    <t>CFHR1</t>
  </si>
  <si>
    <t>RNA 3'-terminal phosphate cyclase</t>
  </si>
  <si>
    <t>RTCA;RTCA</t>
  </si>
  <si>
    <t>RTCA</t>
  </si>
  <si>
    <t>P18283</t>
  </si>
  <si>
    <t>Glutathione peroxidase 2</t>
  </si>
  <si>
    <t>GPX2</t>
  </si>
  <si>
    <t>Q9H0P0</t>
  </si>
  <si>
    <t>Cytosolic 5'-nucleotidase 3A</t>
  </si>
  <si>
    <t>NT5C3A</t>
  </si>
  <si>
    <t>High mobility group protein B1</t>
  </si>
  <si>
    <t>HMGB1</t>
  </si>
  <si>
    <t>Desmoglein-1</t>
  </si>
  <si>
    <t>DSG1</t>
  </si>
  <si>
    <t>Secretory carrier-associated membrane protein 2</t>
  </si>
  <si>
    <t>SCAMP2</t>
  </si>
  <si>
    <t>Q10567;Q10567-2</t>
  </si>
  <si>
    <t>Q10567</t>
  </si>
  <si>
    <t>AP-1 complex subunit beta-1</t>
  </si>
  <si>
    <t>AP1B1;AP1B1</t>
  </si>
  <si>
    <t>AP1B1</t>
  </si>
  <si>
    <t>GMP reductase 2</t>
  </si>
  <si>
    <t>GMPR2;GMPR2;GMPR2</t>
  </si>
  <si>
    <t>GMPR2</t>
  </si>
  <si>
    <t>Q15797;Q99717</t>
  </si>
  <si>
    <t>Q15797</t>
  </si>
  <si>
    <t>Mothers against decapentaplegic homolog 1</t>
  </si>
  <si>
    <t>SMAD1;SMAD5</t>
  </si>
  <si>
    <t>SMAD1</t>
  </si>
  <si>
    <t>P06756;P06756-2;P06756-3</t>
  </si>
  <si>
    <t>P06756</t>
  </si>
  <si>
    <t>Integrin alpha-V</t>
  </si>
  <si>
    <t>ITGAV;ITGAV;ITGAV</t>
  </si>
  <si>
    <t>ITGAV</t>
  </si>
  <si>
    <t>Q9P107;Q9P107-2</t>
  </si>
  <si>
    <t>Q9P107</t>
  </si>
  <si>
    <t>GEM-interacting protein</t>
  </si>
  <si>
    <t>GMIP;GMIP</t>
  </si>
  <si>
    <t>GMIP</t>
  </si>
  <si>
    <t>Q9Y316;Q9Y316-2;Q9Y316-3</t>
  </si>
  <si>
    <t>Q9Y316</t>
  </si>
  <si>
    <t>Protein MEMO1</t>
  </si>
  <si>
    <t>MEMO1;MEMO1;MEMO1</t>
  </si>
  <si>
    <t>MEMO1</t>
  </si>
  <si>
    <t>O00571;O00571-2</t>
  </si>
  <si>
    <t>O00571</t>
  </si>
  <si>
    <t>ATP-dependent RNA helicase DDX3X</t>
  </si>
  <si>
    <t>DDX3X;DDX3X</t>
  </si>
  <si>
    <t>DDX3X</t>
  </si>
  <si>
    <t>(E3-independent) E2 ubiquitin-conjugating enzyme</t>
  </si>
  <si>
    <t>UBE2O</t>
  </si>
  <si>
    <t>Cytochrome b-c1 complex subunit Rieske, mitochondrial</t>
  </si>
  <si>
    <t>UQCRFS1</t>
  </si>
  <si>
    <t>Q16881;Q16881-2;Q16881-3;Q16881-4;Q16881-5;Q16881-6</t>
  </si>
  <si>
    <t>Q16881</t>
  </si>
  <si>
    <t>Thioredoxin reductase 1, cytoplasmic</t>
  </si>
  <si>
    <t>TXNRD1;TXNRD1;TXNRD1;TXNRD1;TXNRD1;TXNRD1</t>
  </si>
  <si>
    <t>TXNRD1</t>
  </si>
  <si>
    <t>P31483;P31483-2</t>
  </si>
  <si>
    <t>P31483</t>
  </si>
  <si>
    <t>Nucleolysin TIA-1 isoform p40</t>
  </si>
  <si>
    <t>TIA1;TIA1</t>
  </si>
  <si>
    <t>TIA1</t>
  </si>
  <si>
    <t>Ras GTPase-activating protein-binding protein 1</t>
  </si>
  <si>
    <t>G3BP1</t>
  </si>
  <si>
    <t>P62195;P62195-2</t>
  </si>
  <si>
    <t>P62195</t>
  </si>
  <si>
    <t>26S proteasome regulatory subunit 8</t>
  </si>
  <si>
    <t>PSMC5;PSMC5</t>
  </si>
  <si>
    <t>PSMC5</t>
  </si>
  <si>
    <t>Protein ABHD14B</t>
  </si>
  <si>
    <t>ABHD14B</t>
  </si>
  <si>
    <t>Q12765;Q12765-2</t>
  </si>
  <si>
    <t>Q12765</t>
  </si>
  <si>
    <t>Secernin-1</t>
  </si>
  <si>
    <t>SCRN1;SCRN1</t>
  </si>
  <si>
    <t>SCRN1</t>
  </si>
  <si>
    <t>P12814-2</t>
  </si>
  <si>
    <t>Isoform 2 of Alpha-actinin-1</t>
  </si>
  <si>
    <t>Q96M27;Q96M27-2;Q96M27-3</t>
  </si>
  <si>
    <t>Protein PRRC1</t>
  </si>
  <si>
    <t>PRRC1;PRRC1;PRRC1</t>
  </si>
  <si>
    <t>PRRC1</t>
  </si>
  <si>
    <t>Protein RER1</t>
  </si>
  <si>
    <t>RER1</t>
  </si>
  <si>
    <t>O14786;O14786-2;O14786-3</t>
  </si>
  <si>
    <t>O14786</t>
  </si>
  <si>
    <t>Neuropilin-1</t>
  </si>
  <si>
    <t>NRP1;NRP1;NRP1</t>
  </si>
  <si>
    <t>NRP1</t>
  </si>
  <si>
    <t>ADP-sugar pyrophosphatase</t>
  </si>
  <si>
    <t>NUDT5</t>
  </si>
  <si>
    <t>Q9NZN5;Q9NZN5-2</t>
  </si>
  <si>
    <t>Q9NZN5</t>
  </si>
  <si>
    <t>Rho guanine nucleotide exchange factor 12</t>
  </si>
  <si>
    <t>ARHGEF12;ARHGEF12</t>
  </si>
  <si>
    <t>ARHGEF12</t>
  </si>
  <si>
    <t>Leucine-rich repeat-containing protein 47</t>
  </si>
  <si>
    <t>LRRC47</t>
  </si>
  <si>
    <t>Q08379</t>
  </si>
  <si>
    <t>Golgin subfamily A member 2</t>
  </si>
  <si>
    <t>GOLGA2</t>
  </si>
  <si>
    <t>P54136</t>
  </si>
  <si>
    <t>Arginine--tRNA ligase, cytoplasmic</t>
  </si>
  <si>
    <t>RARS</t>
  </si>
  <si>
    <t>O75964</t>
  </si>
  <si>
    <t>ATP synthase subunit g, mitochondrial</t>
  </si>
  <si>
    <t>ATP5MG</t>
  </si>
  <si>
    <t>40S ribosomal protein SA</t>
  </si>
  <si>
    <t>RPSA</t>
  </si>
  <si>
    <t>N-acylglucosamine 2-epimerase</t>
  </si>
  <si>
    <t>RENBP</t>
  </si>
  <si>
    <t>P16157;P16157-10;P16157-11;P16157-12;P16157-13;P16157-14;P16157-15;P16157-16;P16157-3;P16157-4;P16157-5;P16157-6;P16157-7;P16157-8;P16157-9</t>
  </si>
  <si>
    <t>P16157</t>
  </si>
  <si>
    <t>Ankyrin-1</t>
  </si>
  <si>
    <t>ANK1;ANK1;ANK1;ANK1;ANK1;ANK1;ANK1;ANK1;ANK1;ANK1;ANK1;ANK1;ANK1;ANK1;ANK1</t>
  </si>
  <si>
    <t>ANK1</t>
  </si>
  <si>
    <t>O00154-4</t>
  </si>
  <si>
    <t>Isoform 4 of Cytosolic acyl coenzyme A thioester hydrolase</t>
  </si>
  <si>
    <t>ACOT7</t>
  </si>
  <si>
    <t>Ubiquitin-like modifier-activating enzyme 6</t>
  </si>
  <si>
    <t>UBA6</t>
  </si>
  <si>
    <t>Proline and serine-rich protein 2</t>
  </si>
  <si>
    <t>PROSER2;PROSER2</t>
  </si>
  <si>
    <t>PROSER2</t>
  </si>
  <si>
    <t>P15170-2;P15170-3</t>
  </si>
  <si>
    <t>Isoform 2 of Eukaryotic peptide chain release factor GTP-binding subunit ERF3A</t>
  </si>
  <si>
    <t>GSPT1;GSPT1</t>
  </si>
  <si>
    <t>GSPT1</t>
  </si>
  <si>
    <t>Signal transducer and activator of transcription 5B</t>
  </si>
  <si>
    <t>STAT5B</t>
  </si>
  <si>
    <t>26S proteasome non-ATPase regulatory subunit 3</t>
  </si>
  <si>
    <t>PSMD3</t>
  </si>
  <si>
    <t>Q5VYK3</t>
  </si>
  <si>
    <t>Proteasome adapter and scaffold protein ECM29</t>
  </si>
  <si>
    <t>ECPAS</t>
  </si>
  <si>
    <t>O60506-3;O60506-4</t>
  </si>
  <si>
    <t>O60506-3</t>
  </si>
  <si>
    <t>Isoform 3 of Heterogeneous nuclear ribonucleoprotein Q</t>
  </si>
  <si>
    <t>SYNCRIP;SYNCRIP</t>
  </si>
  <si>
    <t>SYNCRIP</t>
  </si>
  <si>
    <t>Lipopolysaccharide-binding protein</t>
  </si>
  <si>
    <t>LBP</t>
  </si>
  <si>
    <t>CON__P02754</t>
  </si>
  <si>
    <t>Long-chain fatty acid transport protein 4</t>
  </si>
  <si>
    <t>SLC27A4</t>
  </si>
  <si>
    <t>Fumarylacetoacetase</t>
  </si>
  <si>
    <t>FAH</t>
  </si>
  <si>
    <t>Q53T59</t>
  </si>
  <si>
    <t>HCLS1-binding protein 3</t>
  </si>
  <si>
    <t>HS1BP3</t>
  </si>
  <si>
    <t>Serine/threonine-protein kinase 4</t>
  </si>
  <si>
    <t>STK4</t>
  </si>
  <si>
    <t>EF-hand domain-containing protein D2</t>
  </si>
  <si>
    <t>EFHD2</t>
  </si>
  <si>
    <t>P61978-2;P61978-3</t>
  </si>
  <si>
    <t>P61978-2</t>
  </si>
  <si>
    <t>Isoform 2 of Heterogeneous nuclear ribonucleoprotein K</t>
  </si>
  <si>
    <t>HNRNPK;HNRNPK</t>
  </si>
  <si>
    <t>HNRNPK</t>
  </si>
  <si>
    <t>Sorting nexin-9</t>
  </si>
  <si>
    <t>SNX9</t>
  </si>
  <si>
    <t>Annexin A4</t>
  </si>
  <si>
    <t>ANXA4</t>
  </si>
  <si>
    <t>O60749</t>
  </si>
  <si>
    <t>Sorting nexin-2</t>
  </si>
  <si>
    <t>SNX2</t>
  </si>
  <si>
    <t>Nuclear transport factor 2</t>
  </si>
  <si>
    <t>NUTF2</t>
  </si>
  <si>
    <t>Exportin-1</t>
  </si>
  <si>
    <t>XPO1</t>
  </si>
  <si>
    <t>Q96CW1;Q96CW1-2</t>
  </si>
  <si>
    <t>Q96CW1</t>
  </si>
  <si>
    <t>AP-2 complex subunit mu</t>
  </si>
  <si>
    <t>AP2M1;AP2M1</t>
  </si>
  <si>
    <t>AP2M1</t>
  </si>
  <si>
    <t>Aspartate aminotransferase, cytoplasmic</t>
  </si>
  <si>
    <t>GOT1</t>
  </si>
  <si>
    <t>Calpain-2 catalytic subunit</t>
  </si>
  <si>
    <t>CAPN2</t>
  </si>
  <si>
    <t>Q9UBN7</t>
  </si>
  <si>
    <t>Histone deacetylase 6</t>
  </si>
  <si>
    <t>HDAC6</t>
  </si>
  <si>
    <t>Q9NTJ4;Q9NTJ4-2;Q9NTJ4-3;Q9NTJ4-4</t>
  </si>
  <si>
    <t>Q9NTJ4</t>
  </si>
  <si>
    <t>Alpha-mannosidase 2C1</t>
  </si>
  <si>
    <t>MAN2C1;MAN2C1;MAN2C1;MAN2C1</t>
  </si>
  <si>
    <t>MAN2C1</t>
  </si>
  <si>
    <t>O75822;O75822-2;O75822-3</t>
  </si>
  <si>
    <t>O75822</t>
  </si>
  <si>
    <t>Eukaryotic translation initiation factor 3 subunit J</t>
  </si>
  <si>
    <t>EIF3J;EIF3J;EIF3J</t>
  </si>
  <si>
    <t>EIF3J</t>
  </si>
  <si>
    <t>O00232;O00232-2</t>
  </si>
  <si>
    <t>O00232</t>
  </si>
  <si>
    <t>26S proteasome non-ATPase regulatory subunit 12</t>
  </si>
  <si>
    <t>PSMD12;PSMD12</t>
  </si>
  <si>
    <t>PSMD12</t>
  </si>
  <si>
    <t>Flavin reductase (NADPH)</t>
  </si>
  <si>
    <t>BLVRB</t>
  </si>
  <si>
    <t>P30626;P30626-2;P30626-3</t>
  </si>
  <si>
    <t>P30626</t>
  </si>
  <si>
    <t>Sorcin</t>
  </si>
  <si>
    <t>SRI;SRI;SRI</t>
  </si>
  <si>
    <t>SRI</t>
  </si>
  <si>
    <t>Q9GZU7;Q9GZU7-2;Q9GZU7-3</t>
  </si>
  <si>
    <t>Q9GZU7</t>
  </si>
  <si>
    <t>Carboxy-terminal domain RNA polymerase II polypeptide A small phosphatase 1</t>
  </si>
  <si>
    <t>CTDSP1;CTDSP1;CTDSP1</t>
  </si>
  <si>
    <t>CTDSP1</t>
  </si>
  <si>
    <t>Q8N4Q0</t>
  </si>
  <si>
    <t>Prostaglandin reductase 3</t>
  </si>
  <si>
    <t>ZADH2</t>
  </si>
  <si>
    <t>Q12982;Q12982-2</t>
  </si>
  <si>
    <t>BCL2/adenovirus E1B 19 kDa protein-interacting protein 2</t>
  </si>
  <si>
    <t>BNIP2;BNIP2</t>
  </si>
  <si>
    <t>BNIP2</t>
  </si>
  <si>
    <t>O75223</t>
  </si>
  <si>
    <t>Gamma-glutamylcyclotransferase</t>
  </si>
  <si>
    <t>GGCT</t>
  </si>
  <si>
    <t>Annexin A1</t>
  </si>
  <si>
    <t>ANXA1</t>
  </si>
  <si>
    <t>Q96I99;Q96I99-2</t>
  </si>
  <si>
    <t>Q96I99</t>
  </si>
  <si>
    <t>Succinate--CoA ligase [GDP-forming] subunit beta, mitochondrial</t>
  </si>
  <si>
    <t>SUCLG2;SUCLG2</t>
  </si>
  <si>
    <t>SUCLG2</t>
  </si>
  <si>
    <t>B5ME19;Q99613;Q99613-2</t>
  </si>
  <si>
    <t>B5ME19</t>
  </si>
  <si>
    <t>Eukaryotic translation initiation factor 3 subunit C-like protein</t>
  </si>
  <si>
    <t>EIF3CL;EIF3C;EIF3C</t>
  </si>
  <si>
    <t>EIF3CL</t>
  </si>
  <si>
    <t>Glycine--tRNA ligase</t>
  </si>
  <si>
    <t>GARS</t>
  </si>
  <si>
    <t>Pyridoxal phosphate homeostasis protein</t>
  </si>
  <si>
    <t>PLPBP</t>
  </si>
  <si>
    <t>Cystatin-C</t>
  </si>
  <si>
    <t>CST3</t>
  </si>
  <si>
    <t>Cytochrome b-c1 complex subunit 1, mitochondrial</t>
  </si>
  <si>
    <t>UQCRC1</t>
  </si>
  <si>
    <t>Q13496</t>
  </si>
  <si>
    <t>Myotubularin</t>
  </si>
  <si>
    <t>MTM1</t>
  </si>
  <si>
    <t>Q9UMY4;Q9UMY4-2</t>
  </si>
  <si>
    <t>Q9UMY4</t>
  </si>
  <si>
    <t>Sorting nexin-12</t>
  </si>
  <si>
    <t>SNX12;SNX12</t>
  </si>
  <si>
    <t>SNX12</t>
  </si>
  <si>
    <t>Q13951;Q13951-2</t>
  </si>
  <si>
    <t>Q13951</t>
  </si>
  <si>
    <t>Core-binding factor subunit beta</t>
  </si>
  <si>
    <t>CBFB;CBFB</t>
  </si>
  <si>
    <t>CBFB</t>
  </si>
  <si>
    <t>Q13492;Q13492-2;Q13492-3;Q13492-5</t>
  </si>
  <si>
    <t>Q13492</t>
  </si>
  <si>
    <t>Phosphatidylinositol-binding clathrin assembly protein</t>
  </si>
  <si>
    <t>PICALM;PICALM;PICALM;PICALM</t>
  </si>
  <si>
    <t>PICALM</t>
  </si>
  <si>
    <t>DNA damage-binding protein 1</t>
  </si>
  <si>
    <t>DDB1</t>
  </si>
  <si>
    <t>Q6UX71;Q6UX71-2</t>
  </si>
  <si>
    <t>Q6UX71</t>
  </si>
  <si>
    <t>Plexin domain-containing protein 2</t>
  </si>
  <si>
    <t>PLXDC2;PLXDC2</t>
  </si>
  <si>
    <t>PLXDC2</t>
  </si>
  <si>
    <t>Dynamin-like 120 kDa protein, mitochondrial</t>
  </si>
  <si>
    <t>OPA1;OPA1</t>
  </si>
  <si>
    <t>OPA1</t>
  </si>
  <si>
    <t>CON__Q29RQ1</t>
  </si>
  <si>
    <t>P11166</t>
  </si>
  <si>
    <t>Solute carrier family 2, facilitated glucose transporter member 1</t>
  </si>
  <si>
    <t>SLC2A1</t>
  </si>
  <si>
    <t>P61966</t>
  </si>
  <si>
    <t>AP-1 complex subunit sigma-1A</t>
  </si>
  <si>
    <t>AP1S1</t>
  </si>
  <si>
    <t>3-ketoacyl-CoA thiolase, peroxisomal</t>
  </si>
  <si>
    <t>ACAA1</t>
  </si>
  <si>
    <t>Stromal interaction molecule 1</t>
  </si>
  <si>
    <t>STIM1</t>
  </si>
  <si>
    <t>Q15435</t>
  </si>
  <si>
    <t>Protein phosphatase 1 regulatory subunit 7</t>
  </si>
  <si>
    <t>PPP1R7</t>
  </si>
  <si>
    <t>CON__Q3T052</t>
  </si>
  <si>
    <t>NADH dehydrogenase [ubiquinone] 1 alpha subcomplex subunit 8</t>
  </si>
  <si>
    <t>NDUFA8</t>
  </si>
  <si>
    <t>Peptidyl-prolyl cis-trans isomerase NIMA-interacting 1</t>
  </si>
  <si>
    <t>PIN1</t>
  </si>
  <si>
    <t>Flotillin-1</t>
  </si>
  <si>
    <t>FLOT1</t>
  </si>
  <si>
    <t>P13646</t>
  </si>
  <si>
    <t>Keratin, type I cytoskeletal 13</t>
  </si>
  <si>
    <t>KRT13</t>
  </si>
  <si>
    <t>Coatomer subunit gamma-1</t>
  </si>
  <si>
    <t>COPG1</t>
  </si>
  <si>
    <t>Q9Y2X7;Q9Y2X7-3</t>
  </si>
  <si>
    <t>ARF GTPase-activating protein GIT1</t>
  </si>
  <si>
    <t>GIT1;GIT1</t>
  </si>
  <si>
    <t>GIT1</t>
  </si>
  <si>
    <t>Cation-dependent mannose-6-phosphate receptor</t>
  </si>
  <si>
    <t>M6PR</t>
  </si>
  <si>
    <t>P20936;P20936-2;P20936-4</t>
  </si>
  <si>
    <t>P20936</t>
  </si>
  <si>
    <t>Ras GTPase-activating protein 1</t>
  </si>
  <si>
    <t>RASA1;RASA1;RASA1</t>
  </si>
  <si>
    <t>RASA1</t>
  </si>
  <si>
    <t>Mitochondrial antiviral-signaling protein</t>
  </si>
  <si>
    <t>MAVS</t>
  </si>
  <si>
    <t>Deoxyribose-phosphate aldolase</t>
  </si>
  <si>
    <t>DERA</t>
  </si>
  <si>
    <t>Elongation factor 1-delta</t>
  </si>
  <si>
    <t>EEF1D</t>
  </si>
  <si>
    <t>P09417</t>
  </si>
  <si>
    <t>Dihydropteridine reductase</t>
  </si>
  <si>
    <t>QDPR</t>
  </si>
  <si>
    <t>Lysine--tRNA ligase</t>
  </si>
  <si>
    <t>KARS;KARS</t>
  </si>
  <si>
    <t>KARS</t>
  </si>
  <si>
    <t>Q12955</t>
  </si>
  <si>
    <t>Ankyrin-3</t>
  </si>
  <si>
    <t>ANK3</t>
  </si>
  <si>
    <t>Q14289;Q14289-2</t>
  </si>
  <si>
    <t>Q14289</t>
  </si>
  <si>
    <t>Protein-tyrosine kinase 2-beta</t>
  </si>
  <si>
    <t>PTK2B;PTK2B</t>
  </si>
  <si>
    <t>PTK2B</t>
  </si>
  <si>
    <t>P63010;P63010-2</t>
  </si>
  <si>
    <t>AP-2 complex subunit beta</t>
  </si>
  <si>
    <t>AP2B1;AP2B1</t>
  </si>
  <si>
    <t>AP2B1</t>
  </si>
  <si>
    <t>Cullin-2</t>
  </si>
  <si>
    <t>CUL2;CUL2</t>
  </si>
  <si>
    <t>CUL2</t>
  </si>
  <si>
    <t>Q7L1Q6;Q7L1Q6-2;Q7L1Q6-3;Q7L1Q6-4</t>
  </si>
  <si>
    <t>Q7L1Q6</t>
  </si>
  <si>
    <t>Basic leucine zipper and W2 domain-containing protein 1</t>
  </si>
  <si>
    <t>BZW1;BZW1;BZW1;BZW1</t>
  </si>
  <si>
    <t>BZW1</t>
  </si>
  <si>
    <t>Q9P289;Q9P289-2</t>
  </si>
  <si>
    <t>Serine/threonine-protein kinase 26</t>
  </si>
  <si>
    <t>STK26;STK26</t>
  </si>
  <si>
    <t>STK26</t>
  </si>
  <si>
    <t>O95758;O95758-1;O95758-2;O95758-4;O95758-5;O95758-6</t>
  </si>
  <si>
    <t>O95758</t>
  </si>
  <si>
    <t>Polypyrimidine tract-binding protein 3</t>
  </si>
  <si>
    <t>PTBP3;PTBP3;PTBP3;PTBP3;PTBP3;PTBP3</t>
  </si>
  <si>
    <t>PTBP3</t>
  </si>
  <si>
    <t>Q9UJW0</t>
  </si>
  <si>
    <t>Dynactin subunit 4</t>
  </si>
  <si>
    <t>DCTN4</t>
  </si>
  <si>
    <t>Vesicle-associated membrane protein-associated protein B/C</t>
  </si>
  <si>
    <t>VAPB</t>
  </si>
  <si>
    <t>Glutathione S-transferase Mu 2</t>
  </si>
  <si>
    <t>GSTM2;GSTM2</t>
  </si>
  <si>
    <t>GSTM2</t>
  </si>
  <si>
    <t>Q92598;Q92598-2</t>
  </si>
  <si>
    <t>Q92598</t>
  </si>
  <si>
    <t>Heat shock protein 105 kDa</t>
  </si>
  <si>
    <t>HSPH1;HSPH1</t>
  </si>
  <si>
    <t>HSPH1</t>
  </si>
  <si>
    <t>26S proteasome regulatory subunit 6A</t>
  </si>
  <si>
    <t>PSMC3</t>
  </si>
  <si>
    <t>Q9NUV9</t>
  </si>
  <si>
    <t>GTPase IMAP family member 4</t>
  </si>
  <si>
    <t>GIMAP4</t>
  </si>
  <si>
    <t>Adipocyte plasma membrane-associated protein</t>
  </si>
  <si>
    <t>APMAP</t>
  </si>
  <si>
    <t>Alpha-mannosidase 2</t>
  </si>
  <si>
    <t>MAN2A1</t>
  </si>
  <si>
    <t>Phenylalanine--tRNA ligase beta subunit</t>
  </si>
  <si>
    <t>FARSB</t>
  </si>
  <si>
    <t>Dipeptidyl peptidase 3</t>
  </si>
  <si>
    <t>DPP3</t>
  </si>
  <si>
    <t>Tyrosine-protein kinase Yes</t>
  </si>
  <si>
    <t>YES1</t>
  </si>
  <si>
    <t>AP-1 complex subunit gamma-like 2</t>
  </si>
  <si>
    <t>AP1G2</t>
  </si>
  <si>
    <t>Q6ZNJ1;Q6ZNJ1-3</t>
  </si>
  <si>
    <t>Q6ZNJ1</t>
  </si>
  <si>
    <t>Neurobeachin-like protein 2</t>
  </si>
  <si>
    <t>NBEAL2;NBEAL2</t>
  </si>
  <si>
    <t>NBEAL2</t>
  </si>
  <si>
    <t>Prenylcysteine oxidase 1</t>
  </si>
  <si>
    <t>PCYOX1</t>
  </si>
  <si>
    <t>Protein LYRIC</t>
  </si>
  <si>
    <t>MTDH</t>
  </si>
  <si>
    <t>Q9UEW8;Q9UEW8-2</t>
  </si>
  <si>
    <t>Q9UEW8</t>
  </si>
  <si>
    <t>STE20/SPS1-related proline-alanine-rich protein kinase</t>
  </si>
  <si>
    <t>STK39;STK39</t>
  </si>
  <si>
    <t>STK39</t>
  </si>
  <si>
    <t>O94964;O94964-2</t>
  </si>
  <si>
    <t>O94964</t>
  </si>
  <si>
    <t>Protein SOGA1</t>
  </si>
  <si>
    <t>SOGA1;SOGA1</t>
  </si>
  <si>
    <t>SOGA1</t>
  </si>
  <si>
    <t>Q9NRL3;Q9NRL3-3</t>
  </si>
  <si>
    <t>Striatin-4</t>
  </si>
  <si>
    <t>STRN4;STRN4</t>
  </si>
  <si>
    <t>STRN4</t>
  </si>
  <si>
    <t>Q14677;Q14677-3</t>
  </si>
  <si>
    <t>Clathrin interactor 1</t>
  </si>
  <si>
    <t>CLINT1;CLINT1</t>
  </si>
  <si>
    <t>CLINT1</t>
  </si>
  <si>
    <t>Syntaxin-binding protein 3</t>
  </si>
  <si>
    <t>STXBP3</t>
  </si>
  <si>
    <t>Q92692;Q92692-2</t>
  </si>
  <si>
    <t>Q92692</t>
  </si>
  <si>
    <t>Nectin-2</t>
  </si>
  <si>
    <t>NECTIN2;NECTIN2</t>
  </si>
  <si>
    <t>NECTIN2</t>
  </si>
  <si>
    <t>Bis(5'-adenosyl)-triphosphatase ENPP4</t>
  </si>
  <si>
    <t>ENPP4</t>
  </si>
  <si>
    <t>Tubulin gamma-1 chain</t>
  </si>
  <si>
    <t>TUBG1</t>
  </si>
  <si>
    <t>Methylenetetrahydrofolate reductase</t>
  </si>
  <si>
    <t>MTHFR;MTHFR</t>
  </si>
  <si>
    <t>MTHFR</t>
  </si>
  <si>
    <t>Q92973;Q92973-2</t>
  </si>
  <si>
    <t>Q92973</t>
  </si>
  <si>
    <t>Transportin-1</t>
  </si>
  <si>
    <t>TNPO1;TNPO1</t>
  </si>
  <si>
    <t>TNPO1</t>
  </si>
  <si>
    <t>Q9BZF9;Q9BZF9-2</t>
  </si>
  <si>
    <t>Q9BZF9</t>
  </si>
  <si>
    <t>Uveal autoantigen with coiled-coil domains and ankyrin repeats</t>
  </si>
  <si>
    <t>UACA;UACA</t>
  </si>
  <si>
    <t>UACA</t>
  </si>
  <si>
    <t>Ubiquitin-conjugating enzyme E2 J1</t>
  </si>
  <si>
    <t>UBE2J1</t>
  </si>
  <si>
    <t>Glucose 1,6-bisphosphate synthase</t>
  </si>
  <si>
    <t>PGM2L1</t>
  </si>
  <si>
    <t>Major vault protein</t>
  </si>
  <si>
    <t>MVP</t>
  </si>
  <si>
    <t>Serine-threonine kinase receptor-associated protein</t>
  </si>
  <si>
    <t>STRAP;STRAP</t>
  </si>
  <si>
    <t>STRAP</t>
  </si>
  <si>
    <t>CDGSH iron-sulfur domain-containing protein 2</t>
  </si>
  <si>
    <t>CISD2</t>
  </si>
  <si>
    <t>Q9UEU0</t>
  </si>
  <si>
    <t>Vesicle transport through interaction with t-SNAREs homolog 1B</t>
  </si>
  <si>
    <t>VTI1B</t>
  </si>
  <si>
    <t>Q9H2G2</t>
  </si>
  <si>
    <t>STE20-like serine/threonine-protein kinase</t>
  </si>
  <si>
    <t>SLK</t>
  </si>
  <si>
    <t>Eukaryotic translation initiation factor 4 gamma 2</t>
  </si>
  <si>
    <t>EIF4G2;EIF4G2</t>
  </si>
  <si>
    <t>EIF4G2</t>
  </si>
  <si>
    <t>Q9Y6D5</t>
  </si>
  <si>
    <t>Brefeldin A-inhibited guanine nucleotide-exchange protein 2</t>
  </si>
  <si>
    <t>ARFGEF2</t>
  </si>
  <si>
    <t>Ribose-5-phosphate isomerase</t>
  </si>
  <si>
    <t>RPIA</t>
  </si>
  <si>
    <t>Q8TBC4;Q8TBC4-2</t>
  </si>
  <si>
    <t>Q8TBC4</t>
  </si>
  <si>
    <t>NEDD8-activating enzyme E1 catalytic subunit</t>
  </si>
  <si>
    <t>UBA3;UBA3</t>
  </si>
  <si>
    <t>UBA3</t>
  </si>
  <si>
    <t>Q8IXI1</t>
  </si>
  <si>
    <t>Mitochondrial Rho GTPase 2</t>
  </si>
  <si>
    <t>RHOT2</t>
  </si>
  <si>
    <t>P61803</t>
  </si>
  <si>
    <t>Dolichyl-diphosphooligosaccharide--protein glycosyltransferase subunit DAD1</t>
  </si>
  <si>
    <t>DAD1</t>
  </si>
  <si>
    <t>Q8IUI8;Q8IUI8-2</t>
  </si>
  <si>
    <t>Q8IUI8</t>
  </si>
  <si>
    <t>Cytokine receptor-like factor 3</t>
  </si>
  <si>
    <t>CRLF3;CRLF3</t>
  </si>
  <si>
    <t>CRLF3</t>
  </si>
  <si>
    <t>P09960</t>
  </si>
  <si>
    <t>Leukotriene A-4 hydrolase</t>
  </si>
  <si>
    <t>LTA4H</t>
  </si>
  <si>
    <t>Q9HBH5</t>
  </si>
  <si>
    <t>Retinol dehydrogenase 14</t>
  </si>
  <si>
    <t>RDH14</t>
  </si>
  <si>
    <t>Methionine aminopeptidase 1</t>
  </si>
  <si>
    <t>METAP1</t>
  </si>
  <si>
    <t>Proteasome activator complex subunit 2</t>
  </si>
  <si>
    <t>PSME2</t>
  </si>
  <si>
    <t>CTP synthase 1</t>
  </si>
  <si>
    <t>CTPS1</t>
  </si>
  <si>
    <t>Q08257;Q08257-3</t>
  </si>
  <si>
    <t>Q08257</t>
  </si>
  <si>
    <t>Quinone oxidoreductase</t>
  </si>
  <si>
    <t>CRYZ;CRYZ</t>
  </si>
  <si>
    <t>CRYZ</t>
  </si>
  <si>
    <t>P56134;P56134-2;P56134-3;P56134-4</t>
  </si>
  <si>
    <t>P56134</t>
  </si>
  <si>
    <t>ATP synthase subunit f, mitochondrial</t>
  </si>
  <si>
    <t>ATP5MF;ATP5MF;ATP5MF;ATP5MF</t>
  </si>
  <si>
    <t>ATP5MF</t>
  </si>
  <si>
    <t>Lipoma-preferred partner</t>
  </si>
  <si>
    <t>LPP</t>
  </si>
  <si>
    <t>O60763;O60763-2</t>
  </si>
  <si>
    <t>General vesicular transport factor p115</t>
  </si>
  <si>
    <t>USO1;USO1</t>
  </si>
  <si>
    <t>USO1</t>
  </si>
  <si>
    <t>ATP synthase F(0) complex subunit B1, mitochondrial</t>
  </si>
  <si>
    <t>ATP5PB</t>
  </si>
  <si>
    <t>O00410;O00410-3</t>
  </si>
  <si>
    <t>Importin-5</t>
  </si>
  <si>
    <t>IPO5;IPO5</t>
  </si>
  <si>
    <t>IPO5</t>
  </si>
  <si>
    <t>P17931</t>
  </si>
  <si>
    <t>Galectin-3</t>
  </si>
  <si>
    <t>LGALS3</t>
  </si>
  <si>
    <t>Q7Z6Z7;Q7Z6Z7-2;Q7Z6Z7-3</t>
  </si>
  <si>
    <t>Q7Z6Z7</t>
  </si>
  <si>
    <t>E3 ubiquitin-protein ligase HUWE1</t>
  </si>
  <si>
    <t>HUWE1;HUWE1;HUWE1</t>
  </si>
  <si>
    <t>HUWE1</t>
  </si>
  <si>
    <t>Wiskott-Aldrich syndrome protein</t>
  </si>
  <si>
    <t>WAS</t>
  </si>
  <si>
    <t>Q9P2R7;Q9P2R7-2</t>
  </si>
  <si>
    <t>Q9P2R7</t>
  </si>
  <si>
    <t>Succinate--CoA ligase [ADP-forming] subunit beta, mitochondrial</t>
  </si>
  <si>
    <t>SUCLA2;SUCLA2</t>
  </si>
  <si>
    <t>SUCLA2</t>
  </si>
  <si>
    <t>O15439;O15439-2</t>
  </si>
  <si>
    <t>O15439</t>
  </si>
  <si>
    <t>Multidrug resistance-associated protein 4</t>
  </si>
  <si>
    <t>ABCC4;ABCC4</t>
  </si>
  <si>
    <t>ABCC4</t>
  </si>
  <si>
    <t>Ras-related protein Rab-4A</t>
  </si>
  <si>
    <t>RAB4A</t>
  </si>
  <si>
    <t>P28331;P28331-2;P28331-4;P28331-5</t>
  </si>
  <si>
    <t>P28331</t>
  </si>
  <si>
    <t>NADH-ubiquinone oxidoreductase 75 kDa subunit, mitochondrial</t>
  </si>
  <si>
    <t>NDUFS1;NDUFS1;NDUFS1;NDUFS1</t>
  </si>
  <si>
    <t>NDUFS1</t>
  </si>
  <si>
    <t>P41218</t>
  </si>
  <si>
    <t>Myeloid cell nuclear differentiation antigen</t>
  </si>
  <si>
    <t>MNDA</t>
  </si>
  <si>
    <t>Calcium-binding mitochondrial carrier protein Aralar2</t>
  </si>
  <si>
    <t>SLC25A13;SLC25A13</t>
  </si>
  <si>
    <t>SLC25A13</t>
  </si>
  <si>
    <t>Q9Y305;Q9Y305-2;Q9Y305-4</t>
  </si>
  <si>
    <t>Q9Y305</t>
  </si>
  <si>
    <t>Acyl-coenzyme A thioesterase 9, mitochondrial</t>
  </si>
  <si>
    <t>ACOT9;ACOT9;ACOT9</t>
  </si>
  <si>
    <t>ACOT9</t>
  </si>
  <si>
    <t>P11277;P11277-2</t>
  </si>
  <si>
    <t>P11277</t>
  </si>
  <si>
    <t>Spectrin beta chain, erythrocytic</t>
  </si>
  <si>
    <t>SPTB;SPTB</t>
  </si>
  <si>
    <t>SPTB</t>
  </si>
  <si>
    <t>Vesicle-fusing ATPase</t>
  </si>
  <si>
    <t>NSF</t>
  </si>
  <si>
    <t>Q5TZA2</t>
  </si>
  <si>
    <t>Rootletin</t>
  </si>
  <si>
    <t>CROCC</t>
  </si>
  <si>
    <t>Spectrin beta chain, non-erythrocytic 1</t>
  </si>
  <si>
    <t>SPTBN1</t>
  </si>
  <si>
    <t>A0A0C4DH24</t>
  </si>
  <si>
    <t>Immunoglobulin kappa variable 6-21</t>
  </si>
  <si>
    <t>IGKV6-21</t>
  </si>
  <si>
    <t>Tetratricopeptide repeat protein 38</t>
  </si>
  <si>
    <t>TTC38</t>
  </si>
  <si>
    <t>Q9H269;Q9H269-2</t>
  </si>
  <si>
    <t>Q9H269</t>
  </si>
  <si>
    <t>Vacuolar protein sorting-associated protein 16 homolog</t>
  </si>
  <si>
    <t>VPS16;VPS16</t>
  </si>
  <si>
    <t>VPS16</t>
  </si>
  <si>
    <t>Q14520;Q14520-2</t>
  </si>
  <si>
    <t>Q14520</t>
  </si>
  <si>
    <t>Hyaluronan-binding protein 2</t>
  </si>
  <si>
    <t>HABP2;HABP2</t>
  </si>
  <si>
    <t>HABP2</t>
  </si>
  <si>
    <t>S-formylglutathione hydrolase</t>
  </si>
  <si>
    <t>ESD</t>
  </si>
  <si>
    <t>Vacuolar protein sorting-associated protein 4A</t>
  </si>
  <si>
    <t>VPS4A</t>
  </si>
  <si>
    <t>Q9UI12;Q9UI12-2</t>
  </si>
  <si>
    <t>Q9UI12</t>
  </si>
  <si>
    <t>V-type proton ATPase subunit H</t>
  </si>
  <si>
    <t>ATP6V1H;ATP6V1H</t>
  </si>
  <si>
    <t>ATP6V1H</t>
  </si>
  <si>
    <t>P18433;P18433-2;P18433-3;P18433-4</t>
  </si>
  <si>
    <t>P18433</t>
  </si>
  <si>
    <t>Receptor-type tyrosine-protein phosphatase alpha</t>
  </si>
  <si>
    <t>PTPRA;NA;NA;NA</t>
  </si>
  <si>
    <t>PTPRA</t>
  </si>
  <si>
    <t>P48739;P48739-3</t>
  </si>
  <si>
    <t>Phosphatidylinositol transfer protein beta isoform</t>
  </si>
  <si>
    <t>PITPNB;PITPNB</t>
  </si>
  <si>
    <t>PITPNB</t>
  </si>
  <si>
    <t>O95671;O95671-2</t>
  </si>
  <si>
    <t>O95671</t>
  </si>
  <si>
    <t>N-acetylserotonin O-methyltransferase-like protein</t>
  </si>
  <si>
    <t>ASMTL;ASMTL</t>
  </si>
  <si>
    <t>ASMTL</t>
  </si>
  <si>
    <t>CON__P07224</t>
  </si>
  <si>
    <t>Q9NP58;Q9NP58-4</t>
  </si>
  <si>
    <t>Q9NP58</t>
  </si>
  <si>
    <t>ATP-binding cassette sub-family B member 6, mitochondrial</t>
  </si>
  <si>
    <t>ABCB6;ABCB6</t>
  </si>
  <si>
    <t>ABCB6</t>
  </si>
  <si>
    <t>Transferrin receptor protein 1</t>
  </si>
  <si>
    <t>TFRC</t>
  </si>
  <si>
    <t>26S proteasome non-ATPase regulatory subunit 2</t>
  </si>
  <si>
    <t>PSMD2</t>
  </si>
  <si>
    <t>P68400;Q8NEV1</t>
  </si>
  <si>
    <t>Casein kinase II subunit alpha</t>
  </si>
  <si>
    <t>CSNK2A1;CSNK2A3</t>
  </si>
  <si>
    <t>CSNK2A1</t>
  </si>
  <si>
    <t>Ras-related protein Rab-5C</t>
  </si>
  <si>
    <t>RAB5C;RAB5C</t>
  </si>
  <si>
    <t>RAB5C</t>
  </si>
  <si>
    <t>26S proteasome regulatory subunit 4</t>
  </si>
  <si>
    <t>PSMC1</t>
  </si>
  <si>
    <t>Q00722;Q00722-2;Q00722-3</t>
  </si>
  <si>
    <t>Q00722</t>
  </si>
  <si>
    <t>1-phosphatidylinositol 4,5-bisphosphate phosphodiesterase beta-2</t>
  </si>
  <si>
    <t>PLCB2;PLCB2;PLCB2</t>
  </si>
  <si>
    <t>PLCB2</t>
  </si>
  <si>
    <t>Q7Z3D6;Q7Z3D6-2;Q7Z3D6-3;Q7Z3D6-4;Q7Z3D6-5</t>
  </si>
  <si>
    <t>Q7Z3D6</t>
  </si>
  <si>
    <t>D-glutamate cyclase, mitochondrial</t>
  </si>
  <si>
    <t>DGLUCY;DGLUCY;DGLUCY;DGLUCY;DGLUCY</t>
  </si>
  <si>
    <t>DGLUCY</t>
  </si>
  <si>
    <t>Q14CN4;Q14CN4-2;Q14CN4-3</t>
  </si>
  <si>
    <t>Q14CN4</t>
  </si>
  <si>
    <t>Keratin, type II cytoskeletal 72</t>
  </si>
  <si>
    <t>KRT72;KRT72;KRT72</t>
  </si>
  <si>
    <t>KRT72</t>
  </si>
  <si>
    <t>Q9H832;Q9H832-2</t>
  </si>
  <si>
    <t>Q9H832</t>
  </si>
  <si>
    <t>Ubiquitin-conjugating enzyme E2 Z</t>
  </si>
  <si>
    <t>UBE2Z;UBE2Z</t>
  </si>
  <si>
    <t>UBE2Z</t>
  </si>
  <si>
    <t>Dynein light chain 2, cytoplasmic</t>
  </si>
  <si>
    <t>DYNLL2</t>
  </si>
  <si>
    <t>Ras-related protein Rab-8B</t>
  </si>
  <si>
    <t>RAB8B</t>
  </si>
  <si>
    <t>Mitochondrial import receptor subunit TOM70</t>
  </si>
  <si>
    <t>TOMM70</t>
  </si>
  <si>
    <t>Transmembrane protein 43</t>
  </si>
  <si>
    <t>TMEM43</t>
  </si>
  <si>
    <t>O00159;O00159-2;O00159-3</t>
  </si>
  <si>
    <t>O00159</t>
  </si>
  <si>
    <t>Unconventional myosin-Ic</t>
  </si>
  <si>
    <t>MYO1C;MYO1C;MYO1C</t>
  </si>
  <si>
    <t>MYO1C</t>
  </si>
  <si>
    <t>Serine/threonine-protein phosphatase CPPED1</t>
  </si>
  <si>
    <t>CPPED1</t>
  </si>
  <si>
    <t>P31749</t>
  </si>
  <si>
    <t>RAC-alpha serine/threonine-protein kinase</t>
  </si>
  <si>
    <t>AKT1</t>
  </si>
  <si>
    <t>FAST kinase domain-containing protein 5, mitochondrial</t>
  </si>
  <si>
    <t>FASTKD5</t>
  </si>
  <si>
    <t>Coatomer subunit gamma-2</t>
  </si>
  <si>
    <t>COPG2</t>
  </si>
  <si>
    <t>Ankyrin repeat and SAM domain-containing protein 1A</t>
  </si>
  <si>
    <t>ANKS1A</t>
  </si>
  <si>
    <t>P04156;P04156-2</t>
  </si>
  <si>
    <t>P04156</t>
  </si>
  <si>
    <t>Major prion protein</t>
  </si>
  <si>
    <t>PRNP;NA</t>
  </si>
  <si>
    <t>PRNP</t>
  </si>
  <si>
    <t>Mitogen-activated protein kinase kinase kinase 5</t>
  </si>
  <si>
    <t>MAP3K5</t>
  </si>
  <si>
    <t>Fatty acid synthase</t>
  </si>
  <si>
    <t>FASN</t>
  </si>
  <si>
    <t>O43175</t>
  </si>
  <si>
    <t>D-3-phosphoglycerate dehydrogenase</t>
  </si>
  <si>
    <t>PHGDH</t>
  </si>
  <si>
    <t>Q9NR28;Q9NR28-2</t>
  </si>
  <si>
    <t>Q9NR28</t>
  </si>
  <si>
    <t>Diablo homolog, mitochondrial</t>
  </si>
  <si>
    <t>DIABLO;DIABLO</t>
  </si>
  <si>
    <t>DIABLO</t>
  </si>
  <si>
    <t>Rab3 GTPase-activating protein catalytic subunit</t>
  </si>
  <si>
    <t>RAB3GAP1;RAB3GAP1;RAB3GAP1</t>
  </si>
  <si>
    <t>RAB3GAP1</t>
  </si>
  <si>
    <t>Q9BQA9;Q9BQA9-2</t>
  </si>
  <si>
    <t>Q9BQA9</t>
  </si>
  <si>
    <t>Cytochrome b-245 chaperone 1</t>
  </si>
  <si>
    <t>CYBC1;CYBC1</t>
  </si>
  <si>
    <t>CYBC1</t>
  </si>
  <si>
    <t>Vacuolar protein sorting-associated protein 18 homolog</t>
  </si>
  <si>
    <t>VPS18</t>
  </si>
  <si>
    <t>Proto-oncogene vav</t>
  </si>
  <si>
    <t>VAV1</t>
  </si>
  <si>
    <t>Q86VV8;Q86VV8-3</t>
  </si>
  <si>
    <t>Q86VV8</t>
  </si>
  <si>
    <t>Rotatin</t>
  </si>
  <si>
    <t>RTTN;RTTN</t>
  </si>
  <si>
    <t>RTTN</t>
  </si>
  <si>
    <t>Q6ULP2;Q6ULP2-2;Q6ULP2-3;Q6ULP2-4;Q6ULP2-5</t>
  </si>
  <si>
    <t>Q6ULP2</t>
  </si>
  <si>
    <t>Aftiphilin</t>
  </si>
  <si>
    <t>AFTPH;NA;NA;NA;NA</t>
  </si>
  <si>
    <t>AFTPH</t>
  </si>
  <si>
    <t>P30487</t>
  </si>
  <si>
    <t>HLA class I histocompatibility antigen, B-49 alpha chain</t>
  </si>
  <si>
    <t>Beta-1-syntrophin</t>
  </si>
  <si>
    <t>SNTB1</t>
  </si>
  <si>
    <t>Charged multivesicular body protein 2a</t>
  </si>
  <si>
    <t>CHMP2A</t>
  </si>
  <si>
    <t>Heterogeneous nuclear ribonucleoproteins A2/B1</t>
  </si>
  <si>
    <t>HNRNPA2B1</t>
  </si>
  <si>
    <t>Adenosylhomocysteinase</t>
  </si>
  <si>
    <t>AHCY</t>
  </si>
  <si>
    <t>Q96EY8</t>
  </si>
  <si>
    <t>Corrinoid adenosyltransferase</t>
  </si>
  <si>
    <t>MMAB</t>
  </si>
  <si>
    <t>Q8NG11;Q8NG11-2</t>
  </si>
  <si>
    <t>Q8NG11</t>
  </si>
  <si>
    <t>Tetraspanin-14</t>
  </si>
  <si>
    <t>TSPAN14;TSPAN14</t>
  </si>
  <si>
    <t>TSPAN14</t>
  </si>
  <si>
    <t>A1X283</t>
  </si>
  <si>
    <t>SH3 and PX domain-containing protein 2B</t>
  </si>
  <si>
    <t>SH3PXD2B</t>
  </si>
  <si>
    <t>Q16775;Q16775-2</t>
  </si>
  <si>
    <t>Q16775</t>
  </si>
  <si>
    <t>Hydroxyacylglutathione hydrolase, mitochondrial</t>
  </si>
  <si>
    <t>HAGH;HAGH</t>
  </si>
  <si>
    <t>HAGH</t>
  </si>
  <si>
    <t>E3 ubiquitin-protein ligase TRIM21</t>
  </si>
  <si>
    <t>TRIM21</t>
  </si>
  <si>
    <t>Q96BS2;Q96BS2-3</t>
  </si>
  <si>
    <t>Q96BS2</t>
  </si>
  <si>
    <t>Calcineurin B homologous protein 3</t>
  </si>
  <si>
    <t>TESC;TESC</t>
  </si>
  <si>
    <t>TESC</t>
  </si>
  <si>
    <t>Q9UDY2;Q9UDY2-3;Q9UDY2-7</t>
  </si>
  <si>
    <t>Q9UDY2</t>
  </si>
  <si>
    <t>Tight junction protein ZO-2</t>
  </si>
  <si>
    <t>TJP2;TJP2;TJP2</t>
  </si>
  <si>
    <t>TJP2</t>
  </si>
  <si>
    <t>P46783</t>
  </si>
  <si>
    <t>40S ribosomal protein S10</t>
  </si>
  <si>
    <t>RPS10</t>
  </si>
  <si>
    <t>Endophilin-B2</t>
  </si>
  <si>
    <t>SH3GLB2</t>
  </si>
  <si>
    <t>Importin subunit alpha-7</t>
  </si>
  <si>
    <t>KPNA6</t>
  </si>
  <si>
    <t>Glutamine--tRNA ligase</t>
  </si>
  <si>
    <t>QARS</t>
  </si>
  <si>
    <t>Q99943</t>
  </si>
  <si>
    <t>1-acyl-sn-glycerol-3-phosphate acyltransferase alpha</t>
  </si>
  <si>
    <t>AGPAT1</t>
  </si>
  <si>
    <t>Q9H0W9;Q9H0W9-2</t>
  </si>
  <si>
    <t>Q9H0W9</t>
  </si>
  <si>
    <t>Ester hydrolase C11orf54</t>
  </si>
  <si>
    <t>C11orf54;C11orf54</t>
  </si>
  <si>
    <t>C11orf54</t>
  </si>
  <si>
    <t>P55735;P55735-2;P55735-3</t>
  </si>
  <si>
    <t>P55735</t>
  </si>
  <si>
    <t>Protein SEC13 homolog</t>
  </si>
  <si>
    <t>SEC13;SEC13;SEC13</t>
  </si>
  <si>
    <t>SEC13</t>
  </si>
  <si>
    <t>Q969X5;Q969X5-2</t>
  </si>
  <si>
    <t>Q969X5</t>
  </si>
  <si>
    <t>Endoplasmic reticulum-Golgi intermediate compartment protein 1</t>
  </si>
  <si>
    <t>ERGIC1;ERGIC1</t>
  </si>
  <si>
    <t>ERGIC1</t>
  </si>
  <si>
    <t>Alanine--tRNA ligase, cytoplasmic</t>
  </si>
  <si>
    <t>AARS</t>
  </si>
  <si>
    <t>Vesicle-associated membrane protein 3</t>
  </si>
  <si>
    <t>VAMP3</t>
  </si>
  <si>
    <t>Q96M96</t>
  </si>
  <si>
    <t>FYVE, RhoGEF and PH domain-containing protein 4</t>
  </si>
  <si>
    <t>FGD4</t>
  </si>
  <si>
    <t>MICOS complex subunit MIC19</t>
  </si>
  <si>
    <t>CHCHD3</t>
  </si>
  <si>
    <t>Monocyte differentiation antigen CD14</t>
  </si>
  <si>
    <t>CD14</t>
  </si>
  <si>
    <t>Oxysterol-binding protein 1</t>
  </si>
  <si>
    <t>OSBP</t>
  </si>
  <si>
    <t>DCN1-like protein 1</t>
  </si>
  <si>
    <t>DCUN1D1</t>
  </si>
  <si>
    <t>Kinesin-1 heavy chain</t>
  </si>
  <si>
    <t>KIF5B</t>
  </si>
  <si>
    <t>Q9H2C0</t>
  </si>
  <si>
    <t>Gigaxonin</t>
  </si>
  <si>
    <t>GAN</t>
  </si>
  <si>
    <t>P22307;P22307-8</t>
  </si>
  <si>
    <t>P22307</t>
  </si>
  <si>
    <t>Non-specific lipid-transfer protein</t>
  </si>
  <si>
    <t>SCP2;SCP2</t>
  </si>
  <si>
    <t>SCP2</t>
  </si>
  <si>
    <t>Serine/threonine-protein kinase MRCK beta</t>
  </si>
  <si>
    <t>CDC42BPB</t>
  </si>
  <si>
    <t>Tricarboxylate transport protein, mitochondrial</t>
  </si>
  <si>
    <t>SLC25A1</t>
  </si>
  <si>
    <t>Importin-7</t>
  </si>
  <si>
    <t>IPO7</t>
  </si>
  <si>
    <t>O95202</t>
  </si>
  <si>
    <t>Mitochondrial proton/calcium exchanger protein</t>
  </si>
  <si>
    <t>LETM1</t>
  </si>
  <si>
    <t>Isovaleryl-CoA dehydrogenase, mitochondrial</t>
  </si>
  <si>
    <t>IVD;IVD</t>
  </si>
  <si>
    <t>IVD</t>
  </si>
  <si>
    <t>26S proteasome non-ATPase regulatory subunit 11</t>
  </si>
  <si>
    <t>PSMD11;PSMD11</t>
  </si>
  <si>
    <t>PSMD11</t>
  </si>
  <si>
    <t>Hydroxymethylglutaryl-CoA lyase, mitochondrial</t>
  </si>
  <si>
    <t>HMGCL</t>
  </si>
  <si>
    <t>P09543;P09543-2</t>
  </si>
  <si>
    <t>P09543</t>
  </si>
  <si>
    <t>2',3'-cyclic-nucleotide 3'-phosphodiesterase</t>
  </si>
  <si>
    <t>CNP;CNP</t>
  </si>
  <si>
    <t>CNP</t>
  </si>
  <si>
    <t>Protein ERGIC-53</t>
  </si>
  <si>
    <t>LMAN1</t>
  </si>
  <si>
    <t>CON__P08730-1</t>
  </si>
  <si>
    <t>O75306;O75306-2</t>
  </si>
  <si>
    <t>O75306</t>
  </si>
  <si>
    <t>NADH dehydrogenase [ubiquinone] iron-sulfur protein 2, mitochondrial</t>
  </si>
  <si>
    <t>NDUFS2;NDUFS2</t>
  </si>
  <si>
    <t>NDUFS2</t>
  </si>
  <si>
    <t>Toll-interacting protein</t>
  </si>
  <si>
    <t>TOLLIP</t>
  </si>
  <si>
    <t>P0CG29;P0CG30</t>
  </si>
  <si>
    <t>P0CG29</t>
  </si>
  <si>
    <t>Glutathione S-transferase theta-2</t>
  </si>
  <si>
    <t>GSTT2;GSTT2B</t>
  </si>
  <si>
    <t>GSTT2</t>
  </si>
  <si>
    <t>Zinc finger CCCH-type antiviral protein 1</t>
  </si>
  <si>
    <t>ZC3HAV1</t>
  </si>
  <si>
    <t>COP9 signalosome complex subunit 2</t>
  </si>
  <si>
    <t>COPS2;COPS2</t>
  </si>
  <si>
    <t>COPS2</t>
  </si>
  <si>
    <t>Sialic acid synthase</t>
  </si>
  <si>
    <t>NANS</t>
  </si>
  <si>
    <t>O43312;O43312-2;O43312-4;O43312-5</t>
  </si>
  <si>
    <t>Metastasis suppressor protein 1</t>
  </si>
  <si>
    <t>MTSS1;MTSS1;MTSS1;MTSS1</t>
  </si>
  <si>
    <t>MTSS1</t>
  </si>
  <si>
    <t>CAD protein</t>
  </si>
  <si>
    <t>CAD</t>
  </si>
  <si>
    <t>P11117</t>
  </si>
  <si>
    <t>Lysosomal acid phosphatase</t>
  </si>
  <si>
    <t>ACP2</t>
  </si>
  <si>
    <t>Q8WTW3</t>
  </si>
  <si>
    <t>Conserved oligomeric Golgi complex subunit 1</t>
  </si>
  <si>
    <t>COG1</t>
  </si>
  <si>
    <t>Q14156;Q14156-2;Q14156-3</t>
  </si>
  <si>
    <t>Q14156</t>
  </si>
  <si>
    <t>Protein EFR3 homolog A</t>
  </si>
  <si>
    <t>EFR3A;EFR3A;EFR3A</t>
  </si>
  <si>
    <t>EFR3A</t>
  </si>
  <si>
    <t>Q15006</t>
  </si>
  <si>
    <t>ER membrane protein complex subunit 2</t>
  </si>
  <si>
    <t>EMC2</t>
  </si>
  <si>
    <t>Cartilage-associated protein</t>
  </si>
  <si>
    <t>CRTAP</t>
  </si>
  <si>
    <t>Q9UBW8</t>
  </si>
  <si>
    <t>COP9 signalosome complex subunit 7a</t>
  </si>
  <si>
    <t>COPS7A</t>
  </si>
  <si>
    <t>Rho-associated protein kinase 2</t>
  </si>
  <si>
    <t>ROCK2</t>
  </si>
  <si>
    <t>Ephrin-B1</t>
  </si>
  <si>
    <t>EFNB1</t>
  </si>
  <si>
    <t>Protein tyrosine phosphatase type IVA 2</t>
  </si>
  <si>
    <t>PTP4A2</t>
  </si>
  <si>
    <t>Q9NQW7-3;Q9NQW7-4</t>
  </si>
  <si>
    <t>Q9NQW7-3</t>
  </si>
  <si>
    <t>Isoform 3 of Xaa-Pro aminopeptidase 1</t>
  </si>
  <si>
    <t>XPNPEP1;XPNPEP1</t>
  </si>
  <si>
    <t>XPNPEP1</t>
  </si>
  <si>
    <t>Calcineurin B homologous protein 1</t>
  </si>
  <si>
    <t>CHP1</t>
  </si>
  <si>
    <t>P36980;P36980-2</t>
  </si>
  <si>
    <t>P36980</t>
  </si>
  <si>
    <t>Complement factor H-related protein 2</t>
  </si>
  <si>
    <t>CFHR2;CFHR2</t>
  </si>
  <si>
    <t>CFHR2</t>
  </si>
  <si>
    <t>P13521</t>
  </si>
  <si>
    <t>Secretogranin-2</t>
  </si>
  <si>
    <t>SCG2</t>
  </si>
  <si>
    <t>Magnesium transporter protein 1</t>
  </si>
  <si>
    <t>MAGT1</t>
  </si>
  <si>
    <t>Type II inositol 3,4-bisphosphate 4-phosphatase</t>
  </si>
  <si>
    <t>INPP4B</t>
  </si>
  <si>
    <t>26S proteasome regulatory subunit 10B</t>
  </si>
  <si>
    <t>PSMC6</t>
  </si>
  <si>
    <t>P13647</t>
  </si>
  <si>
    <t>Keratin, type II cytoskeletal 5</t>
  </si>
  <si>
    <t>KRT5</t>
  </si>
  <si>
    <t>Serpin H1</t>
  </si>
  <si>
    <t>SERPINH1</t>
  </si>
  <si>
    <t>Q92888;Q92888-3</t>
  </si>
  <si>
    <t>Rho guanine nucleotide exchange factor 1</t>
  </si>
  <si>
    <t>ARHGEF1;ARHGEF1</t>
  </si>
  <si>
    <t>ARHGEF1</t>
  </si>
  <si>
    <t>Epidermal growth factor receptor substrate 15</t>
  </si>
  <si>
    <t>EPS15</t>
  </si>
  <si>
    <t>DCC-interacting protein 13-alpha</t>
  </si>
  <si>
    <t>APPL1</t>
  </si>
  <si>
    <t>Q9H9A6</t>
  </si>
  <si>
    <t>Leucine-rich repeat-containing protein 40</t>
  </si>
  <si>
    <t>LRRC40</t>
  </si>
  <si>
    <t>Long-chain-fatty-acid--CoA ligase 3</t>
  </si>
  <si>
    <t>ACSL3</t>
  </si>
  <si>
    <t>P49321;P49321-2;P49321-3</t>
  </si>
  <si>
    <t>P49321</t>
  </si>
  <si>
    <t>Nuclear autoantigenic sperm protein</t>
  </si>
  <si>
    <t>NASP;NASP;NASP</t>
  </si>
  <si>
    <t>NASP</t>
  </si>
  <si>
    <t>Leucine-rich PPR motif-containing protein, mitochondrial</t>
  </si>
  <si>
    <t>LRPPRC</t>
  </si>
  <si>
    <t>Cullin-1</t>
  </si>
  <si>
    <t>CUL1</t>
  </si>
  <si>
    <t>Q9NVK5;Q9NVK5-2</t>
  </si>
  <si>
    <t>Q9NVK5</t>
  </si>
  <si>
    <t>FGFR1 oncogene partner 2</t>
  </si>
  <si>
    <t>FGFR1OP2;FGFR1OP2</t>
  </si>
  <si>
    <t>FGFR1OP2</t>
  </si>
  <si>
    <t>Q13107;Q13107-2</t>
  </si>
  <si>
    <t>Q13107</t>
  </si>
  <si>
    <t>Ubiquitin carboxyl-terminal hydrolase 4</t>
  </si>
  <si>
    <t>USP4;USP4</t>
  </si>
  <si>
    <t>USP4</t>
  </si>
  <si>
    <t>Q9UBQ5;Q9UBQ5-2</t>
  </si>
  <si>
    <t>Q9UBQ5</t>
  </si>
  <si>
    <t>Eukaryotic translation initiation factor 3 subunit K</t>
  </si>
  <si>
    <t>EIF3K;EIF3K</t>
  </si>
  <si>
    <t>EIF3K</t>
  </si>
  <si>
    <t>Q9Y6K5</t>
  </si>
  <si>
    <t>2'-5'-oligoadenylate synthase 3</t>
  </si>
  <si>
    <t>OAS3</t>
  </si>
  <si>
    <t>Tetratricopeptide repeat protein 1</t>
  </si>
  <si>
    <t>TTC1</t>
  </si>
  <si>
    <t>Ferritin light chain</t>
  </si>
  <si>
    <t>FTL</t>
  </si>
  <si>
    <t>Q96K76;Q96K76-4</t>
  </si>
  <si>
    <t>Q96K76</t>
  </si>
  <si>
    <t>Ubiquitin carboxyl-terminal hydrolase 47</t>
  </si>
  <si>
    <t>USP47;USP47</t>
  </si>
  <si>
    <t>USP47</t>
  </si>
  <si>
    <t>Tensin-1</t>
  </si>
  <si>
    <t>TNS1</t>
  </si>
  <si>
    <t>Importin-9</t>
  </si>
  <si>
    <t>IPO9</t>
  </si>
  <si>
    <t>Q58FF6</t>
  </si>
  <si>
    <t>Putative heat shock protein HSP 90-beta 4</t>
  </si>
  <si>
    <t>HSP90AB4P</t>
  </si>
  <si>
    <t>IgGFc-binding protein</t>
  </si>
  <si>
    <t>FCGBP</t>
  </si>
  <si>
    <t>Caspase-6</t>
  </si>
  <si>
    <t>CASP6</t>
  </si>
  <si>
    <t>Serine/threonine-protein kinase TAO3</t>
  </si>
  <si>
    <t>TAOK3</t>
  </si>
  <si>
    <t>Q9BRT3</t>
  </si>
  <si>
    <t>Migration and invasion enhancer 1</t>
  </si>
  <si>
    <t>MIEN1</t>
  </si>
  <si>
    <t>Q5EBM0;Q5EBM0-2;Q5EBM0-3;Q5EBM0-4</t>
  </si>
  <si>
    <t>Q5EBM0</t>
  </si>
  <si>
    <t>UMP-CMP kinase 2, mitochondrial</t>
  </si>
  <si>
    <t>CMPK2;CMPK2;CMPK2;CMPK2</t>
  </si>
  <si>
    <t>CMPK2</t>
  </si>
  <si>
    <t>Q9HCU5</t>
  </si>
  <si>
    <t>Prolactin regulatory element-binding protein</t>
  </si>
  <si>
    <t>PREB</t>
  </si>
  <si>
    <t>Casein kinase II subunit beta</t>
  </si>
  <si>
    <t>CSNK2B</t>
  </si>
  <si>
    <t>P19838;P19838-2</t>
  </si>
  <si>
    <t>Nuclear factor NF-kappa-B p105 subunit</t>
  </si>
  <si>
    <t>NFKB1;NFKB1</t>
  </si>
  <si>
    <t>NFKB1</t>
  </si>
  <si>
    <t>Serine/threonine-protein kinase D2</t>
  </si>
  <si>
    <t>PRKD2</t>
  </si>
  <si>
    <t>P33151</t>
  </si>
  <si>
    <t>Cadherin-5</t>
  </si>
  <si>
    <t>CDH5</t>
  </si>
  <si>
    <t>Eukaryotic initiation factor 4A-II</t>
  </si>
  <si>
    <t>EIF4A2;EIF4A2</t>
  </si>
  <si>
    <t>EIF4A2</t>
  </si>
  <si>
    <t>RuvB-like 1</t>
  </si>
  <si>
    <t>RUVBL1</t>
  </si>
  <si>
    <t>Engulfment and cell motility protein 1</t>
  </si>
  <si>
    <t>ELMO1</t>
  </si>
  <si>
    <t>P33121;P33121-2;P33121-3</t>
  </si>
  <si>
    <t>P33121</t>
  </si>
  <si>
    <t>Long-chain-fatty-acid--CoA ligase 1</t>
  </si>
  <si>
    <t>ACSL1;ACSL1;ACSL1</t>
  </si>
  <si>
    <t>ACSL1</t>
  </si>
  <si>
    <t>Q9Y3C5</t>
  </si>
  <si>
    <t>RING finger protein 11</t>
  </si>
  <si>
    <t>RNF11</t>
  </si>
  <si>
    <t>P06730;P06730-2;P06730-3</t>
  </si>
  <si>
    <t>Eukaryotic translation initiation factor 4E</t>
  </si>
  <si>
    <t>EIF4E;EIF4E;EIF4E</t>
  </si>
  <si>
    <t>EIF4E</t>
  </si>
  <si>
    <t>Q9P2R3;Q9P2R3-2;Q9P2R3-4</t>
  </si>
  <si>
    <t>Q9P2R3</t>
  </si>
  <si>
    <t>Rabankyrin-5</t>
  </si>
  <si>
    <t>ANKFY1;ANKFY1;ANKFY1</t>
  </si>
  <si>
    <t>ANKFY1</t>
  </si>
  <si>
    <t>MOB kinase activator 1A</t>
  </si>
  <si>
    <t>MOB1A</t>
  </si>
  <si>
    <t>High affinity immunoglobulin epsilon receptor subunit gamma</t>
  </si>
  <si>
    <t>FCER1G</t>
  </si>
  <si>
    <t>Q9UHB6;Q9UHB6-4</t>
  </si>
  <si>
    <t>Q9UHB6</t>
  </si>
  <si>
    <t>LIM domain and actin-binding protein 1</t>
  </si>
  <si>
    <t>LIMA1;LIMA1</t>
  </si>
  <si>
    <t>LIMA1</t>
  </si>
  <si>
    <t>Isocitrate dehydrogenase [NADP] cytoplasmic</t>
  </si>
  <si>
    <t>IDH1</t>
  </si>
  <si>
    <t>O60271;O60271-2;O60271-4;O60271-9</t>
  </si>
  <si>
    <t>O60271</t>
  </si>
  <si>
    <t>C-Jun-amino-terminal kinase-interacting protein 4</t>
  </si>
  <si>
    <t>SPAG9;SPAG9;SPAG9;SPAG9</t>
  </si>
  <si>
    <t>SPAG9</t>
  </si>
  <si>
    <t>P49902;P49902-2</t>
  </si>
  <si>
    <t>P49902</t>
  </si>
  <si>
    <t>Cytosolic purine 5'-nucleotidase</t>
  </si>
  <si>
    <t>NT5C2;NT5C2</t>
  </si>
  <si>
    <t>NT5C2</t>
  </si>
  <si>
    <t>Eukaryotic translation initiation factor 5</t>
  </si>
  <si>
    <t>EIF5</t>
  </si>
  <si>
    <t>Mitogen-activated protein kinase 14</t>
  </si>
  <si>
    <t>MAPK14</t>
  </si>
  <si>
    <t>Q14BN4;Q14BN4-2;Q14BN4-3</t>
  </si>
  <si>
    <t>Q14BN4</t>
  </si>
  <si>
    <t>Sarcolemmal membrane-associated protein</t>
  </si>
  <si>
    <t>SLMAP;SLMAP;SLMAP</t>
  </si>
  <si>
    <t>SLMAP</t>
  </si>
  <si>
    <t>E9PAV3;E9PAV3-2;Q13765</t>
  </si>
  <si>
    <t>E9PAV3</t>
  </si>
  <si>
    <t>Nascent polypeptide-associated complex subunit alpha, muscle-specific form</t>
  </si>
  <si>
    <t>NACA;NACA;NACA</t>
  </si>
  <si>
    <t>NACA</t>
  </si>
  <si>
    <t>CON__Q1RMN8</t>
  </si>
  <si>
    <t>O14964;O14964-2</t>
  </si>
  <si>
    <t>O14964</t>
  </si>
  <si>
    <t>Hepatocyte growth factor-regulated tyrosine kinase substrate</t>
  </si>
  <si>
    <t>HGS;HGS</t>
  </si>
  <si>
    <t>HGS</t>
  </si>
  <si>
    <t>Rab GTPase-activating protein 1</t>
  </si>
  <si>
    <t>RABGAP1</t>
  </si>
  <si>
    <t>Exportin-7</t>
  </si>
  <si>
    <t>XPO7</t>
  </si>
  <si>
    <t>Q9C0I1;Q9C0I1-2;Q9C0I1-3</t>
  </si>
  <si>
    <t>Q9C0I1</t>
  </si>
  <si>
    <t>Myotubularin-related protein 12</t>
  </si>
  <si>
    <t>MTMR12;MTMR12;MTMR12</t>
  </si>
  <si>
    <t>MTMR12</t>
  </si>
  <si>
    <t>Aspartate--tRNA ligase, mitochondrial</t>
  </si>
  <si>
    <t>DARS2</t>
  </si>
  <si>
    <t>P42167</t>
  </si>
  <si>
    <t>Lamina-associated polypeptide 2, isoforms beta/gamma</t>
  </si>
  <si>
    <t>TMPO</t>
  </si>
  <si>
    <t>Q08426</t>
  </si>
  <si>
    <t>Peroxisomal bifunctional enzyme</t>
  </si>
  <si>
    <t>EHHADH</t>
  </si>
  <si>
    <t>Q8TDZ2;Q8TDZ2-4</t>
  </si>
  <si>
    <t>[F-actin]-monooxygenase MICAL1</t>
  </si>
  <si>
    <t>MICAL1;MICAL1</t>
  </si>
  <si>
    <t>MICAL1</t>
  </si>
  <si>
    <t>Q9BZL4;Q9BZL4-2;Q9BZL4-4;Q9BZL4-5</t>
  </si>
  <si>
    <t>Q9BZL4</t>
  </si>
  <si>
    <t>Protein phosphatase 1 regulatory subunit 12C</t>
  </si>
  <si>
    <t>PPP1R12C;PPP1R12C;PPP1R12C;PPP1R12C</t>
  </si>
  <si>
    <t>PPP1R12C</t>
  </si>
  <si>
    <t>Trifunctional purine biosynthetic protein adenosine-3</t>
  </si>
  <si>
    <t>GART</t>
  </si>
  <si>
    <t>COP9 signalosome complex subunit 5</t>
  </si>
  <si>
    <t>COPS5</t>
  </si>
  <si>
    <t>Serine/threonine-protein kinase Nek7</t>
  </si>
  <si>
    <t>NEK7</t>
  </si>
  <si>
    <t>Isoform 2 of Protein unc-45 homolog A</t>
  </si>
  <si>
    <t>UNC45A</t>
  </si>
  <si>
    <t>Rab3 GTPase-activating protein non-catalytic subunit</t>
  </si>
  <si>
    <t>RAB3GAP2</t>
  </si>
  <si>
    <t>Elongation factor 2</t>
  </si>
  <si>
    <t>EEF2</t>
  </si>
  <si>
    <t>Proteasome subunit beta type-6</t>
  </si>
  <si>
    <t>PSMB6</t>
  </si>
  <si>
    <t>Q15642;Q15642-2</t>
  </si>
  <si>
    <t>Q15642</t>
  </si>
  <si>
    <t>Cdc42-interacting protein 4</t>
  </si>
  <si>
    <t>TRIP10;TRIP10</t>
  </si>
  <si>
    <t>TRIP10</t>
  </si>
  <si>
    <t>Q9UL15;Q9UL15-2</t>
  </si>
  <si>
    <t>Q9UL15</t>
  </si>
  <si>
    <t>BAG family molecular chaperone regulator 5</t>
  </si>
  <si>
    <t>BAG5;BAG5</t>
  </si>
  <si>
    <t>BAG5</t>
  </si>
  <si>
    <t>Q16891;Q16891-2;Q16891-3;Q16891-4</t>
  </si>
  <si>
    <t>Q16891</t>
  </si>
  <si>
    <t>MICOS complex subunit MIC60</t>
  </si>
  <si>
    <t>IMMT;IMMT;IMMT;IMMT</t>
  </si>
  <si>
    <t>IMMT</t>
  </si>
  <si>
    <t>Q14103;Q14103-2;Q14103-3;Q14103-4</t>
  </si>
  <si>
    <t>Q14103</t>
  </si>
  <si>
    <t>Heterogeneous nuclear ribonucleoprotein D0</t>
  </si>
  <si>
    <t>HNRNPD;HNRNPD;HNRNPD;HNRNPD</t>
  </si>
  <si>
    <t>HNRNPD</t>
  </si>
  <si>
    <t>Q8WXG6-2;Q8WXG6-3;Q8WXG6-4;Q8WXG6-5;Q8WXG6-6;Q8WXG6-8</t>
  </si>
  <si>
    <t>Q8WXG6-2</t>
  </si>
  <si>
    <t>Isoform 2 of MAP kinase-activating death domain protein</t>
  </si>
  <si>
    <t>MADD;MADD;MADD;MADD;MADD;MADD</t>
  </si>
  <si>
    <t>MADD</t>
  </si>
  <si>
    <t>Q8IUR7;Q8IUR7-2;Q8IUR7-3;Q8IUR7-6;Q8IUR7-7</t>
  </si>
  <si>
    <t>Q8IUR7</t>
  </si>
  <si>
    <t>Armadillo repeat-containing protein 8</t>
  </si>
  <si>
    <t>ARMC8;ARMC8;ARMC8;ARMC8;ARMC8</t>
  </si>
  <si>
    <t>ARMC8</t>
  </si>
  <si>
    <t>Q9P2J5;Q9P2J5-2</t>
  </si>
  <si>
    <t>Q9P2J5</t>
  </si>
  <si>
    <t>Leucine--tRNA ligase, cytoplasmic</t>
  </si>
  <si>
    <t>LARS;LARS</t>
  </si>
  <si>
    <t>LARS</t>
  </si>
  <si>
    <t>V-type proton ATPase subunit C 1</t>
  </si>
  <si>
    <t>ATP6V1C1</t>
  </si>
  <si>
    <t>Protein transport protein Sec23A</t>
  </si>
  <si>
    <t>SEC23A</t>
  </si>
  <si>
    <t>P46976;P46976-2</t>
  </si>
  <si>
    <t>P46976</t>
  </si>
  <si>
    <t>Glycogenin-1</t>
  </si>
  <si>
    <t>GYG1;GYG1</t>
  </si>
  <si>
    <t>GYG1</t>
  </si>
  <si>
    <t>Q9UHY7;Q9UHY7-2</t>
  </si>
  <si>
    <t>Q9UHY7</t>
  </si>
  <si>
    <t>Enolase-phosphatase E1</t>
  </si>
  <si>
    <t>ENOPH1;ENOPH1</t>
  </si>
  <si>
    <t>ENOPH1</t>
  </si>
  <si>
    <t>P30622;P30622-1;P30622-2</t>
  </si>
  <si>
    <t>P30622</t>
  </si>
  <si>
    <t>CAP-Gly domain-containing linker protein 1</t>
  </si>
  <si>
    <t>CLIP1;CLIP1;CLIP1</t>
  </si>
  <si>
    <t>CLIP1</t>
  </si>
  <si>
    <t>cAMP-dependent protein kinase catalytic subunit alpha</t>
  </si>
  <si>
    <t>PRKACA</t>
  </si>
  <si>
    <t>Peptidyl-prolyl cis-trans isomerase FKBP5</t>
  </si>
  <si>
    <t>FKBP5</t>
  </si>
  <si>
    <t>Proteasome subunit beta type-3</t>
  </si>
  <si>
    <t>PSMB3</t>
  </si>
  <si>
    <t>P81605;P81605-2</t>
  </si>
  <si>
    <t>P81605</t>
  </si>
  <si>
    <t>Dermcidin</t>
  </si>
  <si>
    <t>DCD;DCD</t>
  </si>
  <si>
    <t>DCD</t>
  </si>
  <si>
    <t>ADP-ribosylation factor 6</t>
  </si>
  <si>
    <t>ARF6</t>
  </si>
  <si>
    <t>Q92734;Q92734-2</t>
  </si>
  <si>
    <t>Q92734</t>
  </si>
  <si>
    <t>Protein TFG</t>
  </si>
  <si>
    <t>TFG;TFG</t>
  </si>
  <si>
    <t>TFG</t>
  </si>
  <si>
    <t>DnaJ homolog subfamily B member 6</t>
  </si>
  <si>
    <t>DNAJB6</t>
  </si>
  <si>
    <t>Q9Y2L9;Q9Y2L9-2;Q9Y2L9-3</t>
  </si>
  <si>
    <t>Q9Y2L9</t>
  </si>
  <si>
    <t>Leucine-rich repeat and calponin homology domain-containing protein 1</t>
  </si>
  <si>
    <t>LRCH1;LRCH1;LRCH1</t>
  </si>
  <si>
    <t>LRCH1</t>
  </si>
  <si>
    <t>P26373;P26373-2</t>
  </si>
  <si>
    <t>P26373</t>
  </si>
  <si>
    <t>60S ribosomal protein L13</t>
  </si>
  <si>
    <t>RPL13;RPL13</t>
  </si>
  <si>
    <t>RPL13</t>
  </si>
  <si>
    <t>Q66K14;Q66K14-2</t>
  </si>
  <si>
    <t>Q66K14</t>
  </si>
  <si>
    <t>TBC1 domain family member 9B</t>
  </si>
  <si>
    <t>TBC1D9B;TBC1D9B</t>
  </si>
  <si>
    <t>TBC1D9B</t>
  </si>
  <si>
    <t>P53365;P53365-2;P53365-3</t>
  </si>
  <si>
    <t>P53365</t>
  </si>
  <si>
    <t>Arfaptin-2</t>
  </si>
  <si>
    <t>ARFIP2;ARFIP2;ARFIP2</t>
  </si>
  <si>
    <t>ARFIP2</t>
  </si>
  <si>
    <t>DnaJ homolog subfamily A member 1</t>
  </si>
  <si>
    <t>DNAJA1</t>
  </si>
  <si>
    <t>Cytoplasmic dynein 1 heavy chain 1</t>
  </si>
  <si>
    <t>DYNC1H1</t>
  </si>
  <si>
    <t>Gamma-glutamyl hydrolase</t>
  </si>
  <si>
    <t>GGH</t>
  </si>
  <si>
    <t>P20142;P20142-2</t>
  </si>
  <si>
    <t>P20142</t>
  </si>
  <si>
    <t>Gastricsin</t>
  </si>
  <si>
    <t>PGC;PGC</t>
  </si>
  <si>
    <t>PGC</t>
  </si>
  <si>
    <t>O60488;O60488-2</t>
  </si>
  <si>
    <t>O60488</t>
  </si>
  <si>
    <t>Long-chain-fatty-acid--CoA ligase 4</t>
  </si>
  <si>
    <t>ACSL4;ACSL4</t>
  </si>
  <si>
    <t>ACSL4</t>
  </si>
  <si>
    <t>Secretory carrier-associated membrane protein 3</t>
  </si>
  <si>
    <t>SCAMP3</t>
  </si>
  <si>
    <t>Short-chain specific acyl-CoA dehydrogenase, mitochondrial</t>
  </si>
  <si>
    <t>ACADS</t>
  </si>
  <si>
    <t>Peptidyl-prolyl cis-trans isomerase FKBP1A</t>
  </si>
  <si>
    <t>FKBP1A</t>
  </si>
  <si>
    <t>Eukaryotic translation initiation factor 2 subunit 1</t>
  </si>
  <si>
    <t>EIF2S1</t>
  </si>
  <si>
    <t>O75352;O75352-2</t>
  </si>
  <si>
    <t>O75352</t>
  </si>
  <si>
    <t>Mannose-P-dolichol utilization defect 1 protein</t>
  </si>
  <si>
    <t>MPDU1;MPDU1</t>
  </si>
  <si>
    <t>MPDU1</t>
  </si>
  <si>
    <t>40S ribosomal protein S4, X isoform</t>
  </si>
  <si>
    <t>RPS4X</t>
  </si>
  <si>
    <t>UV excision repair protein RAD23 homolog B</t>
  </si>
  <si>
    <t>RAD23B</t>
  </si>
  <si>
    <t>AFG3-like protein 2</t>
  </si>
  <si>
    <t>AFG3L2</t>
  </si>
  <si>
    <t>Protein canopy homolog 3</t>
  </si>
  <si>
    <t>CNPY3</t>
  </si>
  <si>
    <t>Q8TBX8;Q8TBX8-3</t>
  </si>
  <si>
    <t>Q8TBX8</t>
  </si>
  <si>
    <t>Phosphatidylinositol 5-phosphate 4-kinase type-2 gamma</t>
  </si>
  <si>
    <t>PIP4K2C;PIP4K2C</t>
  </si>
  <si>
    <t>PIP4K2C</t>
  </si>
  <si>
    <t>P98194;P98194-4</t>
  </si>
  <si>
    <t>P98194</t>
  </si>
  <si>
    <t>Calcium-transporting ATPase type 2C member 1</t>
  </si>
  <si>
    <t>ATP2C1;ATP2C1</t>
  </si>
  <si>
    <t>ATP2C1</t>
  </si>
  <si>
    <t>Q9UIQ6;Q9UIQ6-2;Q9UIQ6-3</t>
  </si>
  <si>
    <t>Q9UIQ6</t>
  </si>
  <si>
    <t>Leucyl-cystinyl aminopeptidase</t>
  </si>
  <si>
    <t>LNPEP;LNPEP;LNPEP</t>
  </si>
  <si>
    <t>LNPEP</t>
  </si>
  <si>
    <t>Q02218</t>
  </si>
  <si>
    <t>2-oxoglutarate dehydrogenase, mitochondrial</t>
  </si>
  <si>
    <t>OGDH</t>
  </si>
  <si>
    <t>Q04206;Q04206-2;Q04206-3;Q04206-4</t>
  </si>
  <si>
    <t>Q04206</t>
  </si>
  <si>
    <t>Transcription factor p65</t>
  </si>
  <si>
    <t>RELA;RELA;RELA;RELA</t>
  </si>
  <si>
    <t>RELA</t>
  </si>
  <si>
    <t>O14662;O14662-2;O14662-3;O14662-4;O14662-5</t>
  </si>
  <si>
    <t>O14662</t>
  </si>
  <si>
    <t>Syntaxin-16</t>
  </si>
  <si>
    <t>STX16;STX16;STX16;STX16;STX16</t>
  </si>
  <si>
    <t>STX16</t>
  </si>
  <si>
    <t>Q6BDS2</t>
  </si>
  <si>
    <t>UHRF1-binding protein 1</t>
  </si>
  <si>
    <t>UHRF1BP1</t>
  </si>
  <si>
    <t>AH receptor-interacting protein</t>
  </si>
  <si>
    <t>AIP</t>
  </si>
  <si>
    <t>Exocyst complex component 5</t>
  </si>
  <si>
    <t>EXOC5</t>
  </si>
  <si>
    <t>P54619;P54619-2;P54619-3</t>
  </si>
  <si>
    <t>P54619</t>
  </si>
  <si>
    <t>5'-AMP-activated protein kinase subunit gamma-1</t>
  </si>
  <si>
    <t>PRKAG1;PRKAG1;PRKAG1</t>
  </si>
  <si>
    <t>PRKAG1</t>
  </si>
  <si>
    <t>P98179</t>
  </si>
  <si>
    <t>RNA-binding protein 3</t>
  </si>
  <si>
    <t>RBM3</t>
  </si>
  <si>
    <t>ATP-dependent RNA helicase DDX1</t>
  </si>
  <si>
    <t>DDX1</t>
  </si>
  <si>
    <t>Platelet-activating factor acetylhydrolase IB subunit alpha</t>
  </si>
  <si>
    <t>PAFAH1B1</t>
  </si>
  <si>
    <t>26S proteasome regulatory subunit 7</t>
  </si>
  <si>
    <t>PSMC2</t>
  </si>
  <si>
    <t>P51649;P51649-2</t>
  </si>
  <si>
    <t>P51649</t>
  </si>
  <si>
    <t>Succinate-semialdehyde dehydrogenase, mitochondrial</t>
  </si>
  <si>
    <t>ALDH5A1;ALDH5A1</t>
  </si>
  <si>
    <t>ALDH5A1</t>
  </si>
  <si>
    <t>Isoform 3 of Dynactin subunit 1</t>
  </si>
  <si>
    <t>DCTN1</t>
  </si>
  <si>
    <t>S-adenosylhomocysteine hydrolase-like protein 1</t>
  </si>
  <si>
    <t>AHCYL1</t>
  </si>
  <si>
    <t>Q8WWK9;Q8WWK9-4;Q8WWK9-5;Q8WWK9-6</t>
  </si>
  <si>
    <t>Q8WWK9</t>
  </si>
  <si>
    <t>Cytoskeleton-associated protein 2</t>
  </si>
  <si>
    <t>CKAP2;CKAP2;CKAP2;CKAP2</t>
  </si>
  <si>
    <t>CKAP2</t>
  </si>
  <si>
    <t>P04424;P04424-2</t>
  </si>
  <si>
    <t>P04424</t>
  </si>
  <si>
    <t>Argininosuccinate lyase</t>
  </si>
  <si>
    <t>ASL;ASL</t>
  </si>
  <si>
    <t>ASL</t>
  </si>
  <si>
    <t>O15212</t>
  </si>
  <si>
    <t>Prefoldin subunit 6</t>
  </si>
  <si>
    <t>PFDN6</t>
  </si>
  <si>
    <t>P49189</t>
  </si>
  <si>
    <t>4-trimethylaminobutyraldehyde dehydrogenase</t>
  </si>
  <si>
    <t>ALDH9A1</t>
  </si>
  <si>
    <t>Cytochrome b-c1 complex subunit 7</t>
  </si>
  <si>
    <t>UQCRB</t>
  </si>
  <si>
    <t>Eukaryotic translation initiation factor 3 subunit F</t>
  </si>
  <si>
    <t>EIF3F</t>
  </si>
  <si>
    <t>Q9UH62</t>
  </si>
  <si>
    <t>Armadillo repeat-containing X-linked protein 3</t>
  </si>
  <si>
    <t>ARMCX3</t>
  </si>
  <si>
    <t>Q07866;Q07866-10;Q07866-2;Q07866-3;Q07866-4;Q07866-5;Q07866-6;Q07866-7;Q07866-8;Q07866-9</t>
  </si>
  <si>
    <t>Q07866</t>
  </si>
  <si>
    <t>Kinesin light chain 1</t>
  </si>
  <si>
    <t>KLC1;KLC1;KLC1;KLC1;KLC1;KLC1;KLC1;KLC1;KLC1;KLC1</t>
  </si>
  <si>
    <t>KLC1</t>
  </si>
  <si>
    <t>Cathepsin G</t>
  </si>
  <si>
    <t>CTSG</t>
  </si>
  <si>
    <t>Glutathione S-transferase Mu 3</t>
  </si>
  <si>
    <t>GSTM3</t>
  </si>
  <si>
    <t>Q53H82</t>
  </si>
  <si>
    <t>Endoribonuclease LACTB2</t>
  </si>
  <si>
    <t>LACTB2</t>
  </si>
  <si>
    <t>Kinesin-like protein KIF13B</t>
  </si>
  <si>
    <t>KIF13B</t>
  </si>
  <si>
    <t>Ribosome maturation protein SBDS</t>
  </si>
  <si>
    <t>SBDS</t>
  </si>
  <si>
    <t>P35613;P35613-2</t>
  </si>
  <si>
    <t>P35613</t>
  </si>
  <si>
    <t>Basigin</t>
  </si>
  <si>
    <t>BSG;BSG</t>
  </si>
  <si>
    <t>BSG</t>
  </si>
  <si>
    <t>O60645;O60645-2;O60645-3</t>
  </si>
  <si>
    <t>O60645</t>
  </si>
  <si>
    <t>Exocyst complex component 3</t>
  </si>
  <si>
    <t>EXOC3;EXOC3;EXOC3</t>
  </si>
  <si>
    <t>EXOC3</t>
  </si>
  <si>
    <t>Q9Y2S2;Q9Y2S2-2</t>
  </si>
  <si>
    <t>Q9Y2S2</t>
  </si>
  <si>
    <t>Lambda-crystallin homolog</t>
  </si>
  <si>
    <t>CRYL1;CRYL1</t>
  </si>
  <si>
    <t>CRYL1</t>
  </si>
  <si>
    <t>Q12882</t>
  </si>
  <si>
    <t>Dihydropyrimidine dehydrogenase [NADP(+)]</t>
  </si>
  <si>
    <t>DPYD</t>
  </si>
  <si>
    <t>Succinate--CoA ligase [ADP/GDP-forming] subunit alpha, mitochondrial</t>
  </si>
  <si>
    <t>SUCLG1</t>
  </si>
  <si>
    <t>D-aminoacyl-tRNA deacylase 1</t>
  </si>
  <si>
    <t>DTD1</t>
  </si>
  <si>
    <t>Q9Y6B6</t>
  </si>
  <si>
    <t>GTP-binding protein SAR1b</t>
  </si>
  <si>
    <t>SAR1B</t>
  </si>
  <si>
    <t>Interstitial collagenase</t>
  </si>
  <si>
    <t>MMP1</t>
  </si>
  <si>
    <t>Spermine synthase</t>
  </si>
  <si>
    <t>SMS;SMS</t>
  </si>
  <si>
    <t>SMS</t>
  </si>
  <si>
    <t>Q99873;Q99873-2;Q99873-3;Q99873-4</t>
  </si>
  <si>
    <t>Q99873</t>
  </si>
  <si>
    <t>Protein arginine N-methyltransferase 1</t>
  </si>
  <si>
    <t>PRMT1;PRMT1;PRMT1;NA</t>
  </si>
  <si>
    <t>PRMT1</t>
  </si>
  <si>
    <t>B-cell receptor-associated protein 31</t>
  </si>
  <si>
    <t>BCAP31;BCAP31</t>
  </si>
  <si>
    <t>BCAP31</t>
  </si>
  <si>
    <t>Eukaryotic translation initiation factor 3 subunit E</t>
  </si>
  <si>
    <t>EIF3E</t>
  </si>
  <si>
    <t>Q96N66;Q96N66-2;Q96N66-3</t>
  </si>
  <si>
    <t>Q96N66</t>
  </si>
  <si>
    <t>Lysophospholipid acyltransferase 7</t>
  </si>
  <si>
    <t>MBOAT7;MBOAT7;MBOAT7</t>
  </si>
  <si>
    <t>MBOAT7</t>
  </si>
  <si>
    <t>P10155;P10155-3;P10155-4;P10155-5</t>
  </si>
  <si>
    <t>P10155</t>
  </si>
  <si>
    <t>60 kDa SS-A/Ro ribonucleoprotein</t>
  </si>
  <si>
    <t>TROVE2;TROVE2;TROVE2;TROVE2</t>
  </si>
  <si>
    <t>TROVE2</t>
  </si>
  <si>
    <t>Uridine 5'-monophosphate synthase</t>
  </si>
  <si>
    <t>UMPS</t>
  </si>
  <si>
    <t>Huntingtin</t>
  </si>
  <si>
    <t>HTT</t>
  </si>
  <si>
    <t>Q15738</t>
  </si>
  <si>
    <t>Sterol-4-alpha-carboxylate 3-dehydrogenase, decarboxylating</t>
  </si>
  <si>
    <t>NSDHL</t>
  </si>
  <si>
    <t>P53814;P53814-5;P53814-6</t>
  </si>
  <si>
    <t>P53814</t>
  </si>
  <si>
    <t>Smoothelin</t>
  </si>
  <si>
    <t>SMTN;SMTN;SMTN</t>
  </si>
  <si>
    <t>SMTN</t>
  </si>
  <si>
    <t>P50226</t>
  </si>
  <si>
    <t>Sulfotransferase 1A2</t>
  </si>
  <si>
    <t>SULT1A2</t>
  </si>
  <si>
    <t>Q8NB37;Q8NB37-2;Q8NB37-3</t>
  </si>
  <si>
    <t>Q8NB37</t>
  </si>
  <si>
    <t>Glutamine amidotransferase-like class 1 domain-containing protein 1</t>
  </si>
  <si>
    <t>GATD1;GATD1;GATD1</t>
  </si>
  <si>
    <t>GATD1</t>
  </si>
  <si>
    <t>RUN and FYVE domain-containing protein 1</t>
  </si>
  <si>
    <t>RUFY1</t>
  </si>
  <si>
    <t>Q9GZY8;Q9GZY8-2;Q9GZY8-3;Q9GZY8-4;Q9GZY8-5</t>
  </si>
  <si>
    <t>Q9GZY8</t>
  </si>
  <si>
    <t>Mitochondrial fission factor</t>
  </si>
  <si>
    <t>MFF;MFF;MFF;MFF;MFF</t>
  </si>
  <si>
    <t>MFF</t>
  </si>
  <si>
    <t>O95352</t>
  </si>
  <si>
    <t>Ubiquitin-like modifier-activating enzyme ATG7</t>
  </si>
  <si>
    <t>ATG7</t>
  </si>
  <si>
    <t>P63151;P63151-2</t>
  </si>
  <si>
    <t>Serine/threonine-protein phosphatase 2A 55 kDa regulatory subunit B alpha isoform</t>
  </si>
  <si>
    <t>PPP2R2A;PPP2R2A</t>
  </si>
  <si>
    <t>PPP2R2A</t>
  </si>
  <si>
    <t>O43324;O43324-2</t>
  </si>
  <si>
    <t>O43324</t>
  </si>
  <si>
    <t>Eukaryotic translation elongation factor 1 epsilon-1</t>
  </si>
  <si>
    <t>EEF1E1;EEF1E1</t>
  </si>
  <si>
    <t>EEF1E1</t>
  </si>
  <si>
    <t>Testis development-related protein</t>
  </si>
  <si>
    <t>TDRP;TDRP</t>
  </si>
  <si>
    <t>TDRP</t>
  </si>
  <si>
    <t>Q9NT62</t>
  </si>
  <si>
    <t>Ubiquitin-like-conjugating enzyme ATG3</t>
  </si>
  <si>
    <t>ATG3</t>
  </si>
  <si>
    <t>P62256</t>
  </si>
  <si>
    <t>Ubiquitin-conjugating enzyme E2 H</t>
  </si>
  <si>
    <t>UBE2H</t>
  </si>
  <si>
    <t>Q13618;Q13618-2</t>
  </si>
  <si>
    <t>Q13618</t>
  </si>
  <si>
    <t>Cullin-3</t>
  </si>
  <si>
    <t>CUL3;CUL3</t>
  </si>
  <si>
    <t>CUL3</t>
  </si>
  <si>
    <t>P49821;P49821-2</t>
  </si>
  <si>
    <t>P49821</t>
  </si>
  <si>
    <t>NADH dehydrogenase [ubiquinone] flavoprotein 1, mitochondrial</t>
  </si>
  <si>
    <t>NDUFV1;NDUFV1</t>
  </si>
  <si>
    <t>NDUFV1</t>
  </si>
  <si>
    <t>Q15843</t>
  </si>
  <si>
    <t>NEDD8</t>
  </si>
  <si>
    <t>Phosphoribosylformylglycinamidine synthase</t>
  </si>
  <si>
    <t>PFAS</t>
  </si>
  <si>
    <t>ATP-binding cassette sub-family B member 10, mitochondrial</t>
  </si>
  <si>
    <t>ABCB10</t>
  </si>
  <si>
    <t>Nucleolin</t>
  </si>
  <si>
    <t>NCL</t>
  </si>
  <si>
    <t>Q9Y6Y8;Q9Y6Y8-2</t>
  </si>
  <si>
    <t>Q9Y6Y8</t>
  </si>
  <si>
    <t>SEC23-interacting protein</t>
  </si>
  <si>
    <t>SEC23IP;SEC23IP</t>
  </si>
  <si>
    <t>SEC23IP</t>
  </si>
  <si>
    <t>Serine/threonine-protein kinase Nek9</t>
  </si>
  <si>
    <t>NEK9</t>
  </si>
  <si>
    <t>Bifunctional glutamate/proline--tRNA ligase</t>
  </si>
  <si>
    <t>EPRS</t>
  </si>
  <si>
    <t>Activin receptor type-1</t>
  </si>
  <si>
    <t>ACVR1</t>
  </si>
  <si>
    <t>Q96HD1</t>
  </si>
  <si>
    <t>Cysteine-rich with EGF-like domain protein 1</t>
  </si>
  <si>
    <t>CRELD1</t>
  </si>
  <si>
    <t>Polypeptide N-acetylgalactosaminyltransferase 2</t>
  </si>
  <si>
    <t>GALNT2</t>
  </si>
  <si>
    <t>Q9BVJ7</t>
  </si>
  <si>
    <t>Dual specificity protein phosphatase 23</t>
  </si>
  <si>
    <t>DUSP23</t>
  </si>
  <si>
    <t>Q06124;Q06124-2</t>
  </si>
  <si>
    <t>Q06124</t>
  </si>
  <si>
    <t>Tyrosine-protein phosphatase non-receptor type 11</t>
  </si>
  <si>
    <t>PTPN11;PTPN11</t>
  </si>
  <si>
    <t>PTPN11</t>
  </si>
  <si>
    <t>O14530;O14530-2</t>
  </si>
  <si>
    <t>O14530</t>
  </si>
  <si>
    <t>Thioredoxin domain-containing protein 9</t>
  </si>
  <si>
    <t>TXNDC9;TXNDC9</t>
  </si>
  <si>
    <t>TXNDC9</t>
  </si>
  <si>
    <t>Q9BRP4;Q9BRP4-2</t>
  </si>
  <si>
    <t>Q9BRP4</t>
  </si>
  <si>
    <t>Proteasomal ATPase-associated factor 1</t>
  </si>
  <si>
    <t>PAAF1;PAAF1</t>
  </si>
  <si>
    <t>PAAF1</t>
  </si>
  <si>
    <t>P51553;P51553-2</t>
  </si>
  <si>
    <t>P51553</t>
  </si>
  <si>
    <t>Isocitrate dehydrogenase [NAD] subunit gamma, mitochondrial</t>
  </si>
  <si>
    <t>IDH3G;IDH3G</t>
  </si>
  <si>
    <t>IDH3G</t>
  </si>
  <si>
    <t>Protein FAM114A2</t>
  </si>
  <si>
    <t>FAM114A2</t>
  </si>
  <si>
    <t>Hsp90 co-chaperone Cdc37</t>
  </si>
  <si>
    <t>CDC37</t>
  </si>
  <si>
    <t>Intercellular adhesion molecule 2</t>
  </si>
  <si>
    <t>ICAM2</t>
  </si>
  <si>
    <t>P05023;P05023-3;P05023-4</t>
  </si>
  <si>
    <t>P05023</t>
  </si>
  <si>
    <t>Sodium/potassium-transporting ATPase subunit alpha-1</t>
  </si>
  <si>
    <t>ATP1A1;ATP1A1;ATP1A1</t>
  </si>
  <si>
    <t>ATP1A1</t>
  </si>
  <si>
    <t>Q6YHK3;Q6YHK3-4</t>
  </si>
  <si>
    <t>Q6YHK3</t>
  </si>
  <si>
    <t>CD109 antigen</t>
  </si>
  <si>
    <t>CD109;CD109</t>
  </si>
  <si>
    <t>CD109</t>
  </si>
  <si>
    <t>Q14152;Q14152-2</t>
  </si>
  <si>
    <t>Q14152</t>
  </si>
  <si>
    <t>Eukaryotic translation initiation factor 3 subunit A</t>
  </si>
  <si>
    <t>EIF3A;EIF3A</t>
  </si>
  <si>
    <t>EIF3A</t>
  </si>
  <si>
    <t>P42696;P42696-2</t>
  </si>
  <si>
    <t>P42696</t>
  </si>
  <si>
    <t>RNA-binding protein 34</t>
  </si>
  <si>
    <t>RBM34;RBM34</t>
  </si>
  <si>
    <t>RBM34</t>
  </si>
  <si>
    <t>Annexin A2</t>
  </si>
  <si>
    <t>ANXA2</t>
  </si>
  <si>
    <t>Q99460;Q99460-2</t>
  </si>
  <si>
    <t>Q99460</t>
  </si>
  <si>
    <t>26S proteasome non-ATPase regulatory subunit 1</t>
  </si>
  <si>
    <t>PSMD1;PSMD1</t>
  </si>
  <si>
    <t>PSMD1</t>
  </si>
  <si>
    <t>O00507</t>
  </si>
  <si>
    <t>Probable ubiquitin carboxyl-terminal hydrolase FAF-Y</t>
  </si>
  <si>
    <t>USP9Y</t>
  </si>
  <si>
    <t>1,4-alpha-glucan-branching enzyme</t>
  </si>
  <si>
    <t>GBE1</t>
  </si>
  <si>
    <t>P62318;P62318-2</t>
  </si>
  <si>
    <t>P62318</t>
  </si>
  <si>
    <t>Small nuclear ribonucleoprotein Sm D3</t>
  </si>
  <si>
    <t>SNRPD3;SNRPD3</t>
  </si>
  <si>
    <t>SNRPD3</t>
  </si>
  <si>
    <t>Q13144</t>
  </si>
  <si>
    <t>Translation initiation factor eIF-2B subunit epsilon</t>
  </si>
  <si>
    <t>EIF2B5</t>
  </si>
  <si>
    <t>P20339;P20339-2</t>
  </si>
  <si>
    <t>P20339</t>
  </si>
  <si>
    <t>Ras-related protein Rab-5A</t>
  </si>
  <si>
    <t>RAB5A;RAB5A</t>
  </si>
  <si>
    <t>RAB5A</t>
  </si>
  <si>
    <t>Neutrophil elastase</t>
  </si>
  <si>
    <t>ELANE</t>
  </si>
  <si>
    <t>O94874</t>
  </si>
  <si>
    <t>E3 UFM1-protein ligase 1</t>
  </si>
  <si>
    <t>UFL1</t>
  </si>
  <si>
    <t>Q15155</t>
  </si>
  <si>
    <t>Nodal modulator 1</t>
  </si>
  <si>
    <t>NOMO1</t>
  </si>
  <si>
    <t>L0R6Q1</t>
  </si>
  <si>
    <t>SLC35A4 upstream open reading frame protein</t>
  </si>
  <si>
    <t>SLC35A4</t>
  </si>
  <si>
    <t>Sec1 family domain-containing protein 1</t>
  </si>
  <si>
    <t>SCFD1</t>
  </si>
  <si>
    <t>26S proteasome non-ATPase regulatory subunit 13</t>
  </si>
  <si>
    <t>PSMD13</t>
  </si>
  <si>
    <t>P09496;P09496-2;P09496-3;P09496-4</t>
  </si>
  <si>
    <t>P09496</t>
  </si>
  <si>
    <t>Clathrin light chain A</t>
  </si>
  <si>
    <t>CLTA;CLTA;CLTA;CLTA</t>
  </si>
  <si>
    <t>CLTA</t>
  </si>
  <si>
    <t>tRNA-splicing ligase RtcB homolog</t>
  </si>
  <si>
    <t>RTCB</t>
  </si>
  <si>
    <t>Q04637;Q04637-3;Q04637-4;Q04637-5;Q04637-8;Q04637-9</t>
  </si>
  <si>
    <t>Q04637</t>
  </si>
  <si>
    <t>Eukaryotic translation initiation factor 4 gamma 1</t>
  </si>
  <si>
    <t>EIF4G1;EIF4G1;EIF4G1;EIF4G1;EIF4G1;EIF4G1</t>
  </si>
  <si>
    <t>EIF4G1</t>
  </si>
  <si>
    <t>Q12931;Q12931-2</t>
  </si>
  <si>
    <t>Q12931</t>
  </si>
  <si>
    <t>Heat shock protein 75 kDa, mitochondrial</t>
  </si>
  <si>
    <t>TRAP1;TRAP1</t>
  </si>
  <si>
    <t>TRAP1</t>
  </si>
  <si>
    <t>P45954;P45954-2</t>
  </si>
  <si>
    <t>P45954</t>
  </si>
  <si>
    <t>Short/branched chain specific acyl-CoA dehydrogenase, mitochondrial</t>
  </si>
  <si>
    <t>ACADSB;ACADSB</t>
  </si>
  <si>
    <t>ACADSB</t>
  </si>
  <si>
    <t>Apolipoprotein A-II</t>
  </si>
  <si>
    <t>APOA2</t>
  </si>
  <si>
    <t>Q8IUX4</t>
  </si>
  <si>
    <t>DNA dC-&gt;dU-editing enzyme APOBEC-3F</t>
  </si>
  <si>
    <t>APOBEC3F</t>
  </si>
  <si>
    <t>Q8IXJ6;Q8IXJ6-2;Q8IXJ6-3;Q8IXJ6-4</t>
  </si>
  <si>
    <t>Q8IXJ6</t>
  </si>
  <si>
    <t>NAD-dependent protein deacetylase sirtuin-2</t>
  </si>
  <si>
    <t>SIRT2;SIRT2;SIRT2;SIRT2</t>
  </si>
  <si>
    <t>SIRT2</t>
  </si>
  <si>
    <t>P43686</t>
  </si>
  <si>
    <t>26S proteasome regulatory subunit 6B</t>
  </si>
  <si>
    <t>PSMC4</t>
  </si>
  <si>
    <t>Mitofusin-2</t>
  </si>
  <si>
    <t>MFN2</t>
  </si>
  <si>
    <t>Q9BT40;Q9BT40-2</t>
  </si>
  <si>
    <t>Q9BT40</t>
  </si>
  <si>
    <t>Inositol polyphosphate 5-phosphatase K</t>
  </si>
  <si>
    <t>INPP5K;INPP5K</t>
  </si>
  <si>
    <t>INPP5K</t>
  </si>
  <si>
    <t>A2RRP1</t>
  </si>
  <si>
    <t>Neuroblastoma-amplified sequence</t>
  </si>
  <si>
    <t>NBAS</t>
  </si>
  <si>
    <t>Beta-2-microglobulin</t>
  </si>
  <si>
    <t>B2M</t>
  </si>
  <si>
    <t>Q15645</t>
  </si>
  <si>
    <t>Pachytene checkpoint protein 2 homolog</t>
  </si>
  <si>
    <t>TRIP13</t>
  </si>
  <si>
    <t>P52306;P52306-4;P52306-5</t>
  </si>
  <si>
    <t>P52306</t>
  </si>
  <si>
    <t>Rap1 GTPase-GDP dissociation stimulator 1</t>
  </si>
  <si>
    <t>RAP1GDS1;RAP1GDS1;RAP1GDS1</t>
  </si>
  <si>
    <t>RAP1GDS1</t>
  </si>
  <si>
    <t>Q92791</t>
  </si>
  <si>
    <t>Endoplasmic reticulum protein SC65</t>
  </si>
  <si>
    <t>P3H4</t>
  </si>
  <si>
    <t>Hematopoietic lineage cell-specific protein</t>
  </si>
  <si>
    <t>HCLS1</t>
  </si>
  <si>
    <t>Q13564;Q13564-2;Q13564-3;Q13564-4</t>
  </si>
  <si>
    <t>Q13564</t>
  </si>
  <si>
    <t>NEDD8-activating enzyme E1 regulatory subunit</t>
  </si>
  <si>
    <t>NAE1;NAE1;NAE1;NAE1</t>
  </si>
  <si>
    <t>NAE1</t>
  </si>
  <si>
    <t>Q9Y4D1;Q9Y4D1-2</t>
  </si>
  <si>
    <t>Q9Y4D1</t>
  </si>
  <si>
    <t>Disheveled-associated activator of morphogenesis 1</t>
  </si>
  <si>
    <t>DAAM1;DAAM1</t>
  </si>
  <si>
    <t>DAAM1</t>
  </si>
  <si>
    <t>Q6NUK1;Q6NUK1-2</t>
  </si>
  <si>
    <t>Q6NUK1</t>
  </si>
  <si>
    <t>Calcium-binding mitochondrial carrier protein SCaMC-1</t>
  </si>
  <si>
    <t>SLC25A24;SLC25A24</t>
  </si>
  <si>
    <t>SLC25A24</t>
  </si>
  <si>
    <t>Q9BWS9;Q9BWS9-2;Q9BWS9-3</t>
  </si>
  <si>
    <t>Q9BWS9</t>
  </si>
  <si>
    <t>Chitinase domain-containing protein 1</t>
  </si>
  <si>
    <t>CHID1;CHID1;CHID1</t>
  </si>
  <si>
    <t>CHID1</t>
  </si>
  <si>
    <t>P23610</t>
  </si>
  <si>
    <t>Factor VIII intron 22 protein</t>
  </si>
  <si>
    <t>F8A1</t>
  </si>
  <si>
    <t>Q709C8;Q709C8-2;Q709C8-3;Q709C8-4</t>
  </si>
  <si>
    <t>Q709C8</t>
  </si>
  <si>
    <t>Vacuolar protein sorting-associated protein 13C</t>
  </si>
  <si>
    <t>VPS13C;VPS13C;VPS13C;VPS13C</t>
  </si>
  <si>
    <t>VPS13C</t>
  </si>
  <si>
    <t>Q15628;Q15628-2</t>
  </si>
  <si>
    <t>Q15628</t>
  </si>
  <si>
    <t>Tumor necrosis factor receptor type 1-associated DEATH domain protein</t>
  </si>
  <si>
    <t>TRADD;TRADD</t>
  </si>
  <si>
    <t>TRADD</t>
  </si>
  <si>
    <t>Q13838;Q13838-2</t>
  </si>
  <si>
    <t>Q13838</t>
  </si>
  <si>
    <t>Spliceosome RNA helicase DDX39B</t>
  </si>
  <si>
    <t>DDX39B;DDX39B</t>
  </si>
  <si>
    <t>DDX39B</t>
  </si>
  <si>
    <t>Q9H7B4</t>
  </si>
  <si>
    <t>Histone-lysine N-methyltransferase SMYD3</t>
  </si>
  <si>
    <t>SMYD3</t>
  </si>
  <si>
    <t>A6NHL2;A6NHL2-2</t>
  </si>
  <si>
    <t>A6NHL2</t>
  </si>
  <si>
    <t>Tubulin alpha chain-like 3</t>
  </si>
  <si>
    <t>TUBAL3;TUBAL3</t>
  </si>
  <si>
    <t>TUBAL3</t>
  </si>
  <si>
    <t>HLA class I histocompatibility antigen, B-8 alpha chain</t>
  </si>
  <si>
    <t>Q13813;Q13813-2;Q13813-3</t>
  </si>
  <si>
    <t>Q13813</t>
  </si>
  <si>
    <t>Spectrin alpha chain, non-erythrocytic 1</t>
  </si>
  <si>
    <t>SPTAN1;SPTAN1;SPTAN1</t>
  </si>
  <si>
    <t>SPTAN1</t>
  </si>
  <si>
    <t>P08195;P08195-2;P08195-3;P08195-4</t>
  </si>
  <si>
    <t>P08195</t>
  </si>
  <si>
    <t>4F2 cell-surface antigen heavy chain</t>
  </si>
  <si>
    <t>SLC3A2;SLC3A2;SLC3A2;SLC3A2</t>
  </si>
  <si>
    <t>SLC3A2</t>
  </si>
  <si>
    <t>Serine/threonine-protein kinase 10</t>
  </si>
  <si>
    <t>STK10</t>
  </si>
  <si>
    <t>Q14139;Q14139-2</t>
  </si>
  <si>
    <t>Q14139</t>
  </si>
  <si>
    <t>Ubiquitin conjugation factor E4 A</t>
  </si>
  <si>
    <t>UBE4A;UBE4A</t>
  </si>
  <si>
    <t>UBE4A</t>
  </si>
  <si>
    <t>Antigen peptide transporter 2</t>
  </si>
  <si>
    <t>TAP2</t>
  </si>
  <si>
    <t>Q92900;Q92900-2</t>
  </si>
  <si>
    <t>Q92900</t>
  </si>
  <si>
    <t>Regulator of nonsense transcripts 1</t>
  </si>
  <si>
    <t>UPF1;UPF1</t>
  </si>
  <si>
    <t>UPF1</t>
  </si>
  <si>
    <t>Vacuolar protein sorting-associated protein 28 homolog</t>
  </si>
  <si>
    <t>VPS28;VPS28</t>
  </si>
  <si>
    <t>VPS28</t>
  </si>
  <si>
    <t>Serine/threonine-protein phosphatase 5</t>
  </si>
  <si>
    <t>PPP5C</t>
  </si>
  <si>
    <t>Q96CM8;Q96CM8-2;Q96CM8-3;Q96CM8-4</t>
  </si>
  <si>
    <t>Q96CM8</t>
  </si>
  <si>
    <t>Acyl-CoA synthetase family member 2, mitochondrial</t>
  </si>
  <si>
    <t>ACSF2;ACSF2;ACSF2;ACSF2</t>
  </si>
  <si>
    <t>ACSF2</t>
  </si>
  <si>
    <t>HLA class I histocompatibility antigen, A-69 alpha chain</t>
  </si>
  <si>
    <t>Brefeldin A-inhibited guanine nucleotide-exchange protein 1</t>
  </si>
  <si>
    <t>ARFGEF1</t>
  </si>
  <si>
    <t>Isoleucine--tRNA ligase, cytoplasmic</t>
  </si>
  <si>
    <t>IARS</t>
  </si>
  <si>
    <t>O94925</t>
  </si>
  <si>
    <t>Glutaminase kidney isoform, mitochondrial</t>
  </si>
  <si>
    <t>GLS</t>
  </si>
  <si>
    <t>Microtubule-actin cross-linking factor 1, isoforms 1/2/3/5</t>
  </si>
  <si>
    <t>MACF1</t>
  </si>
  <si>
    <t>Q7Z4G4;Q7Z4G4-2;Q7Z4G4-3</t>
  </si>
  <si>
    <t>Q7Z4G4</t>
  </si>
  <si>
    <t>tRNA (guanine(10)-N2)-methyltransferase homolog</t>
  </si>
  <si>
    <t>TRMT11;TRMT11;TRMT11</t>
  </si>
  <si>
    <t>TRMT11</t>
  </si>
  <si>
    <t>P05452</t>
  </si>
  <si>
    <t>Tetranectin</t>
  </si>
  <si>
    <t>CLEC3B</t>
  </si>
  <si>
    <t>Sodium/hydrogen exchanger 1</t>
  </si>
  <si>
    <t>SLC9A1</t>
  </si>
  <si>
    <t>Q13033;Q13033-2</t>
  </si>
  <si>
    <t>Q13033</t>
  </si>
  <si>
    <t>Striatin-3</t>
  </si>
  <si>
    <t>STRN3;STRN3</t>
  </si>
  <si>
    <t>STRN3</t>
  </si>
  <si>
    <t>Ubiquitin-protein ligase E3C</t>
  </si>
  <si>
    <t>UBE3C</t>
  </si>
  <si>
    <t>Q99536</t>
  </si>
  <si>
    <t>Synaptic vesicle membrane protein VAT-1 homolog</t>
  </si>
  <si>
    <t>VAT1</t>
  </si>
  <si>
    <t>Q9BTZ2;Q9BTZ2-4;Q9BTZ2-8</t>
  </si>
  <si>
    <t>Q9BTZ2</t>
  </si>
  <si>
    <t>Dehydrogenase/reductase SDR family member 4</t>
  </si>
  <si>
    <t>DHRS4;DHRS4;DHRS4</t>
  </si>
  <si>
    <t>DHRS4</t>
  </si>
  <si>
    <t>Q9UNF1;Q9UNF1-2</t>
  </si>
  <si>
    <t>Q9UNF1</t>
  </si>
  <si>
    <t>Melanoma-associated antigen D2</t>
  </si>
  <si>
    <t>MAGED2;MAGED2</t>
  </si>
  <si>
    <t>MAGED2</t>
  </si>
  <si>
    <t>Small integral membrane protein 1</t>
  </si>
  <si>
    <t>SMIM1</t>
  </si>
  <si>
    <t>O14979;O14979-2;O14979-3</t>
  </si>
  <si>
    <t>O14979</t>
  </si>
  <si>
    <t>Heterogeneous nuclear ribonucleoprotein D-like</t>
  </si>
  <si>
    <t>HNRNPDL;HNRNPDL;HNRNPDL</t>
  </si>
  <si>
    <t>HNRNPDL</t>
  </si>
  <si>
    <t>Q9NPJ3;Q9NPJ3-2</t>
  </si>
  <si>
    <t>Q9NPJ3</t>
  </si>
  <si>
    <t>Acyl-coenzyme A thioesterase 13</t>
  </si>
  <si>
    <t>ACOT13;ACOT13</t>
  </si>
  <si>
    <t>ACOT13</t>
  </si>
  <si>
    <t>Vacuolar protein sorting-associated protein 33B</t>
  </si>
  <si>
    <t>VPS33B</t>
  </si>
  <si>
    <t>Q14157;Q14157-1;Q14157-3;Q14157-4;Q14157-5</t>
  </si>
  <si>
    <t>Q14157</t>
  </si>
  <si>
    <t>Ubiquitin-associated protein 2-like</t>
  </si>
  <si>
    <t>UBAP2L;UBAP2L;UBAP2L;UBAP2L;UBAP2L</t>
  </si>
  <si>
    <t>UBAP2L</t>
  </si>
  <si>
    <t>DnaJ homolog subfamily C member 13</t>
  </si>
  <si>
    <t>DNAJC13</t>
  </si>
  <si>
    <t>Q92538;Q92538-2;Q92538-3</t>
  </si>
  <si>
    <t>Q92538</t>
  </si>
  <si>
    <t>Golgi-specific brefeldin A-resistance guanine nucleotide exchange factor 1</t>
  </si>
  <si>
    <t>GBF1;GBF1;GBF1</t>
  </si>
  <si>
    <t>GBF1</t>
  </si>
  <si>
    <t>V-type immunoglobulin domain-containing suppressor of T-cell activation</t>
  </si>
  <si>
    <t>VSIR</t>
  </si>
  <si>
    <t>40S ribosomal protein S12</t>
  </si>
  <si>
    <t>RPS12</t>
  </si>
  <si>
    <t>Q8N2G8;Q8N2G8-2;Q8N2G8-3</t>
  </si>
  <si>
    <t>Q8N2G8</t>
  </si>
  <si>
    <t>GH3 domain-containing protein</t>
  </si>
  <si>
    <t>GHDC;GHDC;GHDC</t>
  </si>
  <si>
    <t>GHDC</t>
  </si>
  <si>
    <t>Q9Y2Z0;Q9Y2Z0-2</t>
  </si>
  <si>
    <t>Q9Y2Z0</t>
  </si>
  <si>
    <t>Protein SGT1 homolog</t>
  </si>
  <si>
    <t>SUGT1;SUGT1</t>
  </si>
  <si>
    <t>SUGT1</t>
  </si>
  <si>
    <t>P49589;P49589-2;P49589-3</t>
  </si>
  <si>
    <t>P49589</t>
  </si>
  <si>
    <t>Cysteine--tRNA ligase, cytoplasmic</t>
  </si>
  <si>
    <t>CARS;CARS;CARS</t>
  </si>
  <si>
    <t>CARS</t>
  </si>
  <si>
    <t>Q13555;Q13555-10;Q13555-2;Q13555-3;Q13555-4;Q13555-5;Q13555-6;Q13555-7;Q13555-8;Q13555-9</t>
  </si>
  <si>
    <t>Q13555</t>
  </si>
  <si>
    <t>Calcium/calmodulin-dependent protein kinase type II subunit gamma</t>
  </si>
  <si>
    <t>CAMK2G;CAMK2G;CAMK2G;CAMK2G;CAMK2G;CAMK2G;CAMK2G;CAMK2G;CAMK2G;CAMK2G</t>
  </si>
  <si>
    <t>CAMK2G</t>
  </si>
  <si>
    <t>Q9Y4E8;Q9Y4E8-2;Q9Y4E8-3</t>
  </si>
  <si>
    <t>Ubiquitin carboxyl-terminal hydrolase 15</t>
  </si>
  <si>
    <t>USP15;USP15;USP15</t>
  </si>
  <si>
    <t>USP15</t>
  </si>
  <si>
    <t>E3 ubiquitin/ISG15 ligase TRIM25</t>
  </si>
  <si>
    <t>TRIM25</t>
  </si>
  <si>
    <t>Q5H9R7;Q5H9R7-2;Q5H9R7-5;Q5H9R7-6</t>
  </si>
  <si>
    <t>Q5H9R7</t>
  </si>
  <si>
    <t>Serine/threonine-protein phosphatase 6 regulatory subunit 3</t>
  </si>
  <si>
    <t>PPP6R3;PPP6R3;PPP6R3;PPP6R3</t>
  </si>
  <si>
    <t>PPP6R3</t>
  </si>
  <si>
    <t>Fatty acid-binding protein 5</t>
  </si>
  <si>
    <t>FABP5</t>
  </si>
  <si>
    <t>Q8IXI2;Q8IXI2-2;Q8IXI2-3;Q8IXI2-4;Q8IXI2-5;Q8IXI2-7</t>
  </si>
  <si>
    <t>Q8IXI2</t>
  </si>
  <si>
    <t>Mitochondrial Rho GTPase 1</t>
  </si>
  <si>
    <t>RHOT1;RHOT1;RHOT1;RHOT1;RHOT1;RHOT1</t>
  </si>
  <si>
    <t>RHOT1</t>
  </si>
  <si>
    <t>Actin-related protein 10</t>
  </si>
  <si>
    <t>ACTR10</t>
  </si>
  <si>
    <t>Q8NCA5;Q8NCA5-2</t>
  </si>
  <si>
    <t>Q8NCA5</t>
  </si>
  <si>
    <t>Protein FAM98A</t>
  </si>
  <si>
    <t>FAM98A;FAM98A</t>
  </si>
  <si>
    <t>FAM98A</t>
  </si>
  <si>
    <t>P34896;P34896-2</t>
  </si>
  <si>
    <t>P34896</t>
  </si>
  <si>
    <t>Serine hydroxymethyltransferase, cytosolic</t>
  </si>
  <si>
    <t>SHMT1;SHMT1</t>
  </si>
  <si>
    <t>SHMT1</t>
  </si>
  <si>
    <t>Oxygen-dependent coproporphyrinogen-III oxidase, mitochondrial</t>
  </si>
  <si>
    <t>CPOX</t>
  </si>
  <si>
    <t>Phosphatidylinositol 3,4,5-trisphosphate 5-phosphatase 2</t>
  </si>
  <si>
    <t>INPPL1</t>
  </si>
  <si>
    <t>Succinyl-CoA:3-ketoacid coenzyme A transferase 1, mitochondrial</t>
  </si>
  <si>
    <t>OXCT1</t>
  </si>
  <si>
    <t>Q5T4S7;Q5T4S7-2;Q5T4S7-3;Q5T4S7-4</t>
  </si>
  <si>
    <t>Q5T4S7</t>
  </si>
  <si>
    <t>E3 ubiquitin-protein ligase UBR4</t>
  </si>
  <si>
    <t>UBR4;UBR4;UBR4;UBR4</t>
  </si>
  <si>
    <t>UBR4</t>
  </si>
  <si>
    <t>Q13158</t>
  </si>
  <si>
    <t>FAS-associated death domain protein</t>
  </si>
  <si>
    <t>FADD</t>
  </si>
  <si>
    <t>P22090</t>
  </si>
  <si>
    <t>40S ribosomal protein S4, Y isoform 1</t>
  </si>
  <si>
    <t>RPS4Y1</t>
  </si>
  <si>
    <t>Enoyl-CoA hydratase, mitochondrial</t>
  </si>
  <si>
    <t>ECHS1</t>
  </si>
  <si>
    <t>Carbonic anhydrase 13</t>
  </si>
  <si>
    <t>CA13</t>
  </si>
  <si>
    <t>Q5W0V3;Q5W0V3-2</t>
  </si>
  <si>
    <t>Q5W0V3</t>
  </si>
  <si>
    <t>Protein FAM160B1</t>
  </si>
  <si>
    <t>FAM160B1;FAM160B1</t>
  </si>
  <si>
    <t>FAM160B1</t>
  </si>
  <si>
    <t>CON__P13646-1</t>
  </si>
  <si>
    <t>Q9BZ67;Q9BZ67-2;Q9BZ67-3</t>
  </si>
  <si>
    <t>Q9BZ67</t>
  </si>
  <si>
    <t>FERM domain-containing protein 8</t>
  </si>
  <si>
    <t>FRMD8;FRMD8;FRMD8</t>
  </si>
  <si>
    <t>FRMD8</t>
  </si>
  <si>
    <t>Omega-amidase NIT2</t>
  </si>
  <si>
    <t>NIT2</t>
  </si>
  <si>
    <t>Ubiquitin carboxyl-terminal hydrolase isozyme L3</t>
  </si>
  <si>
    <t>UCHL3</t>
  </si>
  <si>
    <t>COP9 signalosome complex subunit 4</t>
  </si>
  <si>
    <t>COPS4</t>
  </si>
  <si>
    <t>P56556</t>
  </si>
  <si>
    <t>NADH dehydrogenase [ubiquinone] 1 alpha subcomplex subunit 6</t>
  </si>
  <si>
    <t>NDUFA6</t>
  </si>
  <si>
    <t>Ribosomal protein S6 kinase alpha-3</t>
  </si>
  <si>
    <t>RPS6KA3</t>
  </si>
  <si>
    <t>Q99471</t>
  </si>
  <si>
    <t>Prefoldin subunit 5</t>
  </si>
  <si>
    <t>PFDN5</t>
  </si>
  <si>
    <t>Q5NDL2</t>
  </si>
  <si>
    <t>EGF domain-specific O-linked N-acetylglucosamine transferase</t>
  </si>
  <si>
    <t>EOGT</t>
  </si>
  <si>
    <t>P16435</t>
  </si>
  <si>
    <t>NADPH--cytochrome P450 reductase</t>
  </si>
  <si>
    <t>POR</t>
  </si>
  <si>
    <t>P78559;P78559-2</t>
  </si>
  <si>
    <t>Microtubule-associated protein 1A</t>
  </si>
  <si>
    <t>MAP1A;MAP1A</t>
  </si>
  <si>
    <t>MAP1A</t>
  </si>
  <si>
    <t>P11055</t>
  </si>
  <si>
    <t>Myosin-3</t>
  </si>
  <si>
    <t>MYH3</t>
  </si>
  <si>
    <t>Q9NUY8;Q9NUY8-2</t>
  </si>
  <si>
    <t>Q9NUY8</t>
  </si>
  <si>
    <t>TBC1 domain family member 23</t>
  </si>
  <si>
    <t>TBC1D23;TBC1D23</t>
  </si>
  <si>
    <t>TBC1D23</t>
  </si>
  <si>
    <t>Q14108;Q14108-2</t>
  </si>
  <si>
    <t>Q14108</t>
  </si>
  <si>
    <t>Lysosome membrane protein 2</t>
  </si>
  <si>
    <t>SCARB2;SCARB2</t>
  </si>
  <si>
    <t>SCARB2</t>
  </si>
  <si>
    <t>Q4V328</t>
  </si>
  <si>
    <t>GRIP1-associated protein 1</t>
  </si>
  <si>
    <t>GRIPAP1</t>
  </si>
  <si>
    <t>Q7Z3U7;Q7Z3U7-2;Q7Z3U7-5;Q7Z3U7-6</t>
  </si>
  <si>
    <t>Q7Z3U7</t>
  </si>
  <si>
    <t>Protein MON2 homolog</t>
  </si>
  <si>
    <t>MON2;MON2;MON2;MON2</t>
  </si>
  <si>
    <t>MON2</t>
  </si>
  <si>
    <t>O96011;O96011-2</t>
  </si>
  <si>
    <t>O96011</t>
  </si>
  <si>
    <t>Peroxisomal membrane protein 11B</t>
  </si>
  <si>
    <t>PEX11B;PEX11B</t>
  </si>
  <si>
    <t>PEX11B</t>
  </si>
  <si>
    <t>Q9H074;Q9H074-2;Q9H074-3</t>
  </si>
  <si>
    <t>Q9H074</t>
  </si>
  <si>
    <t>Polyadenylate-binding protein-interacting protein 1</t>
  </si>
  <si>
    <t>PAIP1;PAIP1;PAIP1</t>
  </si>
  <si>
    <t>PAIP1</t>
  </si>
  <si>
    <t>Protein Hook homolog 3</t>
  </si>
  <si>
    <t>HOOK3</t>
  </si>
  <si>
    <t>Q05193;Q05193-3</t>
  </si>
  <si>
    <t>Q05193</t>
  </si>
  <si>
    <t>Dynamin-1</t>
  </si>
  <si>
    <t>DNM1;DNM1</t>
  </si>
  <si>
    <t>DNM1</t>
  </si>
  <si>
    <t>Tetratricopeptide repeat protein 27</t>
  </si>
  <si>
    <t>TTC27</t>
  </si>
  <si>
    <t>Isoform 2 of Proteasome subunit beta type-8</t>
  </si>
  <si>
    <t>PSMB8</t>
  </si>
  <si>
    <t>Prosaposin</t>
  </si>
  <si>
    <t>PSAP;PSAP;PSAP</t>
  </si>
  <si>
    <t>PSAP</t>
  </si>
  <si>
    <t>Alkyldihydroxyacetonephosphate synthase, peroxisomal</t>
  </si>
  <si>
    <t>AGPS</t>
  </si>
  <si>
    <t>P62081</t>
  </si>
  <si>
    <t>40S ribosomal protein S7</t>
  </si>
  <si>
    <t>RPS7</t>
  </si>
  <si>
    <t>OCIA domain-containing protein 1</t>
  </si>
  <si>
    <t>OCIAD1</t>
  </si>
  <si>
    <t>Q5VIR6-4</t>
  </si>
  <si>
    <t>Isoform 4 of Vacuolar protein sorting-associated protein 53 homolog</t>
  </si>
  <si>
    <t>VPS53</t>
  </si>
  <si>
    <t>Q92542;Q92542-2</t>
  </si>
  <si>
    <t>Q92542</t>
  </si>
  <si>
    <t>Nicastrin</t>
  </si>
  <si>
    <t>NCSTN;NCSTN</t>
  </si>
  <si>
    <t>NCSTN</t>
  </si>
  <si>
    <t>TNF receptor-associated factor 6</t>
  </si>
  <si>
    <t>TRAF6</t>
  </si>
  <si>
    <t>Q15154;Q15154-2</t>
  </si>
  <si>
    <t>Q15154</t>
  </si>
  <si>
    <t>Pericentriolar material 1 protein</t>
  </si>
  <si>
    <t>PCM1;PCM1</t>
  </si>
  <si>
    <t>PCM1</t>
  </si>
  <si>
    <t>Q8N5R6;Q8N5R6-2</t>
  </si>
  <si>
    <t>Q8N5R6</t>
  </si>
  <si>
    <t>Coiled-coil domain-containing protein 33</t>
  </si>
  <si>
    <t>CCDC33;CCDC33</t>
  </si>
  <si>
    <t>CCDC33</t>
  </si>
  <si>
    <t>ATP-dependent RNA helicase DHX29</t>
  </si>
  <si>
    <t>DHX29</t>
  </si>
  <si>
    <t>Protein Niban</t>
  </si>
  <si>
    <t>FAM129A</t>
  </si>
  <si>
    <t>O75688</t>
  </si>
  <si>
    <t>Protein phosphatase 1B</t>
  </si>
  <si>
    <t>PPM1B</t>
  </si>
  <si>
    <t>Q07812;Q07812-2;Q07812-5;Q07812-7;Q07812-8</t>
  </si>
  <si>
    <t>Q07812</t>
  </si>
  <si>
    <t>Apoptosis regulator BAX</t>
  </si>
  <si>
    <t>BAX;BAX;BAX;BAX;BAX</t>
  </si>
  <si>
    <t>BAX</t>
  </si>
  <si>
    <t>Q01130;Q01130-2;Q9BRL6;Q9BRL6-2</t>
  </si>
  <si>
    <t>Q01130</t>
  </si>
  <si>
    <t>Serine/arginine-rich splicing factor 2</t>
  </si>
  <si>
    <t>SRSF2;SRSF2;SRSF8;SRSF8</t>
  </si>
  <si>
    <t>SRSF2</t>
  </si>
  <si>
    <t>O15371;O15371-2;O15371-3</t>
  </si>
  <si>
    <t>O15371</t>
  </si>
  <si>
    <t>Eukaryotic translation initiation factor 3 subunit D</t>
  </si>
  <si>
    <t>EIF3D;EIF3D;EIF3D</t>
  </si>
  <si>
    <t>EIF3D</t>
  </si>
  <si>
    <t>P04066</t>
  </si>
  <si>
    <t>Tissue alpha-L-fucosidase</t>
  </si>
  <si>
    <t>FUCA1</t>
  </si>
  <si>
    <t>P60983</t>
  </si>
  <si>
    <t>Glia maturation factor beta</t>
  </si>
  <si>
    <t>GMFB</t>
  </si>
  <si>
    <t>Eukaryotic translation initiation factor 2 subunit 2</t>
  </si>
  <si>
    <t>EIF2S2</t>
  </si>
  <si>
    <t>Q86VD1;Q86VD1-2;Q9Y6X9;Q9Y6X9-2</t>
  </si>
  <si>
    <t>Q86VD1</t>
  </si>
  <si>
    <t>MORC family CW-type zinc finger protein 1</t>
  </si>
  <si>
    <t>MORC1;MORC1;MORC2;MORC2</t>
  </si>
  <si>
    <t>MORC1</t>
  </si>
  <si>
    <t>P46734;P46734-2;P46734-3</t>
  </si>
  <si>
    <t>P46734</t>
  </si>
  <si>
    <t>Dual specificity mitogen-activated protein kinase kinase 3</t>
  </si>
  <si>
    <t>MAP2K3;MAP2K3;MAP2K3</t>
  </si>
  <si>
    <t>MAP2K3</t>
  </si>
  <si>
    <t>Q92614;Q92614-4</t>
  </si>
  <si>
    <t>Q92614</t>
  </si>
  <si>
    <t>Unconventional myosin-XVIIIa</t>
  </si>
  <si>
    <t>MYO18A;MYO18A</t>
  </si>
  <si>
    <t>MYO18A</t>
  </si>
  <si>
    <t>GTP-binding protein 1</t>
  </si>
  <si>
    <t>GTPBP1</t>
  </si>
  <si>
    <t>Q9BY44;Q9BY44-3;Q9BY44-4</t>
  </si>
  <si>
    <t>Q9BY44</t>
  </si>
  <si>
    <t>Eukaryotic translation initiation factor 2A</t>
  </si>
  <si>
    <t>EIF2A;EIF2A;EIF2A</t>
  </si>
  <si>
    <t>EIF2A</t>
  </si>
  <si>
    <t>Q9HAS0</t>
  </si>
  <si>
    <t>Protein Njmu-R1</t>
  </si>
  <si>
    <t>C17orf75</t>
  </si>
  <si>
    <t>CON__ENSEMBL:ENSBTAP00000013050</t>
  </si>
  <si>
    <t>Q13435</t>
  </si>
  <si>
    <t>Splicing factor 3B subunit 2</t>
  </si>
  <si>
    <t>SF3B2</t>
  </si>
  <si>
    <t>P24752</t>
  </si>
  <si>
    <t>Acetyl-CoA acetyltransferase, mitochondrial</t>
  </si>
  <si>
    <t>ACAT1</t>
  </si>
  <si>
    <t>Exocyst complex component 4</t>
  </si>
  <si>
    <t>EXOC4</t>
  </si>
  <si>
    <t>ATP-dependent RNA helicase DDX19A</t>
  </si>
  <si>
    <t>DDX19A</t>
  </si>
  <si>
    <t>Q8N766;Q8N766-2;Q8N766-3;Q8N766-4</t>
  </si>
  <si>
    <t>Q8N766</t>
  </si>
  <si>
    <t>ER membrane protein complex subunit 1</t>
  </si>
  <si>
    <t>EMC1;EMC1;EMC1;EMC1</t>
  </si>
  <si>
    <t>EMC1</t>
  </si>
  <si>
    <t>Q9UKE5;Q9UKE5-2;Q9UKE5-3;Q9UKE5-4;Q9UKE5-5;Q9UKE5-6;Q9UKE5-7;Q9UKE5-8</t>
  </si>
  <si>
    <t>Q9UKE5</t>
  </si>
  <si>
    <t>TRAF2 and NCK-interacting protein kinase</t>
  </si>
  <si>
    <t>TNIK;TNIK;TNIK;TNIK;TNIK;TNIK;TNIK;TNIK</t>
  </si>
  <si>
    <t>TNIK</t>
  </si>
  <si>
    <t>Q9H8Y8;Q9H8Y8-2;Q9H8Y8-3</t>
  </si>
  <si>
    <t>Golgi reassembly-stacking protein 2</t>
  </si>
  <si>
    <t>GORASP2;GORASP2;GORASP2</t>
  </si>
  <si>
    <t>GORASP2</t>
  </si>
  <si>
    <t>Q04695</t>
  </si>
  <si>
    <t>Keratin, type I cytoskeletal 17</t>
  </si>
  <si>
    <t>KRT17</t>
  </si>
  <si>
    <t>Single-stranded DNA-binding protein, mitochondrial</t>
  </si>
  <si>
    <t>SSBP1</t>
  </si>
  <si>
    <t>Ras-related protein Rab-3C</t>
  </si>
  <si>
    <t>RAB3C</t>
  </si>
  <si>
    <t>Q9NSE4</t>
  </si>
  <si>
    <t>Isoleucine--tRNA ligase, mitochondrial</t>
  </si>
  <si>
    <t>IARS2</t>
  </si>
  <si>
    <t>Eukaryotic translation initiation factor 2 subunit 3</t>
  </si>
  <si>
    <t>EIF2S3</t>
  </si>
  <si>
    <t>Q9H9C1;Q9H9C1-2</t>
  </si>
  <si>
    <t>Q9H9C1</t>
  </si>
  <si>
    <t>Spermatogenesis-defective protein 39 homolog</t>
  </si>
  <si>
    <t>VIPAS39;VIPAS39</t>
  </si>
  <si>
    <t>VIPAS39</t>
  </si>
  <si>
    <t>P55083;P55083-2</t>
  </si>
  <si>
    <t>P55083</t>
  </si>
  <si>
    <t>Microfibril-associated glycoprotein 4</t>
  </si>
  <si>
    <t>MFAP4;MFAP4</t>
  </si>
  <si>
    <t>MFAP4</t>
  </si>
  <si>
    <t>Vacuolar protein sorting-associated protein 45</t>
  </si>
  <si>
    <t>VPS45</t>
  </si>
  <si>
    <t>P31040;P31040-2</t>
  </si>
  <si>
    <t>Succinate dehydrogenase [ubiquinone] flavoprotein subunit, mitochondrial</t>
  </si>
  <si>
    <t>SDHA;SDHA</t>
  </si>
  <si>
    <t>SDHA</t>
  </si>
  <si>
    <t>P30419;P30419-2</t>
  </si>
  <si>
    <t>P30419</t>
  </si>
  <si>
    <t>Glycylpeptide N-tetradecanoyltransferase 1</t>
  </si>
  <si>
    <t>NMT1;NMT1</t>
  </si>
  <si>
    <t>NMT1</t>
  </si>
  <si>
    <t>P27816</t>
  </si>
  <si>
    <t>Microtubule-associated protein 4</t>
  </si>
  <si>
    <t>MAP4</t>
  </si>
  <si>
    <t>WD repeat-containing protein 11</t>
  </si>
  <si>
    <t>WDR11</t>
  </si>
  <si>
    <t>Q9UIG0;Q9UIG0-2</t>
  </si>
  <si>
    <t>Q9UIG0</t>
  </si>
  <si>
    <t>Tyrosine-protein kinase BAZ1B</t>
  </si>
  <si>
    <t>BAZ1B;BAZ1B</t>
  </si>
  <si>
    <t>BAZ1B</t>
  </si>
  <si>
    <t>Sorting nexin-6</t>
  </si>
  <si>
    <t>SNX6</t>
  </si>
  <si>
    <t>O95219</t>
  </si>
  <si>
    <t>Sorting nexin-4</t>
  </si>
  <si>
    <t>SNX4</t>
  </si>
  <si>
    <t>P29353;P29353-2;P29353-3;P29353-5;P29353-6;P29353-7</t>
  </si>
  <si>
    <t>P29353</t>
  </si>
  <si>
    <t>SHC-transforming protein 1</t>
  </si>
  <si>
    <t>SHC1;SHC1;SHC1;SHC1;SHC1;SHC1</t>
  </si>
  <si>
    <t>SHC1</t>
  </si>
  <si>
    <t>TLD domain-containing protein 1</t>
  </si>
  <si>
    <t>TLDC1</t>
  </si>
  <si>
    <t>SLAIN motif-containing protein 2</t>
  </si>
  <si>
    <t>SLAIN2</t>
  </si>
  <si>
    <t>P16401</t>
  </si>
  <si>
    <t>Histone H1.5</t>
  </si>
  <si>
    <t>HIST1H1B</t>
  </si>
  <si>
    <t>Q8WUD1</t>
  </si>
  <si>
    <t>Ras-related protein Rab-2B</t>
  </si>
  <si>
    <t>RAB2B</t>
  </si>
  <si>
    <t>Q8N6H7;Q8N6H7-2</t>
  </si>
  <si>
    <t>ADP-ribosylation factor GTPase-activating protein 2</t>
  </si>
  <si>
    <t>ARFGAP2;ARFGAP2</t>
  </si>
  <si>
    <t>ARFGAP2</t>
  </si>
  <si>
    <t>Neurabin-2</t>
  </si>
  <si>
    <t>PPP1R9B</t>
  </si>
  <si>
    <t>Q9UNS2;Q9UNS2-2</t>
  </si>
  <si>
    <t>Q9UNS2</t>
  </si>
  <si>
    <t>COP9 signalosome complex subunit 3</t>
  </si>
  <si>
    <t>COPS3;COPS3</t>
  </si>
  <si>
    <t>COPS3</t>
  </si>
  <si>
    <t>Phosphatidylinositol 4-kinase alpha</t>
  </si>
  <si>
    <t>PI4KA</t>
  </si>
  <si>
    <t>3-hydroxyisobutyrate dehydrogenase, mitochondrial</t>
  </si>
  <si>
    <t>HIBADH</t>
  </si>
  <si>
    <t>P46939;P46939-2</t>
  </si>
  <si>
    <t>Utrophin</t>
  </si>
  <si>
    <t>UTRN;UTRN</t>
  </si>
  <si>
    <t>UTRN</t>
  </si>
  <si>
    <t>Q9HB90</t>
  </si>
  <si>
    <t>Ras-related GTP-binding protein C</t>
  </si>
  <si>
    <t>RRAGC</t>
  </si>
  <si>
    <t>Q14232</t>
  </si>
  <si>
    <t>Translation initiation factor eIF-2B subunit alpha</t>
  </si>
  <si>
    <t>EIF2B1</t>
  </si>
  <si>
    <t>Phosphatidate cytidylyltransferase 2</t>
  </si>
  <si>
    <t>CDS2</t>
  </si>
  <si>
    <t>Density-regulated protein</t>
  </si>
  <si>
    <t>DENR</t>
  </si>
  <si>
    <t>Elongin-B</t>
  </si>
  <si>
    <t>ELOB;ELOB</t>
  </si>
  <si>
    <t>ELOB</t>
  </si>
  <si>
    <t>TAR DNA-binding protein 43</t>
  </si>
  <si>
    <t>TARDBP</t>
  </si>
  <si>
    <t>Q96JB5;Q96JB5-2;Q96JB5-4</t>
  </si>
  <si>
    <t>CDK5 regulatory subunit-associated protein 3</t>
  </si>
  <si>
    <t>CDK5RAP3;CDK5RAP3;CDK5RAP3</t>
  </si>
  <si>
    <t>CDK5RAP3</t>
  </si>
  <si>
    <t>Q06210;Q06210-2</t>
  </si>
  <si>
    <t>Q06210</t>
  </si>
  <si>
    <t>Glutamine--fructose-6-phosphate aminotransferase [isomerizing] 1</t>
  </si>
  <si>
    <t>GFPT1;GFPT1</t>
  </si>
  <si>
    <t>GFPT1</t>
  </si>
  <si>
    <t>P36776;P36776-2</t>
  </si>
  <si>
    <t>P36776</t>
  </si>
  <si>
    <t>Lon protease homolog, mitochondrial</t>
  </si>
  <si>
    <t>LONP1;LONP1</t>
  </si>
  <si>
    <t>LONP1</t>
  </si>
  <si>
    <t>Q96B96;Q96B96-2</t>
  </si>
  <si>
    <t>Q96B96</t>
  </si>
  <si>
    <t>Promethin</t>
  </si>
  <si>
    <t>TMEM159;TMEM159</t>
  </si>
  <si>
    <t>TMEM159</t>
  </si>
  <si>
    <t>Q9ULC5;Q9ULC5-3</t>
  </si>
  <si>
    <t>Q9ULC5</t>
  </si>
  <si>
    <t>Long-chain-fatty-acid--CoA ligase 5</t>
  </si>
  <si>
    <t>ACSL5;ACSL5</t>
  </si>
  <si>
    <t>ACSL5</t>
  </si>
  <si>
    <t>CON__Q28085</t>
  </si>
  <si>
    <t>Mitochondrial ornithine transporter 1</t>
  </si>
  <si>
    <t>SLC25A15</t>
  </si>
  <si>
    <t>Heme-binding protein 2</t>
  </si>
  <si>
    <t>HEBP2</t>
  </si>
  <si>
    <t>Q96J02;Q96J02-2;Q96J02-3</t>
  </si>
  <si>
    <t>Q96J02</t>
  </si>
  <si>
    <t>E3 ubiquitin-protein ligase Itchy homolog</t>
  </si>
  <si>
    <t>ITCH;ITCH;ITCH</t>
  </si>
  <si>
    <t>ITCH</t>
  </si>
  <si>
    <t>Q12805;Q12805-2;Q12805-3;Q12805-4</t>
  </si>
  <si>
    <t>Q12805</t>
  </si>
  <si>
    <t>EGF-containing fibulin-like extracellular matrix protein 1</t>
  </si>
  <si>
    <t>EFEMP1;EFEMP1;EFEMP1;EFEMP1</t>
  </si>
  <si>
    <t>EFEMP1</t>
  </si>
  <si>
    <t>P11441</t>
  </si>
  <si>
    <t>Ubiquitin-like protein 4A</t>
  </si>
  <si>
    <t>UBL4A</t>
  </si>
  <si>
    <t>P05787;P05787-2</t>
  </si>
  <si>
    <t>P05787</t>
  </si>
  <si>
    <t>Keratin, type II cytoskeletal 8</t>
  </si>
  <si>
    <t>KRT8;KRT8</t>
  </si>
  <si>
    <t>KRT8</t>
  </si>
  <si>
    <t>P35222</t>
  </si>
  <si>
    <t>Catenin beta-1</t>
  </si>
  <si>
    <t>CTNNB1</t>
  </si>
  <si>
    <t>P20700</t>
  </si>
  <si>
    <t>Lamin-B1</t>
  </si>
  <si>
    <t>LMNB1</t>
  </si>
  <si>
    <t>O95861;O95861-4</t>
  </si>
  <si>
    <t>O95861</t>
  </si>
  <si>
    <t>3'(2'),5'-bisphosphate nucleotidase 1</t>
  </si>
  <si>
    <t>BPNT1;BPNT1</t>
  </si>
  <si>
    <t>BPNT1</t>
  </si>
  <si>
    <t>Vesicle-associated membrane protein 8</t>
  </si>
  <si>
    <t>VAMP8</t>
  </si>
  <si>
    <t>Peptidyl-prolyl cis-trans isomerase FKBP4</t>
  </si>
  <si>
    <t>FKBP4</t>
  </si>
  <si>
    <t>P28065;P28065-2</t>
  </si>
  <si>
    <t>P28065</t>
  </si>
  <si>
    <t>Proteasome subunit beta type-9</t>
  </si>
  <si>
    <t>PSMB9;PSMB9</t>
  </si>
  <si>
    <t>PSMB9</t>
  </si>
  <si>
    <t>Dedicator of cytokinesis protein 11</t>
  </si>
  <si>
    <t>DOCK11</t>
  </si>
  <si>
    <t>Ubiquitin carboxyl-terminal hydrolase 24</t>
  </si>
  <si>
    <t>USP24</t>
  </si>
  <si>
    <t>Q96AQ8</t>
  </si>
  <si>
    <t>Mitochondrial calcium uniporter regulator 1</t>
  </si>
  <si>
    <t>MCUR1</t>
  </si>
  <si>
    <t>O15427</t>
  </si>
  <si>
    <t>Monocarboxylate transporter 4</t>
  </si>
  <si>
    <t>SLC16A3</t>
  </si>
  <si>
    <t>CON__Q3SX09|CON__P02070</t>
  </si>
  <si>
    <t>Q9UQ13;Q9UQ13-2</t>
  </si>
  <si>
    <t>Q9UQ13</t>
  </si>
  <si>
    <t>Leucine-rich repeat protein SHOC-2</t>
  </si>
  <si>
    <t>SHOC2;SHOC2</t>
  </si>
  <si>
    <t>SHOC2</t>
  </si>
  <si>
    <t>Carnitine O-palmitoyltransferase 2, mitochondrial</t>
  </si>
  <si>
    <t>CPT2</t>
  </si>
  <si>
    <t>Q9UPT5;Q9UPT5-1;Q9UPT5-2;Q9UPT5-5;Q9UPT5-6</t>
  </si>
  <si>
    <t>Q9UPT5</t>
  </si>
  <si>
    <t>Exocyst complex component 7</t>
  </si>
  <si>
    <t>EXOC7;EXOC7;EXOC7;EXOC7;EXOC7</t>
  </si>
  <si>
    <t>EXOC7</t>
  </si>
  <si>
    <t>Q9NRG1;Q9NRG1-2</t>
  </si>
  <si>
    <t>Q9NRG1</t>
  </si>
  <si>
    <t>Phosphoribosyltransferase domain-containing protein 1</t>
  </si>
  <si>
    <t>PRTFDC1;PRTFDC1</t>
  </si>
  <si>
    <t>PRTFDC1</t>
  </si>
  <si>
    <t>Q9NV70;Q9NV70-2</t>
  </si>
  <si>
    <t>Q9NV70</t>
  </si>
  <si>
    <t>Exocyst complex component 1</t>
  </si>
  <si>
    <t>EXOC1;EXOC1</t>
  </si>
  <si>
    <t>EXOC1</t>
  </si>
  <si>
    <t>P25685</t>
  </si>
  <si>
    <t>DnaJ homolog subfamily B member 1</t>
  </si>
  <si>
    <t>DNAJB1</t>
  </si>
  <si>
    <t>Q969V3;Q969V3-2</t>
  </si>
  <si>
    <t>Q969V3</t>
  </si>
  <si>
    <t>Nicalin</t>
  </si>
  <si>
    <t>NCLN;NCLN</t>
  </si>
  <si>
    <t>NCLN</t>
  </si>
  <si>
    <t>Q5VZK9;Q5VZK9-2</t>
  </si>
  <si>
    <t>Q5VZK9</t>
  </si>
  <si>
    <t>F-actin-uncapping protein LRRC16A</t>
  </si>
  <si>
    <t>CARMIL1;CARMIL1</t>
  </si>
  <si>
    <t>CARMIL1</t>
  </si>
  <si>
    <t>O43847;O43847-2</t>
  </si>
  <si>
    <t>O43847</t>
  </si>
  <si>
    <t>Nardilysin</t>
  </si>
  <si>
    <t>NRDC;NRDC</t>
  </si>
  <si>
    <t>NRDC</t>
  </si>
  <si>
    <t>N-alpha-acetyltransferase 15, NatA auxiliary subunit</t>
  </si>
  <si>
    <t>NAA15</t>
  </si>
  <si>
    <t>P23246</t>
  </si>
  <si>
    <t>Splicing factor, proline- and glutamine-rich</t>
  </si>
  <si>
    <t>SFPQ</t>
  </si>
  <si>
    <t>LRP chaperone MESD</t>
  </si>
  <si>
    <t>MESD</t>
  </si>
  <si>
    <t>Q9HAT2;Q9HAT2-2</t>
  </si>
  <si>
    <t>Q9HAT2</t>
  </si>
  <si>
    <t>Sialate O-acetylesterase</t>
  </si>
  <si>
    <t>SIAE;SIAE</t>
  </si>
  <si>
    <t>SIAE</t>
  </si>
  <si>
    <t>Signal peptidase complex subunit 2</t>
  </si>
  <si>
    <t>SPCS2</t>
  </si>
  <si>
    <t>P55039</t>
  </si>
  <si>
    <t>Developmentally-regulated GTP-binding protein 2</t>
  </si>
  <si>
    <t>DRG2</t>
  </si>
  <si>
    <t>P05166;P05166-2</t>
  </si>
  <si>
    <t>P05166</t>
  </si>
  <si>
    <t>Propionyl-CoA carboxylase beta chain, mitochondrial</t>
  </si>
  <si>
    <t>PCCB;PCCB</t>
  </si>
  <si>
    <t>PCCB</t>
  </si>
  <si>
    <t>Q5T1M5;Q5T1M5-2</t>
  </si>
  <si>
    <t>Q5T1M5</t>
  </si>
  <si>
    <t>FK506-binding protein 15</t>
  </si>
  <si>
    <t>FKBP15;FKBP15</t>
  </si>
  <si>
    <t>FKBP15</t>
  </si>
  <si>
    <t>Q8WV99;Q8WV99-2</t>
  </si>
  <si>
    <t>Q8WV99</t>
  </si>
  <si>
    <t>AN1-type zinc finger protein 2B</t>
  </si>
  <si>
    <t>ZFAND2B;ZFAND2B</t>
  </si>
  <si>
    <t>ZFAND2B</t>
  </si>
  <si>
    <t>P49747;P49747-2</t>
  </si>
  <si>
    <t>P49747</t>
  </si>
  <si>
    <t>Cartilage oligomeric matrix protein</t>
  </si>
  <si>
    <t>COMP;COMP</t>
  </si>
  <si>
    <t>COMP</t>
  </si>
  <si>
    <t>Q02750</t>
  </si>
  <si>
    <t>Dual specificity mitogen-activated protein kinase kinase 1</t>
  </si>
  <si>
    <t>MAP2K1</t>
  </si>
  <si>
    <t>Q13643</t>
  </si>
  <si>
    <t>Four and a half LIM domains protein 3</t>
  </si>
  <si>
    <t>FHL3</t>
  </si>
  <si>
    <t>P06865</t>
  </si>
  <si>
    <t>Beta-hexosaminidase subunit alpha</t>
  </si>
  <si>
    <t>HEXA</t>
  </si>
  <si>
    <t>O75746</t>
  </si>
  <si>
    <t>Calcium-binding mitochondrial carrier protein Aralar1</t>
  </si>
  <si>
    <t>SLC25A12</t>
  </si>
  <si>
    <t>ATP synthase subunit d, mitochondrial</t>
  </si>
  <si>
    <t>ATP5PD;ATP5PD</t>
  </si>
  <si>
    <t>ATP5PD</t>
  </si>
  <si>
    <t>Thymosin beta-4</t>
  </si>
  <si>
    <t>TMSB4X</t>
  </si>
  <si>
    <t>Q9H2W6</t>
  </si>
  <si>
    <t>39S ribosomal protein L46, mitochondrial</t>
  </si>
  <si>
    <t>MRPL46</t>
  </si>
  <si>
    <t>O15162;O15162-2</t>
  </si>
  <si>
    <t>O15162</t>
  </si>
  <si>
    <t>Phospholipid scramblase 1</t>
  </si>
  <si>
    <t>PLSCR1;PLSCR1</t>
  </si>
  <si>
    <t>PLSCR1</t>
  </si>
  <si>
    <t>Nck-associated protein 1-like</t>
  </si>
  <si>
    <t>NCKAP1L</t>
  </si>
  <si>
    <t>Isoform 2 of Tropomyosin alpha-4 chain</t>
  </si>
  <si>
    <t>O15084;O15084-1;O15084-2;O15084-4</t>
  </si>
  <si>
    <t>O15084</t>
  </si>
  <si>
    <t>Serine/threonine-protein phosphatase 6 regulatory ankyrin repeat subunit A</t>
  </si>
  <si>
    <t>ANKRD28;ANKRD28;ANKRD28;ANKRD28</t>
  </si>
  <si>
    <t>ANKRD28</t>
  </si>
  <si>
    <t>Neuroblast differentiation-associated protein AHNAK</t>
  </si>
  <si>
    <t>AHNAK</t>
  </si>
  <si>
    <t>E3 ubiquitin-protein ligase HECTD3</t>
  </si>
  <si>
    <t>HECTD3</t>
  </si>
  <si>
    <t>Dedicator of cytokinesis protein 5</t>
  </si>
  <si>
    <t>DOCK5</t>
  </si>
  <si>
    <t>Q8N8N7</t>
  </si>
  <si>
    <t>Prostaglandin reductase 2</t>
  </si>
  <si>
    <t>PTGR2</t>
  </si>
  <si>
    <t>NADH dehydrogenase [ubiquinone] flavoprotein 2, mitochondrial</t>
  </si>
  <si>
    <t>NDUFV2</t>
  </si>
  <si>
    <t>Mycophenolic acid acyl-glucuronide esterase, mitochondrial</t>
  </si>
  <si>
    <t>ABHD10</t>
  </si>
  <si>
    <t>Q96II8;Q96II8-2;Q96II8-3;Q96II8-4</t>
  </si>
  <si>
    <t>Q96II8</t>
  </si>
  <si>
    <t>Leucine-rich repeat and calponin homology domain-containing protein 3</t>
  </si>
  <si>
    <t>LRCH3;LRCH3;LRCH3;LRCH3</t>
  </si>
  <si>
    <t>LRCH3</t>
  </si>
  <si>
    <t>Ras GTPase-activating-like protein IQGAP1</t>
  </si>
  <si>
    <t>IQGAP1</t>
  </si>
  <si>
    <t>Q8NE71;Q8NE71-2</t>
  </si>
  <si>
    <t>Q8NE71</t>
  </si>
  <si>
    <t>ATP-binding cassette sub-family F member 1</t>
  </si>
  <si>
    <t>ABCF1;ABCF1</t>
  </si>
  <si>
    <t>ABCF1</t>
  </si>
  <si>
    <t>Q9Y4I1;Q9Y4I1-2;Q9Y4I1-3</t>
  </si>
  <si>
    <t>Q9Y4I1</t>
  </si>
  <si>
    <t>Unconventional myosin-Va</t>
  </si>
  <si>
    <t>MYO5A;MYO5A;MYO5A</t>
  </si>
  <si>
    <t>MYO5A</t>
  </si>
  <si>
    <t>Q9Y2D4</t>
  </si>
  <si>
    <t>Exocyst complex component 6B</t>
  </si>
  <si>
    <t>EXOC6B</t>
  </si>
  <si>
    <t>Q53ET0</t>
  </si>
  <si>
    <t>CREB-regulated transcription coactivator 2</t>
  </si>
  <si>
    <t>CRTC2</t>
  </si>
  <si>
    <t>Q9UKU7</t>
  </si>
  <si>
    <t>Isobutyryl-CoA dehydrogenase, mitochondrial</t>
  </si>
  <si>
    <t>ACAD8</t>
  </si>
  <si>
    <t>CON__REFSEQ:XP_585019</t>
  </si>
  <si>
    <t>Q9Y2H0;Q9Y2H0-1;Q9Y2H0-3</t>
  </si>
  <si>
    <t>Q9Y2H0</t>
  </si>
  <si>
    <t>Disks large-associated protein 4</t>
  </si>
  <si>
    <t>DLGAP4;DLGAP4;DLGAP4</t>
  </si>
  <si>
    <t>DLGAP4</t>
  </si>
  <si>
    <t>O95359;O95359-1;O95359-2;O95359-3;O95359-5;O95359-6</t>
  </si>
  <si>
    <t>O95359</t>
  </si>
  <si>
    <t>Transforming acidic coiled-coil-containing protein 2</t>
  </si>
  <si>
    <t>TACC2;TACC2;TACC2;TACC2;TACC2;TACC2</t>
  </si>
  <si>
    <t>TACC2</t>
  </si>
  <si>
    <t>O14548</t>
  </si>
  <si>
    <t>Cytochrome c oxidase subunit 7A-related protein, mitochondrial</t>
  </si>
  <si>
    <t>COX7A2L</t>
  </si>
  <si>
    <t>NADH dehydrogenase [ubiquinone] 1 alpha subcomplex subunit 9, mitochondrial</t>
  </si>
  <si>
    <t>NDUFA9</t>
  </si>
  <si>
    <t>Adiponectin</t>
  </si>
  <si>
    <t>ADIPOQ</t>
  </si>
  <si>
    <t>Q5T0N5;Q5T0N5-2;Q5T0N5-3;Q5T0N5-4;Q5T0N5-5</t>
  </si>
  <si>
    <t>Q5T0N5</t>
  </si>
  <si>
    <t>Formin-binding protein 1-like</t>
  </si>
  <si>
    <t>FNBP1L;FNBP1L;FNBP1L;FNBP1L;FNBP1L</t>
  </si>
  <si>
    <t>FNBP1L</t>
  </si>
  <si>
    <t>ATP-binding cassette sub-family D member 3</t>
  </si>
  <si>
    <t>ABCD3</t>
  </si>
  <si>
    <t>P08779</t>
  </si>
  <si>
    <t>Keratin, type I cytoskeletal 16</t>
  </si>
  <si>
    <t>KRT16</t>
  </si>
  <si>
    <t>Casein kinase II subunit alpha'</t>
  </si>
  <si>
    <t>CSNK2A2</t>
  </si>
  <si>
    <t>Q99570</t>
  </si>
  <si>
    <t>Phosphoinositide 3-kinase regulatory subunit 4</t>
  </si>
  <si>
    <t>PIK3R4</t>
  </si>
  <si>
    <t>Q12768</t>
  </si>
  <si>
    <t>WASH complex subunit 5</t>
  </si>
  <si>
    <t>WASHC5</t>
  </si>
  <si>
    <t>P12956</t>
  </si>
  <si>
    <t>X-ray repair cross-complementing protein 6</t>
  </si>
  <si>
    <t>XRCC6</t>
  </si>
  <si>
    <t>Aminopeptidase N</t>
  </si>
  <si>
    <t>ANPEP</t>
  </si>
  <si>
    <t>Zinc finger ZZ-type and EF-hand domain-containing protein 1</t>
  </si>
  <si>
    <t>ZZEF1</t>
  </si>
  <si>
    <t>Q96DE0;Q96DE0-3</t>
  </si>
  <si>
    <t>Q96DE0</t>
  </si>
  <si>
    <t>U8 snoRNA-decapping enzyme</t>
  </si>
  <si>
    <t>NUDT16;NUDT16</t>
  </si>
  <si>
    <t>NUDT16</t>
  </si>
  <si>
    <t>O00505</t>
  </si>
  <si>
    <t>Importin subunit alpha-4</t>
  </si>
  <si>
    <t>KPNA3</t>
  </si>
  <si>
    <t>B-cell receptor-associated protein 29</t>
  </si>
  <si>
    <t>BCAP29;BCAP29</t>
  </si>
  <si>
    <t>BCAP29</t>
  </si>
  <si>
    <t>P62341</t>
  </si>
  <si>
    <t>Thioredoxin reductase-like selenoprotein T</t>
  </si>
  <si>
    <t>SELENOT</t>
  </si>
  <si>
    <t>Q9Y6M1;Q9Y6M1-1;Q9Y6M1-3;Q9Y6M1-4;Q9Y6M1-5;Q9Y6M1-6</t>
  </si>
  <si>
    <t>Q9Y6M1</t>
  </si>
  <si>
    <t>Insulin-like growth factor 2 mRNA-binding protein 2</t>
  </si>
  <si>
    <t>IGF2BP2;IGF2BP2;IGF2BP2;IGF2BP2;IGF2BP2;IGF2BP2</t>
  </si>
  <si>
    <t>IGF2BP2</t>
  </si>
  <si>
    <t>HLA class I histocompatibility antigen, alpha chain E</t>
  </si>
  <si>
    <t>HLA-E</t>
  </si>
  <si>
    <t>P60468</t>
  </si>
  <si>
    <t>Protein transport protein Sec61 subunit beta</t>
  </si>
  <si>
    <t>SEC61B</t>
  </si>
  <si>
    <t>Signal transducer and activator of transcription 6</t>
  </si>
  <si>
    <t>STAT6</t>
  </si>
  <si>
    <t>Transmembrane protein 163</t>
  </si>
  <si>
    <t>TMEM163</t>
  </si>
  <si>
    <t>P27701</t>
  </si>
  <si>
    <t>CD82 antigen</t>
  </si>
  <si>
    <t>CD82</t>
  </si>
  <si>
    <t>P52594;P52594-2;P52594-3;P52594-4</t>
  </si>
  <si>
    <t>P52594</t>
  </si>
  <si>
    <t>Arf-GAP domain and FG repeat-containing protein 1</t>
  </si>
  <si>
    <t>AGFG1;AGFG1;AGFG1;AGFG1</t>
  </si>
  <si>
    <t>AGFG1</t>
  </si>
  <si>
    <t>Glutamine-dependent NAD(+) synthetase</t>
  </si>
  <si>
    <t>NADSYN1;NADSYN1</t>
  </si>
  <si>
    <t>NADSYN1</t>
  </si>
  <si>
    <t>P27361</t>
  </si>
  <si>
    <t>Mitogen-activated protein kinase 3</t>
  </si>
  <si>
    <t>MAPK3</t>
  </si>
  <si>
    <t>CTP synthase 2</t>
  </si>
  <si>
    <t>CTPS2</t>
  </si>
  <si>
    <t>O15231</t>
  </si>
  <si>
    <t>Zinc finger protein 185</t>
  </si>
  <si>
    <t>ZNF185</t>
  </si>
  <si>
    <t>O15027;O15027-2;O15027-3;O15027-4;O15027-5</t>
  </si>
  <si>
    <t>O15027</t>
  </si>
  <si>
    <t>Protein transport protein Sec16A</t>
  </si>
  <si>
    <t>SEC16A;SEC16A;SEC16A;SEC16A;SEC16A</t>
  </si>
  <si>
    <t>SEC16A</t>
  </si>
  <si>
    <t>Q99729-2;Q99729-3</t>
  </si>
  <si>
    <t>Q99729-2</t>
  </si>
  <si>
    <t>Isoform 2 of Heterogeneous nuclear ribonucleoprotein A/B</t>
  </si>
  <si>
    <t>HNRNPAB;HNRNPAB</t>
  </si>
  <si>
    <t>HNRNPAB</t>
  </si>
  <si>
    <t>RNA-binding protein with multiple splicing 2</t>
  </si>
  <si>
    <t>RBPMS2</t>
  </si>
  <si>
    <t>Q9Y3C4;Q9Y3C4-3</t>
  </si>
  <si>
    <t>Q9Y3C4</t>
  </si>
  <si>
    <t>EKC/KEOPS complex subunit TPRKB</t>
  </si>
  <si>
    <t>TPRKB;TPRKB</t>
  </si>
  <si>
    <t>TPRKB</t>
  </si>
  <si>
    <t>O95340;O95340-2</t>
  </si>
  <si>
    <t>O95340</t>
  </si>
  <si>
    <t>Bifunctional 3'-phosphoadenosine 5'-phosphosulfate synthase 2</t>
  </si>
  <si>
    <t>PAPSS2;PAPSS2</t>
  </si>
  <si>
    <t>PAPSS2</t>
  </si>
  <si>
    <t>GDP-Man:Man(3)GlcNAc(2)-PP-Dol alpha-1,2-mannosyltransferase</t>
  </si>
  <si>
    <t>ALG11</t>
  </si>
  <si>
    <t>40S ribosomal protein S16</t>
  </si>
  <si>
    <t>RPS16</t>
  </si>
  <si>
    <t>Q8N2K0;Q8N2K0-2;Q8N2K0-3</t>
  </si>
  <si>
    <t>Q8N2K0</t>
  </si>
  <si>
    <t>Monoacylglycerol lipase ABHD12</t>
  </si>
  <si>
    <t>ABHD12;ABHD12;ABHD12</t>
  </si>
  <si>
    <t>ABHD12</t>
  </si>
  <si>
    <t>P30039;P30039-2</t>
  </si>
  <si>
    <t>P30039</t>
  </si>
  <si>
    <t>Phenazine biosynthesis-like domain-containing protein</t>
  </si>
  <si>
    <t>PBLD;PBLD</t>
  </si>
  <si>
    <t>PBLD</t>
  </si>
  <si>
    <t>Q92835;Q92835-2</t>
  </si>
  <si>
    <t>Q92835</t>
  </si>
  <si>
    <t>Phosphatidylinositol 3,4,5-trisphosphate 5-phosphatase 1</t>
  </si>
  <si>
    <t>INPP5D;INPP5D</t>
  </si>
  <si>
    <t>INPP5D</t>
  </si>
  <si>
    <t>Q9BY43;Q9BY43-2</t>
  </si>
  <si>
    <t>Q9BY43</t>
  </si>
  <si>
    <t>Charged multivesicular body protein 4a</t>
  </si>
  <si>
    <t>CHMP4A;CHMP4A</t>
  </si>
  <si>
    <t>CHMP4A</t>
  </si>
  <si>
    <t>O14735;O14735-3</t>
  </si>
  <si>
    <t>O14735</t>
  </si>
  <si>
    <t>CDP-diacylglycerol--inositol 3-phosphatidyltransferase</t>
  </si>
  <si>
    <t>CDIPT;CDIPT</t>
  </si>
  <si>
    <t>CDIPT</t>
  </si>
  <si>
    <t>Dual specificity mitogen-activated protein kinase kinase 2</t>
  </si>
  <si>
    <t>MAP2K2</t>
  </si>
  <si>
    <t>Lamin-B receptor</t>
  </si>
  <si>
    <t>LBR</t>
  </si>
  <si>
    <t>Bifunctional coenzyme A synthase</t>
  </si>
  <si>
    <t>COASY;COASY</t>
  </si>
  <si>
    <t>COASY</t>
  </si>
  <si>
    <t>Dehydrogenase/reductase SDR family member 7B</t>
  </si>
  <si>
    <t>DHRS7B</t>
  </si>
  <si>
    <t>O14639;O14639-2;O14639-6</t>
  </si>
  <si>
    <t>O14639</t>
  </si>
  <si>
    <t>Actin-binding LIM protein 1</t>
  </si>
  <si>
    <t>ABLIM1;ABLIM1;ABLIM1</t>
  </si>
  <si>
    <t>ABLIM1</t>
  </si>
  <si>
    <t>CON__Q3ZBS7</t>
  </si>
  <si>
    <t>Q9UKD2</t>
  </si>
  <si>
    <t>mRNA turnover protein 4 homolog</t>
  </si>
  <si>
    <t>MRTO4</t>
  </si>
  <si>
    <t>X-ray repair cross-complementing protein 5</t>
  </si>
  <si>
    <t>XRCC5</t>
  </si>
  <si>
    <t>Eukaryotic translation initiation factor 4B</t>
  </si>
  <si>
    <t>EIF4B</t>
  </si>
  <si>
    <t>Lysosome-associated membrane glycoprotein 1</t>
  </si>
  <si>
    <t>LAMP1</t>
  </si>
  <si>
    <t>Ubiquitin-like modifier-activating enzyme 5</t>
  </si>
  <si>
    <t>UBA5</t>
  </si>
  <si>
    <t>Q6IA17;Q6IA17-2</t>
  </si>
  <si>
    <t>Q6IA17</t>
  </si>
  <si>
    <t>Single Ig IL-1-related receptor</t>
  </si>
  <si>
    <t>SIGIRR;SIGIRR</t>
  </si>
  <si>
    <t>SIGIRR</t>
  </si>
  <si>
    <t>Q96EM0</t>
  </si>
  <si>
    <t>Trans-3-hydroxy-L-proline dehydratase</t>
  </si>
  <si>
    <t>L3HYPDH</t>
  </si>
  <si>
    <t>Golgi-associated plant pathogenesis-related protein 1</t>
  </si>
  <si>
    <t>GLIPR2</t>
  </si>
  <si>
    <t>CON__P02672</t>
  </si>
  <si>
    <t>Q9BTW9;Q9BTW9-4</t>
  </si>
  <si>
    <t>Q9BTW9</t>
  </si>
  <si>
    <t>Tubulin-specific chaperone D</t>
  </si>
  <si>
    <t>TBCD;TBCD</t>
  </si>
  <si>
    <t>TBCD</t>
  </si>
  <si>
    <t>Q9NPQ8;Q9NPQ8-4</t>
  </si>
  <si>
    <t>Q9NPQ8</t>
  </si>
  <si>
    <t>Synembryn-A</t>
  </si>
  <si>
    <t>RIC8A;RIC8A</t>
  </si>
  <si>
    <t>RIC8A</t>
  </si>
  <si>
    <t>P11678</t>
  </si>
  <si>
    <t>Eosinophil peroxidase</t>
  </si>
  <si>
    <t>EPX</t>
  </si>
  <si>
    <t>Q3KQV9</t>
  </si>
  <si>
    <t>UDP-N-acetylhexosamine pyrophosphorylase-like protein 1</t>
  </si>
  <si>
    <t>UAP1L1</t>
  </si>
  <si>
    <t>Valine--tRNA ligase</t>
  </si>
  <si>
    <t>VARS</t>
  </si>
  <si>
    <t>Q96MX0;Q96MX0-2</t>
  </si>
  <si>
    <t>Q96MX0</t>
  </si>
  <si>
    <t>CKLF-like MARVEL transmembrane domain-containing protein 3</t>
  </si>
  <si>
    <t>CMTM3;CMTM3</t>
  </si>
  <si>
    <t>CMTM3</t>
  </si>
  <si>
    <t>Q96N67;Q96N67-2;Q96N67-3;Q96N67-4;Q96N67-5;Q96N67-6</t>
  </si>
  <si>
    <t>Q96N67</t>
  </si>
  <si>
    <t>Dedicator of cytokinesis protein 7</t>
  </si>
  <si>
    <t>DOCK7;DOCK7;DOCK7;DOCK7;DOCK7;DOCK7</t>
  </si>
  <si>
    <t>DOCK7</t>
  </si>
  <si>
    <t>Q05823;Q05823-2</t>
  </si>
  <si>
    <t>Q05823</t>
  </si>
  <si>
    <t>2-5A-dependent ribonuclease</t>
  </si>
  <si>
    <t>RNASEL;RNASEL</t>
  </si>
  <si>
    <t>RNASEL</t>
  </si>
  <si>
    <t>Nucleobindin-1</t>
  </si>
  <si>
    <t>NUCB1</t>
  </si>
  <si>
    <t>Q9BY32;Q9BY32-3</t>
  </si>
  <si>
    <t>Inosine triphosphate pyrophosphatase</t>
  </si>
  <si>
    <t>ITPA;ITPA</t>
  </si>
  <si>
    <t>ITPA</t>
  </si>
  <si>
    <t>Receptor expression-enhancing protein 5</t>
  </si>
  <si>
    <t>REEP5</t>
  </si>
  <si>
    <t>NADH dehydrogenase [ubiquinone] 1 alpha subcomplex subunit 10, mitochondrial</t>
  </si>
  <si>
    <t>NDUFA10</t>
  </si>
  <si>
    <t>STAM-binding protein</t>
  </si>
  <si>
    <t>STAMBP;STAMBP</t>
  </si>
  <si>
    <t>STAMBP</t>
  </si>
  <si>
    <t>Eukaryotic translation initiation factor 3 subunit I</t>
  </si>
  <si>
    <t>EIF3I</t>
  </si>
  <si>
    <t>P08727</t>
  </si>
  <si>
    <t>Keratin, type I cytoskeletal 19</t>
  </si>
  <si>
    <t>KRT19</t>
  </si>
  <si>
    <t>P02545</t>
  </si>
  <si>
    <t>Prelamin-A/C</t>
  </si>
  <si>
    <t>LMNA</t>
  </si>
  <si>
    <t>Aldehyde dehydrogenase family 16 member A1</t>
  </si>
  <si>
    <t>ALDH16A1</t>
  </si>
  <si>
    <t>Q86VW0</t>
  </si>
  <si>
    <t>SEC14 domain and spectrin repeat-containing protein 1</t>
  </si>
  <si>
    <t>SESTD1</t>
  </si>
  <si>
    <t>Q8N335</t>
  </si>
  <si>
    <t>Glycerol-3-phosphate dehydrogenase 1-like protein</t>
  </si>
  <si>
    <t>GPD1L</t>
  </si>
  <si>
    <t>Q13630</t>
  </si>
  <si>
    <t>GDP-L-fucose synthase</t>
  </si>
  <si>
    <t>TSTA3</t>
  </si>
  <si>
    <t>CON__P19001</t>
  </si>
  <si>
    <t>Hepatocyte growth factor-like protein</t>
  </si>
  <si>
    <t>MST1;MST1L;MST1L</t>
  </si>
  <si>
    <t>MST1</t>
  </si>
  <si>
    <t>Q9UN86;Q9UN86-2</t>
  </si>
  <si>
    <t>Q9UN86</t>
  </si>
  <si>
    <t>Ras GTPase-activating protein-binding protein 2</t>
  </si>
  <si>
    <t>G3BP2;G3BP2</t>
  </si>
  <si>
    <t>G3BP2</t>
  </si>
  <si>
    <t>CD59 glycoprotein</t>
  </si>
  <si>
    <t>CD59</t>
  </si>
  <si>
    <t>Q9Y6A5</t>
  </si>
  <si>
    <t>Transforming acidic coiled-coil-containing protein 3</t>
  </si>
  <si>
    <t>TACC3</t>
  </si>
  <si>
    <t>Q8TB40;Q8TB40-2</t>
  </si>
  <si>
    <t>Q8TB40</t>
  </si>
  <si>
    <t>Protein ABHD4</t>
  </si>
  <si>
    <t>ABHD4;ABHD4</t>
  </si>
  <si>
    <t>ABHD4</t>
  </si>
  <si>
    <t>P15529-2;P15529-3;P15529-4;P15529-5;P15529-6;P15529-7</t>
  </si>
  <si>
    <t>P15529-2</t>
  </si>
  <si>
    <t>Isoform B of Membrane cofactor protein</t>
  </si>
  <si>
    <t>CD46;CD46;CD46;CD46;CD46;CD46</t>
  </si>
  <si>
    <t>CD46</t>
  </si>
  <si>
    <t>Serine/threonine-protein phosphatase PGAM5, mitochondrial</t>
  </si>
  <si>
    <t>PGAM5;PGAM5</t>
  </si>
  <si>
    <t>PGAM5</t>
  </si>
  <si>
    <t>Q9UMX0;Q9UMX0-2</t>
  </si>
  <si>
    <t>Q9UMX0</t>
  </si>
  <si>
    <t>Ubiquilin-1</t>
  </si>
  <si>
    <t>UBQLN1;UBQLN1</t>
  </si>
  <si>
    <t>UBQLN1</t>
  </si>
  <si>
    <t>Q7L2H7</t>
  </si>
  <si>
    <t>Eukaryotic translation initiation factor 3 subunit M</t>
  </si>
  <si>
    <t>EIF3M</t>
  </si>
  <si>
    <t>P14678;P14678-2;P14678-3;P63162;P63162-2</t>
  </si>
  <si>
    <t>P14678</t>
  </si>
  <si>
    <t>Small nuclear ribonucleoprotein-associated proteins B and B'</t>
  </si>
  <si>
    <t>SNRPB;SNRPB;SNRPB;SNRPN;SNRPN</t>
  </si>
  <si>
    <t>SNRPB</t>
  </si>
  <si>
    <t>Acyl-CoA dehydrogenase family member 9, mitochondrial</t>
  </si>
  <si>
    <t>ACAD9</t>
  </si>
  <si>
    <t>P42331;P42331-2;P42331-3;P42331-4;P42331-5;P42331-6</t>
  </si>
  <si>
    <t>P42331</t>
  </si>
  <si>
    <t>Rho GTPase-activating protein 25</t>
  </si>
  <si>
    <t>ARHGAP25;ARHGAP25;ARHGAP25;ARHGAP25;ARHGAP25;ARHGAP25</t>
  </si>
  <si>
    <t>ARHGAP25</t>
  </si>
  <si>
    <t>P30566</t>
  </si>
  <si>
    <t>Adenylosuccinate lyase</t>
  </si>
  <si>
    <t>ADSL</t>
  </si>
  <si>
    <t>Cullin-5</t>
  </si>
  <si>
    <t>CUL5</t>
  </si>
  <si>
    <t>Inositol 1,4,5-trisphosphate receptor type 2</t>
  </si>
  <si>
    <t>ITPR2</t>
  </si>
  <si>
    <t>Q9HC35;Q9HC35-2</t>
  </si>
  <si>
    <t>Q9HC35</t>
  </si>
  <si>
    <t>Echinoderm microtubule-associated protein-like 4</t>
  </si>
  <si>
    <t>EML4;EML4</t>
  </si>
  <si>
    <t>EML4</t>
  </si>
  <si>
    <t>Claudin-3</t>
  </si>
  <si>
    <t>CLDN3</t>
  </si>
  <si>
    <t>Peptidyl-prolyl cis-trans isomerase FKBP3</t>
  </si>
  <si>
    <t>FKBP3</t>
  </si>
  <si>
    <t>P23141;P23141-2;P23141-3</t>
  </si>
  <si>
    <t>P23141</t>
  </si>
  <si>
    <t>Liver carboxylesterase 1</t>
  </si>
  <si>
    <t>CES1;CES1;CES1</t>
  </si>
  <si>
    <t>CES1</t>
  </si>
  <si>
    <t>P31025</t>
  </si>
  <si>
    <t>Lipocalin-1</t>
  </si>
  <si>
    <t>LCN1</t>
  </si>
  <si>
    <t>Insulin-degrading enzyme</t>
  </si>
  <si>
    <t>IDE</t>
  </si>
  <si>
    <t>Q9BW04</t>
  </si>
  <si>
    <t>Specifically androgen-regulated gene protein</t>
  </si>
  <si>
    <t>SARG</t>
  </si>
  <si>
    <t>Q9Y4G8</t>
  </si>
  <si>
    <t>Rap guanine nucleotide exchange factor 2</t>
  </si>
  <si>
    <t>RAPGEF2</t>
  </si>
  <si>
    <t>Q63HN8;Q63HN8-4</t>
  </si>
  <si>
    <t>E3 ubiquitin-protein ligase RNF213</t>
  </si>
  <si>
    <t>RNF213;RNF213</t>
  </si>
  <si>
    <t>RNF213</t>
  </si>
  <si>
    <t>Q6L8Q7;Q6L8Q7-2</t>
  </si>
  <si>
    <t>Q6L8Q7</t>
  </si>
  <si>
    <t>2',5'-phosphodiesterase 12</t>
  </si>
  <si>
    <t>PDE12;PDE12</t>
  </si>
  <si>
    <t>PDE12</t>
  </si>
  <si>
    <t>Q14653</t>
  </si>
  <si>
    <t>Interferon regulatory factor 3</t>
  </si>
  <si>
    <t>IRF3</t>
  </si>
  <si>
    <t>Q93008;Q93008-1</t>
  </si>
  <si>
    <t>Q93008</t>
  </si>
  <si>
    <t>Probable ubiquitin carboxyl-terminal hydrolase FAF-X</t>
  </si>
  <si>
    <t>USP9X;USP9X</t>
  </si>
  <si>
    <t>USP9X</t>
  </si>
  <si>
    <t>Q14011</t>
  </si>
  <si>
    <t>Cold-inducible RNA-binding protein</t>
  </si>
  <si>
    <t>CIRBP</t>
  </si>
  <si>
    <t>P49757;P49757-2;P49757-3;P49757-4</t>
  </si>
  <si>
    <t>P49757</t>
  </si>
  <si>
    <t>Protein numb homolog</t>
  </si>
  <si>
    <t>NUMB;NUMB;NUMB;NUMB</t>
  </si>
  <si>
    <t>NUMB</t>
  </si>
  <si>
    <t>Q32P28;Q32P28-3;Q32P28-4</t>
  </si>
  <si>
    <t>Q32P28</t>
  </si>
  <si>
    <t>Prolyl 3-hydroxylase 1</t>
  </si>
  <si>
    <t>P3H1;P3H1;P3H1</t>
  </si>
  <si>
    <t>P3H1</t>
  </si>
  <si>
    <t>Q8TCZ2;Q8TCZ2-2;Q8TCZ2-3;Q8TCZ2-5</t>
  </si>
  <si>
    <t>Q8TCZ2</t>
  </si>
  <si>
    <t>CD99 antigen-like protein 2</t>
  </si>
  <si>
    <t>CD99L2;CD99L2;CD99L2;CD99L2</t>
  </si>
  <si>
    <t>CD99L2</t>
  </si>
  <si>
    <t>O95394;O95394-3;O95394-4</t>
  </si>
  <si>
    <t>O95394</t>
  </si>
  <si>
    <t>Phosphoacetylglucosamine mutase</t>
  </si>
  <si>
    <t>PGM3;PGM3;PGM3</t>
  </si>
  <si>
    <t>PGM3</t>
  </si>
  <si>
    <t>Q13137-4</t>
  </si>
  <si>
    <t>Isoform 4 of Calcium-binding and coiled-coil domain-containing protein 2</t>
  </si>
  <si>
    <t>CALCOCO2</t>
  </si>
  <si>
    <t>Q6FI81;Q6FI81-3</t>
  </si>
  <si>
    <t>Q6FI81</t>
  </si>
  <si>
    <t>Anamorsin</t>
  </si>
  <si>
    <t>CIAPIN1;CIAPIN1</t>
  </si>
  <si>
    <t>CIAPIN1</t>
  </si>
  <si>
    <t>Q99615;Q99615-2</t>
  </si>
  <si>
    <t>Q99615</t>
  </si>
  <si>
    <t>DnaJ homolog subfamily C member 7</t>
  </si>
  <si>
    <t>DNAJC7;DNAJC7</t>
  </si>
  <si>
    <t>DNAJC7</t>
  </si>
  <si>
    <t>Q96MW5</t>
  </si>
  <si>
    <t>Conserved oligomeric Golgi complex subunit 8</t>
  </si>
  <si>
    <t>COG8</t>
  </si>
  <si>
    <t>Q10472</t>
  </si>
  <si>
    <t>Polypeptide N-acetylgalactosaminyltransferase 1</t>
  </si>
  <si>
    <t>GALNT1</t>
  </si>
  <si>
    <t>P02549;P02549-2</t>
  </si>
  <si>
    <t>P02549</t>
  </si>
  <si>
    <t>Spectrin alpha chain, erythrocytic 1</t>
  </si>
  <si>
    <t>SPTA1;SPTA1</t>
  </si>
  <si>
    <t>SPTA1</t>
  </si>
  <si>
    <t>Q6WCQ1;Q6WCQ1-2;Q6WCQ1-3</t>
  </si>
  <si>
    <t>Q6WCQ1</t>
  </si>
  <si>
    <t>Myosin phosphatase Rho-interacting protein</t>
  </si>
  <si>
    <t>MPRIP;MPRIP;MPRIP</t>
  </si>
  <si>
    <t>MPRIP</t>
  </si>
  <si>
    <t>O60701;O60701-2</t>
  </si>
  <si>
    <t>O60701</t>
  </si>
  <si>
    <t>UDP-glucose 6-dehydrogenase</t>
  </si>
  <si>
    <t>UGDH;UGDH</t>
  </si>
  <si>
    <t>UGDH</t>
  </si>
  <si>
    <t>Histone H1.2</t>
  </si>
  <si>
    <t>HIST1H1C</t>
  </si>
  <si>
    <t>Villin-1</t>
  </si>
  <si>
    <t>VIL1</t>
  </si>
  <si>
    <t>B0I1T2;B0I1T2-4</t>
  </si>
  <si>
    <t>B0I1T2</t>
  </si>
  <si>
    <t>Unconventional myosin-Ig</t>
  </si>
  <si>
    <t>MYO1G;MYO1G</t>
  </si>
  <si>
    <t>MYO1G</t>
  </si>
  <si>
    <t>P62269</t>
  </si>
  <si>
    <t>40S ribosomal protein S18</t>
  </si>
  <si>
    <t>RPS18</t>
  </si>
  <si>
    <t>Coiled-coil domain-containing protein 6</t>
  </si>
  <si>
    <t>CCDC6</t>
  </si>
  <si>
    <t>Q6NXT6;Q6NXT6-2</t>
  </si>
  <si>
    <t>Q6NXT6</t>
  </si>
  <si>
    <t>Transmembrane anterior posterior transformation protein 1 homolog</t>
  </si>
  <si>
    <t>TAPT1;TAPT1</t>
  </si>
  <si>
    <t>TAPT1</t>
  </si>
  <si>
    <t>Q5UIP0;Q5UIP0-2</t>
  </si>
  <si>
    <t>Q5UIP0</t>
  </si>
  <si>
    <t>Telomere-associated protein RIF1</t>
  </si>
  <si>
    <t>RIF1;RIF1</t>
  </si>
  <si>
    <t>RIF1</t>
  </si>
  <si>
    <t>O75438</t>
  </si>
  <si>
    <t>NADH dehydrogenase [ubiquinone] 1 beta subcomplex subunit 1</t>
  </si>
  <si>
    <t>NDUFB1</t>
  </si>
  <si>
    <t>P50897</t>
  </si>
  <si>
    <t>Palmitoyl-protein thioesterase 1</t>
  </si>
  <si>
    <t>PPT1</t>
  </si>
  <si>
    <t>P31942;P31942-2</t>
  </si>
  <si>
    <t>P31942</t>
  </si>
  <si>
    <t>Heterogeneous nuclear ribonucleoprotein H3</t>
  </si>
  <si>
    <t>HNRNPH3;HNRNPH3</t>
  </si>
  <si>
    <t>HNRNPH3</t>
  </si>
  <si>
    <t>Q9NVE7</t>
  </si>
  <si>
    <t>Pantothenate kinase 4</t>
  </si>
  <si>
    <t>PANK4</t>
  </si>
  <si>
    <t>Q9UGJ1;Q9UGJ1-2</t>
  </si>
  <si>
    <t>Q9UGJ1</t>
  </si>
  <si>
    <t>Gamma-tubulin complex component 4</t>
  </si>
  <si>
    <t>TUBGCP4;TUBGCP4</t>
  </si>
  <si>
    <t>TUBGCP4</t>
  </si>
  <si>
    <t>CON__P12763</t>
  </si>
  <si>
    <t>Tetratricopeptide repeat protein 37</t>
  </si>
  <si>
    <t>TTC37</t>
  </si>
  <si>
    <t>Q6P1N0;Q6P1N0-2</t>
  </si>
  <si>
    <t>Q6P1N0</t>
  </si>
  <si>
    <t>Coiled-coil and C2 domain-containing protein 1A</t>
  </si>
  <si>
    <t>CC2D1A;CC2D1A</t>
  </si>
  <si>
    <t>CC2D1A</t>
  </si>
  <si>
    <t>Mannosyl-oligosaccharide 1,2-alpha-mannosidase IA</t>
  </si>
  <si>
    <t>MAN1A1</t>
  </si>
  <si>
    <t>Q8IWR0</t>
  </si>
  <si>
    <t>Zinc finger CCCH domain-containing protein 7A</t>
  </si>
  <si>
    <t>ZC3H7A</t>
  </si>
  <si>
    <t>Q9NZJ9;Q9NZJ9-2</t>
  </si>
  <si>
    <t>Q9NZJ9</t>
  </si>
  <si>
    <t>Diphosphoinositol polyphosphate phosphohydrolase 2</t>
  </si>
  <si>
    <t>NUDT4;NUDT4</t>
  </si>
  <si>
    <t>NUDT4</t>
  </si>
  <si>
    <t>WD repeat and FYVE domain-containing protein 1</t>
  </si>
  <si>
    <t>WDFY1</t>
  </si>
  <si>
    <t>Q9Y5P4;Q9Y5P4-2;Q9Y5P4-3</t>
  </si>
  <si>
    <t>Q9Y5P4</t>
  </si>
  <si>
    <t>Collagen type IV alpha-3-binding protein</t>
  </si>
  <si>
    <t>COL4A3BP;COL4A3BP;COL4A3BP</t>
  </si>
  <si>
    <t>COL4A3BP</t>
  </si>
  <si>
    <t>Gamma-tubulin complex component 2</t>
  </si>
  <si>
    <t>TUBGCP2;TUBGCP2</t>
  </si>
  <si>
    <t>TUBGCP2</t>
  </si>
  <si>
    <t>NADH dehydrogenase [ubiquinone] 1 beta subcomplex subunit 11, mitochondrial</t>
  </si>
  <si>
    <t>NDUFB11;NDUFB11</t>
  </si>
  <si>
    <t>NDUFB11</t>
  </si>
  <si>
    <t>Q9P0J1;Q9P0J1-2</t>
  </si>
  <si>
    <t>Q9P0J1</t>
  </si>
  <si>
    <t>[Pyruvate dehydrogenase [acetyl-transferring]]-phosphatase 1, mitochondrial</t>
  </si>
  <si>
    <t>PDP1;PDP1</t>
  </si>
  <si>
    <t>PDP1</t>
  </si>
  <si>
    <t>Astrocytic phosphoprotein PEA-15</t>
  </si>
  <si>
    <t>PEA15;PEA15</t>
  </si>
  <si>
    <t>PEA15</t>
  </si>
  <si>
    <t>Estradiol 17-beta-dehydrogenase 11</t>
  </si>
  <si>
    <t>HSD17B11</t>
  </si>
  <si>
    <t>P46736;P46736-2;P46736-3;P46736-4</t>
  </si>
  <si>
    <t>P46736</t>
  </si>
  <si>
    <t>Lys-63-specific deubiquitinase BRCC36</t>
  </si>
  <si>
    <t>BRCC3;BRCC3;BRCC3;BRCC3</t>
  </si>
  <si>
    <t>BRCC3</t>
  </si>
  <si>
    <t>Q9NZN8;Q9NZN8-2;Q9NZN8-4</t>
  </si>
  <si>
    <t>Q9NZN8</t>
  </si>
  <si>
    <t>CCR4-NOT transcription complex subunit 2</t>
  </si>
  <si>
    <t>CNOT2;CNOT2;CNOT2</t>
  </si>
  <si>
    <t>CNOT2</t>
  </si>
  <si>
    <t>Q8NCG7;Q8NCG7-2;Q8NCG7-4</t>
  </si>
  <si>
    <t>Sn1-specific diacylglycerol lipase beta</t>
  </si>
  <si>
    <t>DAGLB;DAGLB;DAGLB</t>
  </si>
  <si>
    <t>DAGLB</t>
  </si>
  <si>
    <t>Q96DV4</t>
  </si>
  <si>
    <t>39S ribosomal protein L38, mitochondrial</t>
  </si>
  <si>
    <t>MRPL38</t>
  </si>
  <si>
    <t>Geranylgeranyl transferase type-2 subunit beta</t>
  </si>
  <si>
    <t>RABGGTB</t>
  </si>
  <si>
    <t>Q6P179;Q6P179-3</t>
  </si>
  <si>
    <t>Q6P179</t>
  </si>
  <si>
    <t>Endoplasmic reticulum aminopeptidase 2</t>
  </si>
  <si>
    <t>ERAP2;ERAP2</t>
  </si>
  <si>
    <t>ERAP2</t>
  </si>
  <si>
    <t>O43837</t>
  </si>
  <si>
    <t>Isocitrate dehydrogenase [NAD] subunit beta, mitochondrial</t>
  </si>
  <si>
    <t>IDH3B</t>
  </si>
  <si>
    <t>Q63ZY3;Q63ZY3-2;Q63ZY3-3</t>
  </si>
  <si>
    <t>Q63ZY3</t>
  </si>
  <si>
    <t>KN motif and ankyrin repeat domain-containing protein 2</t>
  </si>
  <si>
    <t>KANK2;KANK2;KANK2</t>
  </si>
  <si>
    <t>KANK2</t>
  </si>
  <si>
    <t>Protein bicaudal D homolog 2</t>
  </si>
  <si>
    <t>BICD2;BICD2</t>
  </si>
  <si>
    <t>BICD2</t>
  </si>
  <si>
    <t>P62995;P62995-3</t>
  </si>
  <si>
    <t>P62995</t>
  </si>
  <si>
    <t>Transformer-2 protein homolog beta</t>
  </si>
  <si>
    <t>TRA2B;TRA2B</t>
  </si>
  <si>
    <t>TRA2B</t>
  </si>
  <si>
    <t>Q8WWM7;Q8WWM7-2;Q8WWM7-3;Q8WWM7-4;Q8WWM7-5;Q8WWM7-6;Q8WWM7-8;Q8WWM7-9</t>
  </si>
  <si>
    <t>Q8WWM7</t>
  </si>
  <si>
    <t>Ataxin-2-like protein</t>
  </si>
  <si>
    <t>ATXN2L;ATXN2L;ATXN2L;ATXN2L;ATXN2L;ATXN2L;ATXN2L;ATXN2L</t>
  </si>
  <si>
    <t>ATXN2L</t>
  </si>
  <si>
    <t>Heterogeneous nuclear ribonucleoprotein H</t>
  </si>
  <si>
    <t>HNRNPH1</t>
  </si>
  <si>
    <t>Q9Y587;Q9Y587-2;Q9Y587-3;Q9Y587-4</t>
  </si>
  <si>
    <t>Q9Y587</t>
  </si>
  <si>
    <t>AP-4 complex subunit sigma-1</t>
  </si>
  <si>
    <t>AP4S1;AP4S1;AP4S1;AP4S1</t>
  </si>
  <si>
    <t>AP4S1</t>
  </si>
  <si>
    <t>O00160</t>
  </si>
  <si>
    <t>Unconventional myosin-If</t>
  </si>
  <si>
    <t>MYO1F</t>
  </si>
  <si>
    <t>P55011;P55011-3</t>
  </si>
  <si>
    <t>P55011</t>
  </si>
  <si>
    <t>Solute carrier family 12 member 2</t>
  </si>
  <si>
    <t>SLC12A2;SLC12A2</t>
  </si>
  <si>
    <t>SLC12A2</t>
  </si>
  <si>
    <t>Q92896;Q92896-2;Q92896-3</t>
  </si>
  <si>
    <t>Q92896</t>
  </si>
  <si>
    <t>Golgi apparatus protein 1</t>
  </si>
  <si>
    <t>GLG1;GLG1;GLG1</t>
  </si>
  <si>
    <t>GLG1</t>
  </si>
  <si>
    <t>P03951;P03951-2</t>
  </si>
  <si>
    <t>P03951</t>
  </si>
  <si>
    <t>Coagulation factor XI</t>
  </si>
  <si>
    <t>F11;F11</t>
  </si>
  <si>
    <t>F11</t>
  </si>
  <si>
    <t>Q15149-4</t>
  </si>
  <si>
    <t>Isoform 4 of Plectin</t>
  </si>
  <si>
    <t>Q13287</t>
  </si>
  <si>
    <t>N-myc-interactor</t>
  </si>
  <si>
    <t>NMI</t>
  </si>
  <si>
    <t>Q9UNN8</t>
  </si>
  <si>
    <t>Endothelial protein C receptor</t>
  </si>
  <si>
    <t>PROCR</t>
  </si>
  <si>
    <t>P05451;P48304</t>
  </si>
  <si>
    <t>P05451</t>
  </si>
  <si>
    <t>Lithostathine-1-alpha</t>
  </si>
  <si>
    <t>REG1A;REG1B</t>
  </si>
  <si>
    <t>REG1A</t>
  </si>
  <si>
    <t>Q5U3C3;Q5U3C3-2</t>
  </si>
  <si>
    <t>Q5U3C3</t>
  </si>
  <si>
    <t>Transmembrane protein 164</t>
  </si>
  <si>
    <t>TMEM164;TMEM164</t>
  </si>
  <si>
    <t>TMEM164</t>
  </si>
  <si>
    <t>7-dehydrocholesterol reductase</t>
  </si>
  <si>
    <t>DHCR7</t>
  </si>
  <si>
    <t>Q12959;Q12959-2;Q12959-3;Q12959-4;Q12959-5;Q12959-6;Q12959-7;Q12959-8;Q12959-9</t>
  </si>
  <si>
    <t>Q12959</t>
  </si>
  <si>
    <t>Disks large homolog 1</t>
  </si>
  <si>
    <t>DLG1;DLG1;DLG1;DLG1;DLG1;DLG1;DLG1;DLG1;DLG1</t>
  </si>
  <si>
    <t>DLG1</t>
  </si>
  <si>
    <t>Torsin-1A</t>
  </si>
  <si>
    <t>TOR1A</t>
  </si>
  <si>
    <t>CON__P02070</t>
  </si>
  <si>
    <t>Transmembrane emp24 domain-containing protein 2</t>
  </si>
  <si>
    <t>TMED2</t>
  </si>
  <si>
    <t>Heterogeneous nuclear ribonucleoprotein F</t>
  </si>
  <si>
    <t>HNRNPF</t>
  </si>
  <si>
    <t>O75683</t>
  </si>
  <si>
    <t>Surfeit locus protein 6</t>
  </si>
  <si>
    <t>SURF6</t>
  </si>
  <si>
    <t>Raftlin</t>
  </si>
  <si>
    <t>RFTN1</t>
  </si>
  <si>
    <t>O14727;O14727-2;O14727-3;O14727-4;O14727-5</t>
  </si>
  <si>
    <t>O14727</t>
  </si>
  <si>
    <t>Apoptotic protease-activating factor 1</t>
  </si>
  <si>
    <t>APAF1;APAF1;APAF1;APAF1;APAF1</t>
  </si>
  <si>
    <t>APAF1</t>
  </si>
  <si>
    <t>Q9UID3;Q9UID3-2</t>
  </si>
  <si>
    <t>Q9UID3</t>
  </si>
  <si>
    <t>Vacuolar protein sorting-associated protein 51 homolog</t>
  </si>
  <si>
    <t>VPS51;VPS51</t>
  </si>
  <si>
    <t>VPS51</t>
  </si>
  <si>
    <t>Golgi resident protein GCP60</t>
  </si>
  <si>
    <t>ACBD3</t>
  </si>
  <si>
    <t>Q68D91</t>
  </si>
  <si>
    <t>Metallo-beta-lactamase domain-containing protein 2</t>
  </si>
  <si>
    <t>MBLAC2</t>
  </si>
  <si>
    <t>O60547;O60547-2</t>
  </si>
  <si>
    <t>O60547</t>
  </si>
  <si>
    <t>GDP-mannose 4,6 dehydratase</t>
  </si>
  <si>
    <t>GMDS;GMDS</t>
  </si>
  <si>
    <t>GMDS</t>
  </si>
  <si>
    <t>Q9H444</t>
  </si>
  <si>
    <t>Charged multivesicular body protein 4b</t>
  </si>
  <si>
    <t>CHMP4B</t>
  </si>
  <si>
    <t>O94888</t>
  </si>
  <si>
    <t>UBX domain-containing protein 7</t>
  </si>
  <si>
    <t>UBXN7</t>
  </si>
  <si>
    <t>Q96JG6;Q96JG6-3</t>
  </si>
  <si>
    <t>Q96JG6</t>
  </si>
  <si>
    <t>Syndetin</t>
  </si>
  <si>
    <t>VPS50;VPS50</t>
  </si>
  <si>
    <t>VPS50</t>
  </si>
  <si>
    <t>Q53HC9</t>
  </si>
  <si>
    <t>EARP and GARP complex-interacting protein 1</t>
  </si>
  <si>
    <t>EIPR1</t>
  </si>
  <si>
    <t>O14972;O14972-2</t>
  </si>
  <si>
    <t>O14972</t>
  </si>
  <si>
    <t>Down syndrome critical region protein 3</t>
  </si>
  <si>
    <t>DSCR3;DSCR3</t>
  </si>
  <si>
    <t>DSCR3</t>
  </si>
  <si>
    <t>Protein furry homolog-like</t>
  </si>
  <si>
    <t>FRYL</t>
  </si>
  <si>
    <t>CON__ENSEMBL:ENSBTAP00000031900</t>
  </si>
  <si>
    <t>Q86UP2</t>
  </si>
  <si>
    <t>Kinectin</t>
  </si>
  <si>
    <t>KTN1</t>
  </si>
  <si>
    <t>Q8N9N2;Q8N9N2-2</t>
  </si>
  <si>
    <t>Q8N9N2</t>
  </si>
  <si>
    <t>Activating signal cointegrator 1 complex subunit 1</t>
  </si>
  <si>
    <t>ASCC1;ASCC1</t>
  </si>
  <si>
    <t>ASCC1</t>
  </si>
  <si>
    <t>Isoform Short of 14-3-3 protein beta/alpha</t>
  </si>
  <si>
    <t>Q32MZ4;Q32MZ4-2;Q32MZ4-3</t>
  </si>
  <si>
    <t>Q32MZ4</t>
  </si>
  <si>
    <t>Leucine-rich repeat flightless-interacting protein 1</t>
  </si>
  <si>
    <t>LRRFIP1;LRRFIP1;LRRFIP1</t>
  </si>
  <si>
    <t>LRRFIP1</t>
  </si>
  <si>
    <t>CON__Q05443</t>
  </si>
  <si>
    <t>Q969M3;Q969M3-3</t>
  </si>
  <si>
    <t>Q969M3</t>
  </si>
  <si>
    <t>Protein YIPF5</t>
  </si>
  <si>
    <t>YIPF5;YIPF5</t>
  </si>
  <si>
    <t>YIPF5</t>
  </si>
  <si>
    <t>Testis-expressed protein 264</t>
  </si>
  <si>
    <t>TEX264</t>
  </si>
  <si>
    <t>Q99538</t>
  </si>
  <si>
    <t>Legumain</t>
  </si>
  <si>
    <t>LGMN</t>
  </si>
  <si>
    <t>Q96LJ7</t>
  </si>
  <si>
    <t>Dehydrogenase/reductase SDR family member 1</t>
  </si>
  <si>
    <t>DHRS1</t>
  </si>
  <si>
    <t>Q9UPR3</t>
  </si>
  <si>
    <t>Protein SMG5</t>
  </si>
  <si>
    <t>SMG5</t>
  </si>
  <si>
    <t>P10412</t>
  </si>
  <si>
    <t>Histone H1.4</t>
  </si>
  <si>
    <t>HIST1H1E</t>
  </si>
  <si>
    <t>P19525;P19525-2</t>
  </si>
  <si>
    <t>P19525</t>
  </si>
  <si>
    <t>Interferon-induced, double-stranded RNA-activated protein kinase</t>
  </si>
  <si>
    <t>EIF2AK2;EIF2AK2</t>
  </si>
  <si>
    <t>EIF2AK2</t>
  </si>
  <si>
    <t>Q9Y676</t>
  </si>
  <si>
    <t>28S ribosomal protein S18b, mitochondrial</t>
  </si>
  <si>
    <t>MRPS18B</t>
  </si>
  <si>
    <t>Q5VZE5</t>
  </si>
  <si>
    <t>N-alpha-acetyltransferase 35, NatC auxiliary subunit</t>
  </si>
  <si>
    <t>NAA35</t>
  </si>
  <si>
    <t>P07951</t>
  </si>
  <si>
    <t>Tropomyosin beta chain</t>
  </si>
  <si>
    <t>cGMP-inhibited 3',5'-cyclic phosphodiesterase A</t>
  </si>
  <si>
    <t>PDE3A</t>
  </si>
  <si>
    <t>Q3V6T2;Q3V6T2-2;Q3V6T2-3;Q3V6T2-4;Q3V6T2-5</t>
  </si>
  <si>
    <t>Q3V6T2</t>
  </si>
  <si>
    <t>Girdin</t>
  </si>
  <si>
    <t>CCDC88A;CCDC88A;CCDC88A;CCDC88A;CCDC88A</t>
  </si>
  <si>
    <t>CCDC88A</t>
  </si>
  <si>
    <t>Q86XA9;Q86XA9-2</t>
  </si>
  <si>
    <t>Q86XA9</t>
  </si>
  <si>
    <t>HEAT repeat-containing protein 5A</t>
  </si>
  <si>
    <t>HEATR5A;HEATR5A</t>
  </si>
  <si>
    <t>HEATR5A</t>
  </si>
  <si>
    <t>Q9Y5Q8;Q9Y5Q8-2;Q9Y5Q8-3</t>
  </si>
  <si>
    <t>Q9Y5Q8</t>
  </si>
  <si>
    <t>General transcription factor 3C polypeptide 5</t>
  </si>
  <si>
    <t>GTF3C5;GTF3C5;GTF3C5</t>
  </si>
  <si>
    <t>GTF3C5</t>
  </si>
  <si>
    <t>Transmembrane protein 9</t>
  </si>
  <si>
    <t>TMEM9</t>
  </si>
  <si>
    <t>Properdin</t>
  </si>
  <si>
    <t>CFP</t>
  </si>
  <si>
    <t>Q13619;Q13619-2</t>
  </si>
  <si>
    <t>Q13619</t>
  </si>
  <si>
    <t>Cullin-4A</t>
  </si>
  <si>
    <t>CUL4A;CUL4A</t>
  </si>
  <si>
    <t>CUL4A</t>
  </si>
  <si>
    <t>P14780</t>
  </si>
  <si>
    <t>Matrix metalloproteinase-9</t>
  </si>
  <si>
    <t>MMP9</t>
  </si>
  <si>
    <t>P14209;P14209-3</t>
  </si>
  <si>
    <t>P14209</t>
  </si>
  <si>
    <t>CD99 antigen</t>
  </si>
  <si>
    <t>CD99;CD99</t>
  </si>
  <si>
    <t>CD99</t>
  </si>
  <si>
    <t>Q9BUB5;Q9BUB5-2;Q9BUB5-3</t>
  </si>
  <si>
    <t>Q9BUB5</t>
  </si>
  <si>
    <t>MAP kinase-interacting serine/threonine-protein kinase 1</t>
  </si>
  <si>
    <t>MKNK1;MKNK1;MKNK1</t>
  </si>
  <si>
    <t>MKNK1</t>
  </si>
  <si>
    <t>Neurogranin</t>
  </si>
  <si>
    <t>NRGN</t>
  </si>
  <si>
    <t>CON__Q3SZR3</t>
  </si>
  <si>
    <t>Q7RTX0</t>
  </si>
  <si>
    <t>Taste receptor type 1 member 3</t>
  </si>
  <si>
    <t>TAS1R3</t>
  </si>
  <si>
    <t>Q9P2D3;Q9P2D3-3</t>
  </si>
  <si>
    <t>Q9P2D3</t>
  </si>
  <si>
    <t>HEAT repeat-containing protein 5B</t>
  </si>
  <si>
    <t>HEATR5B;HEATR5B</t>
  </si>
  <si>
    <t>HEATR5B</t>
  </si>
  <si>
    <t>O95182</t>
  </si>
  <si>
    <t>NADH dehydrogenase [ubiquinone] 1 alpha subcomplex subunit 7</t>
  </si>
  <si>
    <t>NDUFA7</t>
  </si>
  <si>
    <t>Q9C0H2;Q9C0H2-2;Q9C0H2-3;Q9C0H2-4</t>
  </si>
  <si>
    <t>Q9C0H2</t>
  </si>
  <si>
    <t>Protein tweety homolog 3</t>
  </si>
  <si>
    <t>TTYH3;TTYH3;TTYH3;TTYH3</t>
  </si>
  <si>
    <t>TTYH3</t>
  </si>
  <si>
    <t>CON__Q1A7A4</t>
  </si>
  <si>
    <t>O15243</t>
  </si>
  <si>
    <t>Leptin receptor gene-related protein</t>
  </si>
  <si>
    <t>LEPROT</t>
  </si>
  <si>
    <t>Q96IZ0</t>
  </si>
  <si>
    <t>PRKC apoptosis WT1 regulator protein</t>
  </si>
  <si>
    <t>PAWR</t>
  </si>
  <si>
    <t>LFQ intensity (C) Healthy.VUmc.Pt82</t>
  </si>
  <si>
    <t>LFQ intensity (E) PDAC.VUmc.Pt94</t>
  </si>
  <si>
    <t>LFQ intensity (H) PDAC.VUmc.Pt95</t>
  </si>
  <si>
    <t>LFQ intensity (K) PDAC.VUmc.Pt8</t>
  </si>
  <si>
    <t>LFQ intensity (M) Healthy.VUmc.Pt10</t>
  </si>
  <si>
    <t>LFQ intensity (N) PDAC.VUmc.Pt18</t>
  </si>
  <si>
    <t>LFQ intensity (P) PDAC.VUmc.Pt91</t>
  </si>
  <si>
    <t>LFQ intensity (Q) Healthy.VUmc.Pt97</t>
  </si>
  <si>
    <t>LFQ intensity (R) PDAC.VUmc.Pt22</t>
  </si>
  <si>
    <t>LFQ intensity (S) Healthy.VUmc.Pt40</t>
  </si>
  <si>
    <t>LFQ intensity (W) Healthy.VUmc.Pt2</t>
  </si>
  <si>
    <t>LFQ intensity (Y) Healthy.VUmc.Pt35.1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</si>
</sst>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 (Corpo)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Fill="1"/>
    <xf numFmtId="0" fontId="5" fillId="0" borderId="0" xfId="1" applyFont="1"/>
    <xf numFmtId="0" fontId="4" fillId="0" borderId="0" xfId="1"/>
    <xf numFmtId="16" fontId="4" fillId="0" borderId="0" xfId="1" applyNumberFormat="1"/>
    <xf numFmtId="11" fontId="0" fillId="0" borderId="0" xfId="0" applyNumberFormat="1"/>
  </cellXfs>
  <cellStyles count="2">
    <cellStyle name="Normal 9" xfId="1" xr:uid="{AC8D0759-2A27-4543-B80A-FCD4D0333917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5CEF-E8CF-0941-B604-9CB08F1A6B11}">
  <dimension ref="A1:X2344"/>
  <sheetViews>
    <sheetView tabSelected="1" workbookViewId="0">
      <selection sqref="A1:L2344"/>
    </sheetView>
  </sheetViews>
  <sheetFormatPr baseColWidth="10" defaultRowHeight="16"/>
  <cols>
    <col min="1" max="1" width="15.5" customWidth="1"/>
    <col min="2" max="2" width="32.1640625" customWidth="1"/>
    <col min="3" max="3" width="16.1640625" customWidth="1"/>
    <col min="4" max="4" width="25.6640625" customWidth="1"/>
    <col min="6" max="6" width="16.33203125" customWidth="1"/>
    <col min="7" max="7" width="19.83203125" customWidth="1"/>
    <col min="11" max="11" width="15.5" customWidth="1"/>
    <col min="12" max="12" width="23.33203125" customWidth="1"/>
  </cols>
  <sheetData>
    <row r="1" spans="1:24" s="3" customForma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  <c r="V1" s="4" t="s">
        <v>9</v>
      </c>
      <c r="W1" s="4" t="s">
        <v>10</v>
      </c>
      <c r="X1" s="4" t="s">
        <v>11</v>
      </c>
    </row>
    <row r="2" spans="1:24">
      <c r="A2">
        <v>962</v>
      </c>
      <c r="B2" t="s">
        <v>24</v>
      </c>
      <c r="C2">
        <v>12</v>
      </c>
      <c r="D2" t="s">
        <v>25</v>
      </c>
      <c r="E2">
        <v>246</v>
      </c>
      <c r="F2">
        <v>246</v>
      </c>
      <c r="G2">
        <v>85</v>
      </c>
      <c r="H2" t="s">
        <v>26</v>
      </c>
      <c r="I2">
        <v>78.7</v>
      </c>
      <c r="J2">
        <v>226.53</v>
      </c>
      <c r="K2" t="str">
        <f>"MYH9;MYH10;MYH11"</f>
        <v>MYH9;MYH10;MYH11</v>
      </c>
      <c r="L2" t="str">
        <f>"MYH9;MYH10;MYH11"</f>
        <v>MYH9;MYH10;MYH11</v>
      </c>
      <c r="M2">
        <v>485.36609936196101</v>
      </c>
      <c r="N2">
        <v>585.00412609271496</v>
      </c>
      <c r="O2">
        <v>528.01522523495703</v>
      </c>
      <c r="P2">
        <v>545.39209085173502</v>
      </c>
      <c r="Q2">
        <v>493.514463369282</v>
      </c>
      <c r="R2">
        <v>526.54740377438998</v>
      </c>
      <c r="S2">
        <v>511.04414228187898</v>
      </c>
      <c r="T2">
        <v>531.83599551003203</v>
      </c>
      <c r="U2">
        <v>577.63575868372902</v>
      </c>
      <c r="V2">
        <v>543.17879527069101</v>
      </c>
      <c r="W2">
        <v>556.07357002568403</v>
      </c>
      <c r="X2">
        <v>565.18663789584195</v>
      </c>
    </row>
    <row r="3" spans="1:24">
      <c r="A3">
        <v>2351</v>
      </c>
      <c r="B3" t="s">
        <v>27</v>
      </c>
      <c r="C3">
        <v>1</v>
      </c>
      <c r="D3" t="s">
        <v>28</v>
      </c>
      <c r="E3">
        <v>240</v>
      </c>
      <c r="F3">
        <v>240</v>
      </c>
      <c r="G3">
        <v>212</v>
      </c>
      <c r="H3" t="s">
        <v>27</v>
      </c>
      <c r="I3">
        <v>83.3</v>
      </c>
      <c r="J3">
        <v>269.76</v>
      </c>
      <c r="K3" t="str">
        <f>"TLN1"</f>
        <v>TLN1</v>
      </c>
      <c r="L3" t="str">
        <f>"TLN1"</f>
        <v>TLN1</v>
      </c>
      <c r="M3">
        <v>484.15571008674499</v>
      </c>
      <c r="N3">
        <v>561.74708132450303</v>
      </c>
      <c r="O3">
        <v>512.51218753375804</v>
      </c>
      <c r="P3">
        <v>513.435523028391</v>
      </c>
      <c r="Q3">
        <v>458.35312755671299</v>
      </c>
      <c r="R3">
        <v>508.54578313253</v>
      </c>
      <c r="S3">
        <v>525.77490469798704</v>
      </c>
      <c r="T3">
        <v>557.89477480005598</v>
      </c>
      <c r="U3">
        <v>615.11594149908603</v>
      </c>
      <c r="V3">
        <v>502.20399253266999</v>
      </c>
      <c r="W3">
        <v>568.82755098957603</v>
      </c>
      <c r="X3">
        <v>606.541757741879</v>
      </c>
    </row>
    <row r="4" spans="1:24">
      <c r="A4">
        <v>1218</v>
      </c>
      <c r="B4" t="s">
        <v>29</v>
      </c>
      <c r="C4">
        <v>1</v>
      </c>
      <c r="D4" t="s">
        <v>30</v>
      </c>
      <c r="E4">
        <v>54</v>
      </c>
      <c r="F4">
        <v>54</v>
      </c>
      <c r="G4">
        <v>2</v>
      </c>
      <c r="H4" t="s">
        <v>29</v>
      </c>
      <c r="I4">
        <v>99.7</v>
      </c>
      <c r="J4">
        <v>41.735999999999997</v>
      </c>
      <c r="K4" t="str">
        <f>"ACTB"</f>
        <v>ACTB</v>
      </c>
      <c r="L4" t="str">
        <f>"ACTB"</f>
        <v>ACTB</v>
      </c>
      <c r="M4">
        <v>518.04660979281698</v>
      </c>
      <c r="N4">
        <v>550.11855894039695</v>
      </c>
      <c r="O4">
        <v>548.98992330128601</v>
      </c>
      <c r="P4">
        <v>519.82683659305997</v>
      </c>
      <c r="Q4">
        <v>527.42003718854596</v>
      </c>
      <c r="R4">
        <v>497.74481074741402</v>
      </c>
      <c r="S4">
        <v>496.31337986577199</v>
      </c>
      <c r="T4">
        <v>519.99109583274901</v>
      </c>
      <c r="U4">
        <v>561.10038391224896</v>
      </c>
      <c r="V4">
        <v>507.457172370877</v>
      </c>
      <c r="W4">
        <v>533.11640429067802</v>
      </c>
      <c r="X4">
        <v>527.77010089228395</v>
      </c>
    </row>
    <row r="5" spans="1:24">
      <c r="A5">
        <v>773</v>
      </c>
      <c r="B5" t="s">
        <v>31</v>
      </c>
      <c r="C5">
        <v>2</v>
      </c>
      <c r="D5" t="s">
        <v>32</v>
      </c>
      <c r="E5">
        <v>204</v>
      </c>
      <c r="F5">
        <v>204</v>
      </c>
      <c r="G5">
        <v>186</v>
      </c>
      <c r="H5" t="s">
        <v>33</v>
      </c>
      <c r="I5">
        <v>74.5</v>
      </c>
      <c r="J5">
        <v>280.01</v>
      </c>
      <c r="K5" t="str">
        <f>"FLNA"</f>
        <v>FLNA</v>
      </c>
      <c r="L5" t="str">
        <f>"FLNA"</f>
        <v>FLNA</v>
      </c>
      <c r="M5">
        <v>386.114178794179</v>
      </c>
      <c r="N5">
        <v>448.14536264900698</v>
      </c>
      <c r="O5">
        <v>460.53141406503198</v>
      </c>
      <c r="P5">
        <v>468.69632807571003</v>
      </c>
      <c r="Q5">
        <v>414.40145779099998</v>
      </c>
      <c r="R5">
        <v>396.03565412090802</v>
      </c>
      <c r="S5">
        <v>406.79566979865803</v>
      </c>
      <c r="T5">
        <v>395.619649221271</v>
      </c>
      <c r="U5">
        <v>507.08482632541097</v>
      </c>
      <c r="V5">
        <v>406.596119477287</v>
      </c>
      <c r="W5">
        <v>452.76632421815998</v>
      </c>
      <c r="X5">
        <v>452.93702688516902</v>
      </c>
    </row>
    <row r="6" spans="1:24">
      <c r="A6">
        <v>323</v>
      </c>
      <c r="B6" t="s">
        <v>34</v>
      </c>
      <c r="C6">
        <v>3</v>
      </c>
      <c r="D6" t="s">
        <v>35</v>
      </c>
      <c r="E6">
        <v>160</v>
      </c>
      <c r="F6">
        <v>160</v>
      </c>
      <c r="G6">
        <v>159</v>
      </c>
      <c r="H6" t="s">
        <v>36</v>
      </c>
      <c r="I6">
        <v>82.4</v>
      </c>
      <c r="J6">
        <v>187.15</v>
      </c>
      <c r="K6" t="str">
        <f>"C3;METTL18"</f>
        <v>C3;METTL18</v>
      </c>
      <c r="L6" t="str">
        <f>"C3;METTL18"</f>
        <v>C3;METTL18</v>
      </c>
      <c r="M6">
        <v>468.42064950892501</v>
      </c>
      <c r="N6">
        <v>398.053266225166</v>
      </c>
      <c r="O6">
        <v>385.752055741601</v>
      </c>
      <c r="P6">
        <v>397.32665993690898</v>
      </c>
      <c r="Q6">
        <v>506.072083302343</v>
      </c>
      <c r="R6">
        <v>315.92844226463399</v>
      </c>
      <c r="S6">
        <v>479.31634630872497</v>
      </c>
      <c r="T6">
        <v>425.23189841447999</v>
      </c>
      <c r="U6">
        <v>422.20323583180999</v>
      </c>
      <c r="V6">
        <v>363.52004480398301</v>
      </c>
      <c r="W6">
        <v>488.47747091705702</v>
      </c>
      <c r="X6">
        <v>324.93308450457801</v>
      </c>
    </row>
    <row r="7" spans="1:24">
      <c r="A7">
        <v>405</v>
      </c>
      <c r="B7" t="s">
        <v>37</v>
      </c>
      <c r="C7">
        <v>1</v>
      </c>
      <c r="D7" t="s">
        <v>38</v>
      </c>
      <c r="E7">
        <v>65</v>
      </c>
      <c r="F7">
        <v>65</v>
      </c>
      <c r="G7">
        <v>57</v>
      </c>
      <c r="H7" t="s">
        <v>37</v>
      </c>
      <c r="I7">
        <v>83.3</v>
      </c>
      <c r="J7">
        <v>55.927999999999997</v>
      </c>
      <c r="K7" t="str">
        <f>"FGB"</f>
        <v>FGB</v>
      </c>
      <c r="L7" t="str">
        <f>"FGB"</f>
        <v>FGB</v>
      </c>
      <c r="M7">
        <v>365.537561115492</v>
      </c>
      <c r="N7">
        <v>377.47972662251698</v>
      </c>
      <c r="O7">
        <v>294.55771632278299</v>
      </c>
      <c r="P7">
        <v>323.82655394321802</v>
      </c>
      <c r="Q7">
        <v>389.286217924879</v>
      </c>
      <c r="R7">
        <v>292.52633543021602</v>
      </c>
      <c r="S7">
        <v>403.39626308724797</v>
      </c>
      <c r="T7">
        <v>343.50209064122402</v>
      </c>
      <c r="U7">
        <v>284.40844606947002</v>
      </c>
      <c r="V7">
        <v>299.43125077784703</v>
      </c>
      <c r="W7">
        <v>284.41377549478801</v>
      </c>
      <c r="X7">
        <v>330.84095876829798</v>
      </c>
    </row>
    <row r="8" spans="1:24">
      <c r="A8">
        <v>443</v>
      </c>
      <c r="B8" t="s">
        <v>39</v>
      </c>
      <c r="C8">
        <v>1</v>
      </c>
      <c r="D8" t="s">
        <v>40</v>
      </c>
      <c r="E8">
        <v>292</v>
      </c>
      <c r="F8">
        <v>292</v>
      </c>
      <c r="G8">
        <v>289</v>
      </c>
      <c r="H8" t="s">
        <v>39</v>
      </c>
      <c r="I8">
        <v>60.4</v>
      </c>
      <c r="J8">
        <v>515.6</v>
      </c>
      <c r="K8" t="str">
        <f>"APOB"</f>
        <v>APOB</v>
      </c>
      <c r="L8" t="str">
        <f>"APOB"</f>
        <v>APOB</v>
      </c>
      <c r="M8">
        <v>519.25699906803402</v>
      </c>
      <c r="N8">
        <v>329.17663364238399</v>
      </c>
      <c r="O8">
        <v>190.59616938533</v>
      </c>
      <c r="P8">
        <v>280.15257791798098</v>
      </c>
      <c r="Q8">
        <v>401.84383785794</v>
      </c>
      <c r="R8">
        <v>144.913046166969</v>
      </c>
      <c r="S8">
        <v>292.348977181208</v>
      </c>
      <c r="T8">
        <v>343.50209064122402</v>
      </c>
      <c r="U8">
        <v>364.88060329067599</v>
      </c>
      <c r="V8">
        <v>353.01368512756699</v>
      </c>
      <c r="W8">
        <v>304.82014503701498</v>
      </c>
      <c r="X8">
        <v>191.02126786026699</v>
      </c>
    </row>
    <row r="9" spans="1:24">
      <c r="A9">
        <v>322</v>
      </c>
      <c r="B9" t="s">
        <v>41</v>
      </c>
      <c r="C9">
        <v>1</v>
      </c>
      <c r="D9" t="s">
        <v>42</v>
      </c>
      <c r="E9">
        <v>103</v>
      </c>
      <c r="F9">
        <v>103</v>
      </c>
      <c r="G9">
        <v>87</v>
      </c>
      <c r="H9" t="s">
        <v>41</v>
      </c>
      <c r="I9">
        <v>72.2</v>
      </c>
      <c r="J9">
        <v>163.29</v>
      </c>
      <c r="K9" t="str">
        <f>"A2M"</f>
        <v>A2M</v>
      </c>
      <c r="L9" t="str">
        <f>"A2M"</f>
        <v>A2M</v>
      </c>
      <c r="M9">
        <v>417.58429994981702</v>
      </c>
      <c r="N9">
        <v>209.313402913907</v>
      </c>
      <c r="O9">
        <v>214.30669763422301</v>
      </c>
      <c r="P9">
        <v>243.935134384858</v>
      </c>
      <c r="Q9">
        <v>376.72859799181902</v>
      </c>
      <c r="R9">
        <v>313.22819916835499</v>
      </c>
      <c r="S9">
        <v>294.61524832214798</v>
      </c>
      <c r="T9">
        <v>293.75351199663299</v>
      </c>
      <c r="U9">
        <v>230.392888482633</v>
      </c>
      <c r="V9">
        <v>274.21598755444899</v>
      </c>
      <c r="W9">
        <v>244.876434506723</v>
      </c>
      <c r="X9">
        <v>152.62008514608999</v>
      </c>
    </row>
    <row r="10" spans="1:24">
      <c r="A10">
        <v>427</v>
      </c>
      <c r="B10" t="s">
        <v>43</v>
      </c>
      <c r="C10">
        <v>2</v>
      </c>
      <c r="D10" t="s">
        <v>44</v>
      </c>
      <c r="E10">
        <v>100</v>
      </c>
      <c r="F10">
        <v>100</v>
      </c>
      <c r="G10">
        <v>96</v>
      </c>
      <c r="H10" t="s">
        <v>45</v>
      </c>
      <c r="I10">
        <v>88</v>
      </c>
      <c r="J10">
        <v>77.063000000000002</v>
      </c>
      <c r="K10" t="str">
        <f>"TF"</f>
        <v>TF</v>
      </c>
      <c r="L10" t="str">
        <f>"TF"</f>
        <v>TF</v>
      </c>
      <c r="M10">
        <v>410.32196429851598</v>
      </c>
      <c r="N10">
        <v>209.313402913907</v>
      </c>
      <c r="O10">
        <v>232.54556551798601</v>
      </c>
      <c r="P10">
        <v>320.63089716088302</v>
      </c>
      <c r="Q10">
        <v>482.21260542952803</v>
      </c>
      <c r="R10">
        <v>214.21928563812801</v>
      </c>
      <c r="S10">
        <v>292.348977181208</v>
      </c>
      <c r="T10">
        <v>363.638420092606</v>
      </c>
      <c r="U10">
        <v>216.06223034734899</v>
      </c>
      <c r="V10">
        <v>285.77298319850701</v>
      </c>
      <c r="W10">
        <v>336.70509744674399</v>
      </c>
      <c r="X10">
        <v>213.66811920452599</v>
      </c>
    </row>
    <row r="11" spans="1:24">
      <c r="A11">
        <v>404</v>
      </c>
      <c r="B11" t="s">
        <v>46</v>
      </c>
      <c r="C11">
        <v>3</v>
      </c>
      <c r="D11" t="s">
        <v>47</v>
      </c>
      <c r="E11">
        <v>80</v>
      </c>
      <c r="F11">
        <v>80</v>
      </c>
      <c r="G11">
        <v>80</v>
      </c>
      <c r="H11" t="s">
        <v>48</v>
      </c>
      <c r="I11">
        <v>69.599999999999994</v>
      </c>
      <c r="J11">
        <v>94.971999999999994</v>
      </c>
      <c r="K11" t="str">
        <f>"FGA"</f>
        <v>FGA</v>
      </c>
      <c r="L11" t="str">
        <f>"FGA"</f>
        <v>FGA</v>
      </c>
      <c r="M11">
        <v>285.65186895117898</v>
      </c>
      <c r="N11">
        <v>290.71305960264903</v>
      </c>
      <c r="O11">
        <v>221.60224478772801</v>
      </c>
      <c r="P11">
        <v>266.304731861199</v>
      </c>
      <c r="Q11">
        <v>334.03269021941202</v>
      </c>
      <c r="R11">
        <v>250.22252692184699</v>
      </c>
      <c r="S11">
        <v>309.34601073825502</v>
      </c>
      <c r="T11">
        <v>275.98616248070698</v>
      </c>
      <c r="U11">
        <v>250.23533820841001</v>
      </c>
      <c r="V11">
        <v>259.50708400746697</v>
      </c>
      <c r="W11">
        <v>234.67324973561</v>
      </c>
      <c r="X11">
        <v>274.71615326296097</v>
      </c>
    </row>
    <row r="12" spans="1:24">
      <c r="A12">
        <v>653</v>
      </c>
      <c r="B12" t="s">
        <v>49</v>
      </c>
      <c r="C12">
        <v>1</v>
      </c>
      <c r="D12" t="s">
        <v>50</v>
      </c>
      <c r="E12">
        <v>86</v>
      </c>
      <c r="F12">
        <v>86</v>
      </c>
      <c r="G12">
        <v>1</v>
      </c>
      <c r="H12" t="s">
        <v>49</v>
      </c>
      <c r="I12">
        <v>86.1</v>
      </c>
      <c r="J12">
        <v>103.06</v>
      </c>
      <c r="K12" t="str">
        <f>"ACTN1"</f>
        <v>ACTN1</v>
      </c>
      <c r="L12" t="str">
        <f>"ACTN1"</f>
        <v>ACTN1</v>
      </c>
      <c r="M12">
        <v>219.08045881425201</v>
      </c>
      <c r="N12">
        <v>266.56151311258299</v>
      </c>
      <c r="O12">
        <v>247.136659824997</v>
      </c>
      <c r="P12">
        <v>231.15250725552099</v>
      </c>
      <c r="Q12">
        <v>243.617826701376</v>
      </c>
      <c r="R12">
        <v>232.22090627998699</v>
      </c>
      <c r="S12">
        <v>216.42889395973199</v>
      </c>
      <c r="T12">
        <v>241.63595341658501</v>
      </c>
      <c r="U12">
        <v>251.33769652650801</v>
      </c>
      <c r="V12">
        <v>225.88673304293701</v>
      </c>
      <c r="W12">
        <v>218.09307448255001</v>
      </c>
      <c r="X12">
        <v>231.39174199568399</v>
      </c>
    </row>
    <row r="13" spans="1:24">
      <c r="A13">
        <v>319</v>
      </c>
      <c r="B13" t="s">
        <v>51</v>
      </c>
      <c r="C13">
        <v>4</v>
      </c>
      <c r="D13" t="s">
        <v>52</v>
      </c>
      <c r="E13">
        <v>49</v>
      </c>
      <c r="F13">
        <v>49</v>
      </c>
      <c r="G13">
        <v>49</v>
      </c>
      <c r="H13" t="s">
        <v>53</v>
      </c>
      <c r="I13">
        <v>72</v>
      </c>
      <c r="J13">
        <v>46.735999999999997</v>
      </c>
      <c r="K13" t="str">
        <f>"SERPINA1;SERPINA2"</f>
        <v>SERPINA1;SERPINA2</v>
      </c>
      <c r="L13" t="str">
        <f>"SERPINA1;SERPINA2"</f>
        <v>SERPINA1;SERPINA2</v>
      </c>
      <c r="M13">
        <v>329.22588285898598</v>
      </c>
      <c r="N13">
        <v>227.203437350993</v>
      </c>
      <c r="O13">
        <v>296.381603111159</v>
      </c>
      <c r="P13">
        <v>251.39166687697201</v>
      </c>
      <c r="Q13">
        <v>337.79997619933101</v>
      </c>
      <c r="R13">
        <v>126.011344493016</v>
      </c>
      <c r="S13">
        <v>310.47914630872498</v>
      </c>
      <c r="T13">
        <v>279.53963238389201</v>
      </c>
      <c r="U13">
        <v>221.57402193784301</v>
      </c>
      <c r="V13">
        <v>219.582917237088</v>
      </c>
      <c r="W13">
        <v>195.13590874754499</v>
      </c>
      <c r="X13">
        <v>232.376387706304</v>
      </c>
    </row>
    <row r="14" spans="1:24">
      <c r="A14">
        <v>382</v>
      </c>
      <c r="B14" t="s">
        <v>54</v>
      </c>
      <c r="C14">
        <v>1</v>
      </c>
      <c r="D14" t="s">
        <v>55</v>
      </c>
      <c r="E14">
        <v>36</v>
      </c>
      <c r="F14">
        <v>36</v>
      </c>
      <c r="G14">
        <v>17</v>
      </c>
      <c r="H14" t="s">
        <v>54</v>
      </c>
      <c r="I14">
        <v>77.3</v>
      </c>
      <c r="J14">
        <v>36.104999999999997</v>
      </c>
      <c r="K14" t="str">
        <f>"IGHG1"</f>
        <v>IGHG1</v>
      </c>
      <c r="L14" t="str">
        <f>"IGHG1"</f>
        <v>IGHG1</v>
      </c>
      <c r="M14">
        <v>268.70641909814299</v>
      </c>
      <c r="N14">
        <v>163.693815099338</v>
      </c>
      <c r="O14">
        <v>189.684225991142</v>
      </c>
      <c r="P14">
        <v>225.82641261829701</v>
      </c>
      <c r="Q14">
        <v>329.00964224618798</v>
      </c>
      <c r="R14">
        <v>162.014585776735</v>
      </c>
      <c r="S14">
        <v>191.49991140939599</v>
      </c>
      <c r="T14">
        <v>239.26697348112799</v>
      </c>
      <c r="U14">
        <v>131.180639853748</v>
      </c>
      <c r="V14">
        <v>250.051360298693</v>
      </c>
      <c r="W14">
        <v>285.689173591177</v>
      </c>
      <c r="X14">
        <v>137.85039948679099</v>
      </c>
    </row>
    <row r="15" spans="1:24">
      <c r="A15">
        <v>739</v>
      </c>
      <c r="B15" t="s">
        <v>56</v>
      </c>
      <c r="C15">
        <v>3</v>
      </c>
      <c r="D15" t="s">
        <v>57</v>
      </c>
      <c r="E15">
        <v>111</v>
      </c>
      <c r="F15">
        <v>111</v>
      </c>
      <c r="G15">
        <v>111</v>
      </c>
      <c r="H15" t="s">
        <v>58</v>
      </c>
      <c r="I15">
        <v>85.7</v>
      </c>
      <c r="J15">
        <v>116.72</v>
      </c>
      <c r="K15" t="str">
        <f>"VCL"</f>
        <v>VCL</v>
      </c>
      <c r="L15" t="str">
        <f>"VCL"</f>
        <v>VCL</v>
      </c>
      <c r="M15">
        <v>192.45189475948101</v>
      </c>
      <c r="N15">
        <v>206.62989774834401</v>
      </c>
      <c r="O15">
        <v>188.772282596954</v>
      </c>
      <c r="P15">
        <v>181.08721766561499</v>
      </c>
      <c r="Q15">
        <v>164.50482112309399</v>
      </c>
      <c r="R15">
        <v>212.41912357394199</v>
      </c>
      <c r="S15">
        <v>209.630080536913</v>
      </c>
      <c r="T15">
        <v>202.547784481549</v>
      </c>
      <c r="U15">
        <v>214.95987202924999</v>
      </c>
      <c r="V15">
        <v>192.26638207840699</v>
      </c>
      <c r="W15">
        <v>186.208122072821</v>
      </c>
      <c r="X15">
        <v>215.637410625765</v>
      </c>
    </row>
    <row r="16" spans="1:24">
      <c r="A16">
        <v>406</v>
      </c>
      <c r="B16" t="s">
        <v>59</v>
      </c>
      <c r="C16">
        <v>2</v>
      </c>
      <c r="D16" t="s">
        <v>60</v>
      </c>
      <c r="E16">
        <v>52</v>
      </c>
      <c r="F16">
        <v>52</v>
      </c>
      <c r="G16">
        <v>52</v>
      </c>
      <c r="H16" t="s">
        <v>61</v>
      </c>
      <c r="I16">
        <v>76.2</v>
      </c>
      <c r="J16">
        <v>49.496000000000002</v>
      </c>
      <c r="K16" t="str">
        <f>"FGG"</f>
        <v>FGG</v>
      </c>
      <c r="L16" t="str">
        <f>"FGG"</f>
        <v>FGG</v>
      </c>
      <c r="M16">
        <v>219.08045881425201</v>
      </c>
      <c r="N16">
        <v>211.99690807946999</v>
      </c>
      <c r="O16">
        <v>163.23786755968499</v>
      </c>
      <c r="P16">
        <v>167.23937160883301</v>
      </c>
      <c r="Q16">
        <v>236.08325474154</v>
      </c>
      <c r="R16">
        <v>170.11531506557199</v>
      </c>
      <c r="S16">
        <v>228.893385234899</v>
      </c>
      <c r="T16">
        <v>165.82859548197001</v>
      </c>
      <c r="U16">
        <v>165.35374771480801</v>
      </c>
      <c r="V16">
        <v>163.89921095208501</v>
      </c>
      <c r="W16">
        <v>190.034316361988</v>
      </c>
      <c r="X16">
        <v>194.95985070274699</v>
      </c>
    </row>
    <row r="17" spans="1:24">
      <c r="A17">
        <v>556</v>
      </c>
      <c r="B17" t="s">
        <v>62</v>
      </c>
      <c r="C17">
        <v>3</v>
      </c>
      <c r="D17" t="s">
        <v>63</v>
      </c>
      <c r="E17">
        <v>53</v>
      </c>
      <c r="F17">
        <v>53</v>
      </c>
      <c r="G17">
        <v>53</v>
      </c>
      <c r="H17" t="s">
        <v>64</v>
      </c>
      <c r="I17">
        <v>47</v>
      </c>
      <c r="J17">
        <v>113.38</v>
      </c>
      <c r="K17" t="str">
        <f>"ITGA2B"</f>
        <v>ITGA2B</v>
      </c>
      <c r="L17" t="str">
        <f>"ITGA2B"</f>
        <v>ITGA2B</v>
      </c>
      <c r="M17">
        <v>127.09087389777</v>
      </c>
      <c r="N17">
        <v>199.47388397351</v>
      </c>
      <c r="O17">
        <v>147.734829858485</v>
      </c>
      <c r="P17">
        <v>162.978495899054</v>
      </c>
      <c r="Q17">
        <v>126.831961323912</v>
      </c>
      <c r="R17">
        <v>177.31596332231601</v>
      </c>
      <c r="S17">
        <v>143.90821744966399</v>
      </c>
      <c r="T17">
        <v>168.197575417427</v>
      </c>
      <c r="U17">
        <v>176.37733089579501</v>
      </c>
      <c r="V17">
        <v>181.76002240199099</v>
      </c>
      <c r="W17">
        <v>155.59856775948001</v>
      </c>
      <c r="X17">
        <v>157.54331369918901</v>
      </c>
    </row>
    <row r="18" spans="1:24">
      <c r="A18">
        <v>545</v>
      </c>
      <c r="B18" t="s">
        <v>65</v>
      </c>
      <c r="C18">
        <v>2</v>
      </c>
      <c r="D18" t="s">
        <v>66</v>
      </c>
      <c r="E18">
        <v>75</v>
      </c>
      <c r="F18">
        <v>75</v>
      </c>
      <c r="G18">
        <v>23</v>
      </c>
      <c r="H18" t="s">
        <v>67</v>
      </c>
      <c r="I18">
        <v>60</v>
      </c>
      <c r="J18">
        <v>129.38</v>
      </c>
      <c r="K18" t="str">
        <f>"THBS1"</f>
        <v>THBS1</v>
      </c>
      <c r="L18" t="str">
        <f>"THBS1"</f>
        <v>THBS1</v>
      </c>
      <c r="M18">
        <v>106.514256219084</v>
      </c>
      <c r="N18">
        <v>161.904811655629</v>
      </c>
      <c r="O18">
        <v>180.56479204926001</v>
      </c>
      <c r="P18">
        <v>153.39152555205001</v>
      </c>
      <c r="Q18">
        <v>170.78363108962401</v>
      </c>
      <c r="R18">
        <v>150.31353235952699</v>
      </c>
      <c r="S18">
        <v>140.50881073825499</v>
      </c>
      <c r="T18">
        <v>151.61471586923</v>
      </c>
      <c r="U18">
        <v>198.42449725777001</v>
      </c>
      <c r="V18">
        <v>170.203026757934</v>
      </c>
      <c r="W18">
        <v>133.916800120864</v>
      </c>
      <c r="X18">
        <v>165.42047938414899</v>
      </c>
    </row>
    <row r="19" spans="1:24">
      <c r="A19">
        <v>398</v>
      </c>
      <c r="B19" t="s">
        <v>68</v>
      </c>
      <c r="C19">
        <v>2</v>
      </c>
      <c r="D19" t="s">
        <v>69</v>
      </c>
      <c r="E19">
        <v>50</v>
      </c>
      <c r="F19">
        <v>50</v>
      </c>
      <c r="G19">
        <v>50</v>
      </c>
      <c r="H19" t="s">
        <v>70</v>
      </c>
      <c r="I19">
        <v>89.1</v>
      </c>
      <c r="J19">
        <v>30.777000000000001</v>
      </c>
      <c r="K19" t="str">
        <f>"APOA1"</f>
        <v>APOA1</v>
      </c>
      <c r="L19" t="str">
        <f>"APOA1"</f>
        <v>APOA1</v>
      </c>
      <c r="M19">
        <v>279.59992257509498</v>
      </c>
      <c r="N19">
        <v>83.188660132450295</v>
      </c>
      <c r="O19">
        <v>112.16903748514601</v>
      </c>
      <c r="P19">
        <v>156.58718233438501</v>
      </c>
      <c r="Q19">
        <v>188.364298995909</v>
      </c>
      <c r="R19">
        <v>109.809885915343</v>
      </c>
      <c r="S19">
        <v>96.316523489932905</v>
      </c>
      <c r="T19">
        <v>200.17880454609201</v>
      </c>
      <c r="U19">
        <v>57.322632541133501</v>
      </c>
      <c r="V19">
        <v>200.67146981953999</v>
      </c>
      <c r="W19">
        <v>192.58511255476699</v>
      </c>
      <c r="X19">
        <v>119.142130985012</v>
      </c>
    </row>
    <row r="20" spans="1:24">
      <c r="A20">
        <v>2099</v>
      </c>
      <c r="B20" t="s">
        <v>71</v>
      </c>
      <c r="C20">
        <v>1</v>
      </c>
      <c r="D20" t="s">
        <v>72</v>
      </c>
      <c r="E20">
        <v>33</v>
      </c>
      <c r="F20">
        <v>33</v>
      </c>
      <c r="G20">
        <v>20</v>
      </c>
      <c r="H20" t="s">
        <v>71</v>
      </c>
      <c r="I20">
        <v>88.2</v>
      </c>
      <c r="J20">
        <v>50.326000000000001</v>
      </c>
      <c r="K20" t="str">
        <f>"TUBB1"</f>
        <v>TUBB1</v>
      </c>
      <c r="L20" t="str">
        <f>"TUBB1"</f>
        <v>TUBB1</v>
      </c>
      <c r="M20">
        <v>128.30126317298701</v>
      </c>
      <c r="N20">
        <v>165.48281854304599</v>
      </c>
      <c r="O20">
        <v>142.263169493356</v>
      </c>
      <c r="P20">
        <v>125.69583343848601</v>
      </c>
      <c r="Q20">
        <v>119.297389364076</v>
      </c>
      <c r="R20">
        <v>124.21118242883</v>
      </c>
      <c r="S20">
        <v>132.57686174496601</v>
      </c>
      <c r="T20">
        <v>122.002466676021</v>
      </c>
      <c r="U20">
        <v>154.33016453382101</v>
      </c>
      <c r="V20">
        <v>127.12695208463001</v>
      </c>
      <c r="W20">
        <v>91.828662940021204</v>
      </c>
      <c r="X20">
        <v>152.62008514608999</v>
      </c>
    </row>
    <row r="21" spans="1:24">
      <c r="A21">
        <v>1742</v>
      </c>
      <c r="B21" t="s">
        <v>73</v>
      </c>
      <c r="C21">
        <v>4</v>
      </c>
      <c r="D21" t="s">
        <v>74</v>
      </c>
      <c r="E21">
        <v>65</v>
      </c>
      <c r="F21">
        <v>65</v>
      </c>
      <c r="G21">
        <v>65</v>
      </c>
      <c r="H21" t="s">
        <v>75</v>
      </c>
      <c r="I21">
        <v>82.1</v>
      </c>
      <c r="J21">
        <v>75.429000000000002</v>
      </c>
      <c r="K21" t="str">
        <f>"FERMT3;FERMT1"</f>
        <v>FERMT3;FERMT1</v>
      </c>
      <c r="L21" t="str">
        <f>"FERMT3;FERMT1"</f>
        <v>FERMT3;FERMT1</v>
      </c>
      <c r="M21">
        <v>141.61554520037299</v>
      </c>
      <c r="N21">
        <v>139.54226860927201</v>
      </c>
      <c r="O21">
        <v>136.79150912822701</v>
      </c>
      <c r="P21">
        <v>119.304519873817</v>
      </c>
      <c r="Q21">
        <v>116.78586537746401</v>
      </c>
      <c r="R21">
        <v>109.809885915343</v>
      </c>
      <c r="S21">
        <v>122.378641610738</v>
      </c>
      <c r="T21">
        <v>125.555936579206</v>
      </c>
      <c r="U21">
        <v>146.61365630712999</v>
      </c>
      <c r="V21">
        <v>129.228224019913</v>
      </c>
      <c r="W21">
        <v>119.88742106058299</v>
      </c>
      <c r="X21">
        <v>132.927170933691</v>
      </c>
    </row>
    <row r="22" spans="1:24">
      <c r="A22">
        <v>300</v>
      </c>
      <c r="B22" t="s">
        <v>76</v>
      </c>
      <c r="C22">
        <v>1</v>
      </c>
      <c r="D22" t="s">
        <v>77</v>
      </c>
      <c r="E22">
        <v>60</v>
      </c>
      <c r="F22">
        <v>60</v>
      </c>
      <c r="G22">
        <v>59</v>
      </c>
      <c r="H22" t="s">
        <v>76</v>
      </c>
      <c r="I22">
        <v>74.3</v>
      </c>
      <c r="J22">
        <v>83.266000000000005</v>
      </c>
      <c r="K22" t="str">
        <f>"F13A1"</f>
        <v>F13A1</v>
      </c>
      <c r="L22" t="str">
        <f>"F13A1"</f>
        <v>F13A1</v>
      </c>
      <c r="M22">
        <v>108.935034769518</v>
      </c>
      <c r="N22">
        <v>127.91374622516599</v>
      </c>
      <c r="O22">
        <v>124.024301609593</v>
      </c>
      <c r="P22">
        <v>120.369738801262</v>
      </c>
      <c r="Q22">
        <v>101.716721457791</v>
      </c>
      <c r="R22">
        <v>133.21199274975999</v>
      </c>
      <c r="S22">
        <v>118.979234899329</v>
      </c>
      <c r="T22">
        <v>114.89552686965099</v>
      </c>
      <c r="U22">
        <v>149.920731261426</v>
      </c>
      <c r="V22">
        <v>117.671228375856</v>
      </c>
      <c r="W22">
        <v>108.408838193081</v>
      </c>
      <c r="X22">
        <v>136.865753776171</v>
      </c>
    </row>
    <row r="23" spans="1:24">
      <c r="A23">
        <v>596</v>
      </c>
      <c r="B23" t="s">
        <v>78</v>
      </c>
      <c r="C23">
        <v>2</v>
      </c>
      <c r="D23" t="s">
        <v>79</v>
      </c>
      <c r="E23">
        <v>101</v>
      </c>
      <c r="F23">
        <v>101</v>
      </c>
      <c r="G23">
        <v>6</v>
      </c>
      <c r="H23" t="s">
        <v>80</v>
      </c>
      <c r="I23">
        <v>60</v>
      </c>
      <c r="J23">
        <v>192.75</v>
      </c>
      <c r="K23" t="str">
        <f>"C4B"</f>
        <v>C4B</v>
      </c>
      <c r="L23" t="str">
        <f>"C4B"</f>
        <v>C4B</v>
      </c>
      <c r="M23">
        <v>168.244109255144</v>
      </c>
      <c r="N23">
        <v>124.335739337748</v>
      </c>
      <c r="O23">
        <v>120.37652803284</v>
      </c>
      <c r="P23">
        <v>123.565395583596</v>
      </c>
      <c r="Q23">
        <v>193.387346969134</v>
      </c>
      <c r="R23">
        <v>103.509318690692</v>
      </c>
      <c r="S23">
        <v>149.573895302013</v>
      </c>
      <c r="T23">
        <v>170.566555352883</v>
      </c>
      <c r="U23">
        <v>104.724040219378</v>
      </c>
      <c r="V23">
        <v>120.82313627878</v>
      </c>
      <c r="W23">
        <v>155.59856775948001</v>
      </c>
      <c r="X23">
        <v>73.848428296495001</v>
      </c>
    </row>
    <row r="24" spans="1:24">
      <c r="A24">
        <v>1304</v>
      </c>
      <c r="B24" t="s">
        <v>81</v>
      </c>
      <c r="C24">
        <v>5</v>
      </c>
      <c r="D24" t="s">
        <v>82</v>
      </c>
      <c r="E24">
        <v>37</v>
      </c>
      <c r="F24">
        <v>37</v>
      </c>
      <c r="G24">
        <v>0</v>
      </c>
      <c r="H24" t="s">
        <v>83</v>
      </c>
      <c r="I24">
        <v>73.599999999999994</v>
      </c>
      <c r="J24">
        <v>50.151000000000003</v>
      </c>
      <c r="K24" t="str">
        <f>"TUBA1B;TUBAL3;TUBA4B"</f>
        <v>TUBA1B;TUBAL3;TUBA4B</v>
      </c>
      <c r="L24" t="str">
        <f>"TUBA1B;TUBAL3;TUBA4B"</f>
        <v>TUBA1B;TUBAL3;TUBA4B</v>
      </c>
      <c r="M24">
        <v>85.937638540397202</v>
      </c>
      <c r="N24">
        <v>146.69828238410599</v>
      </c>
      <c r="O24">
        <v>133.143735551475</v>
      </c>
      <c r="P24">
        <v>102.2610170347</v>
      </c>
      <c r="Q24">
        <v>87.903339531424294</v>
      </c>
      <c r="R24">
        <v>107.10964281906401</v>
      </c>
      <c r="S24">
        <v>111.04728590604</v>
      </c>
      <c r="T24">
        <v>98.312667321453603</v>
      </c>
      <c r="U24">
        <v>122.36177330895801</v>
      </c>
      <c r="V24">
        <v>110.316776602365</v>
      </c>
      <c r="W24">
        <v>88.002468650853601</v>
      </c>
      <c r="X24">
        <v>114.218902431912</v>
      </c>
    </row>
    <row r="25" spans="1:24">
      <c r="A25">
        <v>502</v>
      </c>
      <c r="B25" t="s">
        <v>84</v>
      </c>
      <c r="C25">
        <v>1</v>
      </c>
      <c r="D25" t="s">
        <v>85</v>
      </c>
      <c r="E25">
        <v>53</v>
      </c>
      <c r="F25">
        <v>53</v>
      </c>
      <c r="G25">
        <v>3</v>
      </c>
      <c r="H25" t="s">
        <v>84</v>
      </c>
      <c r="I25">
        <v>55.9</v>
      </c>
      <c r="J25">
        <v>85.695999999999998</v>
      </c>
      <c r="K25" t="str">
        <f>"GSN"</f>
        <v>GSN</v>
      </c>
      <c r="L25" t="str">
        <f>"GSN"</f>
        <v>GSN</v>
      </c>
      <c r="M25">
        <v>94.4103634669152</v>
      </c>
      <c r="N25">
        <v>109.129210066225</v>
      </c>
      <c r="O25">
        <v>110.34515069677001</v>
      </c>
      <c r="P25">
        <v>106.52189274448</v>
      </c>
      <c r="Q25">
        <v>115.530103384158</v>
      </c>
      <c r="R25">
        <v>102.609237658599</v>
      </c>
      <c r="S25">
        <v>106.514743624161</v>
      </c>
      <c r="T25">
        <v>116.08001683737901</v>
      </c>
      <c r="U25">
        <v>136.69243144424101</v>
      </c>
      <c r="V25">
        <v>117.671228375856</v>
      </c>
      <c r="W25">
        <v>122.438217253362</v>
      </c>
      <c r="X25">
        <v>111.264965300052</v>
      </c>
    </row>
    <row r="26" spans="1:24">
      <c r="A26">
        <v>417</v>
      </c>
      <c r="B26" t="s">
        <v>86</v>
      </c>
      <c r="C26">
        <v>17</v>
      </c>
      <c r="D26" t="s">
        <v>87</v>
      </c>
      <c r="E26">
        <v>95</v>
      </c>
      <c r="F26">
        <v>95</v>
      </c>
      <c r="G26">
        <v>95</v>
      </c>
      <c r="H26" t="s">
        <v>88</v>
      </c>
      <c r="I26">
        <v>50.8</v>
      </c>
      <c r="J26">
        <v>262.62</v>
      </c>
      <c r="K26" t="str">
        <f>"FN1"</f>
        <v>FN1</v>
      </c>
      <c r="L26" t="str">
        <f>"FN1"</f>
        <v>FN1</v>
      </c>
      <c r="M26">
        <v>160.98177360384301</v>
      </c>
      <c r="N26">
        <v>101.97319629139101</v>
      </c>
      <c r="O26">
        <v>105.78543372582899</v>
      </c>
      <c r="P26">
        <v>115.043644164038</v>
      </c>
      <c r="Q26">
        <v>159.48177314987001</v>
      </c>
      <c r="R26">
        <v>81.007292888367601</v>
      </c>
      <c r="S26">
        <v>86.118303355704697</v>
      </c>
      <c r="T26">
        <v>131.47838641784799</v>
      </c>
      <c r="U26">
        <v>76.062723948811694</v>
      </c>
      <c r="V26">
        <v>139.734583696329</v>
      </c>
      <c r="W26">
        <v>130.09060583169699</v>
      </c>
      <c r="X26">
        <v>67.940554032775395</v>
      </c>
    </row>
    <row r="27" spans="1:24">
      <c r="A27">
        <v>308</v>
      </c>
      <c r="B27" t="s">
        <v>89</v>
      </c>
      <c r="C27">
        <v>2</v>
      </c>
      <c r="D27" t="s">
        <v>90</v>
      </c>
      <c r="E27">
        <v>44</v>
      </c>
      <c r="F27">
        <v>44</v>
      </c>
      <c r="G27">
        <v>24</v>
      </c>
      <c r="H27" t="s">
        <v>91</v>
      </c>
      <c r="I27">
        <v>78.8</v>
      </c>
      <c r="J27">
        <v>45.204999999999998</v>
      </c>
      <c r="K27" t="str">
        <f>"HP"</f>
        <v>HP</v>
      </c>
      <c r="L27" t="str">
        <f>"HP"</f>
        <v>HP</v>
      </c>
      <c r="M27">
        <v>179.13761273209599</v>
      </c>
      <c r="N27">
        <v>60.826117086092701</v>
      </c>
      <c r="O27">
        <v>64.747980987360904</v>
      </c>
      <c r="P27">
        <v>152.32630662460599</v>
      </c>
      <c r="Q27">
        <v>163.24905912978801</v>
      </c>
      <c r="R27">
        <v>119.710777268366</v>
      </c>
      <c r="S27">
        <v>164.30465771812101</v>
      </c>
      <c r="T27">
        <v>159.90614564332799</v>
      </c>
      <c r="U27">
        <v>97.007531992687404</v>
      </c>
      <c r="V27">
        <v>94.5572370877411</v>
      </c>
      <c r="W27">
        <v>71.422293397794206</v>
      </c>
      <c r="X27">
        <v>90.587405377033903</v>
      </c>
    </row>
    <row r="28" spans="1:24">
      <c r="A28">
        <v>383</v>
      </c>
      <c r="B28" t="s">
        <v>92</v>
      </c>
      <c r="C28">
        <v>1</v>
      </c>
      <c r="D28" t="s">
        <v>93</v>
      </c>
      <c r="E28">
        <v>29</v>
      </c>
      <c r="F28">
        <v>19</v>
      </c>
      <c r="G28">
        <v>12</v>
      </c>
      <c r="H28" t="s">
        <v>92</v>
      </c>
      <c r="I28">
        <v>76.400000000000006</v>
      </c>
      <c r="J28">
        <v>35.9</v>
      </c>
      <c r="K28" t="str">
        <f>"IGHG2"</f>
        <v>IGHG2</v>
      </c>
      <c r="L28" t="str">
        <f>"IGHG2"</f>
        <v>IGHG2</v>
      </c>
      <c r="M28">
        <v>112.56620259516799</v>
      </c>
      <c r="N28">
        <v>79.610653245033106</v>
      </c>
      <c r="O28">
        <v>138.615395916604</v>
      </c>
      <c r="P28">
        <v>103.32623596214501</v>
      </c>
      <c r="Q28">
        <v>151.94720119003301</v>
      </c>
      <c r="R28">
        <v>88.207941145111405</v>
      </c>
      <c r="S28">
        <v>70.254405369127497</v>
      </c>
      <c r="T28">
        <v>99.497157289181999</v>
      </c>
      <c r="U28">
        <v>79.369798903107906</v>
      </c>
      <c r="V28">
        <v>117.671228375856</v>
      </c>
      <c r="W28">
        <v>75.248487686961795</v>
      </c>
      <c r="X28">
        <v>91.572051087653804</v>
      </c>
    </row>
    <row r="29" spans="1:24">
      <c r="A29">
        <v>381</v>
      </c>
      <c r="B29" t="s">
        <v>94</v>
      </c>
      <c r="C29">
        <v>1</v>
      </c>
      <c r="D29" t="s">
        <v>95</v>
      </c>
      <c r="E29">
        <v>13</v>
      </c>
      <c r="F29">
        <v>13</v>
      </c>
      <c r="G29">
        <v>13</v>
      </c>
      <c r="H29" t="s">
        <v>94</v>
      </c>
      <c r="I29">
        <v>97.2</v>
      </c>
      <c r="J29">
        <v>11.609</v>
      </c>
      <c r="K29" t="str">
        <f>"IGKC"</f>
        <v>IGKC</v>
      </c>
      <c r="L29" t="str">
        <f>"IGKC"</f>
        <v>IGKC</v>
      </c>
      <c r="M29">
        <v>131.93243099863801</v>
      </c>
      <c r="N29">
        <v>65.298625695364194</v>
      </c>
      <c r="O29">
        <v>96.665999783947299</v>
      </c>
      <c r="P29">
        <v>112.91320630914799</v>
      </c>
      <c r="Q29">
        <v>160.73753514317599</v>
      </c>
      <c r="R29">
        <v>79.207130824181704</v>
      </c>
      <c r="S29">
        <v>73.653812080536895</v>
      </c>
      <c r="T29">
        <v>129.10940648239099</v>
      </c>
      <c r="U29">
        <v>70.550932358318093</v>
      </c>
      <c r="V29">
        <v>111.367412570006</v>
      </c>
      <c r="W29">
        <v>116.061226771416</v>
      </c>
      <c r="X29">
        <v>64.986616900915607</v>
      </c>
    </row>
    <row r="30" spans="1:24">
      <c r="A30">
        <v>687</v>
      </c>
      <c r="B30" t="s">
        <v>96</v>
      </c>
      <c r="C30">
        <v>2</v>
      </c>
      <c r="D30" t="s">
        <v>97</v>
      </c>
      <c r="E30">
        <v>47</v>
      </c>
      <c r="F30">
        <v>47</v>
      </c>
      <c r="G30">
        <v>5</v>
      </c>
      <c r="H30" t="s">
        <v>98</v>
      </c>
      <c r="I30">
        <v>85.5</v>
      </c>
      <c r="J30">
        <v>57.936</v>
      </c>
      <c r="K30" t="str">
        <f>"PKM"</f>
        <v>PKM</v>
      </c>
      <c r="L30" t="str">
        <f>"PKM"</f>
        <v>PKM</v>
      </c>
      <c r="M30">
        <v>96.831142017348895</v>
      </c>
      <c r="N30">
        <v>92.133677350993395</v>
      </c>
      <c r="O30">
        <v>103.04960354326499</v>
      </c>
      <c r="P30">
        <v>91.608827760252396</v>
      </c>
      <c r="Q30">
        <v>76.601481591669796</v>
      </c>
      <c r="R30">
        <v>107.10964281906401</v>
      </c>
      <c r="S30">
        <v>96.316523489932905</v>
      </c>
      <c r="T30">
        <v>94.759197418268599</v>
      </c>
      <c r="U30">
        <v>95.905173674588696</v>
      </c>
      <c r="V30">
        <v>87.202785314250093</v>
      </c>
      <c r="W30">
        <v>91.828662940021204</v>
      </c>
      <c r="X30">
        <v>102.403153904473</v>
      </c>
    </row>
    <row r="31" spans="1:24">
      <c r="A31">
        <v>429</v>
      </c>
      <c r="B31" t="s">
        <v>99</v>
      </c>
      <c r="C31">
        <v>1</v>
      </c>
      <c r="D31" t="s">
        <v>100</v>
      </c>
      <c r="E31">
        <v>37</v>
      </c>
      <c r="F31">
        <v>37</v>
      </c>
      <c r="G31">
        <v>37</v>
      </c>
      <c r="H31" t="s">
        <v>99</v>
      </c>
      <c r="I31">
        <v>73.599999999999994</v>
      </c>
      <c r="J31">
        <v>51.676000000000002</v>
      </c>
      <c r="K31" t="str">
        <f>"HPX"</f>
        <v>HPX</v>
      </c>
      <c r="L31" t="str">
        <f>"HPX"</f>
        <v>HPX</v>
      </c>
      <c r="M31">
        <v>144.03632375080699</v>
      </c>
      <c r="N31">
        <v>58.142611920529802</v>
      </c>
      <c r="O31">
        <v>79.339075294371796</v>
      </c>
      <c r="P31">
        <v>118.239300946372</v>
      </c>
      <c r="Q31">
        <v>160.73753514317599</v>
      </c>
      <c r="R31">
        <v>79.207130824181704</v>
      </c>
      <c r="S31">
        <v>80.452625503355705</v>
      </c>
      <c r="T31">
        <v>151.61471586923</v>
      </c>
      <c r="U31">
        <v>35.275466179159103</v>
      </c>
      <c r="V31">
        <v>104.012960796515</v>
      </c>
      <c r="W31">
        <v>127.539809638918</v>
      </c>
      <c r="X31">
        <v>86.648822534554199</v>
      </c>
    </row>
    <row r="32" spans="1:24">
      <c r="A32">
        <v>563</v>
      </c>
      <c r="B32" t="s">
        <v>101</v>
      </c>
      <c r="C32">
        <v>4</v>
      </c>
      <c r="D32" t="s">
        <v>102</v>
      </c>
      <c r="E32">
        <v>81</v>
      </c>
      <c r="F32">
        <v>81</v>
      </c>
      <c r="G32">
        <v>74</v>
      </c>
      <c r="H32" t="s">
        <v>103</v>
      </c>
      <c r="I32">
        <v>63.7</v>
      </c>
      <c r="J32">
        <v>139.09</v>
      </c>
      <c r="K32" t="str">
        <f>"CFH;CFHR3"</f>
        <v>CFH;CFHR3</v>
      </c>
      <c r="L32" t="str">
        <f>"CFH;CFHR3"</f>
        <v>CFH;CFHR3</v>
      </c>
      <c r="M32">
        <v>121.03892752168601</v>
      </c>
      <c r="N32">
        <v>93.028179072847706</v>
      </c>
      <c r="O32">
        <v>73.867414929242699</v>
      </c>
      <c r="P32">
        <v>129.95670914826499</v>
      </c>
      <c r="Q32">
        <v>140.64534325027901</v>
      </c>
      <c r="R32">
        <v>79.207130824181704</v>
      </c>
      <c r="S32">
        <v>113.31355704697999</v>
      </c>
      <c r="T32">
        <v>125.555936579206</v>
      </c>
      <c r="U32">
        <v>99.212248628884794</v>
      </c>
      <c r="V32">
        <v>87.202785314250093</v>
      </c>
      <c r="W32">
        <v>123.713615349751</v>
      </c>
      <c r="X32">
        <v>79.756302560214607</v>
      </c>
    </row>
    <row r="33" spans="1:24">
      <c r="A33">
        <v>299</v>
      </c>
      <c r="B33" t="s">
        <v>104</v>
      </c>
      <c r="C33">
        <v>1</v>
      </c>
      <c r="D33" t="s">
        <v>105</v>
      </c>
      <c r="E33">
        <v>57</v>
      </c>
      <c r="F33">
        <v>57</v>
      </c>
      <c r="G33">
        <v>49</v>
      </c>
      <c r="H33" t="s">
        <v>104</v>
      </c>
      <c r="I33">
        <v>60.8</v>
      </c>
      <c r="J33">
        <v>122.2</v>
      </c>
      <c r="K33" t="str">
        <f>"CP"</f>
        <v>CP</v>
      </c>
      <c r="L33" t="str">
        <f>"CP"</f>
        <v>CP</v>
      </c>
      <c r="M33">
        <v>137.98437737472199</v>
      </c>
      <c r="N33">
        <v>95.711684238410598</v>
      </c>
      <c r="O33">
        <v>94.842112995570901</v>
      </c>
      <c r="P33">
        <v>112.91320630914799</v>
      </c>
      <c r="Q33">
        <v>151.94720119003301</v>
      </c>
      <c r="R33">
        <v>77.406968759995706</v>
      </c>
      <c r="S33">
        <v>95.183387919463101</v>
      </c>
      <c r="T33">
        <v>123.186956643749</v>
      </c>
      <c r="U33">
        <v>102.51932358318101</v>
      </c>
      <c r="V33">
        <v>73.544517734909803</v>
      </c>
      <c r="W33">
        <v>89.277866747242797</v>
      </c>
      <c r="X33">
        <v>117.172839563772</v>
      </c>
    </row>
    <row r="34" spans="1:24">
      <c r="A34">
        <v>459</v>
      </c>
      <c r="B34" t="s">
        <v>106</v>
      </c>
      <c r="C34">
        <v>3</v>
      </c>
      <c r="D34" t="s">
        <v>107</v>
      </c>
      <c r="E34">
        <v>32</v>
      </c>
      <c r="F34">
        <v>32</v>
      </c>
      <c r="G34">
        <v>32</v>
      </c>
      <c r="H34" t="s">
        <v>108</v>
      </c>
      <c r="I34">
        <v>89.3</v>
      </c>
      <c r="J34">
        <v>36.052999999999997</v>
      </c>
      <c r="K34" t="str">
        <f>"GAPDH;GAPDHS"</f>
        <v>GAPDH;GAPDHS</v>
      </c>
      <c r="L34" t="str">
        <f>"GAPDH;GAPDHS"</f>
        <v>GAPDH;GAPDHS</v>
      </c>
      <c r="M34">
        <v>66.571410136927398</v>
      </c>
      <c r="N34">
        <v>93.922680794702003</v>
      </c>
      <c r="O34">
        <v>83.898792265312693</v>
      </c>
      <c r="P34">
        <v>76.695762776025205</v>
      </c>
      <c r="Q34">
        <v>79.1130055782819</v>
      </c>
      <c r="R34">
        <v>98.108832498134106</v>
      </c>
      <c r="S34">
        <v>91.783981208053703</v>
      </c>
      <c r="T34">
        <v>91.205727515083495</v>
      </c>
      <c r="U34">
        <v>109.133473491773</v>
      </c>
      <c r="V34">
        <v>83.000241443683905</v>
      </c>
      <c r="W34">
        <v>84.176274361686097</v>
      </c>
      <c r="X34">
        <v>89.602759666414002</v>
      </c>
    </row>
    <row r="35" spans="1:24">
      <c r="A35">
        <v>475</v>
      </c>
      <c r="B35" t="s">
        <v>109</v>
      </c>
      <c r="C35">
        <v>3</v>
      </c>
      <c r="D35" t="s">
        <v>110</v>
      </c>
      <c r="E35">
        <v>52</v>
      </c>
      <c r="F35">
        <v>52</v>
      </c>
      <c r="G35">
        <v>52</v>
      </c>
      <c r="H35" t="s">
        <v>111</v>
      </c>
      <c r="I35">
        <v>61.8</v>
      </c>
      <c r="J35">
        <v>87.057000000000002</v>
      </c>
      <c r="K35" t="str">
        <f>"ITGB3"</f>
        <v>ITGB3</v>
      </c>
      <c r="L35" t="str">
        <f>"ITGB3"</f>
        <v>ITGB3</v>
      </c>
      <c r="M35">
        <v>78.675302889096002</v>
      </c>
      <c r="N35">
        <v>91.239175629139098</v>
      </c>
      <c r="O35">
        <v>76.603245111807297</v>
      </c>
      <c r="P35">
        <v>87.347952050473197</v>
      </c>
      <c r="Q35">
        <v>79.1130055782819</v>
      </c>
      <c r="R35">
        <v>65.705915342787094</v>
      </c>
      <c r="S35">
        <v>77.053218791946307</v>
      </c>
      <c r="T35">
        <v>85.283277676441699</v>
      </c>
      <c r="U35">
        <v>92.598098720292498</v>
      </c>
      <c r="V35">
        <v>74.595153702551301</v>
      </c>
      <c r="W35">
        <v>95.654857229188707</v>
      </c>
      <c r="X35">
        <v>84.679531113314297</v>
      </c>
    </row>
    <row r="36" spans="1:24">
      <c r="A36">
        <v>1306</v>
      </c>
      <c r="B36" t="s">
        <v>112</v>
      </c>
      <c r="C36">
        <v>3</v>
      </c>
      <c r="D36" t="s">
        <v>113</v>
      </c>
      <c r="E36">
        <v>31</v>
      </c>
      <c r="F36">
        <v>26</v>
      </c>
      <c r="G36">
        <v>4</v>
      </c>
      <c r="H36" t="s">
        <v>114</v>
      </c>
      <c r="I36">
        <v>76.2</v>
      </c>
      <c r="J36">
        <v>49.83</v>
      </c>
      <c r="K36" t="str">
        <f>"TUBB4B;TUBB4A"</f>
        <v>TUBB4B;TUBB4A</v>
      </c>
      <c r="L36" t="str">
        <f>"TUBB4B;TUBB4A"</f>
        <v>TUBB4B;TUBB4A</v>
      </c>
      <c r="M36">
        <v>65.3610208617105</v>
      </c>
      <c r="N36">
        <v>85.872165298013201</v>
      </c>
      <c r="O36">
        <v>92.106282813006402</v>
      </c>
      <c r="P36">
        <v>71.369668138801302</v>
      </c>
      <c r="Q36">
        <v>75.345719598363701</v>
      </c>
      <c r="R36">
        <v>81.007292888367601</v>
      </c>
      <c r="S36">
        <v>89.517710067114095</v>
      </c>
      <c r="T36">
        <v>78.176337870071606</v>
      </c>
      <c r="U36">
        <v>94.802815356490001</v>
      </c>
      <c r="V36">
        <v>80.898969508400796</v>
      </c>
      <c r="W36">
        <v>77.799283879740102</v>
      </c>
      <c r="X36">
        <v>95.510633930133594</v>
      </c>
    </row>
    <row r="37" spans="1:24">
      <c r="A37">
        <v>387</v>
      </c>
      <c r="B37" t="s">
        <v>115</v>
      </c>
      <c r="C37">
        <v>1</v>
      </c>
      <c r="D37" t="s">
        <v>116</v>
      </c>
      <c r="E37">
        <v>25</v>
      </c>
      <c r="F37">
        <v>25</v>
      </c>
      <c r="G37">
        <v>9</v>
      </c>
      <c r="H37" t="s">
        <v>115</v>
      </c>
      <c r="I37">
        <v>67.099999999999994</v>
      </c>
      <c r="J37">
        <v>37.654000000000003</v>
      </c>
      <c r="K37" t="str">
        <f>"IGHA1"</f>
        <v>IGHA1</v>
      </c>
      <c r="L37" t="str">
        <f>"IGHA1"</f>
        <v>IGHA1</v>
      </c>
      <c r="M37">
        <v>122.249316796903</v>
      </c>
      <c r="N37">
        <v>35.780068874172201</v>
      </c>
      <c r="O37">
        <v>53.804660257102697</v>
      </c>
      <c r="P37">
        <v>89.478389905362803</v>
      </c>
      <c r="Q37">
        <v>94.182149497954597</v>
      </c>
      <c r="R37">
        <v>66.605996374880107</v>
      </c>
      <c r="S37">
        <v>66.854998657718099</v>
      </c>
      <c r="T37">
        <v>126.740426546934</v>
      </c>
      <c r="U37">
        <v>51.8108409506399</v>
      </c>
      <c r="V37">
        <v>95.607873055382697</v>
      </c>
      <c r="W37">
        <v>49.740525759178098</v>
      </c>
      <c r="X37">
        <v>44.309056977897001</v>
      </c>
    </row>
    <row r="38" spans="1:24">
      <c r="A38">
        <v>1337</v>
      </c>
      <c r="B38" t="s">
        <v>117</v>
      </c>
      <c r="C38">
        <v>4</v>
      </c>
      <c r="D38" t="s">
        <v>118</v>
      </c>
      <c r="E38">
        <v>87</v>
      </c>
      <c r="F38">
        <v>87</v>
      </c>
      <c r="G38">
        <v>87</v>
      </c>
      <c r="H38" t="s">
        <v>119</v>
      </c>
      <c r="I38">
        <v>56.3</v>
      </c>
      <c r="J38">
        <v>187.89</v>
      </c>
      <c r="K38" t="str">
        <f>"CLTC;CLTCL1"</f>
        <v>CLTC;CLTCL1</v>
      </c>
      <c r="L38" t="str">
        <f>"CLTC;CLTCL1"</f>
        <v>CLTC;CLTCL1</v>
      </c>
      <c r="M38">
        <v>43.574013907807</v>
      </c>
      <c r="N38">
        <v>79.610653245033106</v>
      </c>
      <c r="O38">
        <v>82.986848871124593</v>
      </c>
      <c r="P38">
        <v>61.7826977917981</v>
      </c>
      <c r="Q38">
        <v>60.276575678691003</v>
      </c>
      <c r="R38">
        <v>75.606806695809794</v>
      </c>
      <c r="S38">
        <v>58.923049664429499</v>
      </c>
      <c r="T38">
        <v>69.884908095973103</v>
      </c>
      <c r="U38">
        <v>67.243857404021895</v>
      </c>
      <c r="V38">
        <v>73.544517734909803</v>
      </c>
      <c r="W38">
        <v>65.045302915848296</v>
      </c>
      <c r="X38">
        <v>74.833074007114902</v>
      </c>
    </row>
    <row r="39" spans="1:24">
      <c r="A39">
        <v>1298</v>
      </c>
      <c r="B39" t="s">
        <v>120</v>
      </c>
      <c r="C39">
        <v>1</v>
      </c>
      <c r="D39" t="s">
        <v>121</v>
      </c>
      <c r="E39">
        <v>45</v>
      </c>
      <c r="F39">
        <v>45</v>
      </c>
      <c r="G39">
        <v>12</v>
      </c>
      <c r="H39" t="s">
        <v>120</v>
      </c>
      <c r="I39">
        <v>85.5</v>
      </c>
      <c r="J39">
        <v>28.521000000000001</v>
      </c>
      <c r="K39" t="str">
        <f>"TPM4"</f>
        <v>TPM4</v>
      </c>
      <c r="L39" t="str">
        <f>"TPM4"</f>
        <v>TPM4</v>
      </c>
      <c r="M39">
        <v>75.044135063445395</v>
      </c>
      <c r="N39">
        <v>69.771134304635794</v>
      </c>
      <c r="O39">
        <v>66.571867775737303</v>
      </c>
      <c r="P39">
        <v>79.891419558359601</v>
      </c>
      <c r="Q39">
        <v>71.578433618445501</v>
      </c>
      <c r="R39">
        <v>72.006482567437899</v>
      </c>
      <c r="S39">
        <v>67.988134228187903</v>
      </c>
      <c r="T39">
        <v>76.991847902343196</v>
      </c>
      <c r="U39">
        <v>74.960365630713</v>
      </c>
      <c r="V39">
        <v>76.696425637834494</v>
      </c>
      <c r="W39">
        <v>63.7699048194591</v>
      </c>
      <c r="X39">
        <v>70.894491164635198</v>
      </c>
    </row>
    <row r="40" spans="1:24">
      <c r="A40">
        <v>1443</v>
      </c>
      <c r="B40" t="s">
        <v>122</v>
      </c>
      <c r="C40">
        <v>3</v>
      </c>
      <c r="D40" t="s">
        <v>123</v>
      </c>
      <c r="E40">
        <v>28</v>
      </c>
      <c r="F40">
        <v>28</v>
      </c>
      <c r="G40">
        <v>28</v>
      </c>
      <c r="H40" t="s">
        <v>124</v>
      </c>
      <c r="I40">
        <v>59.1</v>
      </c>
      <c r="J40">
        <v>51.418999999999997</v>
      </c>
      <c r="K40" t="str">
        <f>"ILK"</f>
        <v>ILK</v>
      </c>
      <c r="L40" t="str">
        <f>"ILK"</f>
        <v>ILK</v>
      </c>
      <c r="M40">
        <v>72.6233565130117</v>
      </c>
      <c r="N40">
        <v>71.560137748344403</v>
      </c>
      <c r="O40">
        <v>62.924094198984598</v>
      </c>
      <c r="P40">
        <v>64.978354574132496</v>
      </c>
      <c r="Q40">
        <v>62.7880996653031</v>
      </c>
      <c r="R40">
        <v>72.006482567437899</v>
      </c>
      <c r="S40">
        <v>70.254405369127497</v>
      </c>
      <c r="T40">
        <v>73.438377999158106</v>
      </c>
      <c r="U40">
        <v>90.393382084095094</v>
      </c>
      <c r="V40">
        <v>66.190065961418796</v>
      </c>
      <c r="W40">
        <v>82.900876265296901</v>
      </c>
      <c r="X40">
        <v>81.725593981454494</v>
      </c>
    </row>
    <row r="41" spans="1:24">
      <c r="A41">
        <v>1310</v>
      </c>
      <c r="B41" t="s">
        <v>125</v>
      </c>
      <c r="C41">
        <v>6</v>
      </c>
      <c r="D41" t="s">
        <v>126</v>
      </c>
      <c r="E41">
        <v>20</v>
      </c>
      <c r="F41">
        <v>20</v>
      </c>
      <c r="G41">
        <v>13</v>
      </c>
      <c r="H41" t="s">
        <v>127</v>
      </c>
      <c r="I41">
        <v>96.6</v>
      </c>
      <c r="J41">
        <v>15.997999999999999</v>
      </c>
      <c r="K41" t="str">
        <f>"HBB;HBG2;HBG1;HBE1"</f>
        <v>HBB;HBG2;HBG1;HBE1</v>
      </c>
      <c r="L41" t="str">
        <f>"HBB;HBG2;HBG1;HBE1"</f>
        <v>HBB;HBG2;HBG1;HBE1</v>
      </c>
      <c r="M41">
        <v>54.4675173847588</v>
      </c>
      <c r="N41">
        <v>34.885567152317897</v>
      </c>
      <c r="O41">
        <v>42.861339526844603</v>
      </c>
      <c r="P41">
        <v>110.782768454259</v>
      </c>
      <c r="Q41">
        <v>87.903339531424294</v>
      </c>
      <c r="R41">
        <v>136.81231687813201</v>
      </c>
      <c r="S41">
        <v>98.582794630872499</v>
      </c>
      <c r="T41">
        <v>78.176337870071606</v>
      </c>
      <c r="U41">
        <v>67.243857404021895</v>
      </c>
      <c r="V41">
        <v>61.987522090852501</v>
      </c>
      <c r="W41">
        <v>40.812739084453902</v>
      </c>
      <c r="X41">
        <v>23.631497054878398</v>
      </c>
    </row>
    <row r="42" spans="1:24">
      <c r="A42">
        <v>535</v>
      </c>
      <c r="B42" t="s">
        <v>128</v>
      </c>
      <c r="C42">
        <v>1</v>
      </c>
      <c r="D42" t="s">
        <v>129</v>
      </c>
      <c r="E42">
        <v>19</v>
      </c>
      <c r="F42">
        <v>19</v>
      </c>
      <c r="G42">
        <v>15</v>
      </c>
      <c r="H42" t="s">
        <v>128</v>
      </c>
      <c r="I42">
        <v>78.599999999999994</v>
      </c>
      <c r="J42">
        <v>15.054</v>
      </c>
      <c r="K42" t="str">
        <f>"PFN1"</f>
        <v>PFN1</v>
      </c>
      <c r="L42" t="str">
        <f>"PFN1"</f>
        <v>PFN1</v>
      </c>
      <c r="M42">
        <v>62.940242311276798</v>
      </c>
      <c r="N42">
        <v>53.670103311258302</v>
      </c>
      <c r="O42">
        <v>67.483811169925502</v>
      </c>
      <c r="P42">
        <v>75.630543848580402</v>
      </c>
      <c r="Q42">
        <v>65.299623651915198</v>
      </c>
      <c r="R42">
        <v>63.005672246508198</v>
      </c>
      <c r="S42">
        <v>67.988134228187903</v>
      </c>
      <c r="T42">
        <v>75.807357934614799</v>
      </c>
      <c r="U42">
        <v>83.779232175502798</v>
      </c>
      <c r="V42">
        <v>66.190065961418796</v>
      </c>
      <c r="W42">
        <v>61.2191086266808</v>
      </c>
      <c r="X42">
        <v>51.201576952236501</v>
      </c>
    </row>
    <row r="43" spans="1:24">
      <c r="A43">
        <v>626</v>
      </c>
      <c r="B43" t="s">
        <v>130</v>
      </c>
      <c r="C43">
        <v>2</v>
      </c>
      <c r="D43" t="s">
        <v>131</v>
      </c>
      <c r="E43">
        <v>44</v>
      </c>
      <c r="F43">
        <v>43</v>
      </c>
      <c r="G43">
        <v>28</v>
      </c>
      <c r="H43" t="s">
        <v>132</v>
      </c>
      <c r="I43">
        <v>58.2</v>
      </c>
      <c r="J43">
        <v>70.897000000000006</v>
      </c>
      <c r="K43" t="str">
        <f>"HSPA8"</f>
        <v>HSPA8</v>
      </c>
      <c r="L43" t="str">
        <f>"HSPA8"</f>
        <v>HSPA8</v>
      </c>
      <c r="M43">
        <v>64.150631586493702</v>
      </c>
      <c r="N43">
        <v>68.876632582781497</v>
      </c>
      <c r="O43">
        <v>67.483811169925502</v>
      </c>
      <c r="P43">
        <v>60.717478864353303</v>
      </c>
      <c r="Q43">
        <v>65.299623651915198</v>
      </c>
      <c r="R43">
        <v>67.506077406973006</v>
      </c>
      <c r="S43">
        <v>63.455591946308701</v>
      </c>
      <c r="T43">
        <v>61.593478321874599</v>
      </c>
      <c r="U43">
        <v>76.062723948811694</v>
      </c>
      <c r="V43">
        <v>64.088794026135702</v>
      </c>
      <c r="W43">
        <v>68.871497205015899</v>
      </c>
      <c r="X43">
        <v>66.955908322155494</v>
      </c>
    </row>
    <row r="44" spans="1:24">
      <c r="A44">
        <v>423</v>
      </c>
      <c r="B44" t="s">
        <v>133</v>
      </c>
      <c r="C44">
        <v>5</v>
      </c>
      <c r="D44" t="s">
        <v>134</v>
      </c>
      <c r="E44">
        <v>39</v>
      </c>
      <c r="F44">
        <v>39</v>
      </c>
      <c r="G44">
        <v>39</v>
      </c>
      <c r="H44" t="s">
        <v>135</v>
      </c>
      <c r="I44">
        <v>71.900000000000006</v>
      </c>
      <c r="J44">
        <v>52.963000000000001</v>
      </c>
      <c r="K44" t="str">
        <f>"GC"</f>
        <v>GC</v>
      </c>
      <c r="L44" t="str">
        <f>"GC"</f>
        <v>GC</v>
      </c>
      <c r="M44">
        <v>107.724645494301</v>
      </c>
      <c r="N44">
        <v>54.564605033112599</v>
      </c>
      <c r="O44">
        <v>62.924094198984598</v>
      </c>
      <c r="P44">
        <v>80.956638485804405</v>
      </c>
      <c r="Q44">
        <v>102.97248345109701</v>
      </c>
      <c r="R44">
        <v>43.203889540462697</v>
      </c>
      <c r="S44">
        <v>54.390507382550297</v>
      </c>
      <c r="T44">
        <v>85.283277676441699</v>
      </c>
      <c r="U44">
        <v>46.299049360146299</v>
      </c>
      <c r="V44">
        <v>64.088794026135702</v>
      </c>
      <c r="W44">
        <v>93.1040610364103</v>
      </c>
      <c r="X44">
        <v>70.894491164635198</v>
      </c>
    </row>
    <row r="45" spans="1:24">
      <c r="A45">
        <v>1311</v>
      </c>
      <c r="B45" t="s">
        <v>136</v>
      </c>
      <c r="C45">
        <v>2</v>
      </c>
      <c r="D45" t="s">
        <v>137</v>
      </c>
      <c r="E45">
        <v>18</v>
      </c>
      <c r="F45">
        <v>18</v>
      </c>
      <c r="G45">
        <v>13</v>
      </c>
      <c r="H45" t="s">
        <v>138</v>
      </c>
      <c r="I45">
        <v>97.9</v>
      </c>
      <c r="J45">
        <v>15.257</v>
      </c>
      <c r="K45" t="str">
        <f>"HBA1;HBZ"</f>
        <v>HBA1;HBZ</v>
      </c>
      <c r="L45" t="str">
        <f>"HBA1;HBZ"</f>
        <v>HBA1;HBZ</v>
      </c>
      <c r="M45">
        <v>52.046738834324998</v>
      </c>
      <c r="N45">
        <v>33.096563708609303</v>
      </c>
      <c r="O45">
        <v>36.4777357675273</v>
      </c>
      <c r="P45">
        <v>135.28280378548899</v>
      </c>
      <c r="Q45">
        <v>81.624529564894004</v>
      </c>
      <c r="R45">
        <v>153.01377545580601</v>
      </c>
      <c r="S45">
        <v>107.647879194631</v>
      </c>
      <c r="T45">
        <v>75.807357934614799</v>
      </c>
      <c r="U45">
        <v>73.858007312614305</v>
      </c>
      <c r="V45">
        <v>63.038158058494098</v>
      </c>
      <c r="W45">
        <v>39.537340988064699</v>
      </c>
      <c r="X45">
        <v>18.708268501778701</v>
      </c>
    </row>
    <row r="46" spans="1:24">
      <c r="A46">
        <v>200</v>
      </c>
      <c r="B46" t="s">
        <v>139</v>
      </c>
      <c r="C46">
        <v>2</v>
      </c>
      <c r="D46" t="s">
        <v>140</v>
      </c>
      <c r="E46">
        <v>41</v>
      </c>
      <c r="F46">
        <v>41</v>
      </c>
      <c r="G46">
        <v>41</v>
      </c>
      <c r="H46" t="s">
        <v>141</v>
      </c>
      <c r="I46">
        <v>76.400000000000006</v>
      </c>
      <c r="J46">
        <v>66.192999999999998</v>
      </c>
      <c r="K46" t="str">
        <f>"WDR1"</f>
        <v>WDR1</v>
      </c>
      <c r="L46" t="str">
        <f>"WDR1"</f>
        <v>WDR1</v>
      </c>
      <c r="M46">
        <v>58.0986852104094</v>
      </c>
      <c r="N46">
        <v>71.560137748344403</v>
      </c>
      <c r="O46">
        <v>68.395754564113702</v>
      </c>
      <c r="P46">
        <v>58.587041009463697</v>
      </c>
      <c r="Q46">
        <v>52.742003718854598</v>
      </c>
      <c r="R46">
        <v>57.605186053950298</v>
      </c>
      <c r="S46">
        <v>69.121269798657707</v>
      </c>
      <c r="T46">
        <v>54.4865385155044</v>
      </c>
      <c r="U46">
        <v>73.858007312614305</v>
      </c>
      <c r="V46">
        <v>52.531798382078399</v>
      </c>
      <c r="W46">
        <v>71.422293397794206</v>
      </c>
      <c r="X46">
        <v>67.940554032775395</v>
      </c>
    </row>
    <row r="47" spans="1:24">
      <c r="A47">
        <v>990</v>
      </c>
      <c r="B47" t="s">
        <v>142</v>
      </c>
      <c r="C47">
        <v>3</v>
      </c>
      <c r="D47" t="s">
        <v>143</v>
      </c>
      <c r="E47">
        <v>22</v>
      </c>
      <c r="F47">
        <v>22</v>
      </c>
      <c r="G47">
        <v>22</v>
      </c>
      <c r="H47" t="s">
        <v>144</v>
      </c>
      <c r="I47">
        <v>81.900000000000006</v>
      </c>
      <c r="J47">
        <v>22.390999999999998</v>
      </c>
      <c r="K47" t="str">
        <f>"TAGLN2;TAGLN3"</f>
        <v>TAGLN2;TAGLN3</v>
      </c>
      <c r="L47" t="str">
        <f>"TAGLN2;TAGLN3"</f>
        <v>TAGLN2;TAGLN3</v>
      </c>
      <c r="M47">
        <v>62.940242311276798</v>
      </c>
      <c r="N47">
        <v>54.564605033112599</v>
      </c>
      <c r="O47">
        <v>59.2763206222318</v>
      </c>
      <c r="P47">
        <v>55.391384227129301</v>
      </c>
      <c r="Q47">
        <v>52.742003718854598</v>
      </c>
      <c r="R47">
        <v>61.2055101823222</v>
      </c>
      <c r="S47">
        <v>52.124236241610703</v>
      </c>
      <c r="T47">
        <v>66.331438192787999</v>
      </c>
      <c r="U47">
        <v>68.346215722120704</v>
      </c>
      <c r="V47">
        <v>53.582434349720003</v>
      </c>
      <c r="W47">
        <v>59.943710530291597</v>
      </c>
      <c r="X47">
        <v>56.124805505336198</v>
      </c>
    </row>
    <row r="48" spans="1:24">
      <c r="A48">
        <v>313</v>
      </c>
      <c r="B48" t="s">
        <v>145</v>
      </c>
      <c r="C48">
        <v>4</v>
      </c>
      <c r="D48" t="s">
        <v>146</v>
      </c>
      <c r="E48">
        <v>61</v>
      </c>
      <c r="F48">
        <v>61</v>
      </c>
      <c r="G48">
        <v>59</v>
      </c>
      <c r="H48" t="s">
        <v>147</v>
      </c>
      <c r="I48">
        <v>73.3</v>
      </c>
      <c r="J48">
        <v>90.567999999999998</v>
      </c>
      <c r="K48" t="str">
        <f>"PLG;PLGLA;PLGLB1"</f>
        <v>PLG;PLGLA;PLGLB1</v>
      </c>
      <c r="L48" t="str">
        <f>"PLG;PLGLA;PLGLB1"</f>
        <v>PLG;PLGLA;PLGLB1</v>
      </c>
      <c r="M48">
        <v>96.831142017348895</v>
      </c>
      <c r="N48">
        <v>57.248110198675498</v>
      </c>
      <c r="O48">
        <v>53.804660257102697</v>
      </c>
      <c r="P48">
        <v>59.6522599369085</v>
      </c>
      <c r="Q48">
        <v>74.089957605057606</v>
      </c>
      <c r="R48">
        <v>43.203889540462697</v>
      </c>
      <c r="S48">
        <v>62.322456375838897</v>
      </c>
      <c r="T48">
        <v>67.515928160516395</v>
      </c>
      <c r="U48">
        <v>42.991974405850101</v>
      </c>
      <c r="V48">
        <v>67.240701929060407</v>
      </c>
      <c r="W48">
        <v>75.248487686961795</v>
      </c>
      <c r="X48">
        <v>54.155514084096303</v>
      </c>
    </row>
    <row r="49" spans="1:24">
      <c r="A49">
        <v>559</v>
      </c>
      <c r="B49" t="s">
        <v>148</v>
      </c>
      <c r="C49">
        <v>1</v>
      </c>
      <c r="D49" t="s">
        <v>149</v>
      </c>
      <c r="E49">
        <v>31</v>
      </c>
      <c r="F49">
        <v>31</v>
      </c>
      <c r="G49">
        <v>31</v>
      </c>
      <c r="H49" t="s">
        <v>148</v>
      </c>
      <c r="I49">
        <v>72.599999999999994</v>
      </c>
      <c r="J49">
        <v>40.124000000000002</v>
      </c>
      <c r="K49" t="str">
        <f>"PLEK"</f>
        <v>PLEK</v>
      </c>
      <c r="L49" t="str">
        <f>"PLEK"</f>
        <v>PLEK</v>
      </c>
      <c r="M49">
        <v>56.888295935192502</v>
      </c>
      <c r="N49">
        <v>67.087629139072803</v>
      </c>
      <c r="O49">
        <v>60.18826401642</v>
      </c>
      <c r="P49">
        <v>50.065289589905397</v>
      </c>
      <c r="Q49">
        <v>50.2304797322425</v>
      </c>
      <c r="R49">
        <v>63.005672246508198</v>
      </c>
      <c r="S49">
        <v>52.124236241610703</v>
      </c>
      <c r="T49">
        <v>63.962458257331299</v>
      </c>
      <c r="U49">
        <v>54.015557586837303</v>
      </c>
      <c r="V49">
        <v>63.038158058494098</v>
      </c>
      <c r="W49">
        <v>56.117516241124001</v>
      </c>
      <c r="X49">
        <v>52.186222662856501</v>
      </c>
    </row>
    <row r="50" spans="1:24">
      <c r="A50">
        <v>457</v>
      </c>
      <c r="B50" t="s">
        <v>150</v>
      </c>
      <c r="C50">
        <v>2</v>
      </c>
      <c r="D50" t="s">
        <v>151</v>
      </c>
      <c r="E50">
        <v>113</v>
      </c>
      <c r="F50">
        <v>113</v>
      </c>
      <c r="G50">
        <v>113</v>
      </c>
      <c r="H50" t="s">
        <v>152</v>
      </c>
      <c r="I50">
        <v>46</v>
      </c>
      <c r="J50">
        <v>309.26</v>
      </c>
      <c r="K50" t="str">
        <f>"VWF"</f>
        <v>VWF</v>
      </c>
      <c r="L50" t="str">
        <f>"VWF"</f>
        <v>VWF</v>
      </c>
      <c r="M50">
        <v>47.2051817334576</v>
      </c>
      <c r="N50">
        <v>42.041580927152303</v>
      </c>
      <c r="O50">
        <v>57.452433833855501</v>
      </c>
      <c r="P50">
        <v>67.108792429022103</v>
      </c>
      <c r="Q50">
        <v>65.299623651915198</v>
      </c>
      <c r="R50">
        <v>63.005672246508198</v>
      </c>
      <c r="S50">
        <v>53.2573718120805</v>
      </c>
      <c r="T50">
        <v>53.302048547776103</v>
      </c>
      <c r="U50">
        <v>58.424990859232203</v>
      </c>
      <c r="V50">
        <v>73.544517734909803</v>
      </c>
      <c r="W50">
        <v>31.8849524097296</v>
      </c>
      <c r="X50">
        <v>60.063388347815902</v>
      </c>
    </row>
    <row r="51" spans="1:24">
      <c r="A51">
        <v>1300</v>
      </c>
      <c r="B51" t="s">
        <v>153</v>
      </c>
      <c r="C51">
        <v>4</v>
      </c>
      <c r="D51" t="s">
        <v>154</v>
      </c>
      <c r="E51">
        <v>35</v>
      </c>
      <c r="F51">
        <v>7</v>
      </c>
      <c r="G51">
        <v>1</v>
      </c>
      <c r="H51" t="s">
        <v>155</v>
      </c>
      <c r="I51">
        <v>55.7</v>
      </c>
      <c r="J51">
        <v>42.018999999999998</v>
      </c>
      <c r="K51" t="str">
        <f>"ACTC1;ACTG2;ACTA2"</f>
        <v>ACTC1;ACTG2;ACTA2</v>
      </c>
      <c r="L51" t="str">
        <f>"ACTC1;ACTG2;ACTA2"</f>
        <v>ACTC1;ACTG2;ACTA2</v>
      </c>
      <c r="M51">
        <v>59.309074485626198</v>
      </c>
      <c r="N51">
        <v>56.353608476821201</v>
      </c>
      <c r="O51">
        <v>51.068830074538198</v>
      </c>
      <c r="P51">
        <v>51.130508517350201</v>
      </c>
      <c r="Q51">
        <v>61.532337671996999</v>
      </c>
      <c r="R51">
        <v>62.105591214415199</v>
      </c>
      <c r="S51">
        <v>64.588727516778505</v>
      </c>
      <c r="T51">
        <v>69.884908095973103</v>
      </c>
      <c r="U51">
        <v>61.732065813528301</v>
      </c>
      <c r="V51">
        <v>57.784978220286199</v>
      </c>
      <c r="W51">
        <v>49.740525759178098</v>
      </c>
      <c r="X51">
        <v>54.155514084096303</v>
      </c>
    </row>
    <row r="52" spans="1:24">
      <c r="A52">
        <v>831</v>
      </c>
      <c r="B52" t="s">
        <v>156</v>
      </c>
      <c r="C52">
        <v>1</v>
      </c>
      <c r="D52" t="s">
        <v>157</v>
      </c>
      <c r="E52">
        <v>57</v>
      </c>
      <c r="F52">
        <v>57</v>
      </c>
      <c r="G52">
        <v>43</v>
      </c>
      <c r="H52" t="s">
        <v>156</v>
      </c>
      <c r="I52">
        <v>71.2</v>
      </c>
      <c r="J52">
        <v>67.819000000000003</v>
      </c>
      <c r="K52" t="str">
        <f>"MSN"</f>
        <v>MSN</v>
      </c>
      <c r="L52" t="str">
        <f>"MSN"</f>
        <v>MSN</v>
      </c>
      <c r="M52">
        <v>55.677906659975598</v>
      </c>
      <c r="N52">
        <v>67.087629139072803</v>
      </c>
      <c r="O52">
        <v>52.892716862914597</v>
      </c>
      <c r="P52">
        <v>49.000070662460601</v>
      </c>
      <c r="Q52">
        <v>59.020813685384901</v>
      </c>
      <c r="R52">
        <v>55.8050239897644</v>
      </c>
      <c r="S52">
        <v>46.458558389261697</v>
      </c>
      <c r="T52">
        <v>49.748578644590999</v>
      </c>
      <c r="U52">
        <v>50.708482632541099</v>
      </c>
      <c r="V52">
        <v>53.582434349720003</v>
      </c>
      <c r="W52">
        <v>43.363535277232202</v>
      </c>
      <c r="X52">
        <v>49.232285530996698</v>
      </c>
    </row>
    <row r="53" spans="1:24">
      <c r="A53">
        <v>1286</v>
      </c>
      <c r="B53" t="s">
        <v>158</v>
      </c>
      <c r="C53">
        <v>2</v>
      </c>
      <c r="D53" t="s">
        <v>159</v>
      </c>
      <c r="E53">
        <v>27</v>
      </c>
      <c r="F53">
        <v>27</v>
      </c>
      <c r="G53">
        <v>19</v>
      </c>
      <c r="H53" t="s">
        <v>160</v>
      </c>
      <c r="I53">
        <v>88.6</v>
      </c>
      <c r="J53">
        <v>27.745000000000001</v>
      </c>
      <c r="K53" t="str">
        <f>"YWHAZ"</f>
        <v>YWHAZ</v>
      </c>
      <c r="L53" t="str">
        <f>"YWHAZ"</f>
        <v>YWHAZ</v>
      </c>
      <c r="M53">
        <v>53.257128109541902</v>
      </c>
      <c r="N53">
        <v>59.037113642384099</v>
      </c>
      <c r="O53">
        <v>57.452433833855501</v>
      </c>
      <c r="P53">
        <v>53.2609463722398</v>
      </c>
      <c r="Q53">
        <v>50.2304797322425</v>
      </c>
      <c r="R53">
        <v>45.9041326367417</v>
      </c>
      <c r="S53">
        <v>43.059151677852299</v>
      </c>
      <c r="T53">
        <v>60.408988354146203</v>
      </c>
      <c r="U53">
        <v>40.787257769652697</v>
      </c>
      <c r="V53">
        <v>53.582434349720003</v>
      </c>
      <c r="W53">
        <v>52.291321951956498</v>
      </c>
      <c r="X53">
        <v>58.0940969265761</v>
      </c>
    </row>
    <row r="54" spans="1:24">
      <c r="A54">
        <v>2123</v>
      </c>
      <c r="B54" t="s">
        <v>161</v>
      </c>
      <c r="C54">
        <v>4</v>
      </c>
      <c r="D54" t="s">
        <v>162</v>
      </c>
      <c r="E54">
        <v>30</v>
      </c>
      <c r="F54">
        <v>30</v>
      </c>
      <c r="G54">
        <v>30</v>
      </c>
      <c r="H54" t="s">
        <v>163</v>
      </c>
      <c r="I54">
        <v>71.3</v>
      </c>
      <c r="J54">
        <v>37.537999999999997</v>
      </c>
      <c r="K54" t="str">
        <f>"PARVB;PARVA"</f>
        <v>PARVB;PARVA</v>
      </c>
      <c r="L54" t="str">
        <f>"PARVB;PARVA"</f>
        <v>PARVB;PARVA</v>
      </c>
      <c r="M54">
        <v>49.625960283891303</v>
      </c>
      <c r="N54">
        <v>43.830584370860898</v>
      </c>
      <c r="O54">
        <v>57.452433833855501</v>
      </c>
      <c r="P54">
        <v>57.5218220820189</v>
      </c>
      <c r="Q54">
        <v>46.463193752324301</v>
      </c>
      <c r="R54">
        <v>47.704294700927598</v>
      </c>
      <c r="S54">
        <v>48.724829530201298</v>
      </c>
      <c r="T54">
        <v>48.564088676862603</v>
      </c>
      <c r="U54">
        <v>54.015557586837303</v>
      </c>
      <c r="V54">
        <v>53.582434349720003</v>
      </c>
      <c r="W54">
        <v>43.363535277232202</v>
      </c>
      <c r="X54">
        <v>50.216931241616599</v>
      </c>
    </row>
    <row r="55" spans="1:24">
      <c r="A55">
        <v>439</v>
      </c>
      <c r="B55" t="s">
        <v>164</v>
      </c>
      <c r="C55">
        <v>3</v>
      </c>
      <c r="D55" t="s">
        <v>165</v>
      </c>
      <c r="E55">
        <v>35</v>
      </c>
      <c r="F55">
        <v>35</v>
      </c>
      <c r="G55">
        <v>28</v>
      </c>
      <c r="H55" t="s">
        <v>166</v>
      </c>
      <c r="I55">
        <v>91.8</v>
      </c>
      <c r="J55">
        <v>39.42</v>
      </c>
      <c r="K55" t="str">
        <f>"ALDOA;ALDOB"</f>
        <v>ALDOA;ALDOB</v>
      </c>
      <c r="L55" t="str">
        <f>"ALDOA;ALDOB"</f>
        <v>ALDOA;ALDOB</v>
      </c>
      <c r="M55">
        <v>52.046738834324998</v>
      </c>
      <c r="N55">
        <v>51.8810998675497</v>
      </c>
      <c r="O55">
        <v>51.980773468726397</v>
      </c>
      <c r="P55">
        <v>58.587041009463697</v>
      </c>
      <c r="Q55">
        <v>53.9977657121607</v>
      </c>
      <c r="R55">
        <v>56.7051050218573</v>
      </c>
      <c r="S55">
        <v>46.458558389261697</v>
      </c>
      <c r="T55">
        <v>49.748578644590999</v>
      </c>
      <c r="U55">
        <v>59.527349177330898</v>
      </c>
      <c r="V55">
        <v>47.2786185438706</v>
      </c>
      <c r="W55">
        <v>49.740525759178098</v>
      </c>
      <c r="X55">
        <v>61.048034058435903</v>
      </c>
    </row>
    <row r="56" spans="1:24">
      <c r="A56">
        <v>318</v>
      </c>
      <c r="B56" t="s">
        <v>167</v>
      </c>
      <c r="C56">
        <v>2</v>
      </c>
      <c r="D56" t="s">
        <v>168</v>
      </c>
      <c r="E56">
        <v>34</v>
      </c>
      <c r="F56">
        <v>34</v>
      </c>
      <c r="G56">
        <v>34</v>
      </c>
      <c r="H56" t="s">
        <v>169</v>
      </c>
      <c r="I56">
        <v>65.5</v>
      </c>
      <c r="J56">
        <v>52.601999999999997</v>
      </c>
      <c r="K56" t="str">
        <f>"SERPINC1"</f>
        <v>SERPINC1</v>
      </c>
      <c r="L56" t="str">
        <f>"SERPINC1"</f>
        <v>SERPINC1</v>
      </c>
      <c r="M56">
        <v>83.516859989963393</v>
      </c>
      <c r="N56">
        <v>44.725086092715202</v>
      </c>
      <c r="O56">
        <v>43.773282921032703</v>
      </c>
      <c r="P56">
        <v>67.108792429022103</v>
      </c>
      <c r="Q56">
        <v>59.020813685384901</v>
      </c>
      <c r="R56">
        <v>42.303808508369798</v>
      </c>
      <c r="S56">
        <v>47.591693959731501</v>
      </c>
      <c r="T56">
        <v>75.807357934614799</v>
      </c>
      <c r="U56">
        <v>45.196691042047497</v>
      </c>
      <c r="V56">
        <v>56.734342252644701</v>
      </c>
      <c r="W56">
        <v>67.596099108626703</v>
      </c>
      <c r="X56">
        <v>37.416537003557501</v>
      </c>
    </row>
    <row r="57" spans="1:24">
      <c r="A57">
        <v>511</v>
      </c>
      <c r="B57" t="s">
        <v>170</v>
      </c>
      <c r="C57">
        <v>2</v>
      </c>
      <c r="D57" t="s">
        <v>171</v>
      </c>
      <c r="E57">
        <v>38</v>
      </c>
      <c r="F57">
        <v>38</v>
      </c>
      <c r="G57">
        <v>35</v>
      </c>
      <c r="H57" t="s">
        <v>172</v>
      </c>
      <c r="I57">
        <v>72.400000000000006</v>
      </c>
      <c r="J57">
        <v>47.167999999999999</v>
      </c>
      <c r="K57" t="str">
        <f>"ENO1"</f>
        <v>ENO1</v>
      </c>
      <c r="L57" t="str">
        <f>"ENO1"</f>
        <v>ENO1</v>
      </c>
      <c r="M57">
        <v>43.574013907807</v>
      </c>
      <c r="N57">
        <v>44.725086092715202</v>
      </c>
      <c r="O57">
        <v>49.244943286161799</v>
      </c>
      <c r="P57">
        <v>50.065289589905397</v>
      </c>
      <c r="Q57">
        <v>46.463193752324301</v>
      </c>
      <c r="R57">
        <v>59.405348118136303</v>
      </c>
      <c r="S57">
        <v>48.724829530201298</v>
      </c>
      <c r="T57">
        <v>56.8555184509611</v>
      </c>
      <c r="U57">
        <v>42.991974405850101</v>
      </c>
      <c r="V57">
        <v>49.379890479153701</v>
      </c>
      <c r="W57">
        <v>49.740525759178098</v>
      </c>
      <c r="X57">
        <v>59.078742637196001</v>
      </c>
    </row>
    <row r="58" spans="1:24">
      <c r="A58">
        <v>320</v>
      </c>
      <c r="B58" t="s">
        <v>173</v>
      </c>
      <c r="C58">
        <v>3</v>
      </c>
      <c r="D58" t="s">
        <v>174</v>
      </c>
      <c r="E58">
        <v>28</v>
      </c>
      <c r="F58">
        <v>28</v>
      </c>
      <c r="G58">
        <v>28</v>
      </c>
      <c r="H58" t="s">
        <v>175</v>
      </c>
      <c r="I58">
        <v>56</v>
      </c>
      <c r="J58">
        <v>47.65</v>
      </c>
      <c r="K58" t="str">
        <f>"SERPINA3"</f>
        <v>SERPINA3</v>
      </c>
      <c r="L58" t="str">
        <f>"SERPINA3"</f>
        <v>SERPINA3</v>
      </c>
      <c r="M58">
        <v>67.781799412144196</v>
      </c>
      <c r="N58">
        <v>43.830584370860898</v>
      </c>
      <c r="O58">
        <v>42.861339526844603</v>
      </c>
      <c r="P58">
        <v>39.413100315457399</v>
      </c>
      <c r="Q58">
        <v>69.066909631833397</v>
      </c>
      <c r="R58">
        <v>39.603565412090802</v>
      </c>
      <c r="S58">
        <v>64.588727516778505</v>
      </c>
      <c r="T58">
        <v>74.622867966886503</v>
      </c>
      <c r="U58">
        <v>40.787257769652697</v>
      </c>
      <c r="V58">
        <v>48.329254511512097</v>
      </c>
      <c r="W58">
        <v>44.638933373621398</v>
      </c>
      <c r="X58">
        <v>40.370474135417297</v>
      </c>
    </row>
    <row r="59" spans="1:24">
      <c r="A59">
        <v>386</v>
      </c>
      <c r="B59" t="s">
        <v>176</v>
      </c>
      <c r="C59">
        <v>2</v>
      </c>
      <c r="D59" t="s">
        <v>177</v>
      </c>
      <c r="E59">
        <v>27</v>
      </c>
      <c r="F59">
        <v>27</v>
      </c>
      <c r="G59">
        <v>9</v>
      </c>
      <c r="H59" t="s">
        <v>178</v>
      </c>
      <c r="I59">
        <v>60.6</v>
      </c>
      <c r="J59">
        <v>49.305999999999997</v>
      </c>
      <c r="K59" t="str">
        <f>"IGHM"</f>
        <v>IGHM</v>
      </c>
      <c r="L59" t="str">
        <f>"IGHM"</f>
        <v>IGHM</v>
      </c>
      <c r="M59">
        <v>73.833745788228498</v>
      </c>
      <c r="N59">
        <v>43.830584370860898</v>
      </c>
      <c r="O59">
        <v>41.037452738468197</v>
      </c>
      <c r="P59">
        <v>47.934851735015798</v>
      </c>
      <c r="Q59">
        <v>55.253527705466702</v>
      </c>
      <c r="R59">
        <v>44.103970572555703</v>
      </c>
      <c r="S59">
        <v>40.792880536912797</v>
      </c>
      <c r="T59">
        <v>58.040008418689503</v>
      </c>
      <c r="U59">
        <v>33.0707495429616</v>
      </c>
      <c r="V59">
        <v>53.582434349720003</v>
      </c>
      <c r="W59">
        <v>80.350080072518494</v>
      </c>
      <c r="X59">
        <v>33.477954161077697</v>
      </c>
    </row>
    <row r="60" spans="1:24">
      <c r="A60">
        <v>1580</v>
      </c>
      <c r="B60" t="s">
        <v>179</v>
      </c>
      <c r="C60">
        <v>2</v>
      </c>
      <c r="D60" t="s">
        <v>180</v>
      </c>
      <c r="E60">
        <v>28</v>
      </c>
      <c r="F60">
        <v>28</v>
      </c>
      <c r="G60">
        <v>28</v>
      </c>
      <c r="H60" t="s">
        <v>181</v>
      </c>
      <c r="I60">
        <v>70.099999999999994</v>
      </c>
      <c r="J60">
        <v>61.277000000000001</v>
      </c>
      <c r="K60" t="str">
        <f>"ZYX"</f>
        <v>ZYX</v>
      </c>
      <c r="L60" t="str">
        <f>"ZYX"</f>
        <v>ZYX</v>
      </c>
      <c r="M60">
        <v>44.784403183023898</v>
      </c>
      <c r="N60">
        <v>50.092096423841099</v>
      </c>
      <c r="O60">
        <v>48.3329998919736</v>
      </c>
      <c r="P60">
        <v>55.391384227129301</v>
      </c>
      <c r="Q60">
        <v>40.184383785793997</v>
      </c>
      <c r="R60">
        <v>45.9041326367417</v>
      </c>
      <c r="S60">
        <v>54.390507382550297</v>
      </c>
      <c r="T60">
        <v>40.2726589027641</v>
      </c>
      <c r="U60">
        <v>58.424990859232203</v>
      </c>
      <c r="V60">
        <v>48.329254511512097</v>
      </c>
      <c r="W60">
        <v>42.088137180842999</v>
      </c>
      <c r="X60">
        <v>56.124805505336198</v>
      </c>
    </row>
    <row r="61" spans="1:24">
      <c r="A61">
        <v>435</v>
      </c>
      <c r="B61" t="s">
        <v>182</v>
      </c>
      <c r="C61">
        <v>2</v>
      </c>
      <c r="D61" t="s">
        <v>183</v>
      </c>
      <c r="E61">
        <v>36</v>
      </c>
      <c r="F61">
        <v>36</v>
      </c>
      <c r="G61">
        <v>36</v>
      </c>
      <c r="H61" t="s">
        <v>184</v>
      </c>
      <c r="I61">
        <v>61</v>
      </c>
      <c r="J61">
        <v>67.033000000000001</v>
      </c>
      <c r="K61" t="str">
        <f>"C4BPA"</f>
        <v>C4BPA</v>
      </c>
      <c r="L61" t="str">
        <f>"C4BPA"</f>
        <v>C4BPA</v>
      </c>
      <c r="M61">
        <v>79.8856921643129</v>
      </c>
      <c r="N61">
        <v>52.775601589403998</v>
      </c>
      <c r="O61">
        <v>35.5657923733391</v>
      </c>
      <c r="P61">
        <v>46.869632807571001</v>
      </c>
      <c r="Q61">
        <v>75.345719598363701</v>
      </c>
      <c r="R61">
        <v>37.803403347904897</v>
      </c>
      <c r="S61">
        <v>62.322456375838897</v>
      </c>
      <c r="T61">
        <v>74.622867966886503</v>
      </c>
      <c r="U61">
        <v>38.582541133455202</v>
      </c>
      <c r="V61">
        <v>51.481162414436803</v>
      </c>
      <c r="W61">
        <v>52.291321951956498</v>
      </c>
      <c r="X61">
        <v>24.616142765498299</v>
      </c>
    </row>
    <row r="62" spans="1:24">
      <c r="A62">
        <v>1346</v>
      </c>
      <c r="B62" t="s">
        <v>185</v>
      </c>
      <c r="C62">
        <v>5</v>
      </c>
      <c r="D62" t="s">
        <v>186</v>
      </c>
      <c r="E62">
        <v>45</v>
      </c>
      <c r="F62">
        <v>45</v>
      </c>
      <c r="G62">
        <v>45</v>
      </c>
      <c r="H62" t="s">
        <v>187</v>
      </c>
      <c r="I62">
        <v>80</v>
      </c>
      <c r="J62">
        <v>51.901000000000003</v>
      </c>
      <c r="K62" t="str">
        <f>"CAP1;CAP2"</f>
        <v>CAP1;CAP2</v>
      </c>
      <c r="L62" t="str">
        <f>"CAP1;CAP2"</f>
        <v>CAP1;CAP2</v>
      </c>
      <c r="M62">
        <v>55.677906659975598</v>
      </c>
      <c r="N62">
        <v>42.9360826490066</v>
      </c>
      <c r="O62">
        <v>46.509113103597301</v>
      </c>
      <c r="P62">
        <v>37.282662460567799</v>
      </c>
      <c r="Q62">
        <v>42.695907772406102</v>
      </c>
      <c r="R62">
        <v>46.804213668834599</v>
      </c>
      <c r="S62">
        <v>54.390507382550297</v>
      </c>
      <c r="T62">
        <v>52.117558580047699</v>
      </c>
      <c r="U62">
        <v>50.708482632541099</v>
      </c>
      <c r="V62">
        <v>42.025438705662701</v>
      </c>
      <c r="W62">
        <v>40.812739084453902</v>
      </c>
      <c r="X62">
        <v>41.355119846037198</v>
      </c>
    </row>
    <row r="63" spans="1:24">
      <c r="A63">
        <v>315</v>
      </c>
      <c r="B63" t="s">
        <v>188</v>
      </c>
      <c r="C63">
        <v>2</v>
      </c>
      <c r="D63" t="s">
        <v>189</v>
      </c>
      <c r="E63">
        <v>45</v>
      </c>
      <c r="F63">
        <v>45</v>
      </c>
      <c r="G63">
        <v>43</v>
      </c>
      <c r="H63" t="s">
        <v>190</v>
      </c>
      <c r="I63">
        <v>58.1</v>
      </c>
      <c r="J63">
        <v>85.531999999999996</v>
      </c>
      <c r="K63" t="str">
        <f>"CFB"</f>
        <v>CFB</v>
      </c>
      <c r="L63" t="str">
        <f>"CFB"</f>
        <v>CFB</v>
      </c>
      <c r="M63">
        <v>62.940242311276798</v>
      </c>
      <c r="N63">
        <v>52.775601589403998</v>
      </c>
      <c r="O63">
        <v>55.628547045479102</v>
      </c>
      <c r="P63">
        <v>53.2609463722398</v>
      </c>
      <c r="Q63">
        <v>61.532337671996999</v>
      </c>
      <c r="R63">
        <v>32.402917155347097</v>
      </c>
      <c r="S63">
        <v>58.923049664429499</v>
      </c>
      <c r="T63">
        <v>55.671028483232803</v>
      </c>
      <c r="U63">
        <v>46.299049360146299</v>
      </c>
      <c r="V63">
        <v>40.974802738021197</v>
      </c>
      <c r="W63">
        <v>53.566720048345701</v>
      </c>
      <c r="X63">
        <v>39.385828424797303</v>
      </c>
    </row>
    <row r="64" spans="1:24">
      <c r="A64">
        <v>889</v>
      </c>
      <c r="B64" t="s">
        <v>191</v>
      </c>
      <c r="C64">
        <v>1</v>
      </c>
      <c r="D64" t="s">
        <v>192</v>
      </c>
      <c r="E64">
        <v>43</v>
      </c>
      <c r="F64">
        <v>43</v>
      </c>
      <c r="G64">
        <v>43</v>
      </c>
      <c r="H64" t="s">
        <v>191</v>
      </c>
      <c r="I64">
        <v>70.900000000000006</v>
      </c>
      <c r="J64">
        <v>56.781999999999996</v>
      </c>
      <c r="K64" t="str">
        <f>"PDIA3"</f>
        <v>PDIA3</v>
      </c>
      <c r="L64" t="str">
        <f>"PDIA3"</f>
        <v>PDIA3</v>
      </c>
      <c r="M64">
        <v>38.732456806939602</v>
      </c>
      <c r="N64">
        <v>43.830584370860898</v>
      </c>
      <c r="O64">
        <v>48.3329998919736</v>
      </c>
      <c r="P64">
        <v>46.869632807571001</v>
      </c>
      <c r="Q64">
        <v>40.184383785793997</v>
      </c>
      <c r="R64">
        <v>53.104780893485497</v>
      </c>
      <c r="S64">
        <v>55.523642953020101</v>
      </c>
      <c r="T64">
        <v>31.9812291286656</v>
      </c>
      <c r="U64">
        <v>54.015557586837303</v>
      </c>
      <c r="V64">
        <v>49.379890479153701</v>
      </c>
      <c r="W64">
        <v>52.291321951956498</v>
      </c>
      <c r="X64">
        <v>47.262994109756796</v>
      </c>
    </row>
    <row r="65" spans="1:24">
      <c r="A65">
        <v>1242</v>
      </c>
      <c r="B65" t="s">
        <v>193</v>
      </c>
      <c r="C65">
        <v>5</v>
      </c>
      <c r="D65" t="s">
        <v>194</v>
      </c>
      <c r="E65">
        <v>19</v>
      </c>
      <c r="F65">
        <v>19</v>
      </c>
      <c r="G65">
        <v>6</v>
      </c>
      <c r="H65" t="s">
        <v>195</v>
      </c>
      <c r="I65">
        <v>87</v>
      </c>
      <c r="J65">
        <v>20.824999999999999</v>
      </c>
      <c r="K65" t="str">
        <f>"RAP1B"</f>
        <v>RAP1B</v>
      </c>
      <c r="L65" t="str">
        <f>"RAP1B"</f>
        <v>RAP1B</v>
      </c>
      <c r="M65">
        <v>38.732456806939602</v>
      </c>
      <c r="N65">
        <v>50.092096423841099</v>
      </c>
      <c r="O65">
        <v>54.716603651290903</v>
      </c>
      <c r="P65">
        <v>35.1522246056782</v>
      </c>
      <c r="Q65">
        <v>31.394049832651501</v>
      </c>
      <c r="R65">
        <v>45.9041326367417</v>
      </c>
      <c r="S65">
        <v>43.059151677852299</v>
      </c>
      <c r="T65">
        <v>39.088168935035803</v>
      </c>
      <c r="U65">
        <v>49.606124314442397</v>
      </c>
      <c r="V65">
        <v>43.076074673304298</v>
      </c>
      <c r="W65">
        <v>40.812739084453902</v>
      </c>
      <c r="X65">
        <v>48.247639820376698</v>
      </c>
    </row>
    <row r="66" spans="1:24">
      <c r="A66">
        <v>624</v>
      </c>
      <c r="B66" t="s">
        <v>196</v>
      </c>
      <c r="C66">
        <v>1</v>
      </c>
      <c r="D66" t="s">
        <v>197</v>
      </c>
      <c r="E66">
        <v>45</v>
      </c>
      <c r="F66">
        <v>45</v>
      </c>
      <c r="G66">
        <v>44</v>
      </c>
      <c r="H66" t="s">
        <v>196</v>
      </c>
      <c r="I66">
        <v>58.3</v>
      </c>
      <c r="J66">
        <v>72.331999999999994</v>
      </c>
      <c r="K66" t="str">
        <f>"HSPA5"</f>
        <v>HSPA5</v>
      </c>
      <c r="L66" t="str">
        <f>"HSPA5"</f>
        <v>HSPA5</v>
      </c>
      <c r="M66">
        <v>37.522067531722698</v>
      </c>
      <c r="N66">
        <v>51.8810998675497</v>
      </c>
      <c r="O66">
        <v>44.685226315220902</v>
      </c>
      <c r="P66">
        <v>42.608757097791802</v>
      </c>
      <c r="Q66">
        <v>37.6728597991819</v>
      </c>
      <c r="R66">
        <v>38.703484379997903</v>
      </c>
      <c r="S66">
        <v>49.857965100671102</v>
      </c>
      <c r="T66">
        <v>35.5346990318507</v>
      </c>
      <c r="U66">
        <v>60.629707495429599</v>
      </c>
      <c r="V66">
        <v>44.126710640945902</v>
      </c>
      <c r="W66">
        <v>45.914331470010602</v>
      </c>
      <c r="X66">
        <v>61.048034058435903</v>
      </c>
    </row>
    <row r="67" spans="1:24">
      <c r="A67">
        <v>1506</v>
      </c>
      <c r="B67" t="s">
        <v>198</v>
      </c>
      <c r="C67">
        <v>4</v>
      </c>
      <c r="D67" t="s">
        <v>199</v>
      </c>
      <c r="E67">
        <v>39</v>
      </c>
      <c r="F67">
        <v>39</v>
      </c>
      <c r="G67">
        <v>37</v>
      </c>
      <c r="H67" t="s">
        <v>200</v>
      </c>
      <c r="I67">
        <v>43.5</v>
      </c>
      <c r="J67">
        <v>103.36</v>
      </c>
      <c r="K67" t="str">
        <f>"ITIH4"</f>
        <v>ITIH4</v>
      </c>
      <c r="L67" t="str">
        <f>"ITIH4"</f>
        <v>ITIH4</v>
      </c>
      <c r="M67">
        <v>66.571410136927398</v>
      </c>
      <c r="N67">
        <v>45.619587814569499</v>
      </c>
      <c r="O67">
        <v>45.597169709409101</v>
      </c>
      <c r="P67">
        <v>44.739194952681402</v>
      </c>
      <c r="Q67">
        <v>55.253527705466702</v>
      </c>
      <c r="R67">
        <v>39.603565412090802</v>
      </c>
      <c r="S67">
        <v>61.1893208053691</v>
      </c>
      <c r="T67">
        <v>50.933068612319403</v>
      </c>
      <c r="U67">
        <v>49.606124314442397</v>
      </c>
      <c r="V67">
        <v>40.974802738021197</v>
      </c>
      <c r="W67">
        <v>53.566720048345701</v>
      </c>
      <c r="X67">
        <v>52.186222662856501</v>
      </c>
    </row>
    <row r="68" spans="1:24">
      <c r="A68">
        <v>2207</v>
      </c>
      <c r="B68" t="s">
        <v>201</v>
      </c>
      <c r="C68">
        <v>2</v>
      </c>
      <c r="D68" t="s">
        <v>202</v>
      </c>
      <c r="E68">
        <v>43</v>
      </c>
      <c r="F68">
        <v>43</v>
      </c>
      <c r="G68">
        <v>25</v>
      </c>
      <c r="H68" t="s">
        <v>203</v>
      </c>
      <c r="I68">
        <v>73.3</v>
      </c>
      <c r="J68">
        <v>60.886000000000003</v>
      </c>
      <c r="K68" t="str">
        <f>"EHD3"</f>
        <v>EHD3</v>
      </c>
      <c r="L68" t="str">
        <f>"EHD3"</f>
        <v>EHD3</v>
      </c>
      <c r="M68">
        <v>35.101288981289002</v>
      </c>
      <c r="N68">
        <v>42.9360826490066</v>
      </c>
      <c r="O68">
        <v>49.244943286161799</v>
      </c>
      <c r="P68">
        <v>43.673976025236598</v>
      </c>
      <c r="Q68">
        <v>30.138287839345502</v>
      </c>
      <c r="R68">
        <v>49.504456765113602</v>
      </c>
      <c r="S68">
        <v>32.860931543624197</v>
      </c>
      <c r="T68">
        <v>27.2432692577522</v>
      </c>
      <c r="U68">
        <v>61.732065813528301</v>
      </c>
      <c r="V68">
        <v>35.721622899813298</v>
      </c>
      <c r="W68">
        <v>44.638933373621398</v>
      </c>
      <c r="X68">
        <v>58.0940969265761</v>
      </c>
    </row>
    <row r="69" spans="1:24">
      <c r="A69">
        <v>689</v>
      </c>
      <c r="B69" t="s">
        <v>204</v>
      </c>
      <c r="C69">
        <v>2</v>
      </c>
      <c r="D69" t="s">
        <v>205</v>
      </c>
      <c r="E69">
        <v>55</v>
      </c>
      <c r="F69">
        <v>55</v>
      </c>
      <c r="G69">
        <v>53</v>
      </c>
      <c r="H69" t="s">
        <v>206</v>
      </c>
      <c r="I69">
        <v>64</v>
      </c>
      <c r="J69">
        <v>92.468000000000004</v>
      </c>
      <c r="K69" t="str">
        <f>"HSP90B1;HSP90B2P"</f>
        <v>HSP90B1;HSP90B2P</v>
      </c>
      <c r="L69" t="str">
        <f>"HSP90B1;HSP90B2P"</f>
        <v>HSP90B1;HSP90B2P</v>
      </c>
      <c r="M69">
        <v>32.6805104308553</v>
      </c>
      <c r="N69">
        <v>47.408591258278101</v>
      </c>
      <c r="O69">
        <v>52.892716862914597</v>
      </c>
      <c r="P69">
        <v>40.478319242902202</v>
      </c>
      <c r="Q69">
        <v>32.649811825957599</v>
      </c>
      <c r="R69">
        <v>50.404537797206501</v>
      </c>
      <c r="S69">
        <v>49.857965100671102</v>
      </c>
      <c r="T69">
        <v>35.5346990318507</v>
      </c>
      <c r="U69">
        <v>46.299049360146299</v>
      </c>
      <c r="V69">
        <v>40.974802738021197</v>
      </c>
      <c r="W69">
        <v>45.914331470010602</v>
      </c>
      <c r="X69">
        <v>47.262994109756796</v>
      </c>
    </row>
    <row r="70" spans="1:24">
      <c r="A70">
        <v>1435</v>
      </c>
      <c r="B70" t="s">
        <v>207</v>
      </c>
      <c r="C70">
        <v>2</v>
      </c>
      <c r="D70" t="s">
        <v>208</v>
      </c>
      <c r="E70">
        <v>61</v>
      </c>
      <c r="F70">
        <v>61</v>
      </c>
      <c r="G70">
        <v>61</v>
      </c>
      <c r="H70" t="s">
        <v>209</v>
      </c>
      <c r="I70">
        <v>46.8</v>
      </c>
      <c r="J70">
        <v>138.11000000000001</v>
      </c>
      <c r="K70" t="str">
        <f>"MMRN1"</f>
        <v>MMRN1</v>
      </c>
      <c r="L70" t="str">
        <f>"MMRN1"</f>
        <v>MMRN1</v>
      </c>
      <c r="M70">
        <v>29.0493426052047</v>
      </c>
      <c r="N70">
        <v>37.569072317880803</v>
      </c>
      <c r="O70">
        <v>22.7985848547046</v>
      </c>
      <c r="P70">
        <v>62.847916719242903</v>
      </c>
      <c r="Q70">
        <v>51.486241725548503</v>
      </c>
      <c r="R70">
        <v>64.805834310694095</v>
      </c>
      <c r="S70">
        <v>58.923049664429499</v>
      </c>
      <c r="T70">
        <v>53.302048547776103</v>
      </c>
      <c r="U70">
        <v>69.448574040219398</v>
      </c>
      <c r="V70">
        <v>69.341973864343501</v>
      </c>
      <c r="W70">
        <v>15.3047771566702</v>
      </c>
      <c r="X70">
        <v>48.247639820376698</v>
      </c>
    </row>
    <row r="71" spans="1:24">
      <c r="A71">
        <v>509</v>
      </c>
      <c r="B71" t="s">
        <v>210</v>
      </c>
      <c r="C71">
        <v>2</v>
      </c>
      <c r="D71" t="s">
        <v>211</v>
      </c>
      <c r="E71">
        <v>42</v>
      </c>
      <c r="F71">
        <v>42</v>
      </c>
      <c r="G71">
        <v>42</v>
      </c>
      <c r="H71" t="s">
        <v>212</v>
      </c>
      <c r="I71">
        <v>77.8</v>
      </c>
      <c r="J71">
        <v>45.398000000000003</v>
      </c>
      <c r="K71" t="str">
        <f>"APOA4"</f>
        <v>APOA4</v>
      </c>
      <c r="L71" t="str">
        <f>"APOA4"</f>
        <v>APOA4</v>
      </c>
      <c r="M71">
        <v>94.4103634669152</v>
      </c>
      <c r="N71">
        <v>26.835051655629101</v>
      </c>
      <c r="O71">
        <v>38.301622555903599</v>
      </c>
      <c r="P71">
        <v>38.347881388012603</v>
      </c>
      <c r="Q71">
        <v>60.276575678691003</v>
      </c>
      <c r="R71">
        <v>45.9041326367417</v>
      </c>
      <c r="S71">
        <v>55.523642953020101</v>
      </c>
      <c r="T71">
        <v>56.8555184509611</v>
      </c>
      <c r="U71">
        <v>18.7400914076782</v>
      </c>
      <c r="V71">
        <v>57.784978220286199</v>
      </c>
      <c r="W71">
        <v>54.842118144734897</v>
      </c>
      <c r="X71">
        <v>27.570079897358099</v>
      </c>
    </row>
    <row r="72" spans="1:24">
      <c r="A72">
        <v>49</v>
      </c>
      <c r="B72" t="s">
        <v>213</v>
      </c>
      <c r="C72">
        <v>1</v>
      </c>
      <c r="D72" t="s">
        <v>214</v>
      </c>
      <c r="E72">
        <v>28</v>
      </c>
      <c r="F72">
        <v>28</v>
      </c>
      <c r="G72">
        <v>28</v>
      </c>
      <c r="H72" t="s">
        <v>213</v>
      </c>
      <c r="I72">
        <v>91.2</v>
      </c>
      <c r="J72">
        <v>36.070999999999998</v>
      </c>
      <c r="K72" t="str">
        <f>"PDLIM1"</f>
        <v>PDLIM1</v>
      </c>
      <c r="L72" t="str">
        <f>"PDLIM1"</f>
        <v>PDLIM1</v>
      </c>
      <c r="M72">
        <v>39.9428460821564</v>
      </c>
      <c r="N72">
        <v>44.725086092715202</v>
      </c>
      <c r="O72">
        <v>46.509113103597301</v>
      </c>
      <c r="P72">
        <v>38.347881388012603</v>
      </c>
      <c r="Q72">
        <v>41.4401457791</v>
      </c>
      <c r="R72">
        <v>39.603565412090802</v>
      </c>
      <c r="S72">
        <v>44.192287248322103</v>
      </c>
      <c r="T72">
        <v>37.9036789673074</v>
      </c>
      <c r="U72">
        <v>44.094332723948803</v>
      </c>
      <c r="V72">
        <v>47.2786185438706</v>
      </c>
      <c r="W72">
        <v>45.914331470010602</v>
      </c>
      <c r="X72">
        <v>47.262994109756796</v>
      </c>
    </row>
    <row r="73" spans="1:24">
      <c r="A73">
        <v>752</v>
      </c>
      <c r="B73" t="s">
        <v>215</v>
      </c>
      <c r="C73">
        <v>2</v>
      </c>
      <c r="D73" t="s">
        <v>216</v>
      </c>
      <c r="E73">
        <v>36</v>
      </c>
      <c r="F73">
        <v>36</v>
      </c>
      <c r="G73">
        <v>36</v>
      </c>
      <c r="H73" t="s">
        <v>217</v>
      </c>
      <c r="I73">
        <v>38.299999999999997</v>
      </c>
      <c r="J73">
        <v>106.46</v>
      </c>
      <c r="K73" t="str">
        <f>"ITIH2"</f>
        <v>ITIH2</v>
      </c>
      <c r="L73" t="str">
        <f>"ITIH2"</f>
        <v>ITIH2</v>
      </c>
      <c r="M73">
        <v>83.516859989963393</v>
      </c>
      <c r="N73">
        <v>33.096563708609303</v>
      </c>
      <c r="O73">
        <v>34.653848979150901</v>
      </c>
      <c r="P73">
        <v>40.478319242902202</v>
      </c>
      <c r="Q73">
        <v>80.368767571587995</v>
      </c>
      <c r="R73">
        <v>22.502025802324301</v>
      </c>
      <c r="S73">
        <v>49.857965100671102</v>
      </c>
      <c r="T73">
        <v>67.515928160516395</v>
      </c>
      <c r="U73">
        <v>30.8660329067642</v>
      </c>
      <c r="V73">
        <v>44.126710640945902</v>
      </c>
      <c r="W73">
        <v>53.566720048345701</v>
      </c>
      <c r="X73">
        <v>28.554725607978099</v>
      </c>
    </row>
    <row r="74" spans="1:24">
      <c r="A74">
        <v>306</v>
      </c>
      <c r="B74" t="s">
        <v>218</v>
      </c>
      <c r="C74">
        <v>2</v>
      </c>
      <c r="D74" t="s">
        <v>219</v>
      </c>
      <c r="E74">
        <v>40</v>
      </c>
      <c r="F74">
        <v>40</v>
      </c>
      <c r="G74">
        <v>40</v>
      </c>
      <c r="H74" t="s">
        <v>220</v>
      </c>
      <c r="I74">
        <v>62.4</v>
      </c>
      <c r="J74">
        <v>70.036000000000001</v>
      </c>
      <c r="K74" t="str">
        <f>"F2"</f>
        <v>F2</v>
      </c>
      <c r="L74" t="str">
        <f>"F2"</f>
        <v>F2</v>
      </c>
      <c r="M74">
        <v>76.254524338662307</v>
      </c>
      <c r="N74">
        <v>41.147079205297999</v>
      </c>
      <c r="O74">
        <v>37.389679161715499</v>
      </c>
      <c r="P74">
        <v>49.000070662460601</v>
      </c>
      <c r="Q74">
        <v>51.486241725548503</v>
      </c>
      <c r="R74">
        <v>29.702674059068102</v>
      </c>
      <c r="S74">
        <v>62.322456375838897</v>
      </c>
      <c r="T74">
        <v>56.8555184509611</v>
      </c>
      <c r="U74">
        <v>33.0707495429616</v>
      </c>
      <c r="V74">
        <v>44.126710640945902</v>
      </c>
      <c r="W74">
        <v>62.494506723070003</v>
      </c>
      <c r="X74">
        <v>38.401182714177402</v>
      </c>
    </row>
    <row r="75" spans="1:24">
      <c r="A75">
        <v>539</v>
      </c>
      <c r="B75" t="s">
        <v>221</v>
      </c>
      <c r="C75">
        <v>5</v>
      </c>
      <c r="D75" t="s">
        <v>222</v>
      </c>
      <c r="E75">
        <v>52</v>
      </c>
      <c r="F75">
        <v>52</v>
      </c>
      <c r="G75">
        <v>31</v>
      </c>
      <c r="H75" t="s">
        <v>223</v>
      </c>
      <c r="I75">
        <v>51.9</v>
      </c>
      <c r="J75">
        <v>84.659000000000006</v>
      </c>
      <c r="K75" t="str">
        <f>"HSP90AA1;HSP90AA2P;HSP90AB4P;HSP90AA4P"</f>
        <v>HSP90AA1;HSP90AA2P;HSP90AB4P;HSP90AA4P</v>
      </c>
      <c r="L75" t="str">
        <f>"HSP90AA1;HSP90AA2P;HSP90AB4P;HSP90AA4P"</f>
        <v>HSP90AA1;HSP90AA2P;HSP90AB4P;HSP90AA4P</v>
      </c>
      <c r="M75">
        <v>31.470121155638399</v>
      </c>
      <c r="N75">
        <v>52.775601589403998</v>
      </c>
      <c r="O75">
        <v>45.597169709409101</v>
      </c>
      <c r="P75">
        <v>36.217443533123003</v>
      </c>
      <c r="Q75">
        <v>36.417097805875798</v>
      </c>
      <c r="R75">
        <v>38.703484379997903</v>
      </c>
      <c r="S75">
        <v>44.192287248322103</v>
      </c>
      <c r="T75">
        <v>30.7967391609373</v>
      </c>
      <c r="U75">
        <v>49.606124314442397</v>
      </c>
      <c r="V75">
        <v>45.177346608587399</v>
      </c>
      <c r="W75">
        <v>48.465127662788902</v>
      </c>
      <c r="X75">
        <v>54.155514084096303</v>
      </c>
    </row>
    <row r="76" spans="1:24">
      <c r="A76">
        <v>808</v>
      </c>
      <c r="B76" t="s">
        <v>224</v>
      </c>
      <c r="C76">
        <v>1</v>
      </c>
      <c r="D76" t="s">
        <v>225</v>
      </c>
      <c r="E76">
        <v>24</v>
      </c>
      <c r="F76">
        <v>24</v>
      </c>
      <c r="G76">
        <v>20</v>
      </c>
      <c r="H76" t="s">
        <v>224</v>
      </c>
      <c r="I76">
        <v>92.8</v>
      </c>
      <c r="J76">
        <v>18.501999999999999</v>
      </c>
      <c r="K76" t="str">
        <f>"CFL1"</f>
        <v>CFL1</v>
      </c>
      <c r="L76" t="str">
        <f>"CFL1"</f>
        <v>CFL1</v>
      </c>
      <c r="M76">
        <v>37.522067531722698</v>
      </c>
      <c r="N76">
        <v>33.096563708609303</v>
      </c>
      <c r="O76">
        <v>38.301622555903599</v>
      </c>
      <c r="P76">
        <v>39.413100315457399</v>
      </c>
      <c r="Q76">
        <v>30.138287839345502</v>
      </c>
      <c r="R76">
        <v>38.703484379997903</v>
      </c>
      <c r="S76">
        <v>33.994067114094001</v>
      </c>
      <c r="T76">
        <v>45.010618773677599</v>
      </c>
      <c r="U76">
        <v>44.094332723948803</v>
      </c>
      <c r="V76">
        <v>38.873530802738003</v>
      </c>
      <c r="W76">
        <v>43.363535277232202</v>
      </c>
      <c r="X76">
        <v>41.355119846037198</v>
      </c>
    </row>
    <row r="77" spans="1:24">
      <c r="A77">
        <v>600</v>
      </c>
      <c r="B77" t="s">
        <v>226</v>
      </c>
      <c r="C77">
        <v>2</v>
      </c>
      <c r="D77" t="s">
        <v>227</v>
      </c>
      <c r="E77">
        <v>15</v>
      </c>
      <c r="F77">
        <v>15</v>
      </c>
      <c r="G77">
        <v>2</v>
      </c>
      <c r="H77" t="s">
        <v>228</v>
      </c>
      <c r="I77">
        <v>96.2</v>
      </c>
      <c r="J77">
        <v>11.292999999999999</v>
      </c>
      <c r="K77" t="str">
        <f>"IGLC2;IGLC6"</f>
        <v>IGLC2;IGLC6</v>
      </c>
      <c r="L77" t="str">
        <f>"IGLC2;IGLC6"</f>
        <v>IGLC2;IGLC6</v>
      </c>
      <c r="M77">
        <v>60.519463760843102</v>
      </c>
      <c r="N77">
        <v>32.202061986754998</v>
      </c>
      <c r="O77">
        <v>33.741905584962701</v>
      </c>
      <c r="P77">
        <v>45.804413880126198</v>
      </c>
      <c r="Q77">
        <v>57.765051692078799</v>
      </c>
      <c r="R77">
        <v>40.503646444183801</v>
      </c>
      <c r="S77">
        <v>41.926016107382601</v>
      </c>
      <c r="T77">
        <v>52.117558580047699</v>
      </c>
      <c r="U77">
        <v>28.661316270566701</v>
      </c>
      <c r="V77">
        <v>48.329254511512097</v>
      </c>
      <c r="W77">
        <v>39.537340988064699</v>
      </c>
      <c r="X77">
        <v>32.493308450457803</v>
      </c>
    </row>
    <row r="78" spans="1:24">
      <c r="A78">
        <v>515</v>
      </c>
      <c r="B78" t="s">
        <v>229</v>
      </c>
      <c r="C78">
        <v>3</v>
      </c>
      <c r="D78" t="s">
        <v>230</v>
      </c>
      <c r="E78">
        <v>44</v>
      </c>
      <c r="F78">
        <v>30</v>
      </c>
      <c r="G78">
        <v>6</v>
      </c>
      <c r="H78" t="s">
        <v>231</v>
      </c>
      <c r="I78">
        <v>87.1</v>
      </c>
      <c r="J78">
        <v>29.032</v>
      </c>
      <c r="K78" t="str">
        <f>"TPM3"</f>
        <v>TPM3</v>
      </c>
      <c r="L78" t="str">
        <f>"TPM3"</f>
        <v>TPM3</v>
      </c>
      <c r="M78">
        <v>38.732456806939602</v>
      </c>
      <c r="N78">
        <v>42.9360826490066</v>
      </c>
      <c r="O78">
        <v>38.301622555903599</v>
      </c>
      <c r="P78">
        <v>40.478319242902202</v>
      </c>
      <c r="Q78">
        <v>46.463193752324301</v>
      </c>
      <c r="R78">
        <v>39.603565412090802</v>
      </c>
      <c r="S78">
        <v>39.659744966443</v>
      </c>
      <c r="T78">
        <v>40.2726589027641</v>
      </c>
      <c r="U78">
        <v>41.889616087751399</v>
      </c>
      <c r="V78">
        <v>39.9241667703796</v>
      </c>
      <c r="W78">
        <v>45.914331470010602</v>
      </c>
      <c r="X78">
        <v>41.355119846037198</v>
      </c>
    </row>
    <row r="79" spans="1:24">
      <c r="A79">
        <v>1062</v>
      </c>
      <c r="B79" t="s">
        <v>232</v>
      </c>
      <c r="C79">
        <v>11</v>
      </c>
      <c r="D79" t="s">
        <v>233</v>
      </c>
      <c r="E79">
        <v>29</v>
      </c>
      <c r="F79">
        <v>29</v>
      </c>
      <c r="G79">
        <v>29</v>
      </c>
      <c r="H79" t="s">
        <v>234</v>
      </c>
      <c r="I79">
        <v>72.900000000000006</v>
      </c>
      <c r="J79">
        <v>37.250999999999998</v>
      </c>
      <c r="K79" t="str">
        <f>"LIMS1;LIMS2;LIMS3"</f>
        <v>LIMS1;LIMS2;LIMS3</v>
      </c>
      <c r="L79" t="str">
        <f>"LIMS1;LIMS2;LIMS3"</f>
        <v>LIMS1;LIMS2;LIMS3</v>
      </c>
      <c r="M79">
        <v>38.732456806939602</v>
      </c>
      <c r="N79">
        <v>47.408591258278101</v>
      </c>
      <c r="O79">
        <v>44.685226315220902</v>
      </c>
      <c r="P79">
        <v>41.543538170346999</v>
      </c>
      <c r="Q79">
        <v>36.417097805875798</v>
      </c>
      <c r="R79">
        <v>33.302998187439997</v>
      </c>
      <c r="S79">
        <v>30.5946604026846</v>
      </c>
      <c r="T79">
        <v>36.719188999579103</v>
      </c>
      <c r="U79">
        <v>41.889616087751399</v>
      </c>
      <c r="V79">
        <v>39.9241667703796</v>
      </c>
      <c r="W79">
        <v>47.189729566399798</v>
      </c>
      <c r="X79">
        <v>43.3244112672771</v>
      </c>
    </row>
    <row r="80" spans="1:24">
      <c r="A80">
        <v>329</v>
      </c>
      <c r="B80" t="s">
        <v>235</v>
      </c>
      <c r="C80">
        <v>5</v>
      </c>
      <c r="D80" t="s">
        <v>236</v>
      </c>
      <c r="E80">
        <v>34</v>
      </c>
      <c r="F80">
        <v>34</v>
      </c>
      <c r="G80">
        <v>3</v>
      </c>
      <c r="H80" t="s">
        <v>237</v>
      </c>
      <c r="I80">
        <v>57.8</v>
      </c>
      <c r="J80">
        <v>47.883000000000003</v>
      </c>
      <c r="K80" t="str">
        <f>"KNG1"</f>
        <v>KNG1</v>
      </c>
      <c r="L80" t="str">
        <f>"KNG1"</f>
        <v>KNG1</v>
      </c>
      <c r="M80">
        <v>55.677906659975598</v>
      </c>
      <c r="N80">
        <v>45.619587814569499</v>
      </c>
      <c r="O80">
        <v>37.389679161715499</v>
      </c>
      <c r="P80">
        <v>42.608757097791802</v>
      </c>
      <c r="Q80">
        <v>56.509289698772797</v>
      </c>
      <c r="R80">
        <v>30.6027550911611</v>
      </c>
      <c r="S80">
        <v>56.656778523489898</v>
      </c>
      <c r="T80">
        <v>56.8555184509611</v>
      </c>
      <c r="U80">
        <v>41.889616087751399</v>
      </c>
      <c r="V80">
        <v>38.873530802738003</v>
      </c>
      <c r="W80">
        <v>61.2191086266808</v>
      </c>
      <c r="X80">
        <v>37.416537003557501</v>
      </c>
    </row>
    <row r="81" spans="1:24">
      <c r="A81">
        <v>304</v>
      </c>
      <c r="B81" t="s">
        <v>238</v>
      </c>
      <c r="C81">
        <v>3</v>
      </c>
      <c r="D81" t="s">
        <v>239</v>
      </c>
      <c r="E81">
        <v>38</v>
      </c>
      <c r="F81">
        <v>38</v>
      </c>
      <c r="G81">
        <v>38</v>
      </c>
      <c r="H81" t="s">
        <v>240</v>
      </c>
      <c r="I81">
        <v>80.8</v>
      </c>
      <c r="J81">
        <v>44.613999999999997</v>
      </c>
      <c r="K81" t="str">
        <f>"PGK1;PGK2"</f>
        <v>PGK1;PGK2</v>
      </c>
      <c r="L81" t="str">
        <f>"PGK1;PGK2"</f>
        <v>PGK1;PGK2</v>
      </c>
      <c r="M81">
        <v>29.0493426052047</v>
      </c>
      <c r="N81">
        <v>36.674570596026498</v>
      </c>
      <c r="O81">
        <v>36.4777357675273</v>
      </c>
      <c r="P81">
        <v>42.608757097791802</v>
      </c>
      <c r="Q81">
        <v>36.417097805875798</v>
      </c>
      <c r="R81">
        <v>47.704294700927598</v>
      </c>
      <c r="S81">
        <v>46.458558389261697</v>
      </c>
      <c r="T81">
        <v>31.9812291286656</v>
      </c>
      <c r="U81">
        <v>45.196691042047497</v>
      </c>
      <c r="V81">
        <v>35.721622899813298</v>
      </c>
      <c r="W81">
        <v>42.088137180842999</v>
      </c>
      <c r="X81">
        <v>42.339765556657099</v>
      </c>
    </row>
    <row r="82" spans="1:24">
      <c r="A82">
        <v>1187</v>
      </c>
      <c r="B82" t="s">
        <v>241</v>
      </c>
      <c r="C82">
        <v>1</v>
      </c>
      <c r="D82" t="s">
        <v>242</v>
      </c>
      <c r="E82">
        <v>49</v>
      </c>
      <c r="F82">
        <v>49</v>
      </c>
      <c r="G82">
        <v>49</v>
      </c>
      <c r="H82" t="s">
        <v>241</v>
      </c>
      <c r="I82">
        <v>64.099999999999994</v>
      </c>
      <c r="J82">
        <v>89.320999999999998</v>
      </c>
      <c r="K82" t="str">
        <f>"VCP"</f>
        <v>VCP</v>
      </c>
      <c r="L82" t="str">
        <f>"VCP"</f>
        <v>VCP</v>
      </c>
      <c r="M82">
        <v>25.4181747795541</v>
      </c>
      <c r="N82">
        <v>40.252577483443702</v>
      </c>
      <c r="O82">
        <v>40.125509344279997</v>
      </c>
      <c r="P82">
        <v>34.087005678233403</v>
      </c>
      <c r="Q82">
        <v>31.394049832651501</v>
      </c>
      <c r="R82">
        <v>43.203889540462697</v>
      </c>
      <c r="S82">
        <v>36.260338255033602</v>
      </c>
      <c r="T82">
        <v>37.9036789673074</v>
      </c>
      <c r="U82">
        <v>33.0707495429616</v>
      </c>
      <c r="V82">
        <v>44.126710640945902</v>
      </c>
      <c r="W82">
        <v>38.261942891675503</v>
      </c>
      <c r="X82">
        <v>43.3244112672771</v>
      </c>
    </row>
    <row r="83" spans="1:24">
      <c r="A83">
        <v>1236</v>
      </c>
      <c r="B83" t="s">
        <v>243</v>
      </c>
      <c r="C83">
        <v>5</v>
      </c>
      <c r="D83" t="s">
        <v>244</v>
      </c>
      <c r="E83">
        <v>30</v>
      </c>
      <c r="F83">
        <v>30</v>
      </c>
      <c r="G83">
        <v>30</v>
      </c>
      <c r="H83" t="s">
        <v>245</v>
      </c>
      <c r="I83">
        <v>72.2</v>
      </c>
      <c r="J83">
        <v>47.371000000000002</v>
      </c>
      <c r="K83" t="str">
        <f>"ACTR3;ACTR3B;ACTR3C"</f>
        <v>ACTR3;ACTR3B;ACTR3C</v>
      </c>
      <c r="L83" t="str">
        <f>"ACTR3;ACTR3B;ACTR3C"</f>
        <v>ACTR3;ACTR3B;ACTR3C</v>
      </c>
      <c r="M83">
        <v>39.9428460821564</v>
      </c>
      <c r="N83">
        <v>40.252577483443702</v>
      </c>
      <c r="O83">
        <v>40.125509344279997</v>
      </c>
      <c r="P83">
        <v>40.478319242902202</v>
      </c>
      <c r="Q83">
        <v>32.649811825957599</v>
      </c>
      <c r="R83">
        <v>36.903322315811899</v>
      </c>
      <c r="S83">
        <v>33.994067114094001</v>
      </c>
      <c r="T83">
        <v>35.5346990318507</v>
      </c>
      <c r="U83">
        <v>31.968391224862899</v>
      </c>
      <c r="V83">
        <v>35.721622899813298</v>
      </c>
      <c r="W83">
        <v>30.6095543133404</v>
      </c>
      <c r="X83">
        <v>41.355119846037198</v>
      </c>
    </row>
    <row r="84" spans="1:24">
      <c r="A84">
        <v>162</v>
      </c>
      <c r="B84" t="s">
        <v>246</v>
      </c>
      <c r="C84">
        <v>4</v>
      </c>
      <c r="D84" t="s">
        <v>247</v>
      </c>
      <c r="E84">
        <v>72</v>
      </c>
      <c r="F84">
        <v>44</v>
      </c>
      <c r="G84">
        <v>43</v>
      </c>
      <c r="H84" t="s">
        <v>248</v>
      </c>
      <c r="I84">
        <v>72.599999999999994</v>
      </c>
      <c r="J84">
        <v>104.85</v>
      </c>
      <c r="K84" t="str">
        <f>"ACTN4;SPTBN4"</f>
        <v>ACTN4;SPTBN4</v>
      </c>
      <c r="L84" t="str">
        <f>"ACTN4;SPTBN4"</f>
        <v>ACTN4;SPTBN4</v>
      </c>
      <c r="M84">
        <v>31.470121155638399</v>
      </c>
      <c r="N84">
        <v>44.725086092715202</v>
      </c>
      <c r="O84">
        <v>39.213565950091798</v>
      </c>
      <c r="P84">
        <v>35.1522246056782</v>
      </c>
      <c r="Q84">
        <v>41.4401457791</v>
      </c>
      <c r="R84">
        <v>39.603565412090802</v>
      </c>
      <c r="S84">
        <v>33.994067114094001</v>
      </c>
      <c r="T84">
        <v>29.6122491932089</v>
      </c>
      <c r="U84">
        <v>44.094332723948803</v>
      </c>
      <c r="V84">
        <v>35.721622899813298</v>
      </c>
      <c r="W84">
        <v>30.6095543133404</v>
      </c>
      <c r="X84">
        <v>40.370474135417297</v>
      </c>
    </row>
    <row r="85" spans="1:24">
      <c r="A85">
        <v>324</v>
      </c>
      <c r="B85" t="s">
        <v>249</v>
      </c>
      <c r="C85">
        <v>2</v>
      </c>
      <c r="D85" t="s">
        <v>250</v>
      </c>
      <c r="E85">
        <v>70</v>
      </c>
      <c r="F85">
        <v>70</v>
      </c>
      <c r="G85">
        <v>70</v>
      </c>
      <c r="H85" t="s">
        <v>251</v>
      </c>
      <c r="I85">
        <v>40.799999999999997</v>
      </c>
      <c r="J85">
        <v>188.3</v>
      </c>
      <c r="K85" t="str">
        <f>"C5"</f>
        <v>C5</v>
      </c>
      <c r="L85" t="str">
        <f>"C5"</f>
        <v>C5</v>
      </c>
      <c r="M85">
        <v>55.677906659975598</v>
      </c>
      <c r="N85">
        <v>41.147079205297999</v>
      </c>
      <c r="O85">
        <v>34.653848979150901</v>
      </c>
      <c r="P85">
        <v>35.1522246056782</v>
      </c>
      <c r="Q85">
        <v>45.207431759018199</v>
      </c>
      <c r="R85">
        <v>23.4021068344173</v>
      </c>
      <c r="S85">
        <v>47.591693959731501</v>
      </c>
      <c r="T85">
        <v>54.4865385155044</v>
      </c>
      <c r="U85">
        <v>27.558957952467999</v>
      </c>
      <c r="V85">
        <v>30.468443061605502</v>
      </c>
      <c r="W85">
        <v>44.638933373621398</v>
      </c>
      <c r="X85">
        <v>32.493308450457803</v>
      </c>
    </row>
    <row r="86" spans="1:24">
      <c r="A86">
        <v>422</v>
      </c>
      <c r="B86" t="s">
        <v>252</v>
      </c>
      <c r="C86">
        <v>1</v>
      </c>
      <c r="D86" t="s">
        <v>253</v>
      </c>
      <c r="E86">
        <v>15</v>
      </c>
      <c r="F86">
        <v>15</v>
      </c>
      <c r="G86">
        <v>15</v>
      </c>
      <c r="H86" t="s">
        <v>252</v>
      </c>
      <c r="I86">
        <v>73.5</v>
      </c>
      <c r="J86">
        <v>15.887</v>
      </c>
      <c r="K86" t="str">
        <f>"TTR"</f>
        <v>TTR</v>
      </c>
      <c r="L86" t="str">
        <f>"TTR"</f>
        <v>TTR</v>
      </c>
      <c r="M86">
        <v>65.3610208617105</v>
      </c>
      <c r="N86">
        <v>21.4680413245033</v>
      </c>
      <c r="O86">
        <v>28.270245219833601</v>
      </c>
      <c r="P86">
        <v>56.456603154574097</v>
      </c>
      <c r="Q86">
        <v>69.066909631833397</v>
      </c>
      <c r="R86">
        <v>26.102349930696199</v>
      </c>
      <c r="S86">
        <v>27.195253691275202</v>
      </c>
      <c r="T86">
        <v>59.2244983864178</v>
      </c>
      <c r="U86">
        <v>29.763674588665499</v>
      </c>
      <c r="V86">
        <v>52.531798382078399</v>
      </c>
      <c r="W86">
        <v>33.160350506118803</v>
      </c>
      <c r="X86">
        <v>19.692914212398701</v>
      </c>
    </row>
    <row r="87" spans="1:24">
      <c r="A87">
        <v>505</v>
      </c>
      <c r="B87" t="s">
        <v>254</v>
      </c>
      <c r="C87">
        <v>1</v>
      </c>
      <c r="D87" t="s">
        <v>255</v>
      </c>
      <c r="E87">
        <v>23</v>
      </c>
      <c r="F87">
        <v>23</v>
      </c>
      <c r="G87">
        <v>23</v>
      </c>
      <c r="H87" t="s">
        <v>254</v>
      </c>
      <c r="I87">
        <v>60.1</v>
      </c>
      <c r="J87">
        <v>56.558999999999997</v>
      </c>
      <c r="K87" t="str">
        <f>"ATP5B"</f>
        <v>ATP5B</v>
      </c>
      <c r="L87" t="str">
        <f>"ATP5B"</f>
        <v>ATP5B</v>
      </c>
      <c r="M87">
        <v>35.101288981289002</v>
      </c>
      <c r="N87">
        <v>33.096563708609303</v>
      </c>
      <c r="O87">
        <v>35.5657923733391</v>
      </c>
      <c r="P87">
        <v>30.8913488958991</v>
      </c>
      <c r="Q87">
        <v>23.859477872815201</v>
      </c>
      <c r="R87">
        <v>39.603565412090802</v>
      </c>
      <c r="S87">
        <v>30.5946604026846</v>
      </c>
      <c r="T87">
        <v>35.5346990318507</v>
      </c>
      <c r="U87">
        <v>37.4801828153565</v>
      </c>
      <c r="V87">
        <v>43.076074673304298</v>
      </c>
      <c r="W87">
        <v>36.986544795286299</v>
      </c>
      <c r="X87">
        <v>43.3244112672771</v>
      </c>
    </row>
    <row r="88" spans="1:24">
      <c r="A88">
        <v>1894</v>
      </c>
      <c r="B88" t="s">
        <v>256</v>
      </c>
      <c r="C88">
        <v>7</v>
      </c>
      <c r="D88" t="s">
        <v>257</v>
      </c>
      <c r="E88">
        <v>45</v>
      </c>
      <c r="F88">
        <v>45</v>
      </c>
      <c r="G88">
        <v>34</v>
      </c>
      <c r="H88" t="s">
        <v>258</v>
      </c>
      <c r="I88">
        <v>43.4</v>
      </c>
      <c r="J88">
        <v>109.13</v>
      </c>
      <c r="K88" t="str">
        <f>"ATP2A3"</f>
        <v>ATP2A3</v>
      </c>
      <c r="L88" t="str">
        <f>"ATP2A3"</f>
        <v>ATP2A3</v>
      </c>
      <c r="M88">
        <v>33.890899706072098</v>
      </c>
      <c r="N88">
        <v>40.252577483443702</v>
      </c>
      <c r="O88">
        <v>40.125509344279997</v>
      </c>
      <c r="P88">
        <v>37.282662460567799</v>
      </c>
      <c r="Q88">
        <v>25.1152398661212</v>
      </c>
      <c r="R88">
        <v>31.502836123254099</v>
      </c>
      <c r="S88">
        <v>32.860931543624197</v>
      </c>
      <c r="T88">
        <v>34.350209064122403</v>
      </c>
      <c r="U88">
        <v>29.763674588665499</v>
      </c>
      <c r="V88">
        <v>38.873530802738003</v>
      </c>
      <c r="W88">
        <v>30.6095543133404</v>
      </c>
      <c r="X88">
        <v>37.416537003557501</v>
      </c>
    </row>
    <row r="89" spans="1:24">
      <c r="A89">
        <v>1075</v>
      </c>
      <c r="B89" t="s">
        <v>259</v>
      </c>
      <c r="C89">
        <v>2</v>
      </c>
      <c r="D89" t="s">
        <v>260</v>
      </c>
      <c r="E89">
        <v>31</v>
      </c>
      <c r="F89">
        <v>31</v>
      </c>
      <c r="G89">
        <v>30</v>
      </c>
      <c r="H89" t="s">
        <v>261</v>
      </c>
      <c r="I89">
        <v>54.4</v>
      </c>
      <c r="J89">
        <v>50.908999999999999</v>
      </c>
      <c r="K89" t="str">
        <f>"IDH2"</f>
        <v>IDH2</v>
      </c>
      <c r="L89" t="str">
        <f>"IDH2"</f>
        <v>IDH2</v>
      </c>
      <c r="M89">
        <v>26.628564054771001</v>
      </c>
      <c r="N89">
        <v>33.096563708609303</v>
      </c>
      <c r="O89">
        <v>39.213565950091798</v>
      </c>
      <c r="P89">
        <v>40.478319242902202</v>
      </c>
      <c r="Q89">
        <v>32.649811825957599</v>
      </c>
      <c r="R89">
        <v>38.703484379997903</v>
      </c>
      <c r="S89">
        <v>33.994067114094001</v>
      </c>
      <c r="T89">
        <v>34.350209064122403</v>
      </c>
      <c r="U89">
        <v>35.275466179159103</v>
      </c>
      <c r="V89">
        <v>38.873530802738003</v>
      </c>
      <c r="W89">
        <v>33.160350506118803</v>
      </c>
      <c r="X89">
        <v>33.477954161077697</v>
      </c>
    </row>
    <row r="90" spans="1:24">
      <c r="A90">
        <v>531</v>
      </c>
      <c r="B90" t="s">
        <v>262</v>
      </c>
      <c r="C90">
        <v>1</v>
      </c>
      <c r="D90" t="s">
        <v>263</v>
      </c>
      <c r="E90">
        <v>46</v>
      </c>
      <c r="F90">
        <v>46</v>
      </c>
      <c r="G90">
        <v>46</v>
      </c>
      <c r="H90" t="s">
        <v>262</v>
      </c>
      <c r="I90">
        <v>57.7</v>
      </c>
      <c r="J90">
        <v>81.888999999999996</v>
      </c>
      <c r="K90" t="str">
        <f>"CAPN1"</f>
        <v>CAPN1</v>
      </c>
      <c r="L90" t="str">
        <f>"CAPN1"</f>
        <v>CAPN1</v>
      </c>
      <c r="M90">
        <v>29.0493426052047</v>
      </c>
      <c r="N90">
        <v>35.780068874172201</v>
      </c>
      <c r="O90">
        <v>32.829962190774602</v>
      </c>
      <c r="P90">
        <v>25.5652542586751</v>
      </c>
      <c r="Q90">
        <v>31.394049832651501</v>
      </c>
      <c r="R90">
        <v>33.302998187439997</v>
      </c>
      <c r="S90">
        <v>22.662711409396</v>
      </c>
      <c r="T90">
        <v>28.4277592254806</v>
      </c>
      <c r="U90">
        <v>44.094332723948803</v>
      </c>
      <c r="V90">
        <v>34.6709869321718</v>
      </c>
      <c r="W90">
        <v>36.986544795286299</v>
      </c>
      <c r="X90">
        <v>43.3244112672771</v>
      </c>
    </row>
    <row r="91" spans="1:24">
      <c r="A91">
        <v>1517</v>
      </c>
      <c r="B91" t="s">
        <v>264</v>
      </c>
      <c r="C91">
        <v>4</v>
      </c>
      <c r="D91" t="s">
        <v>265</v>
      </c>
      <c r="E91">
        <v>55</v>
      </c>
      <c r="F91">
        <v>55</v>
      </c>
      <c r="G91">
        <v>7</v>
      </c>
      <c r="H91" t="s">
        <v>266</v>
      </c>
      <c r="I91">
        <v>36.4</v>
      </c>
      <c r="J91">
        <v>186.79</v>
      </c>
      <c r="K91" t="str">
        <f>"LTBP1"</f>
        <v>LTBP1</v>
      </c>
      <c r="L91" t="str">
        <f>"LTBP1"</f>
        <v>LTBP1</v>
      </c>
      <c r="M91">
        <v>15.735060577819199</v>
      </c>
      <c r="N91">
        <v>30.4130585430464</v>
      </c>
      <c r="O91">
        <v>42.861339526844603</v>
      </c>
      <c r="P91">
        <v>38.347881388012603</v>
      </c>
      <c r="Q91">
        <v>23.859477872815201</v>
      </c>
      <c r="R91">
        <v>43.203889540462697</v>
      </c>
      <c r="S91">
        <v>26.062118120805401</v>
      </c>
      <c r="T91">
        <v>29.6122491932089</v>
      </c>
      <c r="U91">
        <v>46.299049360146299</v>
      </c>
      <c r="V91">
        <v>35.721622899813298</v>
      </c>
      <c r="W91">
        <v>24.232563831394501</v>
      </c>
      <c r="X91">
        <v>40.370474135417297</v>
      </c>
    </row>
    <row r="92" spans="1:24">
      <c r="A92">
        <v>281</v>
      </c>
      <c r="B92" t="s">
        <v>267</v>
      </c>
      <c r="C92">
        <v>1</v>
      </c>
      <c r="D92" t="s">
        <v>268</v>
      </c>
      <c r="E92">
        <v>26</v>
      </c>
      <c r="F92">
        <v>26</v>
      </c>
      <c r="G92">
        <v>26</v>
      </c>
      <c r="H92" t="s">
        <v>267</v>
      </c>
      <c r="I92">
        <v>47.8</v>
      </c>
      <c r="J92">
        <v>47.173000000000002</v>
      </c>
      <c r="K92" t="str">
        <f>"SDPR"</f>
        <v>SDPR</v>
      </c>
      <c r="L92" t="str">
        <f>"SDPR"</f>
        <v>SDPR</v>
      </c>
      <c r="M92">
        <v>21.7870069539035</v>
      </c>
      <c r="N92">
        <v>41.147079205297999</v>
      </c>
      <c r="O92">
        <v>38.301622555903599</v>
      </c>
      <c r="P92">
        <v>40.478319242902202</v>
      </c>
      <c r="Q92">
        <v>23.859477872815201</v>
      </c>
      <c r="R92">
        <v>31.502836123254099</v>
      </c>
      <c r="S92">
        <v>35.127202684563798</v>
      </c>
      <c r="T92">
        <v>31.9812291286656</v>
      </c>
      <c r="U92">
        <v>41.889616087751399</v>
      </c>
      <c r="V92">
        <v>38.873530802738003</v>
      </c>
      <c r="W92">
        <v>34.4357486025079</v>
      </c>
      <c r="X92">
        <v>35.447245582317599</v>
      </c>
    </row>
    <row r="93" spans="1:24">
      <c r="A93">
        <v>523</v>
      </c>
      <c r="B93" t="s">
        <v>269</v>
      </c>
      <c r="C93">
        <v>1</v>
      </c>
      <c r="D93" t="s">
        <v>270</v>
      </c>
      <c r="E93">
        <v>38</v>
      </c>
      <c r="F93">
        <v>38</v>
      </c>
      <c r="G93">
        <v>38</v>
      </c>
      <c r="H93" t="s">
        <v>269</v>
      </c>
      <c r="I93">
        <v>56.9</v>
      </c>
      <c r="J93">
        <v>57.116</v>
      </c>
      <c r="K93" t="str">
        <f>"P4HB"</f>
        <v>P4HB</v>
      </c>
      <c r="L93" t="str">
        <f>"P4HB"</f>
        <v>P4HB</v>
      </c>
      <c r="M93">
        <v>31.470121155638399</v>
      </c>
      <c r="N93">
        <v>35.780068874172201</v>
      </c>
      <c r="O93">
        <v>31.918018796586399</v>
      </c>
      <c r="P93">
        <v>29.8261299684543</v>
      </c>
      <c r="Q93">
        <v>28.8825258460394</v>
      </c>
      <c r="R93">
        <v>31.502836123254099</v>
      </c>
      <c r="S93">
        <v>33.994067114094001</v>
      </c>
      <c r="T93">
        <v>26.058779290023899</v>
      </c>
      <c r="U93">
        <v>44.094332723948803</v>
      </c>
      <c r="V93">
        <v>36.772258867454902</v>
      </c>
      <c r="W93">
        <v>38.261942891675503</v>
      </c>
      <c r="X93">
        <v>39.385828424797303</v>
      </c>
    </row>
    <row r="94" spans="1:24">
      <c r="A94">
        <v>1277</v>
      </c>
      <c r="B94" t="s">
        <v>271</v>
      </c>
      <c r="C94">
        <v>4</v>
      </c>
      <c r="D94" t="s">
        <v>272</v>
      </c>
      <c r="E94">
        <v>14</v>
      </c>
      <c r="F94">
        <v>14</v>
      </c>
      <c r="G94">
        <v>5</v>
      </c>
      <c r="H94" t="s">
        <v>273</v>
      </c>
      <c r="I94">
        <v>70.900000000000006</v>
      </c>
      <c r="J94">
        <v>18.012</v>
      </c>
      <c r="K94" t="str">
        <f>"PPIA;PPIAL4A;PPIAL4D;PPIAL4G"</f>
        <v>PPIA;PPIAL4A;PPIAL4D;PPIAL4G</v>
      </c>
      <c r="L94" t="str">
        <f>"PPIA;PPIAL4A;PPIAL4D;PPIAL4G"</f>
        <v>PPIA;PPIAL4A;PPIAL4D;PPIAL4G</v>
      </c>
      <c r="M94">
        <v>27.838953329987799</v>
      </c>
      <c r="N94">
        <v>24.151546490066199</v>
      </c>
      <c r="O94">
        <v>27.358301825645501</v>
      </c>
      <c r="P94">
        <v>24.500035331230301</v>
      </c>
      <c r="Q94">
        <v>28.8825258460394</v>
      </c>
      <c r="R94">
        <v>34.203079219533002</v>
      </c>
      <c r="S94">
        <v>33.994067114094001</v>
      </c>
      <c r="T94">
        <v>28.4277592254806</v>
      </c>
      <c r="U94">
        <v>40.787257769652697</v>
      </c>
      <c r="V94">
        <v>29.417807093963901</v>
      </c>
      <c r="W94">
        <v>36.986544795286299</v>
      </c>
      <c r="X94">
        <v>36.4318912929375</v>
      </c>
    </row>
    <row r="95" spans="1:24">
      <c r="A95">
        <v>2287</v>
      </c>
      <c r="B95" t="s">
        <v>274</v>
      </c>
      <c r="C95">
        <v>8</v>
      </c>
      <c r="D95" t="s">
        <v>275</v>
      </c>
      <c r="E95">
        <v>36</v>
      </c>
      <c r="F95">
        <v>36</v>
      </c>
      <c r="G95">
        <v>35</v>
      </c>
      <c r="H95" t="s">
        <v>276</v>
      </c>
      <c r="I95">
        <v>50.8</v>
      </c>
      <c r="J95">
        <v>53.247999999999998</v>
      </c>
      <c r="K95" t="str">
        <f>"CORO1C;CORO6"</f>
        <v>CORO1C;CORO6</v>
      </c>
      <c r="L95" t="str">
        <f>"CORO1C;CORO6"</f>
        <v>CORO1C;CORO6</v>
      </c>
      <c r="M95">
        <v>29.0493426052047</v>
      </c>
      <c r="N95">
        <v>42.041580927152303</v>
      </c>
      <c r="O95">
        <v>32.829962190774602</v>
      </c>
      <c r="P95">
        <v>31.9565678233438</v>
      </c>
      <c r="Q95">
        <v>27.626763852733401</v>
      </c>
      <c r="R95">
        <v>32.402917155347097</v>
      </c>
      <c r="S95">
        <v>28.328389261744999</v>
      </c>
      <c r="T95">
        <v>35.5346990318507</v>
      </c>
      <c r="U95">
        <v>26.456599634369301</v>
      </c>
      <c r="V95">
        <v>34.6709869321718</v>
      </c>
      <c r="W95">
        <v>29.3341562169512</v>
      </c>
      <c r="X95">
        <v>36.4318912929375</v>
      </c>
    </row>
    <row r="96" spans="1:24">
      <c r="A96">
        <v>1376</v>
      </c>
      <c r="B96" t="s">
        <v>277</v>
      </c>
      <c r="C96">
        <v>14</v>
      </c>
      <c r="D96" t="s">
        <v>278</v>
      </c>
      <c r="E96">
        <v>55</v>
      </c>
      <c r="F96">
        <v>55</v>
      </c>
      <c r="G96">
        <v>55</v>
      </c>
      <c r="H96" t="s">
        <v>279</v>
      </c>
      <c r="I96">
        <v>66.5</v>
      </c>
      <c r="J96">
        <v>62.662999999999997</v>
      </c>
      <c r="K96" t="str">
        <f>"CALD1"</f>
        <v>CALD1</v>
      </c>
      <c r="L96" t="str">
        <f>"CALD1"</f>
        <v>CALD1</v>
      </c>
      <c r="M96">
        <v>30.259731880421501</v>
      </c>
      <c r="N96">
        <v>40.252577483443702</v>
      </c>
      <c r="O96">
        <v>35.5657923733391</v>
      </c>
      <c r="P96">
        <v>41.543538170346999</v>
      </c>
      <c r="Q96">
        <v>28.8825258460394</v>
      </c>
      <c r="R96">
        <v>31.502836123254099</v>
      </c>
      <c r="S96">
        <v>21.529575838926199</v>
      </c>
      <c r="T96">
        <v>26.058779290023899</v>
      </c>
      <c r="U96">
        <v>26.456599634369301</v>
      </c>
      <c r="V96">
        <v>31.519079029246999</v>
      </c>
      <c r="W96">
        <v>28.058758120562</v>
      </c>
      <c r="X96">
        <v>32.493308450457803</v>
      </c>
    </row>
    <row r="97" spans="1:24">
      <c r="A97">
        <v>1457</v>
      </c>
      <c r="B97" t="s">
        <v>280</v>
      </c>
      <c r="C97">
        <v>3</v>
      </c>
      <c r="D97" t="s">
        <v>281</v>
      </c>
      <c r="E97">
        <v>80</v>
      </c>
      <c r="F97">
        <v>80</v>
      </c>
      <c r="G97">
        <v>78</v>
      </c>
      <c r="H97" t="s">
        <v>282</v>
      </c>
      <c r="I97">
        <v>51.4</v>
      </c>
      <c r="J97">
        <v>180.58</v>
      </c>
      <c r="K97" t="str">
        <f>"IQGAP2"</f>
        <v>IQGAP2</v>
      </c>
      <c r="L97" t="str">
        <f>"IQGAP2"</f>
        <v>IQGAP2</v>
      </c>
      <c r="M97">
        <v>22.997396229120401</v>
      </c>
      <c r="N97">
        <v>39.358075761589397</v>
      </c>
      <c r="O97">
        <v>38.301622555903599</v>
      </c>
      <c r="P97">
        <v>28.7609110410095</v>
      </c>
      <c r="Q97">
        <v>17.580667906284901</v>
      </c>
      <c r="R97">
        <v>29.702674059068102</v>
      </c>
      <c r="S97">
        <v>30.5946604026846</v>
      </c>
      <c r="T97">
        <v>21.3208194191104</v>
      </c>
      <c r="U97">
        <v>30.8660329067642</v>
      </c>
      <c r="V97">
        <v>25.215263223397599</v>
      </c>
      <c r="W97">
        <v>30.6095543133404</v>
      </c>
      <c r="X97">
        <v>36.4318912929375</v>
      </c>
    </row>
    <row r="98" spans="1:24">
      <c r="A98">
        <v>1118</v>
      </c>
      <c r="B98" t="s">
        <v>283</v>
      </c>
      <c r="C98">
        <v>1</v>
      </c>
      <c r="D98" t="s">
        <v>284</v>
      </c>
      <c r="E98">
        <v>26</v>
      </c>
      <c r="F98">
        <v>26</v>
      </c>
      <c r="G98">
        <v>26</v>
      </c>
      <c r="H98" t="s">
        <v>283</v>
      </c>
      <c r="I98">
        <v>58.4</v>
      </c>
      <c r="J98">
        <v>39.829000000000001</v>
      </c>
      <c r="K98" t="str">
        <f>"VASP"</f>
        <v>VASP</v>
      </c>
      <c r="L98" t="str">
        <f>"VASP"</f>
        <v>VASP</v>
      </c>
      <c r="M98">
        <v>27.838953329987799</v>
      </c>
      <c r="N98">
        <v>33.9910654304636</v>
      </c>
      <c r="O98">
        <v>32.829962190774602</v>
      </c>
      <c r="P98">
        <v>39.413100315457399</v>
      </c>
      <c r="Q98">
        <v>25.1152398661212</v>
      </c>
      <c r="R98">
        <v>37.803403347904897</v>
      </c>
      <c r="S98">
        <v>27.195253691275202</v>
      </c>
      <c r="T98">
        <v>27.2432692577522</v>
      </c>
      <c r="U98">
        <v>26.456599634369301</v>
      </c>
      <c r="V98">
        <v>30.468443061605502</v>
      </c>
      <c r="W98">
        <v>31.8849524097296</v>
      </c>
      <c r="X98">
        <v>38.401182714177402</v>
      </c>
    </row>
    <row r="99" spans="1:24">
      <c r="A99">
        <v>753</v>
      </c>
      <c r="B99" t="s">
        <v>285</v>
      </c>
      <c r="C99">
        <v>4</v>
      </c>
      <c r="D99" t="s">
        <v>286</v>
      </c>
      <c r="E99">
        <v>31</v>
      </c>
      <c r="F99">
        <v>31</v>
      </c>
      <c r="G99">
        <v>31</v>
      </c>
      <c r="H99" t="s">
        <v>287</v>
      </c>
      <c r="I99">
        <v>44</v>
      </c>
      <c r="J99">
        <v>101.39</v>
      </c>
      <c r="K99" t="str">
        <f>"ITIH1"</f>
        <v>ITIH1</v>
      </c>
      <c r="L99" t="str">
        <f>"ITIH1"</f>
        <v>ITIH1</v>
      </c>
      <c r="M99">
        <v>71.412967237794803</v>
      </c>
      <c r="N99">
        <v>20.573539602648999</v>
      </c>
      <c r="O99">
        <v>30.09413200821</v>
      </c>
      <c r="P99">
        <v>38.347881388012603</v>
      </c>
      <c r="Q99">
        <v>59.020813685384901</v>
      </c>
      <c r="R99">
        <v>19.801782706045401</v>
      </c>
      <c r="S99">
        <v>37.393473825503399</v>
      </c>
      <c r="T99">
        <v>41.457148870492503</v>
      </c>
      <c r="U99">
        <v>25.354241316270599</v>
      </c>
      <c r="V99">
        <v>39.9241667703796</v>
      </c>
      <c r="W99">
        <v>33.160350506118803</v>
      </c>
      <c r="X99">
        <v>24.616142765498299</v>
      </c>
    </row>
    <row r="100" spans="1:24">
      <c r="A100">
        <v>385</v>
      </c>
      <c r="B100" t="s">
        <v>288</v>
      </c>
      <c r="C100">
        <v>1</v>
      </c>
      <c r="D100" t="s">
        <v>289</v>
      </c>
      <c r="E100">
        <v>23</v>
      </c>
      <c r="F100">
        <v>11</v>
      </c>
      <c r="G100">
        <v>11</v>
      </c>
      <c r="H100" t="s">
        <v>288</v>
      </c>
      <c r="I100">
        <v>74.599999999999994</v>
      </c>
      <c r="J100">
        <v>35.94</v>
      </c>
      <c r="K100" t="str">
        <f>"IGHG4"</f>
        <v>IGHG4</v>
      </c>
      <c r="L100" t="str">
        <f>"IGHG4"</f>
        <v>IGHG4</v>
      </c>
      <c r="M100">
        <v>36.3116782565058</v>
      </c>
      <c r="N100">
        <v>26.835051655629101</v>
      </c>
      <c r="O100">
        <v>30.09413200821</v>
      </c>
      <c r="P100">
        <v>31.9565678233438</v>
      </c>
      <c r="Q100">
        <v>37.6728597991819</v>
      </c>
      <c r="R100">
        <v>38.703484379997903</v>
      </c>
      <c r="S100">
        <v>23.7958469798658</v>
      </c>
      <c r="T100">
        <v>28.4277592254806</v>
      </c>
      <c r="U100">
        <v>11.023583180987201</v>
      </c>
      <c r="V100">
        <v>37.822894835096498</v>
      </c>
      <c r="W100">
        <v>59.943710530291597</v>
      </c>
      <c r="X100">
        <v>17.7236227911588</v>
      </c>
    </row>
    <row r="101" spans="1:24">
      <c r="A101">
        <v>453</v>
      </c>
      <c r="B101" t="s">
        <v>290</v>
      </c>
      <c r="C101">
        <v>3</v>
      </c>
      <c r="D101" t="s">
        <v>291</v>
      </c>
      <c r="E101">
        <v>16</v>
      </c>
      <c r="F101">
        <v>16</v>
      </c>
      <c r="G101">
        <v>16</v>
      </c>
      <c r="H101" t="s">
        <v>292</v>
      </c>
      <c r="I101">
        <v>48.5</v>
      </c>
      <c r="J101">
        <v>54.253</v>
      </c>
      <c r="K101" t="str">
        <f>"A1BG"</f>
        <v>A1BG</v>
      </c>
      <c r="L101" t="str">
        <f>"A1BG"</f>
        <v>A1BG</v>
      </c>
      <c r="M101">
        <v>45.994792458240703</v>
      </c>
      <c r="N101">
        <v>27.729553377483398</v>
      </c>
      <c r="O101">
        <v>30.09413200821</v>
      </c>
      <c r="P101">
        <v>36.217443533123003</v>
      </c>
      <c r="Q101">
        <v>46.463193752324301</v>
      </c>
      <c r="R101">
        <v>25.2022688986033</v>
      </c>
      <c r="S101">
        <v>37.393473825503399</v>
      </c>
      <c r="T101">
        <v>36.719188999579103</v>
      </c>
      <c r="U101">
        <v>34.173107861060302</v>
      </c>
      <c r="V101">
        <v>24.164627255756098</v>
      </c>
      <c r="W101">
        <v>44.638933373621398</v>
      </c>
      <c r="X101">
        <v>23.631497054878398</v>
      </c>
    </row>
    <row r="102" spans="1:24">
      <c r="A102">
        <v>1540</v>
      </c>
      <c r="B102" t="s">
        <v>293</v>
      </c>
      <c r="C102">
        <v>10</v>
      </c>
      <c r="D102" t="s">
        <v>294</v>
      </c>
      <c r="E102">
        <v>165</v>
      </c>
      <c r="F102">
        <v>165</v>
      </c>
      <c r="G102">
        <v>164</v>
      </c>
      <c r="H102" t="s">
        <v>295</v>
      </c>
      <c r="I102">
        <v>42</v>
      </c>
      <c r="J102">
        <v>516.27</v>
      </c>
      <c r="K102" t="str">
        <f>"PLEC;EPPK1"</f>
        <v>PLEC;EPPK1</v>
      </c>
      <c r="L102" t="str">
        <f>"PLEC;EPPK1"</f>
        <v>PLEC;EPPK1</v>
      </c>
      <c r="M102">
        <v>10.8935034769518</v>
      </c>
      <c r="N102">
        <v>77.821649801324497</v>
      </c>
      <c r="O102">
        <v>40.125509344279997</v>
      </c>
      <c r="P102">
        <v>57.5218220820189</v>
      </c>
      <c r="Q102">
        <v>36.417097805875798</v>
      </c>
      <c r="R102">
        <v>21.601944770231398</v>
      </c>
      <c r="S102">
        <v>28.328389261744999</v>
      </c>
      <c r="T102">
        <v>14.2138796127403</v>
      </c>
      <c r="U102">
        <v>41.889616087751399</v>
      </c>
      <c r="V102">
        <v>44.126710640945902</v>
      </c>
      <c r="W102">
        <v>12.7539809638918</v>
      </c>
      <c r="X102">
        <v>60.063388347815902</v>
      </c>
    </row>
    <row r="103" spans="1:24">
      <c r="A103">
        <v>649</v>
      </c>
      <c r="B103" t="s">
        <v>296</v>
      </c>
      <c r="C103">
        <v>1</v>
      </c>
      <c r="D103" t="s">
        <v>297</v>
      </c>
      <c r="E103">
        <v>68</v>
      </c>
      <c r="F103">
        <v>68</v>
      </c>
      <c r="G103">
        <v>55</v>
      </c>
      <c r="H103" t="s">
        <v>296</v>
      </c>
      <c r="I103">
        <v>32</v>
      </c>
      <c r="J103">
        <v>251.7</v>
      </c>
      <c r="K103" t="str">
        <f>"F5"</f>
        <v>F5</v>
      </c>
      <c r="L103" t="str">
        <f>"F5"</f>
        <v>F5</v>
      </c>
      <c r="M103">
        <v>19.366228403469801</v>
      </c>
      <c r="N103">
        <v>32.202061986754998</v>
      </c>
      <c r="O103">
        <v>21.886641460516401</v>
      </c>
      <c r="P103">
        <v>44.739194952681402</v>
      </c>
      <c r="Q103">
        <v>36.417097805875798</v>
      </c>
      <c r="R103">
        <v>39.603565412090802</v>
      </c>
      <c r="S103">
        <v>40.792880536912797</v>
      </c>
      <c r="T103">
        <v>43.826128805949203</v>
      </c>
      <c r="U103">
        <v>57.322632541133501</v>
      </c>
      <c r="V103">
        <v>50.430526446795298</v>
      </c>
      <c r="W103">
        <v>6.37699048194591</v>
      </c>
      <c r="X103">
        <v>21.6622056336385</v>
      </c>
    </row>
    <row r="104" spans="1:24">
      <c r="A104">
        <v>850</v>
      </c>
      <c r="B104" t="s">
        <v>298</v>
      </c>
      <c r="C104">
        <v>1</v>
      </c>
      <c r="D104" t="s">
        <v>299</v>
      </c>
      <c r="E104">
        <v>23</v>
      </c>
      <c r="F104">
        <v>23</v>
      </c>
      <c r="G104">
        <v>23</v>
      </c>
      <c r="H104" t="s">
        <v>298</v>
      </c>
      <c r="I104">
        <v>57.3</v>
      </c>
      <c r="J104">
        <v>48.140999999999998</v>
      </c>
      <c r="K104" t="str">
        <f>"CALR"</f>
        <v>CALR</v>
      </c>
      <c r="L104" t="str">
        <f>"CALR"</f>
        <v>CALR</v>
      </c>
      <c r="M104">
        <v>24.207785504337199</v>
      </c>
      <c r="N104">
        <v>32.202061986754998</v>
      </c>
      <c r="O104">
        <v>38.301622555903599</v>
      </c>
      <c r="P104">
        <v>28.7609110410095</v>
      </c>
      <c r="Q104">
        <v>25.1152398661212</v>
      </c>
      <c r="R104">
        <v>31.502836123254099</v>
      </c>
      <c r="S104">
        <v>32.860931543624197</v>
      </c>
      <c r="T104">
        <v>24.8742893222955</v>
      </c>
      <c r="U104">
        <v>33.0707495429616</v>
      </c>
      <c r="V104">
        <v>24.164627255756098</v>
      </c>
      <c r="W104">
        <v>35.711146698897103</v>
      </c>
      <c r="X104">
        <v>32.493308450457803</v>
      </c>
    </row>
    <row r="105" spans="1:24">
      <c r="A105">
        <v>623</v>
      </c>
      <c r="B105" t="s">
        <v>300</v>
      </c>
      <c r="C105">
        <v>5</v>
      </c>
      <c r="D105" t="s">
        <v>301</v>
      </c>
      <c r="E105">
        <v>24</v>
      </c>
      <c r="F105">
        <v>24</v>
      </c>
      <c r="G105">
        <v>24</v>
      </c>
      <c r="H105" t="s">
        <v>302</v>
      </c>
      <c r="I105">
        <v>46.4</v>
      </c>
      <c r="J105">
        <v>48.802999999999997</v>
      </c>
      <c r="K105" t="str">
        <f>"CLU"</f>
        <v>CLU</v>
      </c>
      <c r="L105" t="str">
        <f>"CLU"</f>
        <v>CLU</v>
      </c>
      <c r="M105">
        <v>42.363624632590202</v>
      </c>
      <c r="N105">
        <v>21.4680413245033</v>
      </c>
      <c r="O105">
        <v>20.974698066328202</v>
      </c>
      <c r="P105">
        <v>39.413100315457399</v>
      </c>
      <c r="Q105">
        <v>47.718955745630304</v>
      </c>
      <c r="R105">
        <v>28.802593026975199</v>
      </c>
      <c r="S105">
        <v>36.260338255033602</v>
      </c>
      <c r="T105">
        <v>36.719188999579103</v>
      </c>
      <c r="U105">
        <v>27.558957952467999</v>
      </c>
      <c r="V105">
        <v>33.620350964530203</v>
      </c>
      <c r="W105">
        <v>30.6095543133404</v>
      </c>
      <c r="X105">
        <v>29.539371318598</v>
      </c>
    </row>
    <row r="106" spans="1:24">
      <c r="A106">
        <v>825</v>
      </c>
      <c r="B106" t="s">
        <v>303</v>
      </c>
      <c r="C106">
        <v>3</v>
      </c>
      <c r="D106" t="s">
        <v>304</v>
      </c>
      <c r="E106">
        <v>32</v>
      </c>
      <c r="F106">
        <v>32</v>
      </c>
      <c r="G106">
        <v>32</v>
      </c>
      <c r="H106" t="s">
        <v>305</v>
      </c>
      <c r="I106">
        <v>53.3</v>
      </c>
      <c r="J106">
        <v>59.75</v>
      </c>
      <c r="K106" t="str">
        <f>"ATP5A1"</f>
        <v>ATP5A1</v>
      </c>
      <c r="L106" t="str">
        <f>"ATP5A1"</f>
        <v>ATP5A1</v>
      </c>
      <c r="M106">
        <v>30.259731880421501</v>
      </c>
      <c r="N106">
        <v>29.518556821192099</v>
      </c>
      <c r="O106">
        <v>31.006075402398199</v>
      </c>
      <c r="P106">
        <v>31.9565678233438</v>
      </c>
      <c r="Q106">
        <v>28.8825258460394</v>
      </c>
      <c r="R106">
        <v>29.702674059068102</v>
      </c>
      <c r="S106">
        <v>22.662711409396</v>
      </c>
      <c r="T106">
        <v>28.4277592254806</v>
      </c>
      <c r="U106">
        <v>29.763674588665499</v>
      </c>
      <c r="V106">
        <v>27.3165351586808</v>
      </c>
      <c r="W106">
        <v>24.232563831394501</v>
      </c>
      <c r="X106">
        <v>24.616142765498299</v>
      </c>
    </row>
    <row r="107" spans="1:24">
      <c r="A107">
        <v>447</v>
      </c>
      <c r="B107" t="s">
        <v>306</v>
      </c>
      <c r="C107">
        <v>1</v>
      </c>
      <c r="D107" t="s">
        <v>307</v>
      </c>
      <c r="E107">
        <v>25</v>
      </c>
      <c r="F107">
        <v>25</v>
      </c>
      <c r="G107">
        <v>25</v>
      </c>
      <c r="H107" t="s">
        <v>306</v>
      </c>
      <c r="I107">
        <v>54.7</v>
      </c>
      <c r="J107">
        <v>59.578000000000003</v>
      </c>
      <c r="K107" t="str">
        <f>"HRG"</f>
        <v>HRG</v>
      </c>
      <c r="L107" t="str">
        <f>"HRG"</f>
        <v>HRG</v>
      </c>
      <c r="M107">
        <v>44.784403183023898</v>
      </c>
      <c r="N107">
        <v>24.151546490066199</v>
      </c>
      <c r="O107">
        <v>24.6224716430809</v>
      </c>
      <c r="P107">
        <v>29.8261299684543</v>
      </c>
      <c r="Q107">
        <v>32.649811825957599</v>
      </c>
      <c r="R107">
        <v>21.601944770231398</v>
      </c>
      <c r="S107">
        <v>28.328389261744999</v>
      </c>
      <c r="T107">
        <v>37.9036789673074</v>
      </c>
      <c r="U107">
        <v>20.9448080438757</v>
      </c>
      <c r="V107">
        <v>36.772258867454902</v>
      </c>
      <c r="W107">
        <v>44.638933373621398</v>
      </c>
      <c r="X107">
        <v>16.738977080538898</v>
      </c>
    </row>
    <row r="108" spans="1:24">
      <c r="A108">
        <v>632</v>
      </c>
      <c r="B108" t="s">
        <v>308</v>
      </c>
      <c r="C108">
        <v>1</v>
      </c>
      <c r="D108" t="s">
        <v>309</v>
      </c>
      <c r="E108">
        <v>55</v>
      </c>
      <c r="F108">
        <v>55</v>
      </c>
      <c r="G108">
        <v>46</v>
      </c>
      <c r="H108" t="s">
        <v>308</v>
      </c>
      <c r="I108">
        <v>56.2</v>
      </c>
      <c r="J108">
        <v>96.694999999999993</v>
      </c>
      <c r="K108" t="str">
        <f>"PYGB"</f>
        <v>PYGB</v>
      </c>
      <c r="L108" t="str">
        <f>"PYGB"</f>
        <v>PYGB</v>
      </c>
      <c r="M108">
        <v>15.735060577819199</v>
      </c>
      <c r="N108">
        <v>26.835051655629101</v>
      </c>
      <c r="O108">
        <v>33.741905584962701</v>
      </c>
      <c r="P108">
        <v>27.6956921135647</v>
      </c>
      <c r="Q108">
        <v>23.859477872815201</v>
      </c>
      <c r="R108">
        <v>28.802593026975199</v>
      </c>
      <c r="S108">
        <v>26.062118120805401</v>
      </c>
      <c r="T108">
        <v>29.6122491932089</v>
      </c>
      <c r="U108">
        <v>25.354241316270599</v>
      </c>
      <c r="V108">
        <v>23.113991288114502</v>
      </c>
      <c r="W108">
        <v>22.957165735005301</v>
      </c>
      <c r="X108">
        <v>28.554725607978099</v>
      </c>
    </row>
    <row r="109" spans="1:24">
      <c r="A109">
        <v>69</v>
      </c>
      <c r="B109" t="s">
        <v>310</v>
      </c>
      <c r="C109">
        <v>8</v>
      </c>
      <c r="D109" t="s">
        <v>311</v>
      </c>
      <c r="E109">
        <v>47</v>
      </c>
      <c r="F109">
        <v>47</v>
      </c>
      <c r="G109">
        <v>47</v>
      </c>
      <c r="H109" t="s">
        <v>312</v>
      </c>
      <c r="I109">
        <v>69.7</v>
      </c>
      <c r="J109">
        <v>79.441000000000003</v>
      </c>
      <c r="K109" t="str">
        <f>"DNM1L"</f>
        <v>DNM1L</v>
      </c>
      <c r="L109" t="str">
        <f>"DNM1L"</f>
        <v>DNM1L</v>
      </c>
      <c r="M109">
        <v>20.576617678686599</v>
      </c>
      <c r="N109">
        <v>25.0460482119205</v>
      </c>
      <c r="O109">
        <v>32.829962190774602</v>
      </c>
      <c r="P109">
        <v>29.8261299684543</v>
      </c>
      <c r="Q109">
        <v>16.324905912978799</v>
      </c>
      <c r="R109">
        <v>30.6027550911611</v>
      </c>
      <c r="S109">
        <v>22.662711409396</v>
      </c>
      <c r="T109">
        <v>20.1363294513821</v>
      </c>
      <c r="U109">
        <v>26.456599634369301</v>
      </c>
      <c r="V109">
        <v>27.3165351586808</v>
      </c>
      <c r="W109">
        <v>24.232563831394501</v>
      </c>
      <c r="X109">
        <v>34.462599871697698</v>
      </c>
    </row>
    <row r="110" spans="1:24">
      <c r="A110">
        <v>879</v>
      </c>
      <c r="B110" t="s">
        <v>313</v>
      </c>
      <c r="C110">
        <v>1</v>
      </c>
      <c r="D110" t="s">
        <v>314</v>
      </c>
      <c r="E110">
        <v>26</v>
      </c>
      <c r="F110">
        <v>26</v>
      </c>
      <c r="G110">
        <v>26</v>
      </c>
      <c r="H110" t="s">
        <v>313</v>
      </c>
      <c r="I110">
        <v>85.7</v>
      </c>
      <c r="J110">
        <v>25.035</v>
      </c>
      <c r="K110" t="str">
        <f>"PRDX6"</f>
        <v>PRDX6</v>
      </c>
      <c r="L110" t="str">
        <f>"PRDX6"</f>
        <v>PRDX6</v>
      </c>
      <c r="M110">
        <v>32.6805104308553</v>
      </c>
      <c r="N110">
        <v>23.257044768211902</v>
      </c>
      <c r="O110">
        <v>25.534415037269099</v>
      </c>
      <c r="P110">
        <v>27.6956921135647</v>
      </c>
      <c r="Q110">
        <v>18.8364298995909</v>
      </c>
      <c r="R110">
        <v>33.302998187439997</v>
      </c>
      <c r="S110">
        <v>30.5946604026846</v>
      </c>
      <c r="T110">
        <v>27.2432692577522</v>
      </c>
      <c r="U110">
        <v>25.354241316270599</v>
      </c>
      <c r="V110">
        <v>23.113991288114502</v>
      </c>
      <c r="W110">
        <v>29.3341562169512</v>
      </c>
      <c r="X110">
        <v>25.6007884761183</v>
      </c>
    </row>
    <row r="111" spans="1:24">
      <c r="A111">
        <v>1513</v>
      </c>
      <c r="B111" t="s">
        <v>315</v>
      </c>
      <c r="C111">
        <v>3</v>
      </c>
      <c r="D111" t="s">
        <v>316</v>
      </c>
      <c r="E111">
        <v>41</v>
      </c>
      <c r="F111">
        <v>41</v>
      </c>
      <c r="G111">
        <v>41</v>
      </c>
      <c r="H111" t="s">
        <v>317</v>
      </c>
      <c r="I111">
        <v>51.2</v>
      </c>
      <c r="J111">
        <v>106.87</v>
      </c>
      <c r="K111" t="str">
        <f>"GANAB"</f>
        <v>GANAB</v>
      </c>
      <c r="L111" t="str">
        <f>"GANAB"</f>
        <v>GANAB</v>
      </c>
      <c r="M111">
        <v>19.366228403469801</v>
      </c>
      <c r="N111">
        <v>30.4130585430464</v>
      </c>
      <c r="O111">
        <v>30.09413200821</v>
      </c>
      <c r="P111">
        <v>27.6956921135647</v>
      </c>
      <c r="Q111">
        <v>21.347953886203101</v>
      </c>
      <c r="R111">
        <v>31.502836123254099</v>
      </c>
      <c r="S111">
        <v>19.263304697986602</v>
      </c>
      <c r="T111">
        <v>17.7673495159254</v>
      </c>
      <c r="U111">
        <v>30.8660329067642</v>
      </c>
      <c r="V111">
        <v>26.2658991910392</v>
      </c>
      <c r="W111">
        <v>24.232563831394501</v>
      </c>
      <c r="X111">
        <v>25.6007884761183</v>
      </c>
    </row>
    <row r="112" spans="1:24">
      <c r="A112">
        <v>843</v>
      </c>
      <c r="B112" t="s">
        <v>318</v>
      </c>
      <c r="C112">
        <v>4</v>
      </c>
      <c r="D112" t="s">
        <v>319</v>
      </c>
      <c r="E112">
        <v>25</v>
      </c>
      <c r="F112">
        <v>25</v>
      </c>
      <c r="G112">
        <v>25</v>
      </c>
      <c r="H112" t="s">
        <v>320</v>
      </c>
      <c r="I112">
        <v>75.3</v>
      </c>
      <c r="J112">
        <v>31.73</v>
      </c>
      <c r="K112" t="str">
        <f>"STOM;STOML3"</f>
        <v>STOM;STOML3</v>
      </c>
      <c r="L112" t="str">
        <f>"STOM;STOML3"</f>
        <v>STOM;STOML3</v>
      </c>
      <c r="M112">
        <v>29.0493426052047</v>
      </c>
      <c r="N112">
        <v>24.151546490066199</v>
      </c>
      <c r="O112">
        <v>26.446358431457298</v>
      </c>
      <c r="P112">
        <v>23.434816403785501</v>
      </c>
      <c r="Q112">
        <v>18.8364298995909</v>
      </c>
      <c r="R112">
        <v>31.502836123254099</v>
      </c>
      <c r="S112">
        <v>20.396440268456399</v>
      </c>
      <c r="T112">
        <v>26.058779290023899</v>
      </c>
      <c r="U112">
        <v>24.251882998171801</v>
      </c>
      <c r="V112">
        <v>29.417807093963901</v>
      </c>
      <c r="W112">
        <v>21.681767638616101</v>
      </c>
      <c r="X112">
        <v>21.6622056336385</v>
      </c>
    </row>
    <row r="113" spans="1:24">
      <c r="A113">
        <v>2233</v>
      </c>
      <c r="B113" t="s">
        <v>321</v>
      </c>
      <c r="C113">
        <v>15</v>
      </c>
      <c r="D113" t="s">
        <v>322</v>
      </c>
      <c r="E113">
        <v>29</v>
      </c>
      <c r="F113">
        <v>29</v>
      </c>
      <c r="G113">
        <v>29</v>
      </c>
      <c r="H113" t="s">
        <v>323</v>
      </c>
      <c r="I113">
        <v>51.9</v>
      </c>
      <c r="J113">
        <v>61.874000000000002</v>
      </c>
      <c r="K113" t="str">
        <f>"BIN2;BIN1;AMPH"</f>
        <v>BIN2;BIN1;AMPH</v>
      </c>
      <c r="L113" t="str">
        <f>"BIN2;BIN1;AMPH"</f>
        <v>BIN2;BIN1;AMPH</v>
      </c>
      <c r="M113">
        <v>20.576617678686599</v>
      </c>
      <c r="N113">
        <v>28.624055099337699</v>
      </c>
      <c r="O113">
        <v>27.358301825645501</v>
      </c>
      <c r="P113">
        <v>30.8913488958991</v>
      </c>
      <c r="Q113">
        <v>25.1152398661212</v>
      </c>
      <c r="R113">
        <v>23.4021068344173</v>
      </c>
      <c r="S113">
        <v>27.195253691275202</v>
      </c>
      <c r="T113">
        <v>20.1363294513821</v>
      </c>
      <c r="U113">
        <v>27.558957952467999</v>
      </c>
      <c r="V113">
        <v>26.2658991910392</v>
      </c>
      <c r="W113">
        <v>25.5079619277837</v>
      </c>
      <c r="X113">
        <v>35.447245582317599</v>
      </c>
    </row>
    <row r="114" spans="1:24">
      <c r="A114">
        <v>301</v>
      </c>
      <c r="B114" t="s">
        <v>324</v>
      </c>
      <c r="C114">
        <v>1</v>
      </c>
      <c r="D114" t="s">
        <v>325</v>
      </c>
      <c r="E114">
        <v>18</v>
      </c>
      <c r="F114">
        <v>18</v>
      </c>
      <c r="G114">
        <v>18</v>
      </c>
      <c r="H114" t="s">
        <v>324</v>
      </c>
      <c r="I114">
        <v>75.8</v>
      </c>
      <c r="J114">
        <v>32.118000000000002</v>
      </c>
      <c r="K114" t="str">
        <f>"PNP"</f>
        <v>PNP</v>
      </c>
      <c r="L114" t="str">
        <f>"PNP"</f>
        <v>PNP</v>
      </c>
      <c r="M114">
        <v>21.7870069539035</v>
      </c>
      <c r="N114">
        <v>24.151546490066199</v>
      </c>
      <c r="O114">
        <v>24.6224716430809</v>
      </c>
      <c r="P114">
        <v>26.6304731861199</v>
      </c>
      <c r="Q114">
        <v>25.1152398661212</v>
      </c>
      <c r="R114">
        <v>29.702674059068102</v>
      </c>
      <c r="S114">
        <v>21.529575838926199</v>
      </c>
      <c r="T114">
        <v>26.058779290023899</v>
      </c>
      <c r="U114">
        <v>33.0707495429616</v>
      </c>
      <c r="V114">
        <v>25.215263223397599</v>
      </c>
      <c r="W114">
        <v>24.232563831394501</v>
      </c>
      <c r="X114">
        <v>30.524017029217902</v>
      </c>
    </row>
    <row r="115" spans="1:24">
      <c r="A115">
        <v>746</v>
      </c>
      <c r="B115" t="s">
        <v>326</v>
      </c>
      <c r="C115">
        <v>8</v>
      </c>
      <c r="D115" t="s">
        <v>327</v>
      </c>
      <c r="E115">
        <v>47</v>
      </c>
      <c r="F115">
        <v>47</v>
      </c>
      <c r="G115">
        <v>43</v>
      </c>
      <c r="H115" t="s">
        <v>328</v>
      </c>
      <c r="I115">
        <v>47</v>
      </c>
      <c r="J115">
        <v>102.48</v>
      </c>
      <c r="K115" t="str">
        <f>"HK1;HK2;HK3;HKDC1"</f>
        <v>HK1;HK2;HK3;HKDC1</v>
      </c>
      <c r="L115" t="str">
        <f>"HK1;HK2;HK3;HKDC1"</f>
        <v>HK1;HK2;HK3;HKDC1</v>
      </c>
      <c r="M115">
        <v>16.945449853036099</v>
      </c>
      <c r="N115">
        <v>26.835051655629101</v>
      </c>
      <c r="O115">
        <v>23.7105282488927</v>
      </c>
      <c r="P115">
        <v>23.434816403785501</v>
      </c>
      <c r="Q115">
        <v>21.347953886203101</v>
      </c>
      <c r="R115">
        <v>26.102349930696199</v>
      </c>
      <c r="S115">
        <v>28.328389261744999</v>
      </c>
      <c r="T115">
        <v>24.8742893222955</v>
      </c>
      <c r="U115">
        <v>30.8660329067642</v>
      </c>
      <c r="V115">
        <v>21.0127193528314</v>
      </c>
      <c r="W115">
        <v>26.783360024172801</v>
      </c>
      <c r="X115">
        <v>30.524017029217902</v>
      </c>
    </row>
    <row r="116" spans="1:24">
      <c r="A116">
        <v>1709</v>
      </c>
      <c r="B116" t="s">
        <v>329</v>
      </c>
      <c r="C116">
        <v>3</v>
      </c>
      <c r="D116" t="s">
        <v>330</v>
      </c>
      <c r="E116">
        <v>43</v>
      </c>
      <c r="F116">
        <v>43</v>
      </c>
      <c r="G116">
        <v>43</v>
      </c>
      <c r="H116" t="s">
        <v>331</v>
      </c>
      <c r="I116">
        <v>43.2</v>
      </c>
      <c r="J116">
        <v>123.28</v>
      </c>
      <c r="K116" t="str">
        <f>"UNC13D"</f>
        <v>UNC13D</v>
      </c>
      <c r="L116" t="str">
        <f>"UNC13D"</f>
        <v>UNC13D</v>
      </c>
      <c r="M116">
        <v>14.5246713026023</v>
      </c>
      <c r="N116">
        <v>24.151546490066199</v>
      </c>
      <c r="O116">
        <v>30.09413200821</v>
      </c>
      <c r="P116">
        <v>24.500035331230301</v>
      </c>
      <c r="Q116">
        <v>21.347953886203101</v>
      </c>
      <c r="R116">
        <v>30.6027550911611</v>
      </c>
      <c r="S116">
        <v>21.529575838926199</v>
      </c>
      <c r="T116">
        <v>24.8742893222955</v>
      </c>
      <c r="U116">
        <v>30.8660329067642</v>
      </c>
      <c r="V116">
        <v>26.2658991910392</v>
      </c>
      <c r="W116">
        <v>24.232563831394501</v>
      </c>
      <c r="X116">
        <v>32.493308450457803</v>
      </c>
    </row>
    <row r="117" spans="1:24">
      <c r="A117">
        <v>415</v>
      </c>
      <c r="B117" t="s">
        <v>332</v>
      </c>
      <c r="C117">
        <v>1</v>
      </c>
      <c r="D117" t="s">
        <v>333</v>
      </c>
      <c r="E117">
        <v>21</v>
      </c>
      <c r="F117">
        <v>21</v>
      </c>
      <c r="G117">
        <v>18</v>
      </c>
      <c r="H117" t="s">
        <v>332</v>
      </c>
      <c r="I117">
        <v>55.1</v>
      </c>
      <c r="J117">
        <v>38.298000000000002</v>
      </c>
      <c r="K117" t="str">
        <f>"APOH"</f>
        <v>APOH</v>
      </c>
      <c r="L117" t="str">
        <f>"APOH"</f>
        <v>APOH</v>
      </c>
      <c r="M117">
        <v>47.2051817334576</v>
      </c>
      <c r="N117">
        <v>20.573539602648999</v>
      </c>
      <c r="O117">
        <v>24.6224716430809</v>
      </c>
      <c r="P117">
        <v>25.5652542586751</v>
      </c>
      <c r="Q117">
        <v>43.951669765712197</v>
      </c>
      <c r="R117">
        <v>23.4021068344173</v>
      </c>
      <c r="S117">
        <v>26.062118120805401</v>
      </c>
      <c r="T117">
        <v>34.350209064122403</v>
      </c>
      <c r="U117">
        <v>12.125941499085901</v>
      </c>
      <c r="V117">
        <v>21.0127193528314</v>
      </c>
      <c r="W117">
        <v>35.711146698897103</v>
      </c>
      <c r="X117">
        <v>16.738977080538898</v>
      </c>
    </row>
    <row r="118" spans="1:24">
      <c r="A118">
        <v>424</v>
      </c>
      <c r="B118" t="s">
        <v>334</v>
      </c>
      <c r="C118">
        <v>1</v>
      </c>
      <c r="D118" t="s">
        <v>335</v>
      </c>
      <c r="E118">
        <v>13</v>
      </c>
      <c r="F118">
        <v>13</v>
      </c>
      <c r="G118">
        <v>13</v>
      </c>
      <c r="H118" t="s">
        <v>334</v>
      </c>
      <c r="I118">
        <v>57</v>
      </c>
      <c r="J118">
        <v>13.894</v>
      </c>
      <c r="K118" t="str">
        <f>"PPBP"</f>
        <v>PPBP</v>
      </c>
      <c r="L118" t="str">
        <f>"PPBP"</f>
        <v>PPBP</v>
      </c>
      <c r="M118">
        <v>12.1038927521686</v>
      </c>
      <c r="N118">
        <v>15.2065292715232</v>
      </c>
      <c r="O118">
        <v>20.062754672139999</v>
      </c>
      <c r="P118">
        <v>28.7609110410095</v>
      </c>
      <c r="Q118">
        <v>27.626763852733401</v>
      </c>
      <c r="R118">
        <v>38.703484379997903</v>
      </c>
      <c r="S118">
        <v>20.396440268456399</v>
      </c>
      <c r="T118">
        <v>33.165719096394</v>
      </c>
      <c r="U118">
        <v>42.991974405850101</v>
      </c>
      <c r="V118">
        <v>35.721622899813298</v>
      </c>
      <c r="W118">
        <v>8.9277866747242793</v>
      </c>
      <c r="X118">
        <v>6.8925199743395398</v>
      </c>
    </row>
    <row r="119" spans="1:24">
      <c r="A119">
        <v>188</v>
      </c>
      <c r="B119" t="s">
        <v>336</v>
      </c>
      <c r="C119">
        <v>5</v>
      </c>
      <c r="D119" t="s">
        <v>337</v>
      </c>
      <c r="E119">
        <v>46</v>
      </c>
      <c r="F119">
        <v>46</v>
      </c>
      <c r="G119">
        <v>46</v>
      </c>
      <c r="H119" t="s">
        <v>338</v>
      </c>
      <c r="I119">
        <v>39.700000000000003</v>
      </c>
      <c r="J119">
        <v>138.91</v>
      </c>
      <c r="K119" t="str">
        <f>"DIAPH1;MYO18B"</f>
        <v>DIAPH1;MYO18B</v>
      </c>
      <c r="L119" t="str">
        <f>"DIAPH1;MYO18B"</f>
        <v>DIAPH1;MYO18B</v>
      </c>
      <c r="M119">
        <v>10.8935034769518</v>
      </c>
      <c r="N119">
        <v>43.830584370860898</v>
      </c>
      <c r="O119">
        <v>34.653848979150901</v>
      </c>
      <c r="P119">
        <v>12.7826271293375</v>
      </c>
      <c r="Q119">
        <v>6.2788099665303099</v>
      </c>
      <c r="R119">
        <v>29.702674059068102</v>
      </c>
      <c r="S119">
        <v>27.195253691275202</v>
      </c>
      <c r="T119">
        <v>14.2138796127403</v>
      </c>
      <c r="U119">
        <v>12.125941499085901</v>
      </c>
      <c r="V119">
        <v>28.367171126322301</v>
      </c>
      <c r="W119">
        <v>22.957165735005301</v>
      </c>
      <c r="X119">
        <v>24.616142765498299</v>
      </c>
    </row>
    <row r="120" spans="1:24">
      <c r="A120">
        <v>1215</v>
      </c>
      <c r="B120" t="s">
        <v>339</v>
      </c>
      <c r="C120">
        <v>3</v>
      </c>
      <c r="D120" t="s">
        <v>340</v>
      </c>
      <c r="E120">
        <v>19</v>
      </c>
      <c r="F120">
        <v>19</v>
      </c>
      <c r="G120">
        <v>19</v>
      </c>
      <c r="H120" t="s">
        <v>341</v>
      </c>
      <c r="I120">
        <v>76.7</v>
      </c>
      <c r="J120">
        <v>26.669</v>
      </c>
      <c r="K120" t="str">
        <f>"TPI1"</f>
        <v>TPI1</v>
      </c>
      <c r="L120" t="str">
        <f>"TPI1"</f>
        <v>TPI1</v>
      </c>
      <c r="M120">
        <v>24.207785504337199</v>
      </c>
      <c r="N120">
        <v>21.4680413245033</v>
      </c>
      <c r="O120">
        <v>27.358301825645501</v>
      </c>
      <c r="P120">
        <v>26.6304731861199</v>
      </c>
      <c r="Q120">
        <v>23.859477872815201</v>
      </c>
      <c r="R120">
        <v>22.502025802324301</v>
      </c>
      <c r="S120">
        <v>29.461524832214799</v>
      </c>
      <c r="T120">
        <v>26.058779290023899</v>
      </c>
      <c r="U120">
        <v>29.763674588665499</v>
      </c>
      <c r="V120">
        <v>28.367171126322301</v>
      </c>
      <c r="W120">
        <v>29.3341562169512</v>
      </c>
      <c r="X120">
        <v>28.554725607978099</v>
      </c>
    </row>
    <row r="121" spans="1:24">
      <c r="A121">
        <v>1058</v>
      </c>
      <c r="B121" t="s">
        <v>342</v>
      </c>
      <c r="C121">
        <v>2</v>
      </c>
      <c r="D121" t="s">
        <v>343</v>
      </c>
      <c r="E121">
        <v>25</v>
      </c>
      <c r="F121">
        <v>25</v>
      </c>
      <c r="G121">
        <v>25</v>
      </c>
      <c r="H121" t="s">
        <v>344</v>
      </c>
      <c r="I121">
        <v>78.7</v>
      </c>
      <c r="J121">
        <v>30.628</v>
      </c>
      <c r="K121" t="str">
        <f>"CAPZB"</f>
        <v>CAPZB</v>
      </c>
      <c r="L121" t="str">
        <f>"CAPZB"</f>
        <v>CAPZB</v>
      </c>
      <c r="M121">
        <v>18.1558391282529</v>
      </c>
      <c r="N121">
        <v>28.624055099337699</v>
      </c>
      <c r="O121">
        <v>31.006075402398199</v>
      </c>
      <c r="P121">
        <v>28.7609110410095</v>
      </c>
      <c r="Q121">
        <v>17.580667906284901</v>
      </c>
      <c r="R121">
        <v>26.102349930696199</v>
      </c>
      <c r="S121">
        <v>18.130169127516801</v>
      </c>
      <c r="T121">
        <v>24.8742893222955</v>
      </c>
      <c r="U121">
        <v>24.251882998171801</v>
      </c>
      <c r="V121">
        <v>29.417807093963901</v>
      </c>
      <c r="W121">
        <v>22.957165735005301</v>
      </c>
      <c r="X121">
        <v>27.570079897358099</v>
      </c>
    </row>
    <row r="122" spans="1:24">
      <c r="A122">
        <v>480</v>
      </c>
      <c r="B122" t="s">
        <v>345</v>
      </c>
      <c r="C122">
        <v>4</v>
      </c>
      <c r="D122" t="s">
        <v>346</v>
      </c>
      <c r="E122">
        <v>25</v>
      </c>
      <c r="F122">
        <v>25</v>
      </c>
      <c r="G122">
        <v>25</v>
      </c>
      <c r="H122" t="s">
        <v>347</v>
      </c>
      <c r="I122">
        <v>45.8</v>
      </c>
      <c r="J122">
        <v>49.756999999999998</v>
      </c>
      <c r="K122" t="str">
        <f>"SERPING1"</f>
        <v>SERPING1</v>
      </c>
      <c r="L122" t="str">
        <f>"SERPING1"</f>
        <v>SERPING1</v>
      </c>
      <c r="M122">
        <v>15.735060577819199</v>
      </c>
      <c r="N122">
        <v>16.9955327152318</v>
      </c>
      <c r="O122">
        <v>10.943320730258201</v>
      </c>
      <c r="P122">
        <v>47.934851735015798</v>
      </c>
      <c r="Q122">
        <v>74.089957605057606</v>
      </c>
      <c r="R122">
        <v>32.402917155347097</v>
      </c>
      <c r="S122">
        <v>48.724829530201298</v>
      </c>
      <c r="T122">
        <v>69.884908095973103</v>
      </c>
      <c r="U122">
        <v>51.8108409506399</v>
      </c>
      <c r="V122">
        <v>42.025438705662701</v>
      </c>
      <c r="W122">
        <v>5.1015923855567298</v>
      </c>
      <c r="X122">
        <v>12.8003942380591</v>
      </c>
    </row>
    <row r="123" spans="1:24">
      <c r="A123">
        <v>606</v>
      </c>
      <c r="B123" t="s">
        <v>348</v>
      </c>
      <c r="C123">
        <v>3</v>
      </c>
      <c r="D123" t="s">
        <v>349</v>
      </c>
      <c r="E123">
        <v>37</v>
      </c>
      <c r="F123">
        <v>32</v>
      </c>
      <c r="G123">
        <v>20</v>
      </c>
      <c r="H123" t="s">
        <v>350</v>
      </c>
      <c r="I123">
        <v>56.9</v>
      </c>
      <c r="J123">
        <v>70.051000000000002</v>
      </c>
      <c r="K123" t="str">
        <f>"HSPA1B;HSPA1A"</f>
        <v>HSPA1B;HSPA1A</v>
      </c>
      <c r="L123" t="str">
        <f>"HSPA1B;HSPA1A"</f>
        <v>HSPA1B;HSPA1A</v>
      </c>
      <c r="M123">
        <v>18.1558391282529</v>
      </c>
      <c r="N123">
        <v>22.362543046357601</v>
      </c>
      <c r="O123">
        <v>22.7985848547046</v>
      </c>
      <c r="P123">
        <v>24.500035331230301</v>
      </c>
      <c r="Q123">
        <v>23.859477872815201</v>
      </c>
      <c r="R123">
        <v>32.402917155347097</v>
      </c>
      <c r="S123">
        <v>22.662711409396</v>
      </c>
      <c r="T123">
        <v>20.1363294513821</v>
      </c>
      <c r="U123">
        <v>19.842449725777001</v>
      </c>
      <c r="V123">
        <v>23.113991288114502</v>
      </c>
      <c r="W123">
        <v>17.855573349448601</v>
      </c>
      <c r="X123">
        <v>30.524017029217902</v>
      </c>
    </row>
    <row r="124" spans="1:24">
      <c r="A124">
        <v>800</v>
      </c>
      <c r="B124" t="s">
        <v>351</v>
      </c>
      <c r="C124">
        <v>8</v>
      </c>
      <c r="D124" t="s">
        <v>352</v>
      </c>
      <c r="E124">
        <v>42</v>
      </c>
      <c r="F124">
        <v>42</v>
      </c>
      <c r="G124">
        <v>42</v>
      </c>
      <c r="H124" t="s">
        <v>353</v>
      </c>
      <c r="I124">
        <v>44.4</v>
      </c>
      <c r="J124">
        <v>119.09</v>
      </c>
      <c r="K124" t="str">
        <f>"ITGA6"</f>
        <v>ITGA6</v>
      </c>
      <c r="L124" t="str">
        <f>"ITGA6"</f>
        <v>ITGA6</v>
      </c>
      <c r="M124">
        <v>21.7870069539035</v>
      </c>
      <c r="N124">
        <v>29.518556821192099</v>
      </c>
      <c r="O124">
        <v>24.6224716430809</v>
      </c>
      <c r="P124">
        <v>24.500035331230301</v>
      </c>
      <c r="Q124">
        <v>17.580667906284901</v>
      </c>
      <c r="R124">
        <v>27.9025119948822</v>
      </c>
      <c r="S124">
        <v>20.396440268456399</v>
      </c>
      <c r="T124">
        <v>23.6897993545671</v>
      </c>
      <c r="U124">
        <v>23.1495246800731</v>
      </c>
      <c r="V124">
        <v>23.113991288114502</v>
      </c>
      <c r="W124">
        <v>19.130971445837702</v>
      </c>
      <c r="X124">
        <v>30.524017029217902</v>
      </c>
    </row>
    <row r="125" spans="1:24">
      <c r="A125">
        <v>529</v>
      </c>
      <c r="B125" t="s">
        <v>354</v>
      </c>
      <c r="C125">
        <v>1</v>
      </c>
      <c r="D125" t="s">
        <v>355</v>
      </c>
      <c r="E125">
        <v>20</v>
      </c>
      <c r="F125">
        <v>20</v>
      </c>
      <c r="G125">
        <v>20</v>
      </c>
      <c r="H125" t="s">
        <v>354</v>
      </c>
      <c r="I125">
        <v>27.8</v>
      </c>
      <c r="J125">
        <v>71.539000000000001</v>
      </c>
      <c r="K125" t="str">
        <f>"GP1BA"</f>
        <v>GP1BA</v>
      </c>
      <c r="L125" t="str">
        <f>"GP1BA"</f>
        <v>GP1BA</v>
      </c>
      <c r="M125">
        <v>29.0493426052047</v>
      </c>
      <c r="N125">
        <v>19.679037880794699</v>
      </c>
      <c r="O125">
        <v>18.2388678837636</v>
      </c>
      <c r="P125">
        <v>30.8913488958991</v>
      </c>
      <c r="Q125">
        <v>28.8825258460394</v>
      </c>
      <c r="R125">
        <v>27.002430962789202</v>
      </c>
      <c r="S125">
        <v>28.328389261744999</v>
      </c>
      <c r="T125">
        <v>27.2432692577522</v>
      </c>
      <c r="U125">
        <v>31.968391224862899</v>
      </c>
      <c r="V125">
        <v>33.620350964530203</v>
      </c>
      <c r="W125">
        <v>14.029379060281</v>
      </c>
      <c r="X125">
        <v>21.6622056336385</v>
      </c>
    </row>
    <row r="126" spans="1:24">
      <c r="A126">
        <v>384</v>
      </c>
      <c r="B126" t="s">
        <v>356</v>
      </c>
      <c r="C126">
        <v>1</v>
      </c>
      <c r="D126" t="s">
        <v>357</v>
      </c>
      <c r="E126">
        <v>28</v>
      </c>
      <c r="F126">
        <v>9</v>
      </c>
      <c r="G126">
        <v>9</v>
      </c>
      <c r="H126" t="s">
        <v>356</v>
      </c>
      <c r="I126">
        <v>61.8</v>
      </c>
      <c r="J126">
        <v>41.286999999999999</v>
      </c>
      <c r="K126" t="str">
        <f>"IGHG3"</f>
        <v>IGHG3</v>
      </c>
      <c r="L126" t="str">
        <f>"IGHG3"</f>
        <v>IGHG3</v>
      </c>
      <c r="M126">
        <v>25.4181747795541</v>
      </c>
      <c r="N126">
        <v>17.890034437086101</v>
      </c>
      <c r="O126">
        <v>26.446358431457298</v>
      </c>
      <c r="P126">
        <v>27.6956921135647</v>
      </c>
      <c r="Q126">
        <v>42.695907772406102</v>
      </c>
      <c r="R126">
        <v>23.4021068344173</v>
      </c>
      <c r="S126">
        <v>13.597626845637601</v>
      </c>
      <c r="T126">
        <v>37.9036789673074</v>
      </c>
      <c r="U126">
        <v>15.4330164533821</v>
      </c>
      <c r="V126">
        <v>22.063355320472901</v>
      </c>
      <c r="W126">
        <v>17.855573349448601</v>
      </c>
      <c r="X126">
        <v>24.616142765498299</v>
      </c>
    </row>
    <row r="127" spans="1:24">
      <c r="A127">
        <v>1152</v>
      </c>
      <c r="B127" t="s">
        <v>358</v>
      </c>
      <c r="C127">
        <v>1</v>
      </c>
      <c r="D127" t="s">
        <v>359</v>
      </c>
      <c r="E127">
        <v>18</v>
      </c>
      <c r="F127">
        <v>18</v>
      </c>
      <c r="G127">
        <v>18</v>
      </c>
      <c r="H127" t="s">
        <v>358</v>
      </c>
      <c r="I127">
        <v>80.099999999999994</v>
      </c>
      <c r="J127">
        <v>22.988</v>
      </c>
      <c r="K127" t="str">
        <f>"ARHGDIB"</f>
        <v>ARHGDIB</v>
      </c>
      <c r="L127" t="str">
        <f>"ARHGDIB"</f>
        <v>ARHGDIB</v>
      </c>
      <c r="M127">
        <v>25.4181747795541</v>
      </c>
      <c r="N127">
        <v>24.151546490066199</v>
      </c>
      <c r="O127">
        <v>21.886641460516401</v>
      </c>
      <c r="P127">
        <v>27.6956921135647</v>
      </c>
      <c r="Q127">
        <v>22.6037158795091</v>
      </c>
      <c r="R127">
        <v>25.2022688986033</v>
      </c>
      <c r="S127">
        <v>20.396440268456399</v>
      </c>
      <c r="T127">
        <v>20.1363294513821</v>
      </c>
      <c r="U127">
        <v>27.558957952467999</v>
      </c>
      <c r="V127">
        <v>23.113991288114502</v>
      </c>
      <c r="W127">
        <v>28.058758120562</v>
      </c>
      <c r="X127">
        <v>24.616142765498299</v>
      </c>
    </row>
    <row r="128" spans="1:24">
      <c r="A128">
        <v>852</v>
      </c>
      <c r="B128" t="s">
        <v>360</v>
      </c>
      <c r="C128">
        <v>3</v>
      </c>
      <c r="D128" t="s">
        <v>361</v>
      </c>
      <c r="E128">
        <v>34</v>
      </c>
      <c r="F128">
        <v>34</v>
      </c>
      <c r="G128">
        <v>33</v>
      </c>
      <c r="H128" t="s">
        <v>362</v>
      </c>
      <c r="I128">
        <v>43.6</v>
      </c>
      <c r="J128">
        <v>67.566999999999993</v>
      </c>
      <c r="K128" t="str">
        <f>"CANX"</f>
        <v>CANX</v>
      </c>
      <c r="L128" t="str">
        <f>"CANX"</f>
        <v>CANX</v>
      </c>
      <c r="M128">
        <v>25.4181747795541</v>
      </c>
      <c r="N128">
        <v>30.4130585430464</v>
      </c>
      <c r="O128">
        <v>20.974698066328202</v>
      </c>
      <c r="P128">
        <v>20.239159621451101</v>
      </c>
      <c r="Q128">
        <v>17.580667906284901</v>
      </c>
      <c r="R128">
        <v>27.002430962789202</v>
      </c>
      <c r="S128">
        <v>32.860931543624197</v>
      </c>
      <c r="T128">
        <v>23.6897993545671</v>
      </c>
      <c r="U128">
        <v>23.1495246800731</v>
      </c>
      <c r="V128">
        <v>24.164627255756098</v>
      </c>
      <c r="W128">
        <v>22.957165735005301</v>
      </c>
      <c r="X128">
        <v>21.6622056336385</v>
      </c>
    </row>
    <row r="129" spans="1:24">
      <c r="A129">
        <v>1494</v>
      </c>
      <c r="B129" t="s">
        <v>363</v>
      </c>
      <c r="C129">
        <v>3</v>
      </c>
      <c r="D129" t="s">
        <v>364</v>
      </c>
      <c r="E129">
        <v>40</v>
      </c>
      <c r="F129">
        <v>40</v>
      </c>
      <c r="G129">
        <v>40</v>
      </c>
      <c r="H129" t="s">
        <v>365</v>
      </c>
      <c r="I129">
        <v>60.8</v>
      </c>
      <c r="J129">
        <v>57.466000000000001</v>
      </c>
      <c r="K129" t="str">
        <f>"CTTN"</f>
        <v>CTTN</v>
      </c>
      <c r="L129" t="str">
        <f>"CTTN"</f>
        <v>CTTN</v>
      </c>
      <c r="M129">
        <v>21.7870069539035</v>
      </c>
      <c r="N129">
        <v>28.624055099337699</v>
      </c>
      <c r="O129">
        <v>26.446358431457298</v>
      </c>
      <c r="P129">
        <v>25.5652542586751</v>
      </c>
      <c r="Q129">
        <v>18.8364298995909</v>
      </c>
      <c r="R129">
        <v>25.2022688986033</v>
      </c>
      <c r="S129">
        <v>24.928982550335601</v>
      </c>
      <c r="T129">
        <v>23.6897993545671</v>
      </c>
      <c r="U129">
        <v>25.354241316270599</v>
      </c>
      <c r="V129">
        <v>23.113991288114502</v>
      </c>
      <c r="W129">
        <v>19.130971445837702</v>
      </c>
      <c r="X129">
        <v>24.616142765498299</v>
      </c>
    </row>
    <row r="130" spans="1:24">
      <c r="A130">
        <v>803</v>
      </c>
      <c r="B130" t="s">
        <v>366</v>
      </c>
      <c r="C130">
        <v>1</v>
      </c>
      <c r="D130" t="s">
        <v>367</v>
      </c>
      <c r="E130">
        <v>16</v>
      </c>
      <c r="F130">
        <v>16</v>
      </c>
      <c r="G130">
        <v>16</v>
      </c>
      <c r="H130" t="s">
        <v>366</v>
      </c>
      <c r="I130">
        <v>61.6</v>
      </c>
      <c r="J130">
        <v>23.742000000000001</v>
      </c>
      <c r="K130" t="str">
        <f>"PPIB"</f>
        <v>PPIB</v>
      </c>
      <c r="L130" t="str">
        <f>"PPIB"</f>
        <v>PPIB</v>
      </c>
      <c r="M130">
        <v>29.0493426052047</v>
      </c>
      <c r="N130">
        <v>22.362543046357601</v>
      </c>
      <c r="O130">
        <v>21.886641460516401</v>
      </c>
      <c r="P130">
        <v>23.434816403785501</v>
      </c>
      <c r="Q130">
        <v>13.8133819263667</v>
      </c>
      <c r="R130">
        <v>22.502025802324301</v>
      </c>
      <c r="S130">
        <v>23.7958469798658</v>
      </c>
      <c r="T130">
        <v>22.5053093868388</v>
      </c>
      <c r="U130">
        <v>30.8660329067642</v>
      </c>
      <c r="V130">
        <v>24.164627255756098</v>
      </c>
      <c r="W130">
        <v>26.783360024172801</v>
      </c>
      <c r="X130">
        <v>30.524017029217902</v>
      </c>
    </row>
    <row r="131" spans="1:24">
      <c r="A131">
        <v>916</v>
      </c>
      <c r="B131" t="s">
        <v>368</v>
      </c>
      <c r="C131">
        <v>3</v>
      </c>
      <c r="D131" t="s">
        <v>369</v>
      </c>
      <c r="E131">
        <v>24</v>
      </c>
      <c r="F131">
        <v>24</v>
      </c>
      <c r="G131">
        <v>23</v>
      </c>
      <c r="H131" t="s">
        <v>370</v>
      </c>
      <c r="I131">
        <v>58.3</v>
      </c>
      <c r="J131">
        <v>42.741</v>
      </c>
      <c r="K131" t="str">
        <f>"SERPINB1;SERPINI2"</f>
        <v>SERPINB1;SERPINI2</v>
      </c>
      <c r="L131" t="str">
        <f>"SERPINB1;SERPINI2"</f>
        <v>SERPINB1;SERPINI2</v>
      </c>
      <c r="M131">
        <v>16.945449853036099</v>
      </c>
      <c r="N131">
        <v>21.4680413245033</v>
      </c>
      <c r="O131">
        <v>20.062754672139999</v>
      </c>
      <c r="P131">
        <v>25.5652542586751</v>
      </c>
      <c r="Q131">
        <v>13.8133819263667</v>
      </c>
      <c r="R131">
        <v>23.4021068344173</v>
      </c>
      <c r="S131">
        <v>22.662711409396</v>
      </c>
      <c r="T131">
        <v>23.6897993545671</v>
      </c>
      <c r="U131">
        <v>26.456599634369301</v>
      </c>
      <c r="V131">
        <v>27.3165351586808</v>
      </c>
      <c r="W131">
        <v>21.681767638616101</v>
      </c>
      <c r="X131">
        <v>29.539371318598</v>
      </c>
    </row>
    <row r="132" spans="1:24">
      <c r="A132">
        <v>399</v>
      </c>
      <c r="B132" t="s">
        <v>371</v>
      </c>
      <c r="C132">
        <v>2</v>
      </c>
      <c r="D132" t="s">
        <v>372</v>
      </c>
      <c r="E132">
        <v>27</v>
      </c>
      <c r="F132">
        <v>27</v>
      </c>
      <c r="G132">
        <v>27</v>
      </c>
      <c r="H132" t="s">
        <v>373</v>
      </c>
      <c r="I132">
        <v>71</v>
      </c>
      <c r="J132">
        <v>36.154000000000003</v>
      </c>
      <c r="K132" t="str">
        <f>"APOE"</f>
        <v>APOE</v>
      </c>
      <c r="L132" t="str">
        <f>"APOE"</f>
        <v>APOE</v>
      </c>
      <c r="M132">
        <v>27.838953329987799</v>
      </c>
      <c r="N132">
        <v>26.835051655629101</v>
      </c>
      <c r="O132">
        <v>34.653848979150901</v>
      </c>
      <c r="P132">
        <v>22.369597476340701</v>
      </c>
      <c r="Q132">
        <v>18.8364298995909</v>
      </c>
      <c r="R132">
        <v>13.501215481394601</v>
      </c>
      <c r="S132">
        <v>52.124236241610703</v>
      </c>
      <c r="T132">
        <v>20.1363294513821</v>
      </c>
      <c r="U132">
        <v>33.0707495429616</v>
      </c>
      <c r="V132">
        <v>21.0127193528314</v>
      </c>
      <c r="W132">
        <v>25.5079619277837</v>
      </c>
      <c r="X132">
        <v>14.769685659299</v>
      </c>
    </row>
    <row r="133" spans="1:24">
      <c r="A133">
        <v>421</v>
      </c>
      <c r="B133" t="s">
        <v>374</v>
      </c>
      <c r="C133">
        <v>1</v>
      </c>
      <c r="D133" t="s">
        <v>375</v>
      </c>
      <c r="E133">
        <v>10</v>
      </c>
      <c r="F133">
        <v>10</v>
      </c>
      <c r="G133">
        <v>8</v>
      </c>
      <c r="H133" t="s">
        <v>374</v>
      </c>
      <c r="I133">
        <v>27.8</v>
      </c>
      <c r="J133">
        <v>39.323999999999998</v>
      </c>
      <c r="K133" t="str">
        <f>"AHSG"</f>
        <v>AHSG</v>
      </c>
      <c r="L133" t="str">
        <f>"AHSG"</f>
        <v>AHSG</v>
      </c>
      <c r="M133">
        <v>29.0493426052047</v>
      </c>
      <c r="N133">
        <v>18.784536158940401</v>
      </c>
      <c r="O133">
        <v>18.2388678837636</v>
      </c>
      <c r="P133">
        <v>34.087005678233403</v>
      </c>
      <c r="Q133">
        <v>43.951669765712197</v>
      </c>
      <c r="R133">
        <v>15.3013775455806</v>
      </c>
      <c r="S133">
        <v>16.997033557047001</v>
      </c>
      <c r="T133">
        <v>35.5346990318507</v>
      </c>
      <c r="U133">
        <v>26.456599634369301</v>
      </c>
      <c r="V133">
        <v>27.3165351586808</v>
      </c>
      <c r="W133">
        <v>29.3341562169512</v>
      </c>
      <c r="X133">
        <v>21.6622056336385</v>
      </c>
    </row>
    <row r="134" spans="1:24">
      <c r="A134">
        <v>292</v>
      </c>
      <c r="B134" t="s">
        <v>376</v>
      </c>
      <c r="C134">
        <v>6</v>
      </c>
      <c r="D134" t="s">
        <v>377</v>
      </c>
      <c r="E134">
        <v>20</v>
      </c>
      <c r="F134">
        <v>20</v>
      </c>
      <c r="G134">
        <v>19</v>
      </c>
      <c r="H134" t="s">
        <v>378</v>
      </c>
      <c r="I134">
        <v>61.7</v>
      </c>
      <c r="J134">
        <v>36.688000000000002</v>
      </c>
      <c r="K134" t="str">
        <f>"LDHA;LDHAL6A"</f>
        <v>LDHA;LDHAL6A</v>
      </c>
      <c r="L134" t="str">
        <f>"LDHA;LDHAL6A"</f>
        <v>LDHA;LDHAL6A</v>
      </c>
      <c r="M134">
        <v>22.997396229120401</v>
      </c>
      <c r="N134">
        <v>18.784536158940401</v>
      </c>
      <c r="O134">
        <v>18.2388678837636</v>
      </c>
      <c r="P134">
        <v>19.173940694006301</v>
      </c>
      <c r="Q134">
        <v>23.859477872815201</v>
      </c>
      <c r="R134">
        <v>23.4021068344173</v>
      </c>
      <c r="S134">
        <v>24.928982550335601</v>
      </c>
      <c r="T134">
        <v>21.3208194191104</v>
      </c>
      <c r="U134">
        <v>26.456599634369301</v>
      </c>
      <c r="V134">
        <v>21.0127193528314</v>
      </c>
      <c r="W134">
        <v>24.232563831394501</v>
      </c>
      <c r="X134">
        <v>21.6622056336385</v>
      </c>
    </row>
    <row r="135" spans="1:24">
      <c r="A135">
        <v>639</v>
      </c>
      <c r="B135" t="s">
        <v>379</v>
      </c>
      <c r="C135">
        <v>3</v>
      </c>
      <c r="D135" t="s">
        <v>380</v>
      </c>
      <c r="E135">
        <v>35</v>
      </c>
      <c r="F135">
        <v>35</v>
      </c>
      <c r="G135">
        <v>35</v>
      </c>
      <c r="H135" t="s">
        <v>381</v>
      </c>
      <c r="I135">
        <v>65.8</v>
      </c>
      <c r="J135">
        <v>59.256</v>
      </c>
      <c r="K135" t="str">
        <f>"G6PD"</f>
        <v>G6PD</v>
      </c>
      <c r="L135" t="str">
        <f>"G6PD"</f>
        <v>G6PD</v>
      </c>
      <c r="M135">
        <v>16.945449853036099</v>
      </c>
      <c r="N135">
        <v>22.362543046357601</v>
      </c>
      <c r="O135">
        <v>26.446358431457298</v>
      </c>
      <c r="P135">
        <v>22.369597476340701</v>
      </c>
      <c r="Q135">
        <v>16.324905912978799</v>
      </c>
      <c r="R135">
        <v>22.502025802324301</v>
      </c>
      <c r="S135">
        <v>28.328389261744999</v>
      </c>
      <c r="T135">
        <v>23.6897993545671</v>
      </c>
      <c r="U135">
        <v>27.558957952467999</v>
      </c>
      <c r="V135">
        <v>24.164627255756098</v>
      </c>
      <c r="W135">
        <v>26.783360024172801</v>
      </c>
      <c r="X135">
        <v>22.646851344258501</v>
      </c>
    </row>
    <row r="136" spans="1:24">
      <c r="A136">
        <v>65</v>
      </c>
      <c r="B136" t="s">
        <v>382</v>
      </c>
      <c r="C136">
        <v>1</v>
      </c>
      <c r="D136" t="s">
        <v>383</v>
      </c>
      <c r="E136">
        <v>19</v>
      </c>
      <c r="F136">
        <v>19</v>
      </c>
      <c r="G136">
        <v>19</v>
      </c>
      <c r="H136" t="s">
        <v>382</v>
      </c>
      <c r="I136">
        <v>84.2</v>
      </c>
      <c r="J136">
        <v>26.922000000000001</v>
      </c>
      <c r="K136" t="str">
        <f>"CLIC1"</f>
        <v>CLIC1</v>
      </c>
      <c r="L136" t="str">
        <f>"CLIC1"</f>
        <v>CLIC1</v>
      </c>
      <c r="M136">
        <v>22.997396229120401</v>
      </c>
      <c r="N136">
        <v>23.257044768211902</v>
      </c>
      <c r="O136">
        <v>23.7105282488927</v>
      </c>
      <c r="P136">
        <v>22.369597476340701</v>
      </c>
      <c r="Q136">
        <v>16.324905912978799</v>
      </c>
      <c r="R136">
        <v>20.7018637381384</v>
      </c>
      <c r="S136">
        <v>23.7958469798658</v>
      </c>
      <c r="T136">
        <v>18.9518394836537</v>
      </c>
      <c r="U136">
        <v>28.661316270566701</v>
      </c>
      <c r="V136">
        <v>19.9620833851898</v>
      </c>
      <c r="W136">
        <v>25.5079619277837</v>
      </c>
      <c r="X136">
        <v>21.6622056336385</v>
      </c>
    </row>
    <row r="137" spans="1:24">
      <c r="A137">
        <v>103</v>
      </c>
      <c r="B137" t="s">
        <v>384</v>
      </c>
      <c r="C137">
        <v>2</v>
      </c>
      <c r="D137" t="s">
        <v>385</v>
      </c>
      <c r="E137">
        <v>12</v>
      </c>
      <c r="F137">
        <v>12</v>
      </c>
      <c r="G137">
        <v>5</v>
      </c>
      <c r="H137" t="s">
        <v>386</v>
      </c>
      <c r="I137">
        <v>66.7</v>
      </c>
      <c r="J137">
        <v>19.794</v>
      </c>
      <c r="K137" t="str">
        <f>"MYL12A;MYL12B"</f>
        <v>MYL12A;MYL12B</v>
      </c>
      <c r="L137" t="str">
        <f>"MYL12A;MYL12B"</f>
        <v>MYL12A;MYL12B</v>
      </c>
      <c r="M137">
        <v>18.1558391282529</v>
      </c>
      <c r="N137">
        <v>14.312027549668899</v>
      </c>
      <c r="O137">
        <v>17.3269244895755</v>
      </c>
      <c r="P137">
        <v>24.500035331230301</v>
      </c>
      <c r="Q137">
        <v>22.6037158795091</v>
      </c>
      <c r="R137">
        <v>24.302187866510302</v>
      </c>
      <c r="S137">
        <v>22.662711409396</v>
      </c>
      <c r="T137">
        <v>29.6122491932089</v>
      </c>
      <c r="U137">
        <v>34.173107861060302</v>
      </c>
      <c r="V137">
        <v>27.3165351586808</v>
      </c>
      <c r="W137">
        <v>30.6095543133404</v>
      </c>
      <c r="X137">
        <v>20.677559923018599</v>
      </c>
    </row>
    <row r="138" spans="1:24">
      <c r="A138">
        <v>817</v>
      </c>
      <c r="B138" t="s">
        <v>387</v>
      </c>
      <c r="C138">
        <v>4</v>
      </c>
      <c r="D138" t="s">
        <v>388</v>
      </c>
      <c r="E138">
        <v>32</v>
      </c>
      <c r="F138">
        <v>32</v>
      </c>
      <c r="G138">
        <v>32</v>
      </c>
      <c r="H138" t="s">
        <v>389</v>
      </c>
      <c r="I138">
        <v>61.4</v>
      </c>
      <c r="J138">
        <v>60.518000000000001</v>
      </c>
      <c r="K138" t="str">
        <f>"TBXAS1"</f>
        <v>TBXAS1</v>
      </c>
      <c r="L138" t="str">
        <f>"TBXAS1"</f>
        <v>TBXAS1</v>
      </c>
      <c r="M138">
        <v>18.1558391282529</v>
      </c>
      <c r="N138">
        <v>21.4680413245033</v>
      </c>
      <c r="O138">
        <v>21.886641460516401</v>
      </c>
      <c r="P138">
        <v>22.369597476340701</v>
      </c>
      <c r="Q138">
        <v>10.046095946448499</v>
      </c>
      <c r="R138">
        <v>21.601944770231398</v>
      </c>
      <c r="S138">
        <v>21.529575838926199</v>
      </c>
      <c r="T138">
        <v>23.6897993545671</v>
      </c>
      <c r="U138">
        <v>19.842449725777001</v>
      </c>
      <c r="V138">
        <v>23.113991288114502</v>
      </c>
      <c r="W138">
        <v>25.5079619277837</v>
      </c>
      <c r="X138">
        <v>24.616142765498299</v>
      </c>
    </row>
    <row r="139" spans="1:24">
      <c r="A139">
        <v>1040</v>
      </c>
      <c r="B139" t="s">
        <v>390</v>
      </c>
      <c r="C139">
        <v>2</v>
      </c>
      <c r="D139" t="s">
        <v>391</v>
      </c>
      <c r="E139">
        <v>37</v>
      </c>
      <c r="F139">
        <v>37</v>
      </c>
      <c r="G139">
        <v>37</v>
      </c>
      <c r="H139" t="s">
        <v>392</v>
      </c>
      <c r="I139">
        <v>57.8</v>
      </c>
      <c r="J139">
        <v>69.067999999999998</v>
      </c>
      <c r="K139" t="str">
        <f>"AFM"</f>
        <v>AFM</v>
      </c>
      <c r="L139" t="str">
        <f>"AFM"</f>
        <v>AFM</v>
      </c>
      <c r="M139">
        <v>35.101288981289002</v>
      </c>
      <c r="N139">
        <v>23.257044768211902</v>
      </c>
      <c r="O139">
        <v>24.6224716430809</v>
      </c>
      <c r="P139">
        <v>20.239159621451101</v>
      </c>
      <c r="Q139">
        <v>23.859477872815201</v>
      </c>
      <c r="R139">
        <v>15.3013775455806</v>
      </c>
      <c r="S139">
        <v>21.529575838926199</v>
      </c>
      <c r="T139">
        <v>28.4277592254806</v>
      </c>
      <c r="U139">
        <v>8.8188665447897598</v>
      </c>
      <c r="V139">
        <v>18.911447417548199</v>
      </c>
      <c r="W139">
        <v>30.6095543133404</v>
      </c>
      <c r="X139">
        <v>14.769685659299</v>
      </c>
    </row>
    <row r="140" spans="1:24">
      <c r="A140">
        <v>118</v>
      </c>
      <c r="B140" t="s">
        <v>393</v>
      </c>
      <c r="C140">
        <v>1</v>
      </c>
      <c r="D140" t="s">
        <v>394</v>
      </c>
      <c r="E140">
        <v>23</v>
      </c>
      <c r="F140">
        <v>23</v>
      </c>
      <c r="G140">
        <v>22</v>
      </c>
      <c r="H140" t="s">
        <v>393</v>
      </c>
      <c r="I140">
        <v>61.8</v>
      </c>
      <c r="J140">
        <v>40.948999999999998</v>
      </c>
      <c r="K140" t="str">
        <f>"ARPC1B"</f>
        <v>ARPC1B</v>
      </c>
      <c r="L140" t="str">
        <f>"ARPC1B"</f>
        <v>ARPC1B</v>
      </c>
      <c r="M140">
        <v>21.7870069539035</v>
      </c>
      <c r="N140">
        <v>25.0460482119205</v>
      </c>
      <c r="O140">
        <v>23.7105282488927</v>
      </c>
      <c r="P140">
        <v>20.239159621451101</v>
      </c>
      <c r="Q140">
        <v>21.347953886203101</v>
      </c>
      <c r="R140">
        <v>18.0016206418595</v>
      </c>
      <c r="S140">
        <v>16.997033557047001</v>
      </c>
      <c r="T140">
        <v>24.8742893222955</v>
      </c>
      <c r="U140">
        <v>15.4330164533821</v>
      </c>
      <c r="V140">
        <v>23.113991288114502</v>
      </c>
      <c r="W140">
        <v>21.681767638616101</v>
      </c>
      <c r="X140">
        <v>21.6622056336385</v>
      </c>
    </row>
    <row r="141" spans="1:24">
      <c r="A141">
        <v>119</v>
      </c>
      <c r="B141" t="s">
        <v>395</v>
      </c>
      <c r="C141">
        <v>1</v>
      </c>
      <c r="D141" t="s">
        <v>396</v>
      </c>
      <c r="E141">
        <v>24</v>
      </c>
      <c r="F141">
        <v>24</v>
      </c>
      <c r="G141">
        <v>24</v>
      </c>
      <c r="H141" t="s">
        <v>395</v>
      </c>
      <c r="I141">
        <v>65</v>
      </c>
      <c r="J141">
        <v>34.332999999999998</v>
      </c>
      <c r="K141" t="str">
        <f>"ARPC2"</f>
        <v>ARPC2</v>
      </c>
      <c r="L141" t="str">
        <f>"ARPC2"</f>
        <v>ARPC2</v>
      </c>
      <c r="M141">
        <v>22.997396229120401</v>
      </c>
      <c r="N141">
        <v>24.151546490066199</v>
      </c>
      <c r="O141">
        <v>18.2388678837636</v>
      </c>
      <c r="P141">
        <v>23.434816403785501</v>
      </c>
      <c r="Q141">
        <v>15.069143919672699</v>
      </c>
      <c r="R141">
        <v>19.801782706045401</v>
      </c>
      <c r="S141">
        <v>19.263304697986602</v>
      </c>
      <c r="T141">
        <v>23.6897993545671</v>
      </c>
      <c r="U141">
        <v>15.4330164533821</v>
      </c>
      <c r="V141">
        <v>27.3165351586808</v>
      </c>
      <c r="W141">
        <v>26.783360024172801</v>
      </c>
      <c r="X141">
        <v>19.692914212398701</v>
      </c>
    </row>
    <row r="142" spans="1:24">
      <c r="A142">
        <v>1347</v>
      </c>
      <c r="B142" t="s">
        <v>397</v>
      </c>
      <c r="C142">
        <v>2</v>
      </c>
      <c r="D142" t="s">
        <v>398</v>
      </c>
      <c r="E142">
        <v>35</v>
      </c>
      <c r="F142">
        <v>35</v>
      </c>
      <c r="G142">
        <v>30</v>
      </c>
      <c r="H142" t="s">
        <v>399</v>
      </c>
      <c r="I142">
        <v>45.2</v>
      </c>
      <c r="J142">
        <v>85.594999999999999</v>
      </c>
      <c r="K142" t="str">
        <f>"PFKP"</f>
        <v>PFKP</v>
      </c>
      <c r="L142" t="str">
        <f>"PFKP"</f>
        <v>PFKP</v>
      </c>
      <c r="M142">
        <v>18.1558391282529</v>
      </c>
      <c r="N142">
        <v>29.518556821192099</v>
      </c>
      <c r="O142">
        <v>30.09413200821</v>
      </c>
      <c r="P142">
        <v>18.108721766561501</v>
      </c>
      <c r="Q142">
        <v>12.5576199330606</v>
      </c>
      <c r="R142">
        <v>27.9025119948822</v>
      </c>
      <c r="S142">
        <v>14.7307624161074</v>
      </c>
      <c r="T142">
        <v>18.9518394836537</v>
      </c>
      <c r="U142">
        <v>27.558957952467999</v>
      </c>
      <c r="V142">
        <v>12.6076316116988</v>
      </c>
      <c r="W142">
        <v>17.855573349448601</v>
      </c>
      <c r="X142">
        <v>9.84645710619934</v>
      </c>
    </row>
    <row r="143" spans="1:24">
      <c r="A143">
        <v>520</v>
      </c>
      <c r="B143" t="s">
        <v>400</v>
      </c>
      <c r="C143">
        <v>1</v>
      </c>
      <c r="D143" t="s">
        <v>401</v>
      </c>
      <c r="E143">
        <v>18</v>
      </c>
      <c r="F143">
        <v>17</v>
      </c>
      <c r="G143">
        <v>17</v>
      </c>
      <c r="H143" t="s">
        <v>400</v>
      </c>
      <c r="I143">
        <v>48.2</v>
      </c>
      <c r="J143">
        <v>36.637999999999998</v>
      </c>
      <c r="K143" t="str">
        <f>"LDHB"</f>
        <v>LDHB</v>
      </c>
      <c r="L143" t="str">
        <f>"LDHB"</f>
        <v>LDHB</v>
      </c>
      <c r="M143">
        <v>12.1038927521686</v>
      </c>
      <c r="N143">
        <v>20.573539602648999</v>
      </c>
      <c r="O143">
        <v>21.886641460516401</v>
      </c>
      <c r="P143">
        <v>23.434816403785501</v>
      </c>
      <c r="Q143">
        <v>20.092191892896999</v>
      </c>
      <c r="R143">
        <v>15.3013775455806</v>
      </c>
      <c r="S143">
        <v>18.130169127516801</v>
      </c>
      <c r="T143">
        <v>17.7673495159254</v>
      </c>
      <c r="U143">
        <v>19.842449725777001</v>
      </c>
      <c r="V143">
        <v>22.063355320472901</v>
      </c>
      <c r="W143">
        <v>21.681767638616101</v>
      </c>
      <c r="X143">
        <v>21.6622056336385</v>
      </c>
    </row>
    <row r="144" spans="1:24">
      <c r="A144">
        <v>584</v>
      </c>
      <c r="B144" t="s">
        <v>402</v>
      </c>
      <c r="C144">
        <v>3</v>
      </c>
      <c r="D144" t="s">
        <v>403</v>
      </c>
      <c r="E144">
        <v>40</v>
      </c>
      <c r="F144">
        <v>30</v>
      </c>
      <c r="G144">
        <v>8</v>
      </c>
      <c r="H144" t="s">
        <v>404</v>
      </c>
      <c r="I144">
        <v>77.099999999999994</v>
      </c>
      <c r="J144">
        <v>32.816000000000003</v>
      </c>
      <c r="K144" t="str">
        <f>"TPM1"</f>
        <v>TPM1</v>
      </c>
      <c r="L144" t="str">
        <f>"TPM1"</f>
        <v>TPM1</v>
      </c>
      <c r="M144">
        <v>18.1558391282529</v>
      </c>
      <c r="N144">
        <v>22.362543046357601</v>
      </c>
      <c r="O144">
        <v>16.414981095387301</v>
      </c>
      <c r="P144">
        <v>18.108721766561501</v>
      </c>
      <c r="Q144">
        <v>21.347953886203101</v>
      </c>
      <c r="R144">
        <v>24.302187866510302</v>
      </c>
      <c r="S144">
        <v>19.263304697986602</v>
      </c>
      <c r="T144">
        <v>20.1363294513821</v>
      </c>
      <c r="U144">
        <v>18.7400914076782</v>
      </c>
      <c r="V144">
        <v>19.9620833851898</v>
      </c>
      <c r="W144">
        <v>20.406369542226901</v>
      </c>
      <c r="X144">
        <v>21.6622056336385</v>
      </c>
    </row>
    <row r="145" spans="1:24">
      <c r="A145">
        <v>1575</v>
      </c>
      <c r="B145" t="s">
        <v>405</v>
      </c>
      <c r="C145">
        <v>3</v>
      </c>
      <c r="D145" t="s">
        <v>406</v>
      </c>
      <c r="E145">
        <v>36</v>
      </c>
      <c r="F145">
        <v>36</v>
      </c>
      <c r="G145">
        <v>36</v>
      </c>
      <c r="H145" t="s">
        <v>407</v>
      </c>
      <c r="I145">
        <v>60</v>
      </c>
      <c r="J145">
        <v>66.451999999999998</v>
      </c>
      <c r="K145" t="str">
        <f>"STXBP2"</f>
        <v>STXBP2</v>
      </c>
      <c r="L145" t="str">
        <f>"STXBP2"</f>
        <v>STXBP2</v>
      </c>
      <c r="M145">
        <v>14.5246713026023</v>
      </c>
      <c r="N145">
        <v>18.784536158940401</v>
      </c>
      <c r="O145">
        <v>20.974698066328202</v>
      </c>
      <c r="P145">
        <v>24.500035331230301</v>
      </c>
      <c r="Q145">
        <v>15.069143919672699</v>
      </c>
      <c r="R145">
        <v>18.901701673952399</v>
      </c>
      <c r="S145">
        <v>15.8638979865772</v>
      </c>
      <c r="T145">
        <v>15.3983695804686</v>
      </c>
      <c r="U145">
        <v>23.1495246800731</v>
      </c>
      <c r="V145">
        <v>21.0127193528314</v>
      </c>
      <c r="W145">
        <v>20.406369542226901</v>
      </c>
      <c r="X145">
        <v>21.6622056336385</v>
      </c>
    </row>
    <row r="146" spans="1:24">
      <c r="A146">
        <v>437</v>
      </c>
      <c r="B146" t="s">
        <v>408</v>
      </c>
      <c r="C146">
        <v>1</v>
      </c>
      <c r="D146" t="s">
        <v>409</v>
      </c>
      <c r="E146">
        <v>27</v>
      </c>
      <c r="F146">
        <v>27</v>
      </c>
      <c r="G146">
        <v>27</v>
      </c>
      <c r="H146" t="s">
        <v>408</v>
      </c>
      <c r="I146">
        <v>52.4</v>
      </c>
      <c r="J146">
        <v>59.755000000000003</v>
      </c>
      <c r="K146" t="str">
        <f>"CAT"</f>
        <v>CAT</v>
      </c>
      <c r="L146" t="str">
        <f>"CAT"</f>
        <v>CAT</v>
      </c>
      <c r="M146">
        <v>14.5246713026023</v>
      </c>
      <c r="N146">
        <v>17.890034437086101</v>
      </c>
      <c r="O146">
        <v>13.679150912822699</v>
      </c>
      <c r="P146">
        <v>29.8261299684543</v>
      </c>
      <c r="Q146">
        <v>21.347953886203101</v>
      </c>
      <c r="R146">
        <v>18.0016206418595</v>
      </c>
      <c r="S146">
        <v>20.396440268456399</v>
      </c>
      <c r="T146">
        <v>30.7967391609373</v>
      </c>
      <c r="U146">
        <v>24.251882998171801</v>
      </c>
      <c r="V146">
        <v>14.708903546982</v>
      </c>
      <c r="W146">
        <v>33.160350506118803</v>
      </c>
      <c r="X146">
        <v>19.692914212398701</v>
      </c>
    </row>
    <row r="147" spans="1:24">
      <c r="A147">
        <v>1237</v>
      </c>
      <c r="B147" t="s">
        <v>410</v>
      </c>
      <c r="C147">
        <v>2</v>
      </c>
      <c r="D147" t="s">
        <v>411</v>
      </c>
      <c r="E147">
        <v>19</v>
      </c>
      <c r="F147">
        <v>19</v>
      </c>
      <c r="G147">
        <v>19</v>
      </c>
      <c r="H147" t="s">
        <v>412</v>
      </c>
      <c r="I147">
        <v>48.5</v>
      </c>
      <c r="J147">
        <v>44.76</v>
      </c>
      <c r="K147" t="str">
        <f>"ACTR2"</f>
        <v>ACTR2</v>
      </c>
      <c r="L147" t="str">
        <f>"ACTR2"</f>
        <v>ACTR2</v>
      </c>
      <c r="M147">
        <v>20.576617678686599</v>
      </c>
      <c r="N147">
        <v>20.573539602648999</v>
      </c>
      <c r="O147">
        <v>22.7985848547046</v>
      </c>
      <c r="P147">
        <v>15.9782839116719</v>
      </c>
      <c r="Q147">
        <v>17.580667906284901</v>
      </c>
      <c r="R147">
        <v>24.302187866510302</v>
      </c>
      <c r="S147">
        <v>19.263304697986602</v>
      </c>
      <c r="T147">
        <v>18.9518394836537</v>
      </c>
      <c r="U147">
        <v>23.1495246800731</v>
      </c>
      <c r="V147">
        <v>19.9620833851898</v>
      </c>
      <c r="W147">
        <v>19.130971445837702</v>
      </c>
      <c r="X147">
        <v>17.7236227911588</v>
      </c>
    </row>
    <row r="148" spans="1:24">
      <c r="A148">
        <v>1001</v>
      </c>
      <c r="B148" t="s">
        <v>413</v>
      </c>
      <c r="C148">
        <v>1</v>
      </c>
      <c r="D148" t="s">
        <v>414</v>
      </c>
      <c r="E148">
        <v>18</v>
      </c>
      <c r="F148">
        <v>18</v>
      </c>
      <c r="G148">
        <v>18</v>
      </c>
      <c r="H148" t="s">
        <v>413</v>
      </c>
      <c r="I148">
        <v>38.9</v>
      </c>
      <c r="J148">
        <v>60.957999999999998</v>
      </c>
      <c r="K148" t="str">
        <f>"GP5"</f>
        <v>GP5</v>
      </c>
      <c r="L148" t="str">
        <f>"GP5"</f>
        <v>GP5</v>
      </c>
      <c r="M148">
        <v>19.366228403469801</v>
      </c>
      <c r="N148">
        <v>20.573539602648999</v>
      </c>
      <c r="O148">
        <v>16.414981095387301</v>
      </c>
      <c r="P148">
        <v>18.108721766561501</v>
      </c>
      <c r="Q148">
        <v>13.8133819263667</v>
      </c>
      <c r="R148">
        <v>19.801782706045401</v>
      </c>
      <c r="S148">
        <v>11.331355704698</v>
      </c>
      <c r="T148">
        <v>21.3208194191104</v>
      </c>
      <c r="U148">
        <v>24.251882998171801</v>
      </c>
      <c r="V148">
        <v>16.810175482265102</v>
      </c>
      <c r="W148">
        <v>16.580175253059402</v>
      </c>
      <c r="X148">
        <v>29.539371318598</v>
      </c>
    </row>
    <row r="149" spans="1:24">
      <c r="A149">
        <v>467</v>
      </c>
      <c r="B149" t="s">
        <v>415</v>
      </c>
      <c r="C149">
        <v>1</v>
      </c>
      <c r="D149" t="s">
        <v>416</v>
      </c>
      <c r="E149">
        <v>19</v>
      </c>
      <c r="F149">
        <v>19</v>
      </c>
      <c r="G149">
        <v>19</v>
      </c>
      <c r="H149" t="s">
        <v>415</v>
      </c>
      <c r="I149">
        <v>81.5</v>
      </c>
      <c r="J149">
        <v>22.782</v>
      </c>
      <c r="K149" t="str">
        <f>"HSPB1"</f>
        <v>HSPB1</v>
      </c>
      <c r="L149" t="str">
        <f>"HSPB1"</f>
        <v>HSPB1</v>
      </c>
      <c r="M149">
        <v>15.735060577819199</v>
      </c>
      <c r="N149">
        <v>24.151546490066199</v>
      </c>
      <c r="O149">
        <v>24.6224716430809</v>
      </c>
      <c r="P149">
        <v>19.173940694006301</v>
      </c>
      <c r="Q149">
        <v>21.347953886203101</v>
      </c>
      <c r="R149">
        <v>21.601944770231398</v>
      </c>
      <c r="S149">
        <v>20.396440268456399</v>
      </c>
      <c r="T149">
        <v>26.058779290023899</v>
      </c>
      <c r="U149">
        <v>17.637733089579498</v>
      </c>
      <c r="V149">
        <v>21.0127193528314</v>
      </c>
      <c r="W149">
        <v>15.3047771566702</v>
      </c>
      <c r="X149">
        <v>19.692914212398701</v>
      </c>
    </row>
    <row r="150" spans="1:24">
      <c r="A150">
        <v>1608</v>
      </c>
      <c r="B150" t="s">
        <v>417</v>
      </c>
      <c r="C150">
        <v>3</v>
      </c>
      <c r="D150" t="s">
        <v>418</v>
      </c>
      <c r="E150">
        <v>45</v>
      </c>
      <c r="F150">
        <v>45</v>
      </c>
      <c r="G150">
        <v>45</v>
      </c>
      <c r="H150" t="s">
        <v>419</v>
      </c>
      <c r="I150">
        <v>46</v>
      </c>
      <c r="J150">
        <v>134.62</v>
      </c>
      <c r="K150" t="str">
        <f>"INF2"</f>
        <v>INF2</v>
      </c>
      <c r="L150" t="str">
        <f>"INF2"</f>
        <v>INF2</v>
      </c>
      <c r="M150">
        <v>13.3142820273855</v>
      </c>
      <c r="N150">
        <v>23.257044768211902</v>
      </c>
      <c r="O150">
        <v>19.150811277951799</v>
      </c>
      <c r="P150">
        <v>14.9130649842271</v>
      </c>
      <c r="Q150">
        <v>17.580667906284901</v>
      </c>
      <c r="R150">
        <v>23.4021068344173</v>
      </c>
      <c r="S150">
        <v>13.597626845637601</v>
      </c>
      <c r="T150">
        <v>17.7673495159254</v>
      </c>
      <c r="U150">
        <v>17.637733089579498</v>
      </c>
      <c r="V150">
        <v>26.2658991910392</v>
      </c>
      <c r="W150">
        <v>15.3047771566702</v>
      </c>
      <c r="X150">
        <v>21.6622056336385</v>
      </c>
    </row>
    <row r="151" spans="1:24">
      <c r="A151">
        <v>295</v>
      </c>
      <c r="B151" t="s">
        <v>420</v>
      </c>
      <c r="C151">
        <v>3</v>
      </c>
      <c r="D151" t="s">
        <v>421</v>
      </c>
      <c r="E151">
        <v>19</v>
      </c>
      <c r="F151">
        <v>19</v>
      </c>
      <c r="G151">
        <v>19</v>
      </c>
      <c r="H151" t="s">
        <v>422</v>
      </c>
      <c r="I151">
        <v>79.099999999999994</v>
      </c>
      <c r="J151">
        <v>31.628</v>
      </c>
      <c r="K151" t="str">
        <f>"CYB5R3"</f>
        <v>CYB5R3</v>
      </c>
      <c r="L151" t="str">
        <f>"CYB5R3"</f>
        <v>CYB5R3</v>
      </c>
      <c r="M151">
        <v>19.366228403469801</v>
      </c>
      <c r="N151">
        <v>18.784536158940401</v>
      </c>
      <c r="O151">
        <v>17.3269244895755</v>
      </c>
      <c r="P151">
        <v>15.9782839116719</v>
      </c>
      <c r="Q151">
        <v>13.8133819263667</v>
      </c>
      <c r="R151">
        <v>15.3013775455806</v>
      </c>
      <c r="S151">
        <v>24.928982550335601</v>
      </c>
      <c r="T151">
        <v>18.9518394836537</v>
      </c>
      <c r="U151">
        <v>23.1495246800731</v>
      </c>
      <c r="V151">
        <v>17.860811449906699</v>
      </c>
      <c r="W151">
        <v>29.3341562169512</v>
      </c>
      <c r="X151">
        <v>20.677559923018599</v>
      </c>
    </row>
    <row r="152" spans="1:24">
      <c r="A152">
        <v>392</v>
      </c>
      <c r="B152" t="s">
        <v>423</v>
      </c>
      <c r="C152">
        <v>1</v>
      </c>
      <c r="D152" t="s">
        <v>424</v>
      </c>
      <c r="E152">
        <v>27</v>
      </c>
      <c r="F152">
        <v>27</v>
      </c>
      <c r="G152">
        <v>1</v>
      </c>
      <c r="H152" t="s">
        <v>423</v>
      </c>
      <c r="I152">
        <v>65.8</v>
      </c>
      <c r="J152">
        <v>40.920999999999999</v>
      </c>
      <c r="K152" t="str">
        <f>"HLA-A"</f>
        <v>HLA-A</v>
      </c>
      <c r="L152" t="str">
        <f>"HLA-A"</f>
        <v>HLA-A</v>
      </c>
      <c r="M152">
        <v>20.576617678686599</v>
      </c>
      <c r="N152">
        <v>16.101030993377499</v>
      </c>
      <c r="O152">
        <v>18.2388678837636</v>
      </c>
      <c r="P152">
        <v>24.500035331230301</v>
      </c>
      <c r="Q152">
        <v>25.1152398661212</v>
      </c>
      <c r="R152">
        <v>14.401296513487599</v>
      </c>
      <c r="S152">
        <v>15.8638979865772</v>
      </c>
      <c r="T152">
        <v>17.7673495159254</v>
      </c>
      <c r="U152">
        <v>27.558957952467999</v>
      </c>
      <c r="V152">
        <v>16.810175482265102</v>
      </c>
      <c r="W152">
        <v>19.130971445837702</v>
      </c>
      <c r="X152">
        <v>29.539371318598</v>
      </c>
    </row>
    <row r="153" spans="1:24">
      <c r="A153">
        <v>1717</v>
      </c>
      <c r="B153" t="s">
        <v>425</v>
      </c>
      <c r="C153">
        <v>3</v>
      </c>
      <c r="D153" t="s">
        <v>426</v>
      </c>
      <c r="E153">
        <v>45</v>
      </c>
      <c r="F153">
        <v>45</v>
      </c>
      <c r="G153">
        <v>26</v>
      </c>
      <c r="H153" t="s">
        <v>427</v>
      </c>
      <c r="I153">
        <v>37</v>
      </c>
      <c r="J153">
        <v>145.18</v>
      </c>
      <c r="K153" t="str">
        <f>"CYFIP1"</f>
        <v>CYFIP1</v>
      </c>
      <c r="L153" t="str">
        <f>"CYFIP1"</f>
        <v>CYFIP1</v>
      </c>
      <c r="M153">
        <v>14.5246713026023</v>
      </c>
      <c r="N153">
        <v>20.573539602648999</v>
      </c>
      <c r="O153">
        <v>20.974698066328202</v>
      </c>
      <c r="P153">
        <v>14.9130649842271</v>
      </c>
      <c r="Q153">
        <v>8.7903339531424294</v>
      </c>
      <c r="R153">
        <v>18.901701673952399</v>
      </c>
      <c r="S153">
        <v>13.597626845637601</v>
      </c>
      <c r="T153">
        <v>18.9518394836537</v>
      </c>
      <c r="U153">
        <v>19.842449725777001</v>
      </c>
      <c r="V153">
        <v>22.063355320472901</v>
      </c>
      <c r="W153">
        <v>16.580175253059402</v>
      </c>
      <c r="X153">
        <v>25.6007884761183</v>
      </c>
    </row>
    <row r="154" spans="1:24">
      <c r="A154">
        <v>1536</v>
      </c>
      <c r="B154" t="s">
        <v>428</v>
      </c>
      <c r="C154">
        <v>5</v>
      </c>
      <c r="D154" t="s">
        <v>429</v>
      </c>
      <c r="E154">
        <v>17</v>
      </c>
      <c r="F154">
        <v>17</v>
      </c>
      <c r="G154">
        <v>17</v>
      </c>
      <c r="H154" t="s">
        <v>430</v>
      </c>
      <c r="I154">
        <v>41</v>
      </c>
      <c r="J154">
        <v>47.837000000000003</v>
      </c>
      <c r="K154" t="str">
        <f>"PDIA6"</f>
        <v>PDIA6</v>
      </c>
      <c r="L154" t="str">
        <f>"PDIA6"</f>
        <v>PDIA6</v>
      </c>
      <c r="M154">
        <v>19.366228403469801</v>
      </c>
      <c r="N154">
        <v>19.679037880794699</v>
      </c>
      <c r="O154">
        <v>17.3269244895755</v>
      </c>
      <c r="P154">
        <v>22.369597476340701</v>
      </c>
      <c r="Q154">
        <v>17.580667906284901</v>
      </c>
      <c r="R154">
        <v>16.201458577673499</v>
      </c>
      <c r="S154">
        <v>19.263304697986602</v>
      </c>
      <c r="T154">
        <v>20.1363294513821</v>
      </c>
      <c r="U154">
        <v>20.9448080438757</v>
      </c>
      <c r="V154">
        <v>18.911447417548199</v>
      </c>
      <c r="W154">
        <v>26.783360024172801</v>
      </c>
      <c r="X154">
        <v>22.646851344258501</v>
      </c>
    </row>
    <row r="155" spans="1:24">
      <c r="A155">
        <v>436</v>
      </c>
      <c r="B155" t="s">
        <v>431</v>
      </c>
      <c r="C155">
        <v>2</v>
      </c>
      <c r="D155" t="s">
        <v>432</v>
      </c>
      <c r="E155">
        <v>19</v>
      </c>
      <c r="F155">
        <v>19</v>
      </c>
      <c r="G155">
        <v>19</v>
      </c>
      <c r="H155" t="s">
        <v>433</v>
      </c>
      <c r="I155">
        <v>43.1</v>
      </c>
      <c r="J155">
        <v>54.305</v>
      </c>
      <c r="K155" t="str">
        <f>"VTN"</f>
        <v>VTN</v>
      </c>
      <c r="L155" t="str">
        <f>"VTN"</f>
        <v>VTN</v>
      </c>
      <c r="M155">
        <v>27.838953329987799</v>
      </c>
      <c r="N155">
        <v>20.573539602648999</v>
      </c>
      <c r="O155">
        <v>19.150811277951799</v>
      </c>
      <c r="P155">
        <v>28.7609110410095</v>
      </c>
      <c r="Q155">
        <v>28.8825258460394</v>
      </c>
      <c r="R155">
        <v>15.3013775455806</v>
      </c>
      <c r="S155">
        <v>20.396440268456399</v>
      </c>
      <c r="T155">
        <v>28.4277592254806</v>
      </c>
      <c r="U155">
        <v>19.842449725777001</v>
      </c>
      <c r="V155">
        <v>17.860811449906699</v>
      </c>
      <c r="W155">
        <v>24.232563831394501</v>
      </c>
      <c r="X155">
        <v>19.692914212398701</v>
      </c>
    </row>
    <row r="156" spans="1:24">
      <c r="A156">
        <v>1315</v>
      </c>
      <c r="B156" t="s">
        <v>434</v>
      </c>
      <c r="C156">
        <v>3</v>
      </c>
      <c r="D156" t="s">
        <v>435</v>
      </c>
      <c r="E156">
        <v>21</v>
      </c>
      <c r="F156">
        <v>21</v>
      </c>
      <c r="G156">
        <v>21</v>
      </c>
      <c r="H156" t="s">
        <v>436</v>
      </c>
      <c r="I156">
        <v>54.4</v>
      </c>
      <c r="J156">
        <v>27.565999999999999</v>
      </c>
      <c r="K156" t="str">
        <f>"GSTO1"</f>
        <v>GSTO1</v>
      </c>
      <c r="L156" t="str">
        <f>"GSTO1"</f>
        <v>GSTO1</v>
      </c>
      <c r="M156">
        <v>18.1558391282529</v>
      </c>
      <c r="N156">
        <v>16.101030993377499</v>
      </c>
      <c r="O156">
        <v>19.150811277951799</v>
      </c>
      <c r="P156">
        <v>18.108721766561501</v>
      </c>
      <c r="Q156">
        <v>18.8364298995909</v>
      </c>
      <c r="R156">
        <v>18.901701673952399</v>
      </c>
      <c r="S156">
        <v>21.529575838926199</v>
      </c>
      <c r="T156">
        <v>15.3983695804686</v>
      </c>
      <c r="U156">
        <v>27.558957952467999</v>
      </c>
      <c r="V156">
        <v>13.6582675793404</v>
      </c>
      <c r="W156">
        <v>25.5079619277837</v>
      </c>
      <c r="X156">
        <v>20.677559923018599</v>
      </c>
    </row>
    <row r="157" spans="1:24">
      <c r="A157">
        <v>1240</v>
      </c>
      <c r="B157" t="s">
        <v>437</v>
      </c>
      <c r="C157">
        <v>3</v>
      </c>
      <c r="D157" t="s">
        <v>438</v>
      </c>
      <c r="E157">
        <v>11</v>
      </c>
      <c r="F157">
        <v>11</v>
      </c>
      <c r="G157">
        <v>7</v>
      </c>
      <c r="H157" t="s">
        <v>439</v>
      </c>
      <c r="I157">
        <v>52.5</v>
      </c>
      <c r="J157">
        <v>20.696999999999999</v>
      </c>
      <c r="K157" t="str">
        <f>"ARF1;ARF3"</f>
        <v>ARF1;ARF3</v>
      </c>
      <c r="L157" t="str">
        <f>"ARF1;ARF3"</f>
        <v>ARF1;ARF3</v>
      </c>
      <c r="M157">
        <v>15.735060577819199</v>
      </c>
      <c r="N157">
        <v>13.4175258278146</v>
      </c>
      <c r="O157">
        <v>17.3269244895755</v>
      </c>
      <c r="P157">
        <v>12.7826271293375</v>
      </c>
      <c r="Q157">
        <v>15.069143919672699</v>
      </c>
      <c r="R157">
        <v>19.801782706045401</v>
      </c>
      <c r="S157">
        <v>19.263304697986602</v>
      </c>
      <c r="T157">
        <v>26.058779290023899</v>
      </c>
      <c r="U157">
        <v>22.047166361974401</v>
      </c>
      <c r="V157">
        <v>18.911447417548199</v>
      </c>
      <c r="W157">
        <v>20.406369542226901</v>
      </c>
      <c r="X157">
        <v>22.646851344258501</v>
      </c>
    </row>
    <row r="158" spans="1:24">
      <c r="A158">
        <v>245</v>
      </c>
      <c r="B158" t="s">
        <v>440</v>
      </c>
      <c r="C158">
        <v>2</v>
      </c>
      <c r="D158" t="s">
        <v>441</v>
      </c>
      <c r="E158">
        <v>43</v>
      </c>
      <c r="F158">
        <v>43</v>
      </c>
      <c r="G158">
        <v>43</v>
      </c>
      <c r="H158" t="s">
        <v>442</v>
      </c>
      <c r="I158">
        <v>45.6</v>
      </c>
      <c r="J158">
        <v>99.983999999999995</v>
      </c>
      <c r="K158" t="str">
        <f>"PDE5A"</f>
        <v>PDE5A</v>
      </c>
      <c r="L158" t="str">
        <f>"PDE5A"</f>
        <v>PDE5A</v>
      </c>
      <c r="M158">
        <v>8.4727249265180298</v>
      </c>
      <c r="N158">
        <v>23.257044768211902</v>
      </c>
      <c r="O158">
        <v>20.062754672139999</v>
      </c>
      <c r="P158">
        <v>18.108721766561501</v>
      </c>
      <c r="Q158">
        <v>6.2788099665303099</v>
      </c>
      <c r="R158">
        <v>20.7018637381384</v>
      </c>
      <c r="S158">
        <v>23.7958469798658</v>
      </c>
      <c r="T158">
        <v>5.9224498386417803</v>
      </c>
      <c r="U158">
        <v>17.637733089579498</v>
      </c>
      <c r="V158">
        <v>16.810175482265102</v>
      </c>
      <c r="W158">
        <v>24.232563831394501</v>
      </c>
      <c r="X158">
        <v>24.616142765498299</v>
      </c>
    </row>
    <row r="159" spans="1:24">
      <c r="A159">
        <v>1111</v>
      </c>
      <c r="B159" t="s">
        <v>443</v>
      </c>
      <c r="C159">
        <v>2</v>
      </c>
      <c r="D159" t="s">
        <v>444</v>
      </c>
      <c r="E159">
        <v>32</v>
      </c>
      <c r="F159">
        <v>32</v>
      </c>
      <c r="G159">
        <v>25</v>
      </c>
      <c r="H159" t="s">
        <v>445</v>
      </c>
      <c r="I159">
        <v>66.3</v>
      </c>
      <c r="J159">
        <v>50.662999999999997</v>
      </c>
      <c r="K159" t="str">
        <f>"GDI2"</f>
        <v>GDI2</v>
      </c>
      <c r="L159" t="str">
        <f>"GDI2"</f>
        <v>GDI2</v>
      </c>
      <c r="M159">
        <v>12.1038927521686</v>
      </c>
      <c r="N159">
        <v>18.784536158940401</v>
      </c>
      <c r="O159">
        <v>24.6224716430809</v>
      </c>
      <c r="P159">
        <v>15.9782839116719</v>
      </c>
      <c r="Q159">
        <v>12.5576199330606</v>
      </c>
      <c r="R159">
        <v>16.201458577673499</v>
      </c>
      <c r="S159">
        <v>22.662711409396</v>
      </c>
      <c r="T159">
        <v>17.7673495159254</v>
      </c>
      <c r="U159">
        <v>19.842449725777001</v>
      </c>
      <c r="V159">
        <v>18.911447417548199</v>
      </c>
      <c r="W159">
        <v>21.681767638616101</v>
      </c>
      <c r="X159">
        <v>20.677559923018599</v>
      </c>
    </row>
    <row r="160" spans="1:24">
      <c r="A160">
        <v>566</v>
      </c>
      <c r="B160" t="s">
        <v>446</v>
      </c>
      <c r="C160">
        <v>3</v>
      </c>
      <c r="D160" t="s">
        <v>447</v>
      </c>
      <c r="E160">
        <v>20</v>
      </c>
      <c r="F160">
        <v>20</v>
      </c>
      <c r="G160">
        <v>20</v>
      </c>
      <c r="H160" t="s">
        <v>448</v>
      </c>
      <c r="I160">
        <v>49.7</v>
      </c>
      <c r="J160">
        <v>54.564999999999998</v>
      </c>
      <c r="K160" t="str">
        <f>"SERPINF2"</f>
        <v>SERPINF2</v>
      </c>
      <c r="L160" t="str">
        <f>"SERPINF2"</f>
        <v>SERPINF2</v>
      </c>
      <c r="M160">
        <v>35.101288981289002</v>
      </c>
      <c r="N160">
        <v>11.628522384106001</v>
      </c>
      <c r="O160">
        <v>13.679150912822699</v>
      </c>
      <c r="P160">
        <v>22.369597476340701</v>
      </c>
      <c r="Q160">
        <v>30.138287839345502</v>
      </c>
      <c r="R160">
        <v>13.501215481394601</v>
      </c>
      <c r="S160">
        <v>15.8638979865772</v>
      </c>
      <c r="T160">
        <v>29.6122491932089</v>
      </c>
      <c r="U160">
        <v>11.023583180987201</v>
      </c>
      <c r="V160">
        <v>16.810175482265102</v>
      </c>
      <c r="W160">
        <v>21.681767638616101</v>
      </c>
      <c r="X160">
        <v>11.815748527439199</v>
      </c>
    </row>
    <row r="161" spans="1:24">
      <c r="A161">
        <v>307</v>
      </c>
      <c r="B161" t="s">
        <v>449</v>
      </c>
      <c r="C161">
        <v>1</v>
      </c>
      <c r="D161" t="s">
        <v>450</v>
      </c>
      <c r="E161">
        <v>26</v>
      </c>
      <c r="F161">
        <v>26</v>
      </c>
      <c r="G161">
        <v>25</v>
      </c>
      <c r="H161" t="s">
        <v>449</v>
      </c>
      <c r="I161">
        <v>46.5</v>
      </c>
      <c r="J161">
        <v>80.117999999999995</v>
      </c>
      <c r="K161" t="str">
        <f>"C1R"</f>
        <v>C1R</v>
      </c>
      <c r="L161" t="str">
        <f>"C1R"</f>
        <v>C1R</v>
      </c>
      <c r="M161">
        <v>24.207785504337199</v>
      </c>
      <c r="N161">
        <v>16.9955327152318</v>
      </c>
      <c r="O161">
        <v>16.414981095387301</v>
      </c>
      <c r="P161">
        <v>24.500035331230301</v>
      </c>
      <c r="Q161">
        <v>26.371001859427299</v>
      </c>
      <c r="R161">
        <v>15.3013775455806</v>
      </c>
      <c r="S161">
        <v>14.7307624161074</v>
      </c>
      <c r="T161">
        <v>18.9518394836537</v>
      </c>
      <c r="U161">
        <v>15.4330164533821</v>
      </c>
      <c r="V161">
        <v>25.215263223397599</v>
      </c>
      <c r="W161">
        <v>22.957165735005301</v>
      </c>
      <c r="X161">
        <v>21.6622056336385</v>
      </c>
    </row>
    <row r="162" spans="1:24">
      <c r="A162">
        <v>655</v>
      </c>
      <c r="B162" t="s">
        <v>451</v>
      </c>
      <c r="C162">
        <v>9</v>
      </c>
      <c r="D162" t="s">
        <v>452</v>
      </c>
      <c r="E162">
        <v>26</v>
      </c>
      <c r="F162">
        <v>26</v>
      </c>
      <c r="G162">
        <v>18</v>
      </c>
      <c r="H162" t="s">
        <v>453</v>
      </c>
      <c r="I162">
        <v>53.2</v>
      </c>
      <c r="J162">
        <v>59.834000000000003</v>
      </c>
      <c r="K162" t="str">
        <f>"SRC;FRK;SRMS;MST1R;MET"</f>
        <v>SRC;FRK;SRMS;MST1R;MET</v>
      </c>
      <c r="L162" t="str">
        <f>"SRC;FRK;SRMS;MST1R;MET"</f>
        <v>SRC;FRK;SRMS;MST1R;MET</v>
      </c>
      <c r="M162">
        <v>22.997396229120401</v>
      </c>
      <c r="N162">
        <v>15.2065292715232</v>
      </c>
      <c r="O162">
        <v>19.150811277951799</v>
      </c>
      <c r="P162">
        <v>18.108721766561501</v>
      </c>
      <c r="Q162">
        <v>15.069143919672699</v>
      </c>
      <c r="R162">
        <v>14.401296513487599</v>
      </c>
      <c r="S162">
        <v>21.529575838926199</v>
      </c>
      <c r="T162">
        <v>15.3983695804686</v>
      </c>
      <c r="U162">
        <v>24.251882998171801</v>
      </c>
      <c r="V162">
        <v>14.708903546982</v>
      </c>
      <c r="W162">
        <v>24.232563831394501</v>
      </c>
      <c r="X162">
        <v>23.631497054878398</v>
      </c>
    </row>
    <row r="163" spans="1:24">
      <c r="A163">
        <v>57</v>
      </c>
      <c r="B163" t="s">
        <v>454</v>
      </c>
      <c r="C163">
        <v>1</v>
      </c>
      <c r="D163" t="s">
        <v>455</v>
      </c>
      <c r="E163">
        <v>15</v>
      </c>
      <c r="F163">
        <v>15</v>
      </c>
      <c r="G163">
        <v>13</v>
      </c>
      <c r="H163" t="s">
        <v>454</v>
      </c>
      <c r="I163">
        <v>64.7</v>
      </c>
      <c r="J163">
        <v>24.608000000000001</v>
      </c>
      <c r="K163" t="str">
        <f>"RAB27B"</f>
        <v>RAB27B</v>
      </c>
      <c r="L163" t="str">
        <f>"RAB27B"</f>
        <v>RAB27B</v>
      </c>
      <c r="M163">
        <v>8.4727249265180298</v>
      </c>
      <c r="N163">
        <v>13.4175258278146</v>
      </c>
      <c r="O163">
        <v>17.3269244895755</v>
      </c>
      <c r="P163">
        <v>18.108721766561501</v>
      </c>
      <c r="Q163">
        <v>17.580667906284901</v>
      </c>
      <c r="R163">
        <v>18.901701673952399</v>
      </c>
      <c r="S163">
        <v>16.997033557047001</v>
      </c>
      <c r="T163">
        <v>17.7673495159254</v>
      </c>
      <c r="U163">
        <v>19.842449725777001</v>
      </c>
      <c r="V163">
        <v>24.164627255756098</v>
      </c>
      <c r="W163">
        <v>24.232563831394501</v>
      </c>
      <c r="X163">
        <v>20.677559923018599</v>
      </c>
    </row>
    <row r="164" spans="1:24">
      <c r="A164">
        <v>513</v>
      </c>
      <c r="B164" t="s">
        <v>456</v>
      </c>
      <c r="C164">
        <v>3</v>
      </c>
      <c r="D164" t="s">
        <v>457</v>
      </c>
      <c r="E164">
        <v>23</v>
      </c>
      <c r="F164">
        <v>23</v>
      </c>
      <c r="G164">
        <v>18</v>
      </c>
      <c r="H164" t="s">
        <v>458</v>
      </c>
      <c r="I164">
        <v>47.7</v>
      </c>
      <c r="J164">
        <v>63.146000000000001</v>
      </c>
      <c r="K164" t="str">
        <f>"GPI;SIX5"</f>
        <v>GPI;SIX5</v>
      </c>
      <c r="L164" t="str">
        <f>"GPI;SIX5"</f>
        <v>GPI;SIX5</v>
      </c>
      <c r="M164">
        <v>13.3142820273855</v>
      </c>
      <c r="N164">
        <v>15.2065292715232</v>
      </c>
      <c r="O164">
        <v>16.414981095387301</v>
      </c>
      <c r="P164">
        <v>18.108721766561501</v>
      </c>
      <c r="Q164">
        <v>11.3018579397546</v>
      </c>
      <c r="R164">
        <v>18.0016206418595</v>
      </c>
      <c r="S164">
        <v>21.529575838926199</v>
      </c>
      <c r="T164">
        <v>9.4759197418268606</v>
      </c>
      <c r="U164">
        <v>19.842449725777001</v>
      </c>
      <c r="V164">
        <v>17.860811449906699</v>
      </c>
      <c r="W164">
        <v>19.130971445837702</v>
      </c>
      <c r="X164">
        <v>23.631497054878398</v>
      </c>
    </row>
    <row r="165" spans="1:24">
      <c r="A165">
        <v>1557</v>
      </c>
      <c r="B165" t="s">
        <v>459</v>
      </c>
      <c r="C165">
        <v>2</v>
      </c>
      <c r="D165" t="s">
        <v>460</v>
      </c>
      <c r="E165">
        <v>18</v>
      </c>
      <c r="F165">
        <v>18</v>
      </c>
      <c r="G165">
        <v>18</v>
      </c>
      <c r="H165" t="s">
        <v>461</v>
      </c>
      <c r="I165">
        <v>55.2</v>
      </c>
      <c r="J165">
        <v>31.54</v>
      </c>
      <c r="K165" t="str">
        <f>"RSU1"</f>
        <v>RSU1</v>
      </c>
      <c r="L165" t="str">
        <f>"RSU1"</f>
        <v>RSU1</v>
      </c>
      <c r="M165">
        <v>14.5246713026023</v>
      </c>
      <c r="N165">
        <v>11.628522384106001</v>
      </c>
      <c r="O165">
        <v>10.943320730258201</v>
      </c>
      <c r="P165">
        <v>25.5652542586751</v>
      </c>
      <c r="Q165">
        <v>15.069143919672699</v>
      </c>
      <c r="R165">
        <v>15.3013775455806</v>
      </c>
      <c r="S165">
        <v>21.529575838926199</v>
      </c>
      <c r="T165">
        <v>18.9518394836537</v>
      </c>
      <c r="U165">
        <v>23.1495246800731</v>
      </c>
      <c r="V165">
        <v>15.7595395146235</v>
      </c>
      <c r="W165">
        <v>20.406369542226901</v>
      </c>
      <c r="X165">
        <v>25.6007884761183</v>
      </c>
    </row>
    <row r="166" spans="1:24">
      <c r="A166">
        <v>799</v>
      </c>
      <c r="B166" t="s">
        <v>462</v>
      </c>
      <c r="C166">
        <v>7</v>
      </c>
      <c r="D166" t="s">
        <v>463</v>
      </c>
      <c r="E166">
        <v>22</v>
      </c>
      <c r="F166">
        <v>22</v>
      </c>
      <c r="G166">
        <v>22</v>
      </c>
      <c r="H166" t="s">
        <v>464</v>
      </c>
      <c r="I166">
        <v>53.8</v>
      </c>
      <c r="J166">
        <v>61.929000000000002</v>
      </c>
      <c r="K166" t="str">
        <f>"PTGS1;PTGS2"</f>
        <v>PTGS1;PTGS2</v>
      </c>
      <c r="L166" t="str">
        <f>"PTGS1;PTGS2"</f>
        <v>PTGS1;PTGS2</v>
      </c>
      <c r="M166">
        <v>13.3142820273855</v>
      </c>
      <c r="N166">
        <v>16.101030993377499</v>
      </c>
      <c r="O166">
        <v>20.062754672139999</v>
      </c>
      <c r="P166">
        <v>13.8478460567823</v>
      </c>
      <c r="Q166">
        <v>16.324905912978799</v>
      </c>
      <c r="R166">
        <v>17.101539609766501</v>
      </c>
      <c r="S166">
        <v>16.997033557047001</v>
      </c>
      <c r="T166">
        <v>14.2138796127403</v>
      </c>
      <c r="U166">
        <v>18.7400914076782</v>
      </c>
      <c r="V166">
        <v>15.7595395146235</v>
      </c>
      <c r="W166">
        <v>14.029379060281</v>
      </c>
      <c r="X166">
        <v>22.646851344258501</v>
      </c>
    </row>
    <row r="167" spans="1:24">
      <c r="A167">
        <v>1979</v>
      </c>
      <c r="B167" t="s">
        <v>465</v>
      </c>
      <c r="C167">
        <v>4</v>
      </c>
      <c r="D167" t="s">
        <v>466</v>
      </c>
      <c r="E167">
        <v>18</v>
      </c>
      <c r="F167">
        <v>18</v>
      </c>
      <c r="G167">
        <v>18</v>
      </c>
      <c r="H167" t="s">
        <v>467</v>
      </c>
      <c r="I167">
        <v>64.7</v>
      </c>
      <c r="J167">
        <v>33.697000000000003</v>
      </c>
      <c r="K167" t="str">
        <f>"CNN2;CNN3"</f>
        <v>CNN2;CNN3</v>
      </c>
      <c r="L167" t="str">
        <f>"CNN2;CNN3"</f>
        <v>CNN2;CNN3</v>
      </c>
      <c r="M167">
        <v>15.735060577819199</v>
      </c>
      <c r="N167">
        <v>12.5230241059603</v>
      </c>
      <c r="O167">
        <v>17.3269244895755</v>
      </c>
      <c r="P167">
        <v>9.5869703470031506</v>
      </c>
      <c r="Q167">
        <v>12.5576199330606</v>
      </c>
      <c r="R167">
        <v>21.601944770231398</v>
      </c>
      <c r="S167">
        <v>14.7307624161074</v>
      </c>
      <c r="T167">
        <v>20.1363294513821</v>
      </c>
      <c r="U167">
        <v>20.9448080438757</v>
      </c>
      <c r="V167">
        <v>12.6076316116988</v>
      </c>
      <c r="W167">
        <v>24.232563831394501</v>
      </c>
      <c r="X167">
        <v>17.7236227911588</v>
      </c>
    </row>
    <row r="168" spans="1:24">
      <c r="A168">
        <v>1035</v>
      </c>
      <c r="B168" t="s">
        <v>468</v>
      </c>
      <c r="C168">
        <v>2</v>
      </c>
      <c r="D168" t="s">
        <v>469</v>
      </c>
      <c r="E168">
        <v>39</v>
      </c>
      <c r="F168">
        <v>39</v>
      </c>
      <c r="G168">
        <v>39</v>
      </c>
      <c r="H168" t="s">
        <v>470</v>
      </c>
      <c r="I168">
        <v>48.7</v>
      </c>
      <c r="J168">
        <v>80.852000000000004</v>
      </c>
      <c r="K168" t="str">
        <f>"GPD2"</f>
        <v>GPD2</v>
      </c>
      <c r="L168" t="str">
        <f>"GPD2"</f>
        <v>GPD2</v>
      </c>
      <c r="M168">
        <v>14.5246713026023</v>
      </c>
      <c r="N168">
        <v>20.573539602648999</v>
      </c>
      <c r="O168">
        <v>15.5030377011991</v>
      </c>
      <c r="P168">
        <v>10.652189274448</v>
      </c>
      <c r="Q168">
        <v>8.7903339531424294</v>
      </c>
      <c r="R168">
        <v>18.901701673952399</v>
      </c>
      <c r="S168">
        <v>19.263304697986602</v>
      </c>
      <c r="T168">
        <v>11.8448996772836</v>
      </c>
      <c r="U168">
        <v>16.5353747714808</v>
      </c>
      <c r="V168">
        <v>17.860811449906699</v>
      </c>
      <c r="W168">
        <v>17.855573349448601</v>
      </c>
      <c r="X168">
        <v>22.646851344258501</v>
      </c>
    </row>
    <row r="169" spans="1:24">
      <c r="A169">
        <v>1581</v>
      </c>
      <c r="B169" t="s">
        <v>471</v>
      </c>
      <c r="C169">
        <v>3</v>
      </c>
      <c r="D169" t="s">
        <v>472</v>
      </c>
      <c r="E169">
        <v>25</v>
      </c>
      <c r="F169">
        <v>25</v>
      </c>
      <c r="G169">
        <v>25</v>
      </c>
      <c r="H169" t="s">
        <v>473</v>
      </c>
      <c r="I169">
        <v>50.2</v>
      </c>
      <c r="J169">
        <v>50.58</v>
      </c>
      <c r="K169" t="str">
        <f>"SEPT7;SEPT14"</f>
        <v>SEPT7;SEPT14</v>
      </c>
      <c r="L169" t="str">
        <f>"SEPT7;SEPT14"</f>
        <v>SEPT7;SEPT14</v>
      </c>
      <c r="M169">
        <v>12.1038927521686</v>
      </c>
      <c r="N169">
        <v>15.2065292715232</v>
      </c>
      <c r="O169">
        <v>20.062754672139999</v>
      </c>
      <c r="P169">
        <v>21.304378548895901</v>
      </c>
      <c r="Q169">
        <v>15.069143919672699</v>
      </c>
      <c r="R169">
        <v>18.0016206418595</v>
      </c>
      <c r="S169">
        <v>15.8638979865772</v>
      </c>
      <c r="T169">
        <v>11.8448996772836</v>
      </c>
      <c r="U169">
        <v>16.5353747714808</v>
      </c>
      <c r="V169">
        <v>16.810175482265102</v>
      </c>
      <c r="W169">
        <v>12.7539809638918</v>
      </c>
      <c r="X169">
        <v>20.677559923018599</v>
      </c>
    </row>
    <row r="170" spans="1:24">
      <c r="A170">
        <v>448</v>
      </c>
      <c r="B170" t="s">
        <v>474</v>
      </c>
      <c r="C170">
        <v>1</v>
      </c>
      <c r="D170" t="s">
        <v>475</v>
      </c>
      <c r="E170">
        <v>7</v>
      </c>
      <c r="F170">
        <v>7</v>
      </c>
      <c r="G170">
        <v>3</v>
      </c>
      <c r="H170" t="s">
        <v>474</v>
      </c>
      <c r="I170">
        <v>77.099999999999994</v>
      </c>
      <c r="J170">
        <v>11.83</v>
      </c>
      <c r="K170" s="1" t="s">
        <v>476</v>
      </c>
      <c r="L170" s="1" t="s">
        <v>476</v>
      </c>
      <c r="M170">
        <v>19.366228403469801</v>
      </c>
      <c r="N170">
        <v>12.5230241059603</v>
      </c>
      <c r="O170">
        <v>16.414981095387301</v>
      </c>
      <c r="P170">
        <v>21.304378548895901</v>
      </c>
      <c r="Q170">
        <v>31.394049832651501</v>
      </c>
      <c r="R170">
        <v>14.401296513487599</v>
      </c>
      <c r="S170">
        <v>13.597626845637601</v>
      </c>
      <c r="T170">
        <v>18.9518394836537</v>
      </c>
      <c r="U170">
        <v>13.228299817184601</v>
      </c>
      <c r="V170">
        <v>16.810175482265102</v>
      </c>
      <c r="W170">
        <v>21.681767638616101</v>
      </c>
      <c r="X170">
        <v>11.815748527439199</v>
      </c>
    </row>
    <row r="171" spans="1:24">
      <c r="A171">
        <v>115</v>
      </c>
      <c r="B171" t="s">
        <v>477</v>
      </c>
      <c r="C171">
        <v>3</v>
      </c>
      <c r="D171" t="s">
        <v>478</v>
      </c>
      <c r="E171">
        <v>25</v>
      </c>
      <c r="F171">
        <v>25</v>
      </c>
      <c r="G171">
        <v>25</v>
      </c>
      <c r="H171" t="s">
        <v>479</v>
      </c>
      <c r="I171">
        <v>39.700000000000003</v>
      </c>
      <c r="J171">
        <v>90.605000000000004</v>
      </c>
      <c r="K171" t="str">
        <f>"FYB"</f>
        <v>FYB</v>
      </c>
      <c r="L171" t="str">
        <f>"FYB"</f>
        <v>FYB</v>
      </c>
      <c r="M171">
        <v>10.8935034769518</v>
      </c>
      <c r="N171">
        <v>19.679037880794699</v>
      </c>
      <c r="O171">
        <v>20.062754672139999</v>
      </c>
      <c r="P171">
        <v>14.9130649842271</v>
      </c>
      <c r="Q171">
        <v>8.7903339531424294</v>
      </c>
      <c r="R171">
        <v>17.101539609766501</v>
      </c>
      <c r="S171">
        <v>16.997033557047001</v>
      </c>
      <c r="T171">
        <v>13.0293896450119</v>
      </c>
      <c r="U171">
        <v>18.7400914076782</v>
      </c>
      <c r="V171">
        <v>17.860811449906699</v>
      </c>
      <c r="W171">
        <v>16.580175253059402</v>
      </c>
      <c r="X171">
        <v>12.8003942380591</v>
      </c>
    </row>
    <row r="172" spans="1:24">
      <c r="A172">
        <v>1757</v>
      </c>
      <c r="B172" t="s">
        <v>480</v>
      </c>
      <c r="C172">
        <v>2</v>
      </c>
      <c r="D172" t="s">
        <v>481</v>
      </c>
      <c r="E172">
        <v>8</v>
      </c>
      <c r="F172">
        <v>8</v>
      </c>
      <c r="G172">
        <v>4</v>
      </c>
      <c r="H172" t="s">
        <v>482</v>
      </c>
      <c r="I172">
        <v>41.2</v>
      </c>
      <c r="J172">
        <v>32.677999999999997</v>
      </c>
      <c r="K172" t="str">
        <f>"TREML1"</f>
        <v>TREML1</v>
      </c>
      <c r="L172" t="str">
        <f>"TREML1"</f>
        <v>TREML1</v>
      </c>
      <c r="M172">
        <v>14.5246713026023</v>
      </c>
      <c r="N172">
        <v>19.679037880794699</v>
      </c>
      <c r="O172">
        <v>18.2388678837636</v>
      </c>
      <c r="P172">
        <v>13.8478460567823</v>
      </c>
      <c r="Q172">
        <v>13.8133819263667</v>
      </c>
      <c r="R172">
        <v>17.101539609766501</v>
      </c>
      <c r="S172">
        <v>14.7307624161074</v>
      </c>
      <c r="T172">
        <v>16.582859548197</v>
      </c>
      <c r="U172">
        <v>17.637733089579498</v>
      </c>
      <c r="V172">
        <v>18.911447417548199</v>
      </c>
      <c r="W172">
        <v>16.580175253059402</v>
      </c>
      <c r="X172">
        <v>19.692914212398701</v>
      </c>
    </row>
    <row r="173" spans="1:24">
      <c r="A173">
        <v>735</v>
      </c>
      <c r="B173" t="s">
        <v>483</v>
      </c>
      <c r="C173">
        <v>1</v>
      </c>
      <c r="D173" t="s">
        <v>484</v>
      </c>
      <c r="E173">
        <v>34</v>
      </c>
      <c r="F173">
        <v>34</v>
      </c>
      <c r="G173">
        <v>34</v>
      </c>
      <c r="H173" t="s">
        <v>483</v>
      </c>
      <c r="I173">
        <v>51.6</v>
      </c>
      <c r="J173">
        <v>75.692999999999998</v>
      </c>
      <c r="K173" t="str">
        <f>"ALOX12"</f>
        <v>ALOX12</v>
      </c>
      <c r="L173" t="str">
        <f>"ALOX12"</f>
        <v>ALOX12</v>
      </c>
      <c r="M173">
        <v>18.1558391282529</v>
      </c>
      <c r="N173">
        <v>9.8395189403973493</v>
      </c>
      <c r="O173">
        <v>10.943320730258201</v>
      </c>
      <c r="P173">
        <v>17.043502839116702</v>
      </c>
      <c r="Q173">
        <v>8.7903339531424294</v>
      </c>
      <c r="R173">
        <v>12.6011344493016</v>
      </c>
      <c r="S173">
        <v>19.263304697986602</v>
      </c>
      <c r="T173">
        <v>16.582859548197</v>
      </c>
      <c r="U173">
        <v>7.7165082266910403</v>
      </c>
      <c r="V173">
        <v>9.4557237087741104</v>
      </c>
      <c r="W173">
        <v>17.855573349448601</v>
      </c>
      <c r="X173">
        <v>27.570079897358099</v>
      </c>
    </row>
    <row r="174" spans="1:24">
      <c r="A174">
        <v>579</v>
      </c>
      <c r="B174" t="s">
        <v>485</v>
      </c>
      <c r="C174">
        <v>1</v>
      </c>
      <c r="D174" t="s">
        <v>486</v>
      </c>
      <c r="E174">
        <v>12</v>
      </c>
      <c r="F174">
        <v>12</v>
      </c>
      <c r="G174">
        <v>12</v>
      </c>
      <c r="H174" t="s">
        <v>485</v>
      </c>
      <c r="I174">
        <v>33</v>
      </c>
      <c r="J174">
        <v>34.631999999999998</v>
      </c>
      <c r="K174" t="str">
        <f>"SPARC"</f>
        <v>SPARC</v>
      </c>
      <c r="L174" t="str">
        <f>"SPARC"</f>
        <v>SPARC</v>
      </c>
      <c r="M174">
        <v>12.1038927521686</v>
      </c>
      <c r="N174">
        <v>17.890034437086101</v>
      </c>
      <c r="O174">
        <v>16.414981095387301</v>
      </c>
      <c r="P174">
        <v>15.9782839116719</v>
      </c>
      <c r="Q174">
        <v>16.324905912978799</v>
      </c>
      <c r="R174">
        <v>15.3013775455806</v>
      </c>
      <c r="S174">
        <v>13.597626845637601</v>
      </c>
      <c r="T174">
        <v>20.1363294513821</v>
      </c>
      <c r="U174">
        <v>16.5353747714808</v>
      </c>
      <c r="V174">
        <v>21.0127193528314</v>
      </c>
      <c r="W174">
        <v>15.3047771566702</v>
      </c>
      <c r="X174">
        <v>20.677559923018599</v>
      </c>
    </row>
    <row r="175" spans="1:24">
      <c r="A175">
        <v>490</v>
      </c>
      <c r="B175" t="s">
        <v>487</v>
      </c>
      <c r="C175">
        <v>2</v>
      </c>
      <c r="D175" t="s">
        <v>488</v>
      </c>
      <c r="E175">
        <v>23</v>
      </c>
      <c r="F175">
        <v>23</v>
      </c>
      <c r="G175">
        <v>23</v>
      </c>
      <c r="H175" t="s">
        <v>489</v>
      </c>
      <c r="I175">
        <v>48.1</v>
      </c>
      <c r="J175">
        <v>57.07</v>
      </c>
      <c r="K175" t="str">
        <f>"SERPIND1"</f>
        <v>SERPIND1</v>
      </c>
      <c r="L175" t="str">
        <f>"SERPIND1"</f>
        <v>SERPIND1</v>
      </c>
      <c r="M175">
        <v>36.3116782565058</v>
      </c>
      <c r="N175">
        <v>11.628522384106001</v>
      </c>
      <c r="O175">
        <v>15.5030377011991</v>
      </c>
      <c r="P175">
        <v>18.108721766561501</v>
      </c>
      <c r="Q175">
        <v>17.580667906284901</v>
      </c>
      <c r="R175">
        <v>10.800972385115699</v>
      </c>
      <c r="S175">
        <v>14.7307624161074</v>
      </c>
      <c r="T175">
        <v>22.5053093868388</v>
      </c>
      <c r="U175">
        <v>7.7165082266910403</v>
      </c>
      <c r="V175">
        <v>14.708903546982</v>
      </c>
      <c r="W175">
        <v>22.957165735005301</v>
      </c>
      <c r="X175">
        <v>19.692914212398701</v>
      </c>
    </row>
    <row r="176" spans="1:24">
      <c r="A176">
        <v>1263</v>
      </c>
      <c r="B176" t="s">
        <v>490</v>
      </c>
      <c r="C176">
        <v>2</v>
      </c>
      <c r="D176" t="s">
        <v>491</v>
      </c>
      <c r="E176">
        <v>21</v>
      </c>
      <c r="F176">
        <v>18</v>
      </c>
      <c r="G176">
        <v>18</v>
      </c>
      <c r="H176" t="s">
        <v>492</v>
      </c>
      <c r="I176">
        <v>61.6</v>
      </c>
      <c r="J176">
        <v>29.173999999999999</v>
      </c>
      <c r="K176" t="str">
        <f>"YWHAE"</f>
        <v>YWHAE</v>
      </c>
      <c r="L176" t="str">
        <f>"YWHAE"</f>
        <v>YWHAE</v>
      </c>
      <c r="M176">
        <v>6.0519463760843104</v>
      </c>
      <c r="N176">
        <v>16.101030993377499</v>
      </c>
      <c r="O176">
        <v>18.2388678837636</v>
      </c>
      <c r="P176">
        <v>15.9782839116719</v>
      </c>
      <c r="Q176">
        <v>12.5576199330606</v>
      </c>
      <c r="R176">
        <v>17.101539609766501</v>
      </c>
      <c r="S176">
        <v>20.396440268456399</v>
      </c>
      <c r="T176">
        <v>14.2138796127403</v>
      </c>
      <c r="U176">
        <v>17.637733089579498</v>
      </c>
      <c r="V176">
        <v>10.5063596764157</v>
      </c>
      <c r="W176">
        <v>28.058758120562</v>
      </c>
      <c r="X176">
        <v>17.7236227911588</v>
      </c>
    </row>
    <row r="177" spans="1:24">
      <c r="A177">
        <v>532</v>
      </c>
      <c r="B177" t="s">
        <v>493</v>
      </c>
      <c r="C177">
        <v>1</v>
      </c>
      <c r="D177" t="s">
        <v>494</v>
      </c>
      <c r="E177">
        <v>29</v>
      </c>
      <c r="F177">
        <v>6</v>
      </c>
      <c r="G177">
        <v>5</v>
      </c>
      <c r="H177" t="s">
        <v>493</v>
      </c>
      <c r="I177">
        <v>72.099999999999994</v>
      </c>
      <c r="J177">
        <v>49.67</v>
      </c>
      <c r="K177" t="str">
        <f>"TUBB"</f>
        <v>TUBB</v>
      </c>
      <c r="L177" t="str">
        <f>"TUBB"</f>
        <v>TUBB</v>
      </c>
      <c r="M177">
        <v>16.945449853036099</v>
      </c>
      <c r="N177">
        <v>16.9955327152318</v>
      </c>
      <c r="O177">
        <v>16.414981095387301</v>
      </c>
      <c r="P177">
        <v>10.652189274448</v>
      </c>
      <c r="Q177">
        <v>15.069143919672699</v>
      </c>
      <c r="R177">
        <v>19.801782706045401</v>
      </c>
      <c r="S177">
        <v>19.263304697986602</v>
      </c>
      <c r="T177">
        <v>18.9518394836537</v>
      </c>
      <c r="U177">
        <v>20.9448080438757</v>
      </c>
      <c r="V177">
        <v>12.6076316116988</v>
      </c>
      <c r="W177">
        <v>15.3047771566702</v>
      </c>
      <c r="X177">
        <v>15.7543313699189</v>
      </c>
    </row>
    <row r="178" spans="1:24">
      <c r="A178">
        <v>317</v>
      </c>
      <c r="B178" t="s">
        <v>495</v>
      </c>
      <c r="C178">
        <v>1</v>
      </c>
      <c r="D178" t="s">
        <v>496</v>
      </c>
      <c r="E178">
        <v>19</v>
      </c>
      <c r="F178">
        <v>19</v>
      </c>
      <c r="G178">
        <v>19</v>
      </c>
      <c r="H178" t="s">
        <v>495</v>
      </c>
      <c r="I178">
        <v>78.5</v>
      </c>
      <c r="J178">
        <v>29.245999999999999</v>
      </c>
      <c r="K178" t="str">
        <f>"CA2"</f>
        <v>CA2</v>
      </c>
      <c r="L178" t="str">
        <f>"CA2"</f>
        <v>CA2</v>
      </c>
      <c r="M178">
        <v>20.576617678686599</v>
      </c>
      <c r="N178">
        <v>17.890034437086101</v>
      </c>
      <c r="O178">
        <v>19.150811277951799</v>
      </c>
      <c r="P178">
        <v>13.8478460567823</v>
      </c>
      <c r="Q178">
        <v>5.0230479732242497</v>
      </c>
      <c r="R178">
        <v>20.7018637381384</v>
      </c>
      <c r="S178">
        <v>18.130169127516801</v>
      </c>
      <c r="T178">
        <v>15.3983695804686</v>
      </c>
      <c r="U178">
        <v>17.637733089579498</v>
      </c>
      <c r="V178">
        <v>9.4557237087741104</v>
      </c>
      <c r="W178">
        <v>20.406369542226901</v>
      </c>
      <c r="X178">
        <v>14.769685659299</v>
      </c>
    </row>
    <row r="179" spans="1:24">
      <c r="A179">
        <v>1147</v>
      </c>
      <c r="B179" t="s">
        <v>497</v>
      </c>
      <c r="C179">
        <v>2</v>
      </c>
      <c r="D179" t="s">
        <v>498</v>
      </c>
      <c r="E179">
        <v>24</v>
      </c>
      <c r="F179">
        <v>24</v>
      </c>
      <c r="G179">
        <v>24</v>
      </c>
      <c r="H179" t="s">
        <v>499</v>
      </c>
      <c r="I179">
        <v>53.8</v>
      </c>
      <c r="J179">
        <v>51.872</v>
      </c>
      <c r="K179" t="str">
        <f>"PGD"</f>
        <v>PGD</v>
      </c>
      <c r="L179" t="str">
        <f>"PGD"</f>
        <v>PGD</v>
      </c>
      <c r="M179">
        <v>13.3142820273855</v>
      </c>
      <c r="N179">
        <v>15.2065292715232</v>
      </c>
      <c r="O179">
        <v>16.414981095387301</v>
      </c>
      <c r="P179">
        <v>12.7826271293375</v>
      </c>
      <c r="Q179">
        <v>13.8133819263667</v>
      </c>
      <c r="R179">
        <v>16.201458577673499</v>
      </c>
      <c r="S179">
        <v>16.997033557047001</v>
      </c>
      <c r="T179">
        <v>17.7673495159254</v>
      </c>
      <c r="U179">
        <v>16.5353747714808</v>
      </c>
      <c r="V179">
        <v>21.0127193528314</v>
      </c>
      <c r="W179">
        <v>21.681767638616101</v>
      </c>
      <c r="X179">
        <v>17.7236227911588</v>
      </c>
    </row>
    <row r="180" spans="1:24">
      <c r="A180">
        <v>470</v>
      </c>
      <c r="B180" t="s">
        <v>500</v>
      </c>
      <c r="C180">
        <v>14</v>
      </c>
      <c r="D180" t="s">
        <v>501</v>
      </c>
      <c r="E180">
        <v>19</v>
      </c>
      <c r="F180">
        <v>19</v>
      </c>
      <c r="G180">
        <v>12</v>
      </c>
      <c r="H180" t="s">
        <v>502</v>
      </c>
      <c r="I180">
        <v>53.2</v>
      </c>
      <c r="J180">
        <v>40.450000000000003</v>
      </c>
      <c r="K180" t="str">
        <f>"GNAI2;GNAO1;GNAT1;GNAT2;GNAT3;GNAL"</f>
        <v>GNAI2;GNAO1;GNAT1;GNAT2;GNAT3;GNAL</v>
      </c>
      <c r="L180" t="str">
        <f>"GNAI2;GNAO1;GNAT1;GNAT2;GNAT3;GNAL"</f>
        <v>GNAI2;GNAO1;GNAT1;GNAT2;GNAT3;GNAL</v>
      </c>
      <c r="M180">
        <v>12.1038927521686</v>
      </c>
      <c r="N180">
        <v>14.312027549668899</v>
      </c>
      <c r="O180">
        <v>15.5030377011991</v>
      </c>
      <c r="P180">
        <v>13.8478460567823</v>
      </c>
      <c r="Q180">
        <v>17.580667906284901</v>
      </c>
      <c r="R180">
        <v>13.501215481394601</v>
      </c>
      <c r="S180">
        <v>10.198220134228199</v>
      </c>
      <c r="T180">
        <v>14.2138796127403</v>
      </c>
      <c r="U180">
        <v>13.228299817184601</v>
      </c>
      <c r="V180">
        <v>15.7595395146235</v>
      </c>
      <c r="W180">
        <v>17.855573349448601</v>
      </c>
      <c r="X180">
        <v>21.6622056336385</v>
      </c>
    </row>
    <row r="181" spans="1:24">
      <c r="A181">
        <v>2102</v>
      </c>
      <c r="B181" t="s">
        <v>503</v>
      </c>
      <c r="C181">
        <v>1</v>
      </c>
      <c r="D181" t="s">
        <v>504</v>
      </c>
      <c r="E181">
        <v>42</v>
      </c>
      <c r="F181">
        <v>27</v>
      </c>
      <c r="G181">
        <v>27</v>
      </c>
      <c r="H181" t="s">
        <v>503</v>
      </c>
      <c r="I181">
        <v>77</v>
      </c>
      <c r="J181">
        <v>60.625999999999998</v>
      </c>
      <c r="K181" t="str">
        <f>"EHD1"</f>
        <v>EHD1</v>
      </c>
      <c r="L181" t="str">
        <f>"EHD1"</f>
        <v>EHD1</v>
      </c>
      <c r="M181">
        <v>8.4727249265180298</v>
      </c>
      <c r="N181">
        <v>10.7340206622517</v>
      </c>
      <c r="O181">
        <v>18.2388678837636</v>
      </c>
      <c r="P181">
        <v>14.9130649842271</v>
      </c>
      <c r="Q181">
        <v>11.3018579397546</v>
      </c>
      <c r="R181">
        <v>15.3013775455806</v>
      </c>
      <c r="S181">
        <v>15.8638979865772</v>
      </c>
      <c r="T181">
        <v>10.6604097095552</v>
      </c>
      <c r="U181">
        <v>14.3306581352834</v>
      </c>
      <c r="V181">
        <v>12.6076316116988</v>
      </c>
      <c r="W181">
        <v>6.37699048194591</v>
      </c>
      <c r="X181">
        <v>15.7543313699189</v>
      </c>
    </row>
    <row r="182" spans="1:24">
      <c r="A182">
        <v>512</v>
      </c>
      <c r="B182" t="s">
        <v>505</v>
      </c>
      <c r="C182">
        <v>2</v>
      </c>
      <c r="D182" t="s">
        <v>506</v>
      </c>
      <c r="E182">
        <v>41</v>
      </c>
      <c r="F182">
        <v>35</v>
      </c>
      <c r="G182">
        <v>34</v>
      </c>
      <c r="H182" t="s">
        <v>507</v>
      </c>
      <c r="I182">
        <v>54.5</v>
      </c>
      <c r="J182">
        <v>93.132999999999996</v>
      </c>
      <c r="K182" t="str">
        <f>"PYGL"</f>
        <v>PYGL</v>
      </c>
      <c r="L182" t="str">
        <f>"PYGL"</f>
        <v>PYGL</v>
      </c>
      <c r="M182">
        <v>12.1038927521686</v>
      </c>
      <c r="N182">
        <v>12.5230241059603</v>
      </c>
      <c r="O182">
        <v>14.5910943070109</v>
      </c>
      <c r="P182">
        <v>9.5869703470031506</v>
      </c>
      <c r="Q182">
        <v>13.8133819263667</v>
      </c>
      <c r="R182">
        <v>19.801782706045401</v>
      </c>
      <c r="S182">
        <v>11.331355704698</v>
      </c>
      <c r="T182">
        <v>15.3983695804686</v>
      </c>
      <c r="U182">
        <v>17.637733089579498</v>
      </c>
      <c r="V182">
        <v>15.7595395146235</v>
      </c>
      <c r="W182">
        <v>20.406369542226901</v>
      </c>
      <c r="X182">
        <v>19.692914212398701</v>
      </c>
    </row>
    <row r="183" spans="1:24">
      <c r="A183">
        <v>201</v>
      </c>
      <c r="B183" t="s">
        <v>508</v>
      </c>
      <c r="C183">
        <v>1</v>
      </c>
      <c r="D183" t="s">
        <v>509</v>
      </c>
      <c r="E183">
        <v>57</v>
      </c>
      <c r="F183">
        <v>57</v>
      </c>
      <c r="G183">
        <v>50</v>
      </c>
      <c r="H183" t="s">
        <v>508</v>
      </c>
      <c r="I183">
        <v>42.1</v>
      </c>
      <c r="J183">
        <v>160.9</v>
      </c>
      <c r="K183" t="str">
        <f>"ROCK2"</f>
        <v>ROCK2</v>
      </c>
      <c r="L183" t="str">
        <f>"ROCK2"</f>
        <v>ROCK2</v>
      </c>
      <c r="M183">
        <v>10.8935034769518</v>
      </c>
      <c r="N183">
        <v>25.0460482119205</v>
      </c>
      <c r="O183">
        <v>20.974698066328202</v>
      </c>
      <c r="P183">
        <v>13.8478460567823</v>
      </c>
      <c r="Q183">
        <v>5.0230479732242497</v>
      </c>
      <c r="R183">
        <v>13.501215481394601</v>
      </c>
      <c r="S183">
        <v>18.130169127516801</v>
      </c>
      <c r="T183">
        <v>7.1069398063701401</v>
      </c>
      <c r="U183">
        <v>13.228299817184601</v>
      </c>
      <c r="V183">
        <v>10.5063596764157</v>
      </c>
      <c r="W183">
        <v>15.3047771566702</v>
      </c>
      <c r="X183">
        <v>19.692914212398701</v>
      </c>
    </row>
    <row r="184" spans="1:24">
      <c r="A184">
        <v>822</v>
      </c>
      <c r="B184" t="s">
        <v>510</v>
      </c>
      <c r="C184">
        <v>1</v>
      </c>
      <c r="D184" t="s">
        <v>511</v>
      </c>
      <c r="E184">
        <v>20</v>
      </c>
      <c r="F184">
        <v>20</v>
      </c>
      <c r="G184">
        <v>20</v>
      </c>
      <c r="H184" t="s">
        <v>510</v>
      </c>
      <c r="I184">
        <v>53.7</v>
      </c>
      <c r="J184">
        <v>34.258000000000003</v>
      </c>
      <c r="K184" t="str">
        <f>"AZGP1"</f>
        <v>AZGP1</v>
      </c>
      <c r="L184" t="str">
        <f>"AZGP1"</f>
        <v>AZGP1</v>
      </c>
      <c r="M184">
        <v>31.470121155638399</v>
      </c>
      <c r="N184">
        <v>12.5230241059603</v>
      </c>
      <c r="O184">
        <v>11.8552641244464</v>
      </c>
      <c r="P184">
        <v>17.043502839116702</v>
      </c>
      <c r="Q184">
        <v>22.6037158795091</v>
      </c>
      <c r="R184">
        <v>12.6011344493016</v>
      </c>
      <c r="S184">
        <v>10.198220134228199</v>
      </c>
      <c r="T184">
        <v>20.1363294513821</v>
      </c>
      <c r="U184">
        <v>12.125941499085901</v>
      </c>
      <c r="V184">
        <v>24.164627255756098</v>
      </c>
      <c r="W184">
        <v>14.029379060281</v>
      </c>
      <c r="X184">
        <v>7.8771656849594702</v>
      </c>
    </row>
    <row r="185" spans="1:24">
      <c r="A185">
        <v>1569</v>
      </c>
      <c r="B185" t="s">
        <v>512</v>
      </c>
      <c r="C185">
        <v>11</v>
      </c>
      <c r="D185" t="s">
        <v>513</v>
      </c>
      <c r="E185">
        <v>35</v>
      </c>
      <c r="F185">
        <v>35</v>
      </c>
      <c r="G185">
        <v>35</v>
      </c>
      <c r="H185" t="s">
        <v>514</v>
      </c>
      <c r="I185">
        <v>21.5</v>
      </c>
      <c r="J185">
        <v>203.05</v>
      </c>
      <c r="K185" t="str">
        <f>"MYLK"</f>
        <v>MYLK</v>
      </c>
      <c r="L185" t="str">
        <f>"MYLK"</f>
        <v>MYLK</v>
      </c>
      <c r="M185">
        <v>10.8935034769518</v>
      </c>
      <c r="N185">
        <v>16.101030993377499</v>
      </c>
      <c r="O185">
        <v>14.5910943070109</v>
      </c>
      <c r="P185">
        <v>11.717408201892701</v>
      </c>
      <c r="Q185">
        <v>8.7903339531424294</v>
      </c>
      <c r="R185">
        <v>16.201458577673499</v>
      </c>
      <c r="S185">
        <v>16.997033557047001</v>
      </c>
      <c r="T185">
        <v>10.6604097095552</v>
      </c>
      <c r="U185">
        <v>18.7400914076782</v>
      </c>
      <c r="V185">
        <v>15.7595395146235</v>
      </c>
      <c r="W185">
        <v>15.3047771566702</v>
      </c>
      <c r="X185">
        <v>20.677559923018599</v>
      </c>
    </row>
    <row r="186" spans="1:24">
      <c r="A186">
        <v>1464</v>
      </c>
      <c r="B186" t="s">
        <v>515</v>
      </c>
      <c r="C186">
        <v>5</v>
      </c>
      <c r="D186" t="s">
        <v>516</v>
      </c>
      <c r="E186">
        <v>22</v>
      </c>
      <c r="F186">
        <v>22</v>
      </c>
      <c r="G186">
        <v>22</v>
      </c>
      <c r="H186" t="s">
        <v>517</v>
      </c>
      <c r="I186">
        <v>71.8</v>
      </c>
      <c r="J186">
        <v>31.895</v>
      </c>
      <c r="K186" t="str">
        <f>"FHL1"</f>
        <v>FHL1</v>
      </c>
      <c r="L186" t="str">
        <f>"FHL1"</f>
        <v>FHL1</v>
      </c>
      <c r="M186">
        <v>12.1038927521686</v>
      </c>
      <c r="N186">
        <v>18.784536158940401</v>
      </c>
      <c r="O186">
        <v>12.7672075186345</v>
      </c>
      <c r="P186">
        <v>11.717408201892701</v>
      </c>
      <c r="Q186">
        <v>15.069143919672699</v>
      </c>
      <c r="R186">
        <v>14.401296513487599</v>
      </c>
      <c r="S186">
        <v>10.198220134228199</v>
      </c>
      <c r="T186">
        <v>13.0293896450119</v>
      </c>
      <c r="U186">
        <v>9.9212248628884794</v>
      </c>
      <c r="V186">
        <v>11.556995644057199</v>
      </c>
      <c r="W186">
        <v>16.580175253059402</v>
      </c>
      <c r="X186">
        <v>14.769685659299</v>
      </c>
    </row>
    <row r="187" spans="1:24">
      <c r="A187">
        <v>1917</v>
      </c>
      <c r="B187" t="s">
        <v>518</v>
      </c>
      <c r="C187">
        <v>2</v>
      </c>
      <c r="D187" t="s">
        <v>519</v>
      </c>
      <c r="E187">
        <v>30</v>
      </c>
      <c r="F187">
        <v>30</v>
      </c>
      <c r="G187">
        <v>30</v>
      </c>
      <c r="H187" t="s">
        <v>520</v>
      </c>
      <c r="I187">
        <v>43.8</v>
      </c>
      <c r="J187">
        <v>76.022999999999996</v>
      </c>
      <c r="K187" t="str">
        <f>"SYTL4"</f>
        <v>SYTL4</v>
      </c>
      <c r="L187" t="str">
        <f>"SYTL4"</f>
        <v>SYTL4</v>
      </c>
      <c r="M187">
        <v>14.5246713026023</v>
      </c>
      <c r="N187">
        <v>21.4680413245033</v>
      </c>
      <c r="O187">
        <v>17.3269244895755</v>
      </c>
      <c r="P187">
        <v>19.173940694006301</v>
      </c>
      <c r="Q187">
        <v>10.046095946448499</v>
      </c>
      <c r="R187">
        <v>14.401296513487599</v>
      </c>
      <c r="S187">
        <v>14.7307624161074</v>
      </c>
      <c r="T187">
        <v>11.8448996772836</v>
      </c>
      <c r="U187">
        <v>20.9448080438757</v>
      </c>
      <c r="V187">
        <v>13.6582675793404</v>
      </c>
      <c r="W187">
        <v>12.7539809638918</v>
      </c>
      <c r="X187">
        <v>17.7236227911588</v>
      </c>
    </row>
    <row r="188" spans="1:24">
      <c r="A188">
        <v>627</v>
      </c>
      <c r="B188" t="s">
        <v>521</v>
      </c>
      <c r="C188">
        <v>6</v>
      </c>
      <c r="D188" t="s">
        <v>522</v>
      </c>
      <c r="E188">
        <v>11</v>
      </c>
      <c r="F188">
        <v>11</v>
      </c>
      <c r="G188">
        <v>11</v>
      </c>
      <c r="H188" t="s">
        <v>523</v>
      </c>
      <c r="I188">
        <v>16.899999999999999</v>
      </c>
      <c r="J188">
        <v>53.923999999999999</v>
      </c>
      <c r="K188" t="str">
        <f>"SLC2A3;SLC2A14"</f>
        <v>SLC2A3;SLC2A14</v>
      </c>
      <c r="L188" t="str">
        <f>"SLC2A3;SLC2A14"</f>
        <v>SLC2A3;SLC2A14</v>
      </c>
      <c r="M188">
        <v>7.2623356513011696</v>
      </c>
      <c r="N188">
        <v>20.573539602648999</v>
      </c>
      <c r="O188">
        <v>12.7672075186345</v>
      </c>
      <c r="P188">
        <v>15.9782839116719</v>
      </c>
      <c r="Q188">
        <v>18.8364298995909</v>
      </c>
      <c r="R188">
        <v>8.1007292888367601</v>
      </c>
      <c r="S188">
        <v>19.263304697986602</v>
      </c>
      <c r="T188">
        <v>9.4759197418268606</v>
      </c>
      <c r="U188">
        <v>17.637733089579498</v>
      </c>
      <c r="V188">
        <v>17.860811449906699</v>
      </c>
      <c r="W188">
        <v>17.855573349448601</v>
      </c>
      <c r="X188">
        <v>18.708268501778701</v>
      </c>
    </row>
    <row r="189" spans="1:24">
      <c r="A189">
        <v>574</v>
      </c>
      <c r="B189" t="s">
        <v>524</v>
      </c>
      <c r="C189">
        <v>1</v>
      </c>
      <c r="D189" t="s">
        <v>525</v>
      </c>
      <c r="E189">
        <v>13</v>
      </c>
      <c r="F189">
        <v>13</v>
      </c>
      <c r="G189">
        <v>13</v>
      </c>
      <c r="H189" t="s">
        <v>524</v>
      </c>
      <c r="I189">
        <v>70.5</v>
      </c>
      <c r="J189">
        <v>23.356000000000002</v>
      </c>
      <c r="K189" t="str">
        <f>"GSTP1"</f>
        <v>GSTP1</v>
      </c>
      <c r="L189" t="str">
        <f>"GSTP1"</f>
        <v>GSTP1</v>
      </c>
      <c r="M189">
        <v>14.5246713026023</v>
      </c>
      <c r="N189">
        <v>14.312027549668899</v>
      </c>
      <c r="O189">
        <v>12.7672075186345</v>
      </c>
      <c r="P189">
        <v>13.8478460567823</v>
      </c>
      <c r="Q189">
        <v>16.324905912978799</v>
      </c>
      <c r="R189">
        <v>17.101539609766501</v>
      </c>
      <c r="S189">
        <v>15.8638979865772</v>
      </c>
      <c r="T189">
        <v>13.0293896450119</v>
      </c>
      <c r="U189">
        <v>15.4330164533821</v>
      </c>
      <c r="V189">
        <v>13.6582675793404</v>
      </c>
      <c r="W189">
        <v>14.029379060281</v>
      </c>
      <c r="X189">
        <v>16.738977080538898</v>
      </c>
    </row>
    <row r="190" spans="1:24">
      <c r="A190">
        <v>785</v>
      </c>
      <c r="B190" t="s">
        <v>526</v>
      </c>
      <c r="C190">
        <v>2</v>
      </c>
      <c r="D190" t="s">
        <v>527</v>
      </c>
      <c r="E190">
        <v>33</v>
      </c>
      <c r="F190">
        <v>33</v>
      </c>
      <c r="G190">
        <v>33</v>
      </c>
      <c r="H190" t="s">
        <v>528</v>
      </c>
      <c r="I190">
        <v>43.6</v>
      </c>
      <c r="J190">
        <v>113.8</v>
      </c>
      <c r="K190" t="str">
        <f>"UBA1"</f>
        <v>UBA1</v>
      </c>
      <c r="L190" t="str">
        <f>"UBA1"</f>
        <v>UBA1</v>
      </c>
      <c r="M190">
        <v>12.1038927521686</v>
      </c>
      <c r="N190">
        <v>16.9955327152318</v>
      </c>
      <c r="O190">
        <v>15.5030377011991</v>
      </c>
      <c r="P190">
        <v>9.5869703470031506</v>
      </c>
      <c r="Q190">
        <v>10.046095946448499</v>
      </c>
      <c r="R190">
        <v>17.101539609766501</v>
      </c>
      <c r="S190">
        <v>13.597626845637601</v>
      </c>
      <c r="T190">
        <v>14.2138796127403</v>
      </c>
      <c r="U190">
        <v>13.228299817184601</v>
      </c>
      <c r="V190">
        <v>12.6076316116988</v>
      </c>
      <c r="W190">
        <v>11.478582867502601</v>
      </c>
      <c r="X190">
        <v>20.677559923018599</v>
      </c>
    </row>
    <row r="191" spans="1:24">
      <c r="A191">
        <v>1563</v>
      </c>
      <c r="B191" t="s">
        <v>529</v>
      </c>
      <c r="C191">
        <v>5</v>
      </c>
      <c r="D191" t="s">
        <v>530</v>
      </c>
      <c r="E191">
        <v>21</v>
      </c>
      <c r="F191">
        <v>21</v>
      </c>
      <c r="G191">
        <v>19</v>
      </c>
      <c r="H191" t="s">
        <v>531</v>
      </c>
      <c r="I191">
        <v>74.5</v>
      </c>
      <c r="J191">
        <v>30.690999999999999</v>
      </c>
      <c r="K191" t="str">
        <f>"MAPRE2"</f>
        <v>MAPRE2</v>
      </c>
      <c r="L191" t="str">
        <f>"MAPRE2"</f>
        <v>MAPRE2</v>
      </c>
      <c r="M191">
        <v>14.5246713026023</v>
      </c>
      <c r="N191">
        <v>15.2065292715232</v>
      </c>
      <c r="O191">
        <v>11.8552641244464</v>
      </c>
      <c r="P191">
        <v>12.7826271293375</v>
      </c>
      <c r="Q191">
        <v>13.8133819263667</v>
      </c>
      <c r="R191">
        <v>14.401296513487599</v>
      </c>
      <c r="S191">
        <v>12.4644912751678</v>
      </c>
      <c r="T191">
        <v>14.2138796127403</v>
      </c>
      <c r="U191">
        <v>17.637733089579498</v>
      </c>
      <c r="V191">
        <v>14.708903546982</v>
      </c>
      <c r="W191">
        <v>14.029379060281</v>
      </c>
      <c r="X191">
        <v>16.738977080538898</v>
      </c>
    </row>
    <row r="192" spans="1:24">
      <c r="A192">
        <v>425</v>
      </c>
      <c r="B192" t="s">
        <v>532</v>
      </c>
      <c r="C192">
        <v>1</v>
      </c>
      <c r="D192" t="s">
        <v>533</v>
      </c>
      <c r="E192">
        <v>10</v>
      </c>
      <c r="F192">
        <v>10</v>
      </c>
      <c r="G192">
        <v>5</v>
      </c>
      <c r="H192" t="s">
        <v>532</v>
      </c>
      <c r="I192">
        <v>50.5</v>
      </c>
      <c r="J192">
        <v>10.845000000000001</v>
      </c>
      <c r="K192" t="str">
        <f>"PF4"</f>
        <v>PF4</v>
      </c>
      <c r="L192" t="str">
        <f>"PF4"</f>
        <v>PF4</v>
      </c>
      <c r="M192">
        <v>12.1038927521686</v>
      </c>
      <c r="N192">
        <v>16.9955327152318</v>
      </c>
      <c r="O192">
        <v>14.5910943070109</v>
      </c>
      <c r="P192">
        <v>13.8478460567823</v>
      </c>
      <c r="Q192">
        <v>16.324905912978799</v>
      </c>
      <c r="R192">
        <v>16.201458577673499</v>
      </c>
      <c r="S192">
        <v>15.8638979865772</v>
      </c>
      <c r="T192">
        <v>15.3983695804686</v>
      </c>
      <c r="U192">
        <v>22.047166361974401</v>
      </c>
      <c r="V192">
        <v>17.860811449906699</v>
      </c>
      <c r="W192">
        <v>8.9277866747242793</v>
      </c>
      <c r="X192">
        <v>7.8771656849594702</v>
      </c>
    </row>
    <row r="193" spans="1:24">
      <c r="A193">
        <v>1509</v>
      </c>
      <c r="B193" t="s">
        <v>534</v>
      </c>
      <c r="C193">
        <v>2</v>
      </c>
      <c r="D193" t="s">
        <v>535</v>
      </c>
      <c r="E193">
        <v>44</v>
      </c>
      <c r="F193">
        <v>44</v>
      </c>
      <c r="G193">
        <v>44</v>
      </c>
      <c r="H193" t="s">
        <v>536</v>
      </c>
      <c r="I193">
        <v>67.400000000000006</v>
      </c>
      <c r="J193">
        <v>95.697999999999993</v>
      </c>
      <c r="K193" t="str">
        <f>"RASA3"</f>
        <v>RASA3</v>
      </c>
      <c r="L193" t="str">
        <f>"RASA3"</f>
        <v>RASA3</v>
      </c>
      <c r="M193">
        <v>9.6831142017348899</v>
      </c>
      <c r="N193">
        <v>12.5230241059603</v>
      </c>
      <c r="O193">
        <v>14.5910943070109</v>
      </c>
      <c r="P193">
        <v>11.717408201892701</v>
      </c>
      <c r="Q193">
        <v>7.5345719598363701</v>
      </c>
      <c r="R193">
        <v>13.501215481394601</v>
      </c>
      <c r="S193">
        <v>18.130169127516801</v>
      </c>
      <c r="T193">
        <v>14.2138796127403</v>
      </c>
      <c r="U193">
        <v>14.3306581352834</v>
      </c>
      <c r="V193">
        <v>15.7595395146235</v>
      </c>
      <c r="W193">
        <v>14.029379060281</v>
      </c>
      <c r="X193">
        <v>18.708268501778701</v>
      </c>
    </row>
    <row r="194" spans="1:24">
      <c r="A194">
        <v>1578</v>
      </c>
      <c r="B194" t="s">
        <v>537</v>
      </c>
      <c r="C194">
        <v>5</v>
      </c>
      <c r="D194" t="s">
        <v>538</v>
      </c>
      <c r="E194">
        <v>16</v>
      </c>
      <c r="F194">
        <v>16</v>
      </c>
      <c r="G194">
        <v>16</v>
      </c>
      <c r="H194" t="s">
        <v>539</v>
      </c>
      <c r="I194">
        <v>67.400000000000006</v>
      </c>
      <c r="J194">
        <v>24.488</v>
      </c>
      <c r="K194" t="str">
        <f>"RAB11B;RAB11A;RAB25"</f>
        <v>RAB11B;RAB11A;RAB25</v>
      </c>
      <c r="L194" t="str">
        <f>"RAB11B;RAB11A;RAB25"</f>
        <v>RAB11B;RAB11A;RAB25</v>
      </c>
      <c r="M194">
        <v>14.5246713026023</v>
      </c>
      <c r="N194">
        <v>14.312027549668899</v>
      </c>
      <c r="O194">
        <v>15.5030377011991</v>
      </c>
      <c r="P194">
        <v>14.9130649842271</v>
      </c>
      <c r="Q194">
        <v>15.069143919672699</v>
      </c>
      <c r="R194">
        <v>12.6011344493016</v>
      </c>
      <c r="S194">
        <v>12.4644912751678</v>
      </c>
      <c r="T194">
        <v>11.8448996772836</v>
      </c>
      <c r="U194">
        <v>18.7400914076782</v>
      </c>
      <c r="V194">
        <v>13.6582675793404</v>
      </c>
      <c r="W194">
        <v>14.029379060281</v>
      </c>
      <c r="X194">
        <v>15.7543313699189</v>
      </c>
    </row>
    <row r="195" spans="1:24">
      <c r="A195">
        <v>2236</v>
      </c>
      <c r="B195" t="s">
        <v>540</v>
      </c>
      <c r="C195">
        <v>7</v>
      </c>
      <c r="D195" t="s">
        <v>541</v>
      </c>
      <c r="E195">
        <v>42</v>
      </c>
      <c r="F195">
        <v>42</v>
      </c>
      <c r="G195">
        <v>42</v>
      </c>
      <c r="H195" t="s">
        <v>542</v>
      </c>
      <c r="I195">
        <v>37.6</v>
      </c>
      <c r="J195">
        <v>131.37</v>
      </c>
      <c r="K195" t="str">
        <f>"TJP2"</f>
        <v>TJP2</v>
      </c>
      <c r="L195" t="str">
        <f>"TJP2"</f>
        <v>TJP2</v>
      </c>
      <c r="M195">
        <v>4.8415571008674503</v>
      </c>
      <c r="N195">
        <v>13.4175258278146</v>
      </c>
      <c r="O195">
        <v>16.414981095387301</v>
      </c>
      <c r="P195">
        <v>13.8478460567823</v>
      </c>
      <c r="Q195">
        <v>11.3018579397546</v>
      </c>
      <c r="R195">
        <v>15.3013775455806</v>
      </c>
      <c r="S195">
        <v>9.0650845637583899</v>
      </c>
      <c r="T195">
        <v>10.6604097095552</v>
      </c>
      <c r="U195">
        <v>9.9212248628884794</v>
      </c>
      <c r="V195">
        <v>9.4557237087741104</v>
      </c>
      <c r="W195">
        <v>11.478582867502601</v>
      </c>
      <c r="X195">
        <v>15.7543313699189</v>
      </c>
    </row>
    <row r="196" spans="1:24">
      <c r="A196">
        <v>1161</v>
      </c>
      <c r="B196" t="s">
        <v>543</v>
      </c>
      <c r="C196">
        <v>3</v>
      </c>
      <c r="D196" t="s">
        <v>544</v>
      </c>
      <c r="E196">
        <v>35</v>
      </c>
      <c r="F196">
        <v>35</v>
      </c>
      <c r="G196">
        <v>35</v>
      </c>
      <c r="H196" t="s">
        <v>545</v>
      </c>
      <c r="I196">
        <v>38.9</v>
      </c>
      <c r="J196">
        <v>119.77</v>
      </c>
      <c r="K196" t="str">
        <f>"ACLY"</f>
        <v>ACLY</v>
      </c>
      <c r="L196" t="str">
        <f>"ACLY"</f>
        <v>ACLY</v>
      </c>
      <c r="M196">
        <v>8.4727249265180298</v>
      </c>
      <c r="N196">
        <v>13.4175258278146</v>
      </c>
      <c r="O196">
        <v>18.2388678837636</v>
      </c>
      <c r="P196">
        <v>12.7826271293375</v>
      </c>
      <c r="Q196">
        <v>13.8133819263667</v>
      </c>
      <c r="R196">
        <v>16.201458577673499</v>
      </c>
      <c r="S196">
        <v>14.7307624161074</v>
      </c>
      <c r="T196">
        <v>7.1069398063701401</v>
      </c>
      <c r="U196">
        <v>22.047166361974401</v>
      </c>
      <c r="V196">
        <v>17.860811449906699</v>
      </c>
      <c r="W196">
        <v>14.029379060281</v>
      </c>
      <c r="X196">
        <v>13.785039948679101</v>
      </c>
    </row>
    <row r="197" spans="1:24">
      <c r="A197">
        <v>840</v>
      </c>
      <c r="B197" t="s">
        <v>546</v>
      </c>
      <c r="C197">
        <v>2</v>
      </c>
      <c r="D197" t="s">
        <v>547</v>
      </c>
      <c r="E197">
        <v>19</v>
      </c>
      <c r="F197">
        <v>19</v>
      </c>
      <c r="G197">
        <v>19</v>
      </c>
      <c r="H197" t="s">
        <v>548</v>
      </c>
      <c r="I197">
        <v>41.9</v>
      </c>
      <c r="J197">
        <v>50.118000000000002</v>
      </c>
      <c r="K197" t="str">
        <f>"EEF1G"</f>
        <v>EEF1G</v>
      </c>
      <c r="L197" t="str">
        <f>"EEF1G"</f>
        <v>EEF1G</v>
      </c>
      <c r="M197">
        <v>8.4727249265180298</v>
      </c>
      <c r="N197">
        <v>17.890034437086101</v>
      </c>
      <c r="O197">
        <v>17.3269244895755</v>
      </c>
      <c r="P197">
        <v>13.8478460567823</v>
      </c>
      <c r="Q197">
        <v>10.046095946448499</v>
      </c>
      <c r="R197">
        <v>11.7010534172087</v>
      </c>
      <c r="S197">
        <v>14.7307624161074</v>
      </c>
      <c r="T197">
        <v>9.4759197418268606</v>
      </c>
      <c r="U197">
        <v>17.637733089579498</v>
      </c>
      <c r="V197">
        <v>12.6076316116988</v>
      </c>
      <c r="W197">
        <v>11.478582867502601</v>
      </c>
      <c r="X197">
        <v>15.7543313699189</v>
      </c>
    </row>
    <row r="198" spans="1:24">
      <c r="A198">
        <v>1007</v>
      </c>
      <c r="B198" t="s">
        <v>549</v>
      </c>
      <c r="C198">
        <v>2</v>
      </c>
      <c r="D198" t="s">
        <v>550</v>
      </c>
      <c r="E198">
        <v>17</v>
      </c>
      <c r="F198">
        <v>17</v>
      </c>
      <c r="G198">
        <v>17</v>
      </c>
      <c r="H198" t="s">
        <v>551</v>
      </c>
      <c r="I198">
        <v>60.1</v>
      </c>
      <c r="J198">
        <v>35.503</v>
      </c>
      <c r="K198" t="str">
        <f>"MDH2"</f>
        <v>MDH2</v>
      </c>
      <c r="L198" t="str">
        <f>"MDH2"</f>
        <v>MDH2</v>
      </c>
      <c r="M198">
        <v>12.1038927521686</v>
      </c>
      <c r="N198">
        <v>12.5230241059603</v>
      </c>
      <c r="O198">
        <v>13.679150912822699</v>
      </c>
      <c r="P198">
        <v>13.8478460567823</v>
      </c>
      <c r="Q198">
        <v>10.046095946448499</v>
      </c>
      <c r="R198">
        <v>15.3013775455806</v>
      </c>
      <c r="S198">
        <v>11.331355704698</v>
      </c>
      <c r="T198">
        <v>13.0293896450119</v>
      </c>
      <c r="U198">
        <v>12.125941499085901</v>
      </c>
      <c r="V198">
        <v>15.7595395146235</v>
      </c>
      <c r="W198">
        <v>20.406369542226901</v>
      </c>
      <c r="X198">
        <v>15.7543313699189</v>
      </c>
    </row>
    <row r="199" spans="1:24">
      <c r="A199">
        <v>1086</v>
      </c>
      <c r="B199" t="s">
        <v>552</v>
      </c>
      <c r="C199">
        <v>2</v>
      </c>
      <c r="D199" t="s">
        <v>553</v>
      </c>
      <c r="E199">
        <v>25</v>
      </c>
      <c r="F199">
        <v>25</v>
      </c>
      <c r="G199">
        <v>25</v>
      </c>
      <c r="H199" t="s">
        <v>554</v>
      </c>
      <c r="I199">
        <v>53.8</v>
      </c>
      <c r="J199">
        <v>60.533000000000001</v>
      </c>
      <c r="K199" t="str">
        <f>"CCT3"</f>
        <v>CCT3</v>
      </c>
      <c r="L199" t="str">
        <f>"CCT3"</f>
        <v>CCT3</v>
      </c>
      <c r="M199">
        <v>7.2623356513011696</v>
      </c>
      <c r="N199">
        <v>15.2065292715232</v>
      </c>
      <c r="O199">
        <v>10.031377336069999</v>
      </c>
      <c r="P199">
        <v>14.9130649842271</v>
      </c>
      <c r="Q199">
        <v>11.3018579397546</v>
      </c>
      <c r="R199">
        <v>9.9008913530227094</v>
      </c>
      <c r="S199">
        <v>12.4644912751678</v>
      </c>
      <c r="T199">
        <v>10.6604097095552</v>
      </c>
      <c r="U199">
        <v>16.5353747714808</v>
      </c>
      <c r="V199">
        <v>13.6582675793404</v>
      </c>
      <c r="W199">
        <v>11.478582867502601</v>
      </c>
      <c r="X199">
        <v>17.7236227911588</v>
      </c>
    </row>
    <row r="200" spans="1:24">
      <c r="A200">
        <v>414</v>
      </c>
      <c r="B200" t="s">
        <v>555</v>
      </c>
      <c r="C200">
        <v>2</v>
      </c>
      <c r="D200" t="s">
        <v>556</v>
      </c>
      <c r="E200">
        <v>20</v>
      </c>
      <c r="F200">
        <v>20</v>
      </c>
      <c r="G200">
        <v>16</v>
      </c>
      <c r="H200" t="s">
        <v>557</v>
      </c>
      <c r="I200">
        <v>31.1</v>
      </c>
      <c r="J200">
        <v>63.173000000000002</v>
      </c>
      <c r="K200" t="str">
        <f>"C9"</f>
        <v>C9</v>
      </c>
      <c r="L200" t="str">
        <f>"C9"</f>
        <v>C9</v>
      </c>
      <c r="M200">
        <v>18.1558391282529</v>
      </c>
      <c r="N200">
        <v>8.9450172185430503</v>
      </c>
      <c r="O200">
        <v>12.7672075186345</v>
      </c>
      <c r="P200">
        <v>17.043502839116702</v>
      </c>
      <c r="Q200">
        <v>25.1152398661212</v>
      </c>
      <c r="R200">
        <v>11.7010534172087</v>
      </c>
      <c r="S200">
        <v>20.396440268456399</v>
      </c>
      <c r="T200">
        <v>17.7673495159254</v>
      </c>
      <c r="U200">
        <v>13.228299817184601</v>
      </c>
      <c r="V200">
        <v>11.556995644057199</v>
      </c>
      <c r="W200">
        <v>19.130971445837702</v>
      </c>
      <c r="X200">
        <v>17.7236227911588</v>
      </c>
    </row>
    <row r="201" spans="1:24">
      <c r="A201">
        <v>1245</v>
      </c>
      <c r="B201" t="s">
        <v>558</v>
      </c>
      <c r="C201">
        <v>1</v>
      </c>
      <c r="D201" t="s">
        <v>559</v>
      </c>
      <c r="E201">
        <v>11</v>
      </c>
      <c r="F201">
        <v>11</v>
      </c>
      <c r="G201">
        <v>4</v>
      </c>
      <c r="H201" t="s">
        <v>558</v>
      </c>
      <c r="I201">
        <v>46.1</v>
      </c>
      <c r="J201">
        <v>21.768000000000001</v>
      </c>
      <c r="K201" t="str">
        <f>"RHOA"</f>
        <v>RHOA</v>
      </c>
      <c r="L201" t="str">
        <f>"RHOA"</f>
        <v>RHOA</v>
      </c>
      <c r="M201">
        <v>12.1038927521686</v>
      </c>
      <c r="N201">
        <v>11.628522384106001</v>
      </c>
      <c r="O201">
        <v>12.7672075186345</v>
      </c>
      <c r="P201">
        <v>17.043502839116702</v>
      </c>
      <c r="Q201">
        <v>12.5576199330606</v>
      </c>
      <c r="R201">
        <v>15.3013775455806</v>
      </c>
      <c r="S201">
        <v>11.331355704698</v>
      </c>
      <c r="T201">
        <v>13.0293896450119</v>
      </c>
      <c r="U201">
        <v>14.3306581352834</v>
      </c>
      <c r="V201">
        <v>9.4557237087741104</v>
      </c>
      <c r="W201">
        <v>12.7539809638918</v>
      </c>
      <c r="X201">
        <v>11.815748527439199</v>
      </c>
    </row>
    <row r="202" spans="1:24">
      <c r="A202">
        <v>1388</v>
      </c>
      <c r="B202" t="s">
        <v>560</v>
      </c>
      <c r="C202">
        <v>1</v>
      </c>
      <c r="D202" t="s">
        <v>561</v>
      </c>
      <c r="E202">
        <v>23</v>
      </c>
      <c r="F202">
        <v>23</v>
      </c>
      <c r="G202">
        <v>23</v>
      </c>
      <c r="H202" t="s">
        <v>560</v>
      </c>
      <c r="I202">
        <v>62.6</v>
      </c>
      <c r="J202">
        <v>50.435000000000002</v>
      </c>
      <c r="K202" t="str">
        <f>"ARHGAP1"</f>
        <v>ARHGAP1</v>
      </c>
      <c r="L202" t="str">
        <f>"ARHGAP1"</f>
        <v>ARHGAP1</v>
      </c>
      <c r="M202">
        <v>10.8935034769518</v>
      </c>
      <c r="N202">
        <v>13.4175258278146</v>
      </c>
      <c r="O202">
        <v>14.5910943070109</v>
      </c>
      <c r="P202">
        <v>12.7826271293375</v>
      </c>
      <c r="Q202">
        <v>5.0230479732242497</v>
      </c>
      <c r="R202">
        <v>13.501215481394601</v>
      </c>
      <c r="S202">
        <v>13.597626845637601</v>
      </c>
      <c r="T202">
        <v>14.2138796127403</v>
      </c>
      <c r="U202">
        <v>12.125941499085901</v>
      </c>
      <c r="V202">
        <v>15.7595395146235</v>
      </c>
      <c r="W202">
        <v>12.7539809638918</v>
      </c>
      <c r="X202">
        <v>14.769685659299</v>
      </c>
    </row>
    <row r="203" spans="1:24">
      <c r="A203">
        <v>2373</v>
      </c>
      <c r="B203" t="s">
        <v>562</v>
      </c>
      <c r="C203">
        <v>1</v>
      </c>
      <c r="D203" t="s">
        <v>563</v>
      </c>
      <c r="E203">
        <v>45</v>
      </c>
      <c r="F203">
        <v>45</v>
      </c>
      <c r="G203">
        <v>45</v>
      </c>
      <c r="H203" t="s">
        <v>562</v>
      </c>
      <c r="I203">
        <v>48.2</v>
      </c>
      <c r="J203">
        <v>126.55</v>
      </c>
      <c r="K203" t="str">
        <f>"FHOD1"</f>
        <v>FHOD1</v>
      </c>
      <c r="L203" t="str">
        <f>"FHOD1"</f>
        <v>FHOD1</v>
      </c>
      <c r="M203">
        <v>2.4207785504337198</v>
      </c>
      <c r="N203">
        <v>20.573539602648999</v>
      </c>
      <c r="O203">
        <v>9.1194339418818195</v>
      </c>
      <c r="P203">
        <v>7.4565324921135696</v>
      </c>
      <c r="Q203">
        <v>2.51152398661212</v>
      </c>
      <c r="R203">
        <v>19.801782706045401</v>
      </c>
      <c r="S203">
        <v>11.331355704698</v>
      </c>
      <c r="T203">
        <v>3.5534699031850701</v>
      </c>
      <c r="U203">
        <v>11.023583180987201</v>
      </c>
      <c r="V203">
        <v>12.6076316116988</v>
      </c>
      <c r="W203">
        <v>10.2031847711135</v>
      </c>
      <c r="X203">
        <v>17.7236227911588</v>
      </c>
    </row>
    <row r="204" spans="1:24">
      <c r="A204">
        <v>1672</v>
      </c>
      <c r="B204" t="s">
        <v>564</v>
      </c>
      <c r="C204">
        <v>4</v>
      </c>
      <c r="D204" t="s">
        <v>565</v>
      </c>
      <c r="E204">
        <v>21</v>
      </c>
      <c r="F204">
        <v>21</v>
      </c>
      <c r="G204">
        <v>18</v>
      </c>
      <c r="H204" t="s">
        <v>566</v>
      </c>
      <c r="I204">
        <v>68.8</v>
      </c>
      <c r="J204">
        <v>39.548000000000002</v>
      </c>
      <c r="K204" t="str">
        <f>"TWF2;TWF1"</f>
        <v>TWF2;TWF1</v>
      </c>
      <c r="L204" t="str">
        <f>"TWF2;TWF1"</f>
        <v>TWF2;TWF1</v>
      </c>
      <c r="M204">
        <v>13.3142820273855</v>
      </c>
      <c r="N204">
        <v>16.101030993377499</v>
      </c>
      <c r="O204">
        <v>13.679150912822699</v>
      </c>
      <c r="P204">
        <v>15.9782839116719</v>
      </c>
      <c r="Q204">
        <v>7.5345719598363701</v>
      </c>
      <c r="R204">
        <v>12.6011344493016</v>
      </c>
      <c r="S204">
        <v>15.8638979865772</v>
      </c>
      <c r="T204">
        <v>4.7379598709134303</v>
      </c>
      <c r="U204">
        <v>9.9212248628884794</v>
      </c>
      <c r="V204">
        <v>11.556995644057199</v>
      </c>
      <c r="W204">
        <v>12.7539809638918</v>
      </c>
      <c r="X204">
        <v>14.769685659299</v>
      </c>
    </row>
    <row r="205" spans="1:24">
      <c r="A205">
        <v>445</v>
      </c>
      <c r="B205" t="s">
        <v>567</v>
      </c>
      <c r="C205">
        <v>4</v>
      </c>
      <c r="D205" t="s">
        <v>568</v>
      </c>
      <c r="E205">
        <v>15</v>
      </c>
      <c r="F205">
        <v>15</v>
      </c>
      <c r="G205">
        <v>15</v>
      </c>
      <c r="H205" t="s">
        <v>569</v>
      </c>
      <c r="I205">
        <v>68</v>
      </c>
      <c r="J205">
        <v>24.722000000000001</v>
      </c>
      <c r="K205" t="str">
        <f>"SOD2"</f>
        <v>SOD2</v>
      </c>
      <c r="L205" t="str">
        <f>"SOD2"</f>
        <v>SOD2</v>
      </c>
      <c r="M205">
        <v>10.8935034769518</v>
      </c>
      <c r="N205">
        <v>14.312027549668899</v>
      </c>
      <c r="O205">
        <v>12.7672075186345</v>
      </c>
      <c r="P205">
        <v>17.043502839116702</v>
      </c>
      <c r="Q205">
        <v>11.3018579397546</v>
      </c>
      <c r="R205">
        <v>11.7010534172087</v>
      </c>
      <c r="S205">
        <v>12.4644912751678</v>
      </c>
      <c r="T205">
        <v>13.0293896450119</v>
      </c>
      <c r="U205">
        <v>17.637733089579498</v>
      </c>
      <c r="V205">
        <v>14.708903546982</v>
      </c>
      <c r="W205">
        <v>17.855573349448601</v>
      </c>
      <c r="X205">
        <v>18.708268501778701</v>
      </c>
    </row>
    <row r="206" spans="1:24">
      <c r="A206">
        <v>1136</v>
      </c>
      <c r="B206" t="s">
        <v>570</v>
      </c>
      <c r="C206">
        <v>3</v>
      </c>
      <c r="D206" t="s">
        <v>571</v>
      </c>
      <c r="E206">
        <v>31</v>
      </c>
      <c r="F206">
        <v>31</v>
      </c>
      <c r="G206">
        <v>31</v>
      </c>
      <c r="H206" t="s">
        <v>572</v>
      </c>
      <c r="I206">
        <v>51.9</v>
      </c>
      <c r="J206">
        <v>79.685000000000002</v>
      </c>
      <c r="K206" t="str">
        <f>"HSD17B4"</f>
        <v>HSD17B4</v>
      </c>
      <c r="L206" t="str">
        <f>"HSD17B4"</f>
        <v>HSD17B4</v>
      </c>
      <c r="M206">
        <v>12.1038927521686</v>
      </c>
      <c r="N206">
        <v>14.312027549668899</v>
      </c>
      <c r="O206">
        <v>14.5910943070109</v>
      </c>
      <c r="P206">
        <v>12.7826271293375</v>
      </c>
      <c r="Q206">
        <v>12.5576199330606</v>
      </c>
      <c r="R206">
        <v>14.401296513487599</v>
      </c>
      <c r="S206">
        <v>15.8638979865772</v>
      </c>
      <c r="T206">
        <v>13.0293896450119</v>
      </c>
      <c r="U206">
        <v>19.842449725777001</v>
      </c>
      <c r="V206">
        <v>15.7595395146235</v>
      </c>
      <c r="W206">
        <v>14.029379060281</v>
      </c>
      <c r="X206">
        <v>14.769685659299</v>
      </c>
    </row>
    <row r="207" spans="1:24">
      <c r="A207">
        <v>1305</v>
      </c>
      <c r="B207" t="s">
        <v>573</v>
      </c>
      <c r="C207">
        <v>2</v>
      </c>
      <c r="D207" t="s">
        <v>574</v>
      </c>
      <c r="E207">
        <v>37</v>
      </c>
      <c r="F207">
        <v>9</v>
      </c>
      <c r="G207">
        <v>9</v>
      </c>
      <c r="H207" t="s">
        <v>575</v>
      </c>
      <c r="I207">
        <v>74.599999999999994</v>
      </c>
      <c r="J207">
        <v>49.923999999999999</v>
      </c>
      <c r="K207" t="str">
        <f>"TUBA4A"</f>
        <v>TUBA4A</v>
      </c>
      <c r="L207" t="str">
        <f>"TUBA4A"</f>
        <v>TUBA4A</v>
      </c>
      <c r="M207">
        <v>12.1038927521686</v>
      </c>
      <c r="N207">
        <v>16.101030993377499</v>
      </c>
      <c r="O207">
        <v>14.5910943070109</v>
      </c>
      <c r="P207">
        <v>14.9130649842271</v>
      </c>
      <c r="Q207">
        <v>18.8364298995909</v>
      </c>
      <c r="R207">
        <v>13.501215481394601</v>
      </c>
      <c r="S207">
        <v>15.8638979865772</v>
      </c>
      <c r="T207">
        <v>16.582859548197</v>
      </c>
      <c r="U207">
        <v>14.3306581352834</v>
      </c>
      <c r="V207">
        <v>16.810175482265102</v>
      </c>
      <c r="W207">
        <v>12.7539809638918</v>
      </c>
      <c r="X207">
        <v>12.8003942380591</v>
      </c>
    </row>
    <row r="208" spans="1:24">
      <c r="A208">
        <v>47</v>
      </c>
      <c r="B208" t="s">
        <v>576</v>
      </c>
      <c r="C208">
        <v>6</v>
      </c>
      <c r="D208" t="s">
        <v>577</v>
      </c>
      <c r="E208">
        <v>25</v>
      </c>
      <c r="F208">
        <v>25</v>
      </c>
      <c r="G208">
        <v>1</v>
      </c>
      <c r="H208" t="s">
        <v>578</v>
      </c>
      <c r="I208">
        <v>42.3</v>
      </c>
      <c r="J208">
        <v>75.042000000000002</v>
      </c>
      <c r="K208" t="str">
        <f>"KIF2A;KIF2C;KIF2B"</f>
        <v>KIF2A;KIF2C;KIF2B</v>
      </c>
      <c r="L208" t="str">
        <f>"KIF2A;KIF2C;KIF2B"</f>
        <v>KIF2A;KIF2C;KIF2B</v>
      </c>
      <c r="M208">
        <v>9.6831142017348899</v>
      </c>
      <c r="N208">
        <v>15.2065292715232</v>
      </c>
      <c r="O208">
        <v>12.7672075186345</v>
      </c>
      <c r="P208">
        <v>11.717408201892701</v>
      </c>
      <c r="Q208">
        <v>10.046095946448499</v>
      </c>
      <c r="R208">
        <v>13.501215481394601</v>
      </c>
      <c r="S208">
        <v>10.198220134228199</v>
      </c>
      <c r="T208">
        <v>8.2914297740984999</v>
      </c>
      <c r="U208">
        <v>12.125941499085901</v>
      </c>
      <c r="V208">
        <v>11.556995644057199</v>
      </c>
      <c r="W208">
        <v>12.7539809638918</v>
      </c>
      <c r="X208">
        <v>15.7543313699189</v>
      </c>
    </row>
    <row r="209" spans="1:24">
      <c r="A209">
        <v>918</v>
      </c>
      <c r="B209" t="s">
        <v>579</v>
      </c>
      <c r="C209">
        <v>1</v>
      </c>
      <c r="D209" t="s">
        <v>580</v>
      </c>
      <c r="E209">
        <v>25</v>
      </c>
      <c r="F209">
        <v>24</v>
      </c>
      <c r="G209">
        <v>24</v>
      </c>
      <c r="H209" t="s">
        <v>579</v>
      </c>
      <c r="I209">
        <v>41.9</v>
      </c>
      <c r="J209">
        <v>51.026000000000003</v>
      </c>
      <c r="K209" t="str">
        <f>"CORO1A"</f>
        <v>CORO1A</v>
      </c>
      <c r="L209" t="str">
        <f>"CORO1A"</f>
        <v>CORO1A</v>
      </c>
      <c r="M209">
        <v>12.1038927521686</v>
      </c>
      <c r="N209">
        <v>14.312027549668899</v>
      </c>
      <c r="O209">
        <v>14.5910943070109</v>
      </c>
      <c r="P209">
        <v>12.7826271293375</v>
      </c>
      <c r="Q209">
        <v>15.069143919672699</v>
      </c>
      <c r="R209">
        <v>12.6011344493016</v>
      </c>
      <c r="S209">
        <v>13.597626845637601</v>
      </c>
      <c r="T209">
        <v>14.2138796127403</v>
      </c>
      <c r="U209">
        <v>13.228299817184601</v>
      </c>
      <c r="V209">
        <v>13.6582675793404</v>
      </c>
      <c r="W209">
        <v>15.3047771566702</v>
      </c>
      <c r="X209">
        <v>15.7543313699189</v>
      </c>
    </row>
    <row r="210" spans="1:24">
      <c r="A210">
        <v>468</v>
      </c>
      <c r="B210" t="s">
        <v>581</v>
      </c>
      <c r="C210">
        <v>1</v>
      </c>
      <c r="D210" t="s">
        <v>582</v>
      </c>
      <c r="E210">
        <v>28</v>
      </c>
      <c r="F210">
        <v>28</v>
      </c>
      <c r="G210">
        <v>28</v>
      </c>
      <c r="H210" t="s">
        <v>581</v>
      </c>
      <c r="I210">
        <v>56.5</v>
      </c>
      <c r="J210">
        <v>68.569000000000003</v>
      </c>
      <c r="K210" t="str">
        <f>"RPN1"</f>
        <v>RPN1</v>
      </c>
      <c r="L210" t="str">
        <f>"RPN1"</f>
        <v>RPN1</v>
      </c>
      <c r="M210">
        <v>9.6831142017348899</v>
      </c>
      <c r="N210">
        <v>14.312027549668899</v>
      </c>
      <c r="O210">
        <v>17.3269244895755</v>
      </c>
      <c r="P210">
        <v>12.7826271293375</v>
      </c>
      <c r="Q210">
        <v>8.7903339531424294</v>
      </c>
      <c r="R210">
        <v>14.401296513487599</v>
      </c>
      <c r="S210">
        <v>13.597626845637601</v>
      </c>
      <c r="T210">
        <v>8.2914297740984999</v>
      </c>
      <c r="U210">
        <v>14.3306581352834</v>
      </c>
      <c r="V210">
        <v>9.4557237087741104</v>
      </c>
      <c r="W210">
        <v>15.3047771566702</v>
      </c>
      <c r="X210">
        <v>14.769685659299</v>
      </c>
    </row>
    <row r="211" spans="1:24">
      <c r="A211">
        <v>552</v>
      </c>
      <c r="B211" t="s">
        <v>583</v>
      </c>
      <c r="C211">
        <v>2</v>
      </c>
      <c r="D211" t="s">
        <v>584</v>
      </c>
      <c r="E211">
        <v>40</v>
      </c>
      <c r="F211">
        <v>21</v>
      </c>
      <c r="G211">
        <v>18</v>
      </c>
      <c r="H211" t="s">
        <v>585</v>
      </c>
      <c r="I211">
        <v>48.2</v>
      </c>
      <c r="J211">
        <v>83.263000000000005</v>
      </c>
      <c r="K211" t="str">
        <f>"HSP90AB1;HSP90AB3P"</f>
        <v>HSP90AB1;HSP90AB3P</v>
      </c>
      <c r="L211" t="str">
        <f>"HSP90AB1;HSP90AB3P"</f>
        <v>HSP90AB1;HSP90AB3P</v>
      </c>
      <c r="M211">
        <v>8.4727249265180298</v>
      </c>
      <c r="N211">
        <v>16.101030993377499</v>
      </c>
      <c r="O211">
        <v>16.414981095387301</v>
      </c>
      <c r="P211">
        <v>11.717408201892701</v>
      </c>
      <c r="Q211">
        <v>10.046095946448499</v>
      </c>
      <c r="R211">
        <v>14.401296513487599</v>
      </c>
      <c r="S211">
        <v>15.8638979865772</v>
      </c>
      <c r="T211">
        <v>7.1069398063701401</v>
      </c>
      <c r="U211">
        <v>16.5353747714808</v>
      </c>
      <c r="V211">
        <v>12.6076316116988</v>
      </c>
      <c r="W211">
        <v>15.3047771566702</v>
      </c>
      <c r="X211">
        <v>16.738977080538898</v>
      </c>
    </row>
    <row r="212" spans="1:24">
      <c r="A212">
        <v>622</v>
      </c>
      <c r="B212" t="s">
        <v>586</v>
      </c>
      <c r="C212">
        <v>2</v>
      </c>
      <c r="D212" t="s">
        <v>587</v>
      </c>
      <c r="E212">
        <v>35</v>
      </c>
      <c r="F212">
        <v>35</v>
      </c>
      <c r="G212">
        <v>35</v>
      </c>
      <c r="H212" t="s">
        <v>588</v>
      </c>
      <c r="I212">
        <v>61.4</v>
      </c>
      <c r="J212">
        <v>61.054000000000002</v>
      </c>
      <c r="K212" t="str">
        <f>"HSPD1"</f>
        <v>HSPD1</v>
      </c>
      <c r="L212" t="str">
        <f>"HSPD1"</f>
        <v>HSPD1</v>
      </c>
      <c r="M212">
        <v>2.4207785504337198</v>
      </c>
      <c r="N212">
        <v>12.5230241059603</v>
      </c>
      <c r="O212">
        <v>12.7672075186345</v>
      </c>
      <c r="P212">
        <v>9.5869703470031506</v>
      </c>
      <c r="Q212">
        <v>8.7903339531424294</v>
      </c>
      <c r="R212">
        <v>16.201458577673499</v>
      </c>
      <c r="S212">
        <v>20.396440268456399</v>
      </c>
      <c r="T212">
        <v>5.9224498386417803</v>
      </c>
      <c r="U212">
        <v>12.125941499085901</v>
      </c>
      <c r="V212">
        <v>11.556995644057199</v>
      </c>
      <c r="W212">
        <v>19.130971445837702</v>
      </c>
      <c r="X212">
        <v>15.7543313699189</v>
      </c>
    </row>
    <row r="213" spans="1:24">
      <c r="A213">
        <v>1370</v>
      </c>
      <c r="B213" t="s">
        <v>589</v>
      </c>
      <c r="C213">
        <v>1</v>
      </c>
      <c r="D213" t="s">
        <v>590</v>
      </c>
      <c r="E213">
        <v>23</v>
      </c>
      <c r="F213">
        <v>18</v>
      </c>
      <c r="G213">
        <v>18</v>
      </c>
      <c r="H213" t="s">
        <v>589</v>
      </c>
      <c r="I213">
        <v>65.400000000000006</v>
      </c>
      <c r="J213">
        <v>28.218</v>
      </c>
      <c r="K213" t="str">
        <f>"YWHAH"</f>
        <v>YWHAH</v>
      </c>
      <c r="L213" t="str">
        <f>"YWHAH"</f>
        <v>YWHAH</v>
      </c>
      <c r="M213">
        <v>8.4727249265180298</v>
      </c>
      <c r="N213">
        <v>12.5230241059603</v>
      </c>
      <c r="O213">
        <v>12.7672075186345</v>
      </c>
      <c r="P213">
        <v>12.7826271293375</v>
      </c>
      <c r="Q213">
        <v>13.8133819263667</v>
      </c>
      <c r="R213">
        <v>16.201458577673499</v>
      </c>
      <c r="S213">
        <v>15.8638979865772</v>
      </c>
      <c r="T213">
        <v>11.8448996772836</v>
      </c>
      <c r="U213">
        <v>15.4330164533821</v>
      </c>
      <c r="V213">
        <v>10.5063596764157</v>
      </c>
      <c r="W213">
        <v>11.478582867502601</v>
      </c>
      <c r="X213">
        <v>12.8003942380591</v>
      </c>
    </row>
    <row r="214" spans="1:24">
      <c r="A214">
        <v>2139</v>
      </c>
      <c r="B214" t="s">
        <v>591</v>
      </c>
      <c r="C214">
        <v>3</v>
      </c>
      <c r="D214" t="s">
        <v>592</v>
      </c>
      <c r="E214">
        <v>33</v>
      </c>
      <c r="F214">
        <v>33</v>
      </c>
      <c r="G214">
        <v>33</v>
      </c>
      <c r="H214" t="s">
        <v>593</v>
      </c>
      <c r="I214">
        <v>58.3</v>
      </c>
      <c r="J214">
        <v>87.143000000000001</v>
      </c>
      <c r="K214" t="str">
        <f>"CASS4"</f>
        <v>CASS4</v>
      </c>
      <c r="L214" t="str">
        <f>"CASS4"</f>
        <v>CASS4</v>
      </c>
      <c r="M214">
        <v>9.6831142017348899</v>
      </c>
      <c r="N214">
        <v>16.9955327152318</v>
      </c>
      <c r="O214">
        <v>11.8552641244464</v>
      </c>
      <c r="P214">
        <v>13.8478460567823</v>
      </c>
      <c r="Q214">
        <v>3.7672859799181899</v>
      </c>
      <c r="R214">
        <v>15.3013775455806</v>
      </c>
      <c r="S214">
        <v>13.597626845637601</v>
      </c>
      <c r="T214">
        <v>10.6604097095552</v>
      </c>
      <c r="U214">
        <v>16.5353747714808</v>
      </c>
      <c r="V214">
        <v>15.7595395146235</v>
      </c>
      <c r="W214">
        <v>17.855573349448601</v>
      </c>
      <c r="X214">
        <v>20.677559923018599</v>
      </c>
    </row>
    <row r="215" spans="1:24">
      <c r="A215">
        <v>2267</v>
      </c>
      <c r="B215" t="s">
        <v>594</v>
      </c>
      <c r="C215">
        <v>2</v>
      </c>
      <c r="D215" t="s">
        <v>595</v>
      </c>
      <c r="E215">
        <v>21</v>
      </c>
      <c r="F215">
        <v>21</v>
      </c>
      <c r="G215">
        <v>1</v>
      </c>
      <c r="H215" t="s">
        <v>596</v>
      </c>
      <c r="I215">
        <v>52.1</v>
      </c>
      <c r="J215">
        <v>48.207000000000001</v>
      </c>
      <c r="K215" t="str">
        <f>"DBNL"</f>
        <v>DBNL</v>
      </c>
      <c r="L215" t="str">
        <f>"DBNL"</f>
        <v>DBNL</v>
      </c>
      <c r="M215">
        <v>9.6831142017348899</v>
      </c>
      <c r="N215">
        <v>13.4175258278146</v>
      </c>
      <c r="O215">
        <v>15.5030377011991</v>
      </c>
      <c r="P215">
        <v>13.8478460567823</v>
      </c>
      <c r="Q215">
        <v>15.069143919672699</v>
      </c>
      <c r="R215">
        <v>16.201458577673499</v>
      </c>
      <c r="S215">
        <v>15.8638979865772</v>
      </c>
      <c r="T215">
        <v>8.2914297740984999</v>
      </c>
      <c r="U215">
        <v>11.023583180987201</v>
      </c>
      <c r="V215">
        <v>12.6076316116988</v>
      </c>
      <c r="W215">
        <v>8.9277866747242793</v>
      </c>
      <c r="X215">
        <v>12.8003942380591</v>
      </c>
    </row>
    <row r="216" spans="1:24">
      <c r="A216">
        <v>1401</v>
      </c>
      <c r="B216" t="s">
        <v>597</v>
      </c>
      <c r="C216">
        <v>3</v>
      </c>
      <c r="D216" t="s">
        <v>598</v>
      </c>
      <c r="E216">
        <v>30</v>
      </c>
      <c r="F216">
        <v>30</v>
      </c>
      <c r="G216">
        <v>1</v>
      </c>
      <c r="H216" t="s">
        <v>599</v>
      </c>
      <c r="I216">
        <v>40.799999999999997</v>
      </c>
      <c r="J216">
        <v>72.730999999999995</v>
      </c>
      <c r="K216" t="str">
        <f>"NEXN"</f>
        <v>NEXN</v>
      </c>
      <c r="L216" t="str">
        <f>"NEXN"</f>
        <v>NEXN</v>
      </c>
      <c r="M216">
        <v>9.6831142017348899</v>
      </c>
      <c r="N216">
        <v>16.101030993377499</v>
      </c>
      <c r="O216">
        <v>12.7672075186345</v>
      </c>
      <c r="P216">
        <v>14.9130649842271</v>
      </c>
      <c r="Q216">
        <v>7.5345719598363701</v>
      </c>
      <c r="R216">
        <v>15.3013775455806</v>
      </c>
      <c r="S216">
        <v>16.997033557047001</v>
      </c>
      <c r="T216">
        <v>11.8448996772836</v>
      </c>
      <c r="U216">
        <v>12.125941499085901</v>
      </c>
      <c r="V216">
        <v>15.7595395146235</v>
      </c>
      <c r="W216">
        <v>14.029379060281</v>
      </c>
      <c r="X216">
        <v>10.8311028168193</v>
      </c>
    </row>
    <row r="217" spans="1:24">
      <c r="A217">
        <v>787</v>
      </c>
      <c r="B217" t="s">
        <v>600</v>
      </c>
      <c r="C217">
        <v>3</v>
      </c>
      <c r="D217" t="s">
        <v>601</v>
      </c>
      <c r="E217">
        <v>17</v>
      </c>
      <c r="F217">
        <v>17</v>
      </c>
      <c r="G217">
        <v>7</v>
      </c>
      <c r="H217" t="s">
        <v>602</v>
      </c>
      <c r="I217">
        <v>75.7</v>
      </c>
      <c r="J217">
        <v>30.137</v>
      </c>
      <c r="K217" t="str">
        <f>"NME2;NME2P1"</f>
        <v>NME2;NME2P1</v>
      </c>
      <c r="L217" t="str">
        <f>"NME2;NME2P1"</f>
        <v>NME2;NME2P1</v>
      </c>
      <c r="M217">
        <v>14.5246713026023</v>
      </c>
      <c r="N217">
        <v>7.1560137748344399</v>
      </c>
      <c r="O217">
        <v>10.943320730258201</v>
      </c>
      <c r="P217">
        <v>10.652189274448</v>
      </c>
      <c r="Q217">
        <v>13.8133819263667</v>
      </c>
      <c r="R217">
        <v>16.201458577673499</v>
      </c>
      <c r="S217">
        <v>15.8638979865772</v>
      </c>
      <c r="T217">
        <v>11.8448996772836</v>
      </c>
      <c r="U217">
        <v>13.228299817184601</v>
      </c>
      <c r="V217">
        <v>11.556995644057199</v>
      </c>
      <c r="W217">
        <v>16.580175253059402</v>
      </c>
      <c r="X217">
        <v>13.785039948679101</v>
      </c>
    </row>
    <row r="218" spans="1:24">
      <c r="A218">
        <v>1343</v>
      </c>
      <c r="B218" t="s">
        <v>603</v>
      </c>
      <c r="C218">
        <v>3</v>
      </c>
      <c r="D218" t="s">
        <v>604</v>
      </c>
      <c r="E218">
        <v>69</v>
      </c>
      <c r="F218">
        <v>69</v>
      </c>
      <c r="G218">
        <v>62</v>
      </c>
      <c r="H218" t="s">
        <v>605</v>
      </c>
      <c r="I218">
        <v>39.200000000000003</v>
      </c>
      <c r="J218">
        <v>274.61</v>
      </c>
      <c r="K218" t="str">
        <f>"SPTBN1"</f>
        <v>SPTBN1</v>
      </c>
      <c r="L218" t="str">
        <f>"SPTBN1"</f>
        <v>SPTBN1</v>
      </c>
      <c r="M218">
        <v>7.2623356513011696</v>
      </c>
      <c r="N218">
        <v>32.202061986754998</v>
      </c>
      <c r="O218">
        <v>21.886641460516401</v>
      </c>
      <c r="P218">
        <v>1.0652189274447901</v>
      </c>
      <c r="Q218">
        <v>20.092191892896999</v>
      </c>
      <c r="R218">
        <v>21.601944770231398</v>
      </c>
      <c r="S218">
        <v>6.7988134228187898</v>
      </c>
      <c r="T218">
        <v>0</v>
      </c>
      <c r="U218">
        <v>9.9212248628884794</v>
      </c>
      <c r="V218">
        <v>6.3038158058494096</v>
      </c>
      <c r="W218">
        <v>3.82619428916755</v>
      </c>
      <c r="X218">
        <v>2.9539371318597998</v>
      </c>
    </row>
    <row r="219" spans="1:24">
      <c r="A219">
        <v>868</v>
      </c>
      <c r="B219" t="s">
        <v>606</v>
      </c>
      <c r="C219">
        <v>1</v>
      </c>
      <c r="D219" t="s">
        <v>607</v>
      </c>
      <c r="E219">
        <v>42</v>
      </c>
      <c r="F219">
        <v>42</v>
      </c>
      <c r="G219">
        <v>42</v>
      </c>
      <c r="H219" t="s">
        <v>606</v>
      </c>
      <c r="I219">
        <v>39.4</v>
      </c>
      <c r="J219">
        <v>138.35</v>
      </c>
      <c r="K219" t="str">
        <f>"TPP2"</f>
        <v>TPP2</v>
      </c>
      <c r="L219" t="str">
        <f>"TPP2"</f>
        <v>TPP2</v>
      </c>
      <c r="M219">
        <v>6.0519463760843104</v>
      </c>
      <c r="N219">
        <v>14.312027549668899</v>
      </c>
      <c r="O219">
        <v>12.7672075186345</v>
      </c>
      <c r="P219">
        <v>8.5217514195583597</v>
      </c>
      <c r="Q219">
        <v>8.7903339531424294</v>
      </c>
      <c r="R219">
        <v>15.3013775455806</v>
      </c>
      <c r="S219">
        <v>14.7307624161074</v>
      </c>
      <c r="T219">
        <v>7.1069398063701401</v>
      </c>
      <c r="U219">
        <v>13.228299817184601</v>
      </c>
      <c r="V219">
        <v>10.5063596764157</v>
      </c>
      <c r="W219">
        <v>10.2031847711135</v>
      </c>
      <c r="X219">
        <v>11.815748527439199</v>
      </c>
    </row>
    <row r="220" spans="1:24">
      <c r="A220">
        <v>2115</v>
      </c>
      <c r="B220" t="s">
        <v>608</v>
      </c>
      <c r="C220">
        <v>2</v>
      </c>
      <c r="D220" t="s">
        <v>609</v>
      </c>
      <c r="E220">
        <v>26</v>
      </c>
      <c r="F220">
        <v>26</v>
      </c>
      <c r="G220">
        <v>26</v>
      </c>
      <c r="H220" t="s">
        <v>610</v>
      </c>
      <c r="I220">
        <v>62.9</v>
      </c>
      <c r="J220">
        <v>38.857999999999997</v>
      </c>
      <c r="K220" t="str">
        <f>"PSTPIP2"</f>
        <v>PSTPIP2</v>
      </c>
      <c r="L220" t="str">
        <f>"PSTPIP2"</f>
        <v>PSTPIP2</v>
      </c>
      <c r="M220">
        <v>8.4727249265180298</v>
      </c>
      <c r="N220">
        <v>15.2065292715232</v>
      </c>
      <c r="O220">
        <v>17.3269244895755</v>
      </c>
      <c r="P220">
        <v>17.043502839116702</v>
      </c>
      <c r="Q220">
        <v>15.069143919672699</v>
      </c>
      <c r="R220">
        <v>7.2006482567437899</v>
      </c>
      <c r="S220">
        <v>7.9319489932885903</v>
      </c>
      <c r="T220">
        <v>7.1069398063701401</v>
      </c>
      <c r="U220">
        <v>11.023583180987201</v>
      </c>
      <c r="V220">
        <v>8.4050877411325509</v>
      </c>
      <c r="W220">
        <v>8.9277866747242793</v>
      </c>
      <c r="X220">
        <v>13.785039948679101</v>
      </c>
    </row>
    <row r="221" spans="1:24">
      <c r="A221">
        <v>617</v>
      </c>
      <c r="B221" t="s">
        <v>611</v>
      </c>
      <c r="C221">
        <v>1</v>
      </c>
      <c r="D221" t="s">
        <v>612</v>
      </c>
      <c r="E221">
        <v>32</v>
      </c>
      <c r="F221">
        <v>32</v>
      </c>
      <c r="G221">
        <v>28</v>
      </c>
      <c r="H221" t="s">
        <v>611</v>
      </c>
      <c r="I221">
        <v>42.7</v>
      </c>
      <c r="J221">
        <v>93.516999999999996</v>
      </c>
      <c r="K221" t="str">
        <f>"C7"</f>
        <v>C7</v>
      </c>
      <c r="L221" t="str">
        <f>"C7"</f>
        <v>C7</v>
      </c>
      <c r="M221">
        <v>19.366228403469801</v>
      </c>
      <c r="N221">
        <v>15.2065292715232</v>
      </c>
      <c r="O221">
        <v>13.679150912822699</v>
      </c>
      <c r="P221">
        <v>12.7826271293375</v>
      </c>
      <c r="Q221">
        <v>18.8364298995909</v>
      </c>
      <c r="R221">
        <v>8.1007292888367601</v>
      </c>
      <c r="S221">
        <v>13.597626845637601</v>
      </c>
      <c r="T221">
        <v>11.8448996772836</v>
      </c>
      <c r="U221">
        <v>7.7165082266910403</v>
      </c>
      <c r="V221">
        <v>9.4557237087741104</v>
      </c>
      <c r="W221">
        <v>11.478582867502601</v>
      </c>
      <c r="X221">
        <v>7.8771656849594702</v>
      </c>
    </row>
    <row r="222" spans="1:24">
      <c r="A222">
        <v>685</v>
      </c>
      <c r="B222" t="s">
        <v>613</v>
      </c>
      <c r="C222">
        <v>2</v>
      </c>
      <c r="D222" t="s">
        <v>614</v>
      </c>
      <c r="E222">
        <v>39</v>
      </c>
      <c r="F222">
        <v>39</v>
      </c>
      <c r="G222">
        <v>38</v>
      </c>
      <c r="H222" t="s">
        <v>615</v>
      </c>
      <c r="I222">
        <v>37.299999999999997</v>
      </c>
      <c r="J222">
        <v>122.02</v>
      </c>
      <c r="K222" t="str">
        <f>"NID1"</f>
        <v>NID1</v>
      </c>
      <c r="L222" t="str">
        <f>"NID1"</f>
        <v>NID1</v>
      </c>
      <c r="M222">
        <v>10.8935034769518</v>
      </c>
      <c r="N222">
        <v>13.4175258278146</v>
      </c>
      <c r="O222">
        <v>16.414981095387301</v>
      </c>
      <c r="P222">
        <v>8.5217514195583597</v>
      </c>
      <c r="Q222">
        <v>12.5576199330606</v>
      </c>
      <c r="R222">
        <v>18.0016206418595</v>
      </c>
      <c r="S222">
        <v>10.198220134228199</v>
      </c>
      <c r="T222">
        <v>7.1069398063701401</v>
      </c>
      <c r="U222">
        <v>14.3306581352834</v>
      </c>
      <c r="V222">
        <v>7.3544517734909798</v>
      </c>
      <c r="W222">
        <v>10.2031847711135</v>
      </c>
      <c r="X222">
        <v>16.738977080538898</v>
      </c>
    </row>
    <row r="223" spans="1:24">
      <c r="A223">
        <v>1126</v>
      </c>
      <c r="B223" t="s">
        <v>616</v>
      </c>
      <c r="C223">
        <v>1</v>
      </c>
      <c r="D223" t="s">
        <v>617</v>
      </c>
      <c r="E223">
        <v>17</v>
      </c>
      <c r="F223">
        <v>17</v>
      </c>
      <c r="G223">
        <v>17</v>
      </c>
      <c r="H223" t="s">
        <v>616</v>
      </c>
      <c r="I223">
        <v>80.7</v>
      </c>
      <c r="J223">
        <v>23.489000000000001</v>
      </c>
      <c r="K223" t="str">
        <f>"RAB7A"</f>
        <v>RAB7A</v>
      </c>
      <c r="L223" t="str">
        <f>"RAB7A"</f>
        <v>RAB7A</v>
      </c>
      <c r="M223">
        <v>7.2623356513011696</v>
      </c>
      <c r="N223">
        <v>8.0505154966887407</v>
      </c>
      <c r="O223">
        <v>10.031377336069999</v>
      </c>
      <c r="P223">
        <v>13.8478460567823</v>
      </c>
      <c r="Q223">
        <v>12.5576199330606</v>
      </c>
      <c r="R223">
        <v>14.401296513487599</v>
      </c>
      <c r="S223">
        <v>12.4644912751678</v>
      </c>
      <c r="T223">
        <v>8.2914297740984999</v>
      </c>
      <c r="U223">
        <v>14.3306581352834</v>
      </c>
      <c r="V223">
        <v>13.6582675793404</v>
      </c>
      <c r="W223">
        <v>16.580175253059402</v>
      </c>
      <c r="X223">
        <v>13.785039948679101</v>
      </c>
    </row>
    <row r="224" spans="1:24">
      <c r="A224">
        <v>2146</v>
      </c>
      <c r="B224" t="s">
        <v>618</v>
      </c>
      <c r="C224">
        <v>5</v>
      </c>
      <c r="D224" t="s">
        <v>619</v>
      </c>
      <c r="E224">
        <v>25</v>
      </c>
      <c r="F224">
        <v>25</v>
      </c>
      <c r="G224">
        <v>3</v>
      </c>
      <c r="H224" t="s">
        <v>620</v>
      </c>
      <c r="I224">
        <v>69.8</v>
      </c>
      <c r="J224">
        <v>49.844000000000001</v>
      </c>
      <c r="K224" t="str">
        <f>"PDLIM7"</f>
        <v>PDLIM7</v>
      </c>
      <c r="L224" t="str">
        <f>"PDLIM7"</f>
        <v>PDLIM7</v>
      </c>
      <c r="M224">
        <v>10.8935034769518</v>
      </c>
      <c r="N224">
        <v>15.2065292715232</v>
      </c>
      <c r="O224">
        <v>20.062754672139999</v>
      </c>
      <c r="P224">
        <v>11.717408201892701</v>
      </c>
      <c r="Q224">
        <v>6.2788099665303099</v>
      </c>
      <c r="R224">
        <v>13.501215481394601</v>
      </c>
      <c r="S224">
        <v>11.331355704698</v>
      </c>
      <c r="T224">
        <v>10.6604097095552</v>
      </c>
      <c r="U224">
        <v>13.228299817184601</v>
      </c>
      <c r="V224">
        <v>12.6076316116988</v>
      </c>
      <c r="W224">
        <v>10.2031847711135</v>
      </c>
      <c r="X224">
        <v>10.8311028168193</v>
      </c>
    </row>
    <row r="225" spans="1:24">
      <c r="A225">
        <v>1632</v>
      </c>
      <c r="B225" t="s">
        <v>621</v>
      </c>
      <c r="C225">
        <v>4</v>
      </c>
      <c r="D225" t="s">
        <v>622</v>
      </c>
      <c r="E225">
        <v>37</v>
      </c>
      <c r="F225">
        <v>37</v>
      </c>
      <c r="G225">
        <v>37</v>
      </c>
      <c r="H225" t="s">
        <v>623</v>
      </c>
      <c r="I225">
        <v>42.2</v>
      </c>
      <c r="J225">
        <v>100.4</v>
      </c>
      <c r="K225" t="str">
        <f>"WDR44"</f>
        <v>WDR44</v>
      </c>
      <c r="L225" t="str">
        <f>"WDR44"</f>
        <v>WDR44</v>
      </c>
      <c r="M225">
        <v>6.0519463760843104</v>
      </c>
      <c r="N225">
        <v>17.890034437086101</v>
      </c>
      <c r="O225">
        <v>12.7672075186345</v>
      </c>
      <c r="P225">
        <v>13.8478460567823</v>
      </c>
      <c r="Q225">
        <v>7.5345719598363701</v>
      </c>
      <c r="R225">
        <v>10.800972385115699</v>
      </c>
      <c r="S225">
        <v>12.4644912751678</v>
      </c>
      <c r="T225">
        <v>11.8448996772836</v>
      </c>
      <c r="U225">
        <v>11.023583180987201</v>
      </c>
      <c r="V225">
        <v>12.6076316116988</v>
      </c>
      <c r="W225">
        <v>11.478582867502601</v>
      </c>
      <c r="X225">
        <v>14.769685659299</v>
      </c>
    </row>
    <row r="226" spans="1:24">
      <c r="A226">
        <v>1724</v>
      </c>
      <c r="B226" t="s">
        <v>624</v>
      </c>
      <c r="C226">
        <v>4</v>
      </c>
      <c r="D226" t="s">
        <v>625</v>
      </c>
      <c r="E226">
        <v>26</v>
      </c>
      <c r="F226">
        <v>26</v>
      </c>
      <c r="G226">
        <v>26</v>
      </c>
      <c r="H226" t="s">
        <v>626</v>
      </c>
      <c r="I226">
        <v>52.4</v>
      </c>
      <c r="J226">
        <v>69.248000000000005</v>
      </c>
      <c r="K226" t="str">
        <f>"RASGRP2"</f>
        <v>RASGRP2</v>
      </c>
      <c r="L226" t="str">
        <f>"RASGRP2"</f>
        <v>RASGRP2</v>
      </c>
      <c r="M226">
        <v>9.6831142017348899</v>
      </c>
      <c r="N226">
        <v>14.312027549668899</v>
      </c>
      <c r="O226">
        <v>20.062754672139999</v>
      </c>
      <c r="P226">
        <v>9.5869703470031506</v>
      </c>
      <c r="Q226">
        <v>7.5345719598363701</v>
      </c>
      <c r="R226">
        <v>12.6011344493016</v>
      </c>
      <c r="S226">
        <v>7.9319489932885903</v>
      </c>
      <c r="T226">
        <v>9.4759197418268606</v>
      </c>
      <c r="U226">
        <v>13.228299817184601</v>
      </c>
      <c r="V226">
        <v>10.5063596764157</v>
      </c>
      <c r="W226">
        <v>14.029379060281</v>
      </c>
      <c r="X226">
        <v>15.7543313699189</v>
      </c>
    </row>
    <row r="227" spans="1:24">
      <c r="A227">
        <v>1084</v>
      </c>
      <c r="B227" t="s">
        <v>627</v>
      </c>
      <c r="C227">
        <v>1</v>
      </c>
      <c r="D227" t="s">
        <v>628</v>
      </c>
      <c r="E227">
        <v>49</v>
      </c>
      <c r="F227">
        <v>49</v>
      </c>
      <c r="G227">
        <v>49</v>
      </c>
      <c r="H227" t="s">
        <v>627</v>
      </c>
      <c r="I227">
        <v>27.4</v>
      </c>
      <c r="J227">
        <v>273.42</v>
      </c>
      <c r="K227" t="str">
        <f>"FASN"</f>
        <v>FASN</v>
      </c>
      <c r="L227" t="str">
        <f>"FASN"</f>
        <v>FASN</v>
      </c>
      <c r="M227">
        <v>8.4727249265180298</v>
      </c>
      <c r="N227">
        <v>14.312027549668899</v>
      </c>
      <c r="O227">
        <v>13.679150912822699</v>
      </c>
      <c r="P227">
        <v>11.717408201892701</v>
      </c>
      <c r="Q227">
        <v>6.2788099665303099</v>
      </c>
      <c r="R227">
        <v>11.7010534172087</v>
      </c>
      <c r="S227">
        <v>14.7307624161074</v>
      </c>
      <c r="T227">
        <v>7.1069398063701401</v>
      </c>
      <c r="U227">
        <v>12.125941499085901</v>
      </c>
      <c r="V227">
        <v>8.4050877411325509</v>
      </c>
      <c r="W227">
        <v>11.478582867502601</v>
      </c>
      <c r="X227">
        <v>13.785039948679101</v>
      </c>
    </row>
    <row r="228" spans="1:24">
      <c r="A228">
        <v>1621</v>
      </c>
      <c r="B228" t="s">
        <v>629</v>
      </c>
      <c r="C228">
        <v>1</v>
      </c>
      <c r="D228" t="s">
        <v>630</v>
      </c>
      <c r="E228">
        <v>10</v>
      </c>
      <c r="F228">
        <v>10</v>
      </c>
      <c r="G228">
        <v>10</v>
      </c>
      <c r="H228" t="s">
        <v>629</v>
      </c>
      <c r="I228">
        <v>67.400000000000006</v>
      </c>
      <c r="J228">
        <v>18.986000000000001</v>
      </c>
      <c r="K228" t="str">
        <f>"LGALSL"</f>
        <v>LGALSL</v>
      </c>
      <c r="L228" t="str">
        <f>"LGALSL"</f>
        <v>LGALSL</v>
      </c>
      <c r="M228">
        <v>10.8935034769518</v>
      </c>
      <c r="N228">
        <v>16.101030993377499</v>
      </c>
      <c r="O228">
        <v>11.8552641244464</v>
      </c>
      <c r="P228">
        <v>11.717408201892701</v>
      </c>
      <c r="Q228">
        <v>8.7903339531424294</v>
      </c>
      <c r="R228">
        <v>15.3013775455806</v>
      </c>
      <c r="S228">
        <v>11.331355704698</v>
      </c>
      <c r="T228">
        <v>11.8448996772836</v>
      </c>
      <c r="U228">
        <v>11.023583180987201</v>
      </c>
      <c r="V228">
        <v>13.6582675793404</v>
      </c>
      <c r="W228">
        <v>11.478582867502601</v>
      </c>
      <c r="X228">
        <v>10.8311028168193</v>
      </c>
    </row>
    <row r="229" spans="1:24">
      <c r="A229">
        <v>1744</v>
      </c>
      <c r="B229" t="s">
        <v>631</v>
      </c>
      <c r="C229">
        <v>5</v>
      </c>
      <c r="D229" t="s">
        <v>632</v>
      </c>
      <c r="E229">
        <v>37</v>
      </c>
      <c r="F229">
        <v>37</v>
      </c>
      <c r="G229">
        <v>37</v>
      </c>
      <c r="H229" t="s">
        <v>633</v>
      </c>
      <c r="I229">
        <v>34.200000000000003</v>
      </c>
      <c r="J229">
        <v>136.37</v>
      </c>
      <c r="K229" t="str">
        <f>"CAND1;CAND2"</f>
        <v>CAND1;CAND2</v>
      </c>
      <c r="L229" t="str">
        <f>"CAND1;CAND2"</f>
        <v>CAND1;CAND2</v>
      </c>
      <c r="M229">
        <v>6.0519463760843104</v>
      </c>
      <c r="N229">
        <v>12.5230241059603</v>
      </c>
      <c r="O229">
        <v>14.5910943070109</v>
      </c>
      <c r="P229">
        <v>10.652189274448</v>
      </c>
      <c r="Q229">
        <v>8.7903339531424294</v>
      </c>
      <c r="R229">
        <v>15.3013775455806</v>
      </c>
      <c r="S229">
        <v>10.198220134228199</v>
      </c>
      <c r="T229">
        <v>11.8448996772836</v>
      </c>
      <c r="U229">
        <v>5.5117915904936003</v>
      </c>
      <c r="V229">
        <v>11.556995644057199</v>
      </c>
      <c r="W229">
        <v>12.7539809638918</v>
      </c>
      <c r="X229">
        <v>13.785039948679101</v>
      </c>
    </row>
    <row r="230" spans="1:24">
      <c r="A230">
        <v>1219</v>
      </c>
      <c r="B230" t="s">
        <v>634</v>
      </c>
      <c r="C230">
        <v>3</v>
      </c>
      <c r="D230" t="s">
        <v>635</v>
      </c>
      <c r="E230">
        <v>22</v>
      </c>
      <c r="F230">
        <v>22</v>
      </c>
      <c r="G230">
        <v>10</v>
      </c>
      <c r="H230" t="s">
        <v>636</v>
      </c>
      <c r="I230">
        <v>53.2</v>
      </c>
      <c r="J230">
        <v>46.152999999999999</v>
      </c>
      <c r="K230" t="str">
        <f>"EIF4A1;EIF4A3"</f>
        <v>EIF4A1;EIF4A3</v>
      </c>
      <c r="L230" t="str">
        <f>"EIF4A1;EIF4A3"</f>
        <v>EIF4A1;EIF4A3</v>
      </c>
      <c r="M230">
        <v>8.4727249265180298</v>
      </c>
      <c r="N230">
        <v>11.628522384106001</v>
      </c>
      <c r="O230">
        <v>12.7672075186345</v>
      </c>
      <c r="P230">
        <v>10.652189274448</v>
      </c>
      <c r="Q230">
        <v>3.7672859799181899</v>
      </c>
      <c r="R230">
        <v>14.401296513487599</v>
      </c>
      <c r="S230">
        <v>15.8638979865772</v>
      </c>
      <c r="T230">
        <v>7.1069398063701401</v>
      </c>
      <c r="U230">
        <v>11.023583180987201</v>
      </c>
      <c r="V230">
        <v>11.556995644057199</v>
      </c>
      <c r="W230">
        <v>11.478582867502601</v>
      </c>
      <c r="X230">
        <v>17.7236227911588</v>
      </c>
    </row>
    <row r="231" spans="1:24">
      <c r="A231">
        <v>2318</v>
      </c>
      <c r="B231" t="s">
        <v>637</v>
      </c>
      <c r="C231">
        <v>2</v>
      </c>
      <c r="D231" t="s">
        <v>638</v>
      </c>
      <c r="E231">
        <v>14</v>
      </c>
      <c r="F231">
        <v>14</v>
      </c>
      <c r="G231">
        <v>14</v>
      </c>
      <c r="H231" t="s">
        <v>639</v>
      </c>
      <c r="I231">
        <v>54.1</v>
      </c>
      <c r="J231">
        <v>30.658000000000001</v>
      </c>
      <c r="K231" t="str">
        <f>"VDAC3"</f>
        <v>VDAC3</v>
      </c>
      <c r="L231" t="str">
        <f>"VDAC3"</f>
        <v>VDAC3</v>
      </c>
      <c r="M231">
        <v>12.1038927521686</v>
      </c>
      <c r="N231">
        <v>15.2065292715232</v>
      </c>
      <c r="O231">
        <v>14.5910943070109</v>
      </c>
      <c r="P231">
        <v>13.8478460567823</v>
      </c>
      <c r="Q231">
        <v>11.3018579397546</v>
      </c>
      <c r="R231">
        <v>9.9008913530227094</v>
      </c>
      <c r="S231">
        <v>11.331355704698</v>
      </c>
      <c r="T231">
        <v>17.7673495159254</v>
      </c>
      <c r="U231">
        <v>12.125941499085901</v>
      </c>
      <c r="V231">
        <v>12.6076316116988</v>
      </c>
      <c r="W231">
        <v>12.7539809638918</v>
      </c>
      <c r="X231">
        <v>15.7543313699189</v>
      </c>
    </row>
    <row r="232" spans="1:24">
      <c r="A232">
        <v>772</v>
      </c>
      <c r="B232" t="s">
        <v>640</v>
      </c>
      <c r="C232">
        <v>1</v>
      </c>
      <c r="D232" t="s">
        <v>641</v>
      </c>
      <c r="E232">
        <v>10</v>
      </c>
      <c r="F232">
        <v>10</v>
      </c>
      <c r="G232">
        <v>10</v>
      </c>
      <c r="H232" t="s">
        <v>640</v>
      </c>
      <c r="I232">
        <v>64.8</v>
      </c>
      <c r="J232">
        <v>20.567</v>
      </c>
      <c r="K232" t="str">
        <f>"CSRP1"</f>
        <v>CSRP1</v>
      </c>
      <c r="L232" t="str">
        <f>"CSRP1"</f>
        <v>CSRP1</v>
      </c>
      <c r="M232">
        <v>14.5246713026023</v>
      </c>
      <c r="N232">
        <v>12.5230241059603</v>
      </c>
      <c r="O232">
        <v>12.7672075186345</v>
      </c>
      <c r="P232">
        <v>11.717408201892701</v>
      </c>
      <c r="Q232">
        <v>15.069143919672699</v>
      </c>
      <c r="R232">
        <v>10.800972385115699</v>
      </c>
      <c r="S232">
        <v>11.331355704698</v>
      </c>
      <c r="T232">
        <v>11.8448996772836</v>
      </c>
      <c r="U232">
        <v>13.228299817184601</v>
      </c>
      <c r="V232">
        <v>12.6076316116988</v>
      </c>
      <c r="W232">
        <v>15.3047771566702</v>
      </c>
      <c r="X232">
        <v>12.8003942380591</v>
      </c>
    </row>
    <row r="233" spans="1:24">
      <c r="A233">
        <v>368</v>
      </c>
      <c r="B233" t="s">
        <v>642</v>
      </c>
      <c r="C233">
        <v>2</v>
      </c>
      <c r="D233" t="s">
        <v>643</v>
      </c>
      <c r="E233">
        <v>4</v>
      </c>
      <c r="F233">
        <v>3</v>
      </c>
      <c r="G233">
        <v>1</v>
      </c>
      <c r="H233" t="s">
        <v>644</v>
      </c>
      <c r="I233">
        <v>43.3</v>
      </c>
      <c r="J233">
        <v>13.227</v>
      </c>
      <c r="K233" t="str">
        <f>""</f>
        <v/>
      </c>
      <c r="L233" s="2" t="s">
        <v>645</v>
      </c>
      <c r="M233">
        <v>16.945449853036099</v>
      </c>
      <c r="N233">
        <v>13.4175258278146</v>
      </c>
      <c r="O233">
        <v>15.5030377011991</v>
      </c>
      <c r="P233">
        <v>15.9782839116719</v>
      </c>
      <c r="Q233">
        <v>21.347953886203101</v>
      </c>
      <c r="R233">
        <v>9.9008913530227094</v>
      </c>
      <c r="S233">
        <v>5.6656778523489901</v>
      </c>
      <c r="T233">
        <v>13.0293896450119</v>
      </c>
      <c r="U233">
        <v>11.023583180987201</v>
      </c>
      <c r="V233">
        <v>12.6076316116988</v>
      </c>
      <c r="W233">
        <v>12.7539809638918</v>
      </c>
      <c r="X233">
        <v>6.8925199743395398</v>
      </c>
    </row>
    <row r="234" spans="1:24">
      <c r="A234">
        <v>871</v>
      </c>
      <c r="B234" t="s">
        <v>646</v>
      </c>
      <c r="C234">
        <v>4</v>
      </c>
      <c r="D234" t="s">
        <v>647</v>
      </c>
      <c r="E234">
        <v>28</v>
      </c>
      <c r="F234">
        <v>28</v>
      </c>
      <c r="G234">
        <v>28</v>
      </c>
      <c r="H234" t="s">
        <v>648</v>
      </c>
      <c r="I234">
        <v>50.9</v>
      </c>
      <c r="J234">
        <v>67.56</v>
      </c>
      <c r="K234" t="str">
        <f>"PTPN6"</f>
        <v>PTPN6</v>
      </c>
      <c r="L234" t="str">
        <f>"PTPN6"</f>
        <v>PTPN6</v>
      </c>
      <c r="M234">
        <v>13.3142820273855</v>
      </c>
      <c r="N234">
        <v>17.890034437086101</v>
      </c>
      <c r="O234">
        <v>13.679150912822699</v>
      </c>
      <c r="P234">
        <v>10.652189274448</v>
      </c>
      <c r="Q234">
        <v>7.5345719598363701</v>
      </c>
      <c r="R234">
        <v>16.201458577673499</v>
      </c>
      <c r="S234">
        <v>13.597626845637601</v>
      </c>
      <c r="T234">
        <v>10.6604097095552</v>
      </c>
      <c r="U234">
        <v>8.8188665447897598</v>
      </c>
      <c r="V234">
        <v>9.4557237087741104</v>
      </c>
      <c r="W234">
        <v>12.7539809638918</v>
      </c>
      <c r="X234">
        <v>5.9078742637195996</v>
      </c>
    </row>
    <row r="235" spans="1:24">
      <c r="A235">
        <v>919</v>
      </c>
      <c r="B235" t="s">
        <v>649</v>
      </c>
      <c r="C235">
        <v>1</v>
      </c>
      <c r="D235" t="s">
        <v>650</v>
      </c>
      <c r="E235">
        <v>25</v>
      </c>
      <c r="F235">
        <v>18</v>
      </c>
      <c r="G235">
        <v>18</v>
      </c>
      <c r="H235" t="s">
        <v>649</v>
      </c>
      <c r="I235">
        <v>58.4</v>
      </c>
      <c r="J235">
        <v>50.582000000000001</v>
      </c>
      <c r="K235" t="str">
        <f>"GDI1"</f>
        <v>GDI1</v>
      </c>
      <c r="L235" t="str">
        <f>"GDI1"</f>
        <v>GDI1</v>
      </c>
      <c r="M235">
        <v>7.2623356513011696</v>
      </c>
      <c r="N235">
        <v>13.4175258278146</v>
      </c>
      <c r="O235">
        <v>13.679150912822699</v>
      </c>
      <c r="P235">
        <v>8.5217514195583597</v>
      </c>
      <c r="Q235">
        <v>8.7903339531424294</v>
      </c>
      <c r="R235">
        <v>15.3013775455806</v>
      </c>
      <c r="S235">
        <v>14.7307624161074</v>
      </c>
      <c r="T235">
        <v>15.3983695804686</v>
      </c>
      <c r="U235">
        <v>12.125941499085901</v>
      </c>
      <c r="V235">
        <v>14.708903546982</v>
      </c>
      <c r="W235">
        <v>14.029379060281</v>
      </c>
      <c r="X235">
        <v>13.785039948679101</v>
      </c>
    </row>
    <row r="236" spans="1:24">
      <c r="A236">
        <v>2022</v>
      </c>
      <c r="B236" t="s">
        <v>651</v>
      </c>
      <c r="C236">
        <v>2</v>
      </c>
      <c r="D236" t="s">
        <v>652</v>
      </c>
      <c r="E236">
        <v>25</v>
      </c>
      <c r="F236">
        <v>25</v>
      </c>
      <c r="G236">
        <v>25</v>
      </c>
      <c r="H236" t="s">
        <v>653</v>
      </c>
      <c r="I236">
        <v>31.1</v>
      </c>
      <c r="J236">
        <v>122.85</v>
      </c>
      <c r="K236" t="str">
        <f>"ESYT1"</f>
        <v>ESYT1</v>
      </c>
      <c r="L236" t="str">
        <f>"ESYT1"</f>
        <v>ESYT1</v>
      </c>
      <c r="M236">
        <v>8.4727249265180298</v>
      </c>
      <c r="N236">
        <v>16.101030993377499</v>
      </c>
      <c r="O236">
        <v>12.7672075186345</v>
      </c>
      <c r="P236">
        <v>9.5869703470031506</v>
      </c>
      <c r="Q236">
        <v>11.3018579397546</v>
      </c>
      <c r="R236">
        <v>9.9008913530227094</v>
      </c>
      <c r="S236">
        <v>7.9319489932885903</v>
      </c>
      <c r="T236">
        <v>9.4759197418268606</v>
      </c>
      <c r="U236">
        <v>8.8188665447897598</v>
      </c>
      <c r="V236">
        <v>14.708903546982</v>
      </c>
      <c r="W236">
        <v>7.6523885783351</v>
      </c>
      <c r="X236">
        <v>10.8311028168193</v>
      </c>
    </row>
    <row r="237" spans="1:24">
      <c r="A237">
        <v>419</v>
      </c>
      <c r="B237" t="s">
        <v>654</v>
      </c>
      <c r="C237">
        <v>2</v>
      </c>
      <c r="D237" t="s">
        <v>655</v>
      </c>
      <c r="E237">
        <v>16</v>
      </c>
      <c r="F237">
        <v>16</v>
      </c>
      <c r="G237">
        <v>16</v>
      </c>
      <c r="H237" t="s">
        <v>656</v>
      </c>
      <c r="I237">
        <v>46.9</v>
      </c>
      <c r="J237">
        <v>38.999000000000002</v>
      </c>
      <c r="K237" t="str">
        <f>"AMBP"</f>
        <v>AMBP</v>
      </c>
      <c r="L237" t="str">
        <f>"AMBP"</f>
        <v>AMBP</v>
      </c>
      <c r="M237">
        <v>19.366228403469801</v>
      </c>
      <c r="N237">
        <v>8.9450172185430503</v>
      </c>
      <c r="O237">
        <v>12.7672075186345</v>
      </c>
      <c r="P237">
        <v>18.108721766561501</v>
      </c>
      <c r="Q237">
        <v>17.580667906284901</v>
      </c>
      <c r="R237">
        <v>9.0008103209297392</v>
      </c>
      <c r="S237">
        <v>10.198220134228199</v>
      </c>
      <c r="T237">
        <v>15.3983695804686</v>
      </c>
      <c r="U237">
        <v>6.6141499085923199</v>
      </c>
      <c r="V237">
        <v>16.810175482265102</v>
      </c>
      <c r="W237">
        <v>12.7539809638918</v>
      </c>
      <c r="X237">
        <v>8.8618113955793998</v>
      </c>
    </row>
    <row r="238" spans="1:24">
      <c r="A238">
        <v>1121</v>
      </c>
      <c r="B238" t="s">
        <v>657</v>
      </c>
      <c r="C238">
        <v>4</v>
      </c>
      <c r="D238" t="s">
        <v>658</v>
      </c>
      <c r="E238">
        <v>58</v>
      </c>
      <c r="F238">
        <v>58</v>
      </c>
      <c r="G238">
        <v>58</v>
      </c>
      <c r="H238" t="s">
        <v>659</v>
      </c>
      <c r="I238">
        <v>22.9</v>
      </c>
      <c r="J238">
        <v>317.7</v>
      </c>
      <c r="K238" t="str">
        <f>"LRBA;NBEA"</f>
        <v>LRBA;NBEA</v>
      </c>
      <c r="L238" t="str">
        <f>"LRBA;NBEA"</f>
        <v>LRBA;NBEA</v>
      </c>
      <c r="M238">
        <v>8.4727249265180298</v>
      </c>
      <c r="N238">
        <v>20.573539602648999</v>
      </c>
      <c r="O238">
        <v>9.1194339418818195</v>
      </c>
      <c r="P238">
        <v>10.652189274448</v>
      </c>
      <c r="Q238">
        <v>3.7672859799181899</v>
      </c>
      <c r="R238">
        <v>10.800972385115699</v>
      </c>
      <c r="S238">
        <v>11.331355704698</v>
      </c>
      <c r="T238">
        <v>7.1069398063701401</v>
      </c>
      <c r="U238">
        <v>11.023583180987201</v>
      </c>
      <c r="V238">
        <v>10.5063596764157</v>
      </c>
      <c r="W238">
        <v>8.9277866747242793</v>
      </c>
      <c r="X238">
        <v>13.785039948679101</v>
      </c>
    </row>
    <row r="239" spans="1:24">
      <c r="A239">
        <v>717</v>
      </c>
      <c r="B239" t="s">
        <v>660</v>
      </c>
      <c r="C239">
        <v>6</v>
      </c>
      <c r="D239" t="s">
        <v>661</v>
      </c>
      <c r="E239">
        <v>31</v>
      </c>
      <c r="F239">
        <v>31</v>
      </c>
      <c r="G239">
        <v>31</v>
      </c>
      <c r="H239" t="s">
        <v>662</v>
      </c>
      <c r="I239">
        <v>51.3</v>
      </c>
      <c r="J239">
        <v>80.206000000000003</v>
      </c>
      <c r="K239" t="str">
        <f>"PECAM1"</f>
        <v>PECAM1</v>
      </c>
      <c r="L239" t="str">
        <f>"PECAM1"</f>
        <v>PECAM1</v>
      </c>
      <c r="M239">
        <v>4.8415571008674503</v>
      </c>
      <c r="N239">
        <v>8.0505154966887407</v>
      </c>
      <c r="O239">
        <v>7.2955471535054599</v>
      </c>
      <c r="P239">
        <v>20.239159621451101</v>
      </c>
      <c r="Q239">
        <v>17.580667906284901</v>
      </c>
      <c r="R239">
        <v>22.502025802324301</v>
      </c>
      <c r="S239">
        <v>19.263304697986602</v>
      </c>
      <c r="T239">
        <v>15.3983695804686</v>
      </c>
      <c r="U239">
        <v>25.354241316270599</v>
      </c>
      <c r="V239">
        <v>18.911447417548199</v>
      </c>
      <c r="W239">
        <v>1.27539809638918</v>
      </c>
      <c r="X239">
        <v>12.8003942380591</v>
      </c>
    </row>
    <row r="240" spans="1:24">
      <c r="A240">
        <v>1314</v>
      </c>
      <c r="B240" t="s">
        <v>663</v>
      </c>
      <c r="C240">
        <v>2</v>
      </c>
      <c r="D240" t="s">
        <v>664</v>
      </c>
      <c r="E240">
        <v>31</v>
      </c>
      <c r="F240">
        <v>31</v>
      </c>
      <c r="G240">
        <v>31</v>
      </c>
      <c r="H240" t="s">
        <v>665</v>
      </c>
      <c r="I240">
        <v>60.4</v>
      </c>
      <c r="J240">
        <v>57.488</v>
      </c>
      <c r="K240" t="str">
        <f>"CCT2"</f>
        <v>CCT2</v>
      </c>
      <c r="L240" t="str">
        <f>"CCT2"</f>
        <v>CCT2</v>
      </c>
      <c r="M240">
        <v>12.1038927521686</v>
      </c>
      <c r="N240">
        <v>8.0505154966887407</v>
      </c>
      <c r="O240">
        <v>9.1194339418818195</v>
      </c>
      <c r="P240">
        <v>14.9130649842271</v>
      </c>
      <c r="Q240">
        <v>7.5345719598363701</v>
      </c>
      <c r="R240">
        <v>18.0016206418595</v>
      </c>
      <c r="S240">
        <v>9.0650845637583899</v>
      </c>
      <c r="T240">
        <v>8.2914297740984999</v>
      </c>
      <c r="U240">
        <v>9.9212248628884794</v>
      </c>
      <c r="V240">
        <v>12.6076316116988</v>
      </c>
      <c r="W240">
        <v>15.3047771566702</v>
      </c>
      <c r="X240">
        <v>11.815748527439199</v>
      </c>
    </row>
    <row r="241" spans="1:24">
      <c r="A241">
        <v>1519</v>
      </c>
      <c r="B241" t="s">
        <v>666</v>
      </c>
      <c r="C241">
        <v>4</v>
      </c>
      <c r="D241" t="s">
        <v>667</v>
      </c>
      <c r="E241">
        <v>18</v>
      </c>
      <c r="F241">
        <v>18</v>
      </c>
      <c r="G241">
        <v>18</v>
      </c>
      <c r="H241" t="s">
        <v>668</v>
      </c>
      <c r="I241">
        <v>65.900000000000006</v>
      </c>
      <c r="J241">
        <v>29.716999999999999</v>
      </c>
      <c r="K241" t="str">
        <f>"LASP1;NEBL"</f>
        <v>LASP1;NEBL</v>
      </c>
      <c r="L241" t="str">
        <f>"LASP1;NEBL"</f>
        <v>LASP1;NEBL</v>
      </c>
      <c r="M241">
        <v>10.8935034769518</v>
      </c>
      <c r="N241">
        <v>18.784536158940401</v>
      </c>
      <c r="O241">
        <v>14.5910943070109</v>
      </c>
      <c r="P241">
        <v>13.8478460567823</v>
      </c>
      <c r="Q241">
        <v>10.046095946448499</v>
      </c>
      <c r="R241">
        <v>9.9008913530227094</v>
      </c>
      <c r="S241">
        <v>12.4644912751678</v>
      </c>
      <c r="T241">
        <v>8.2914297740984999</v>
      </c>
      <c r="U241">
        <v>9.9212248628884794</v>
      </c>
      <c r="V241">
        <v>10.5063596764157</v>
      </c>
      <c r="W241">
        <v>8.9277866747242793</v>
      </c>
      <c r="X241">
        <v>11.815748527439199</v>
      </c>
    </row>
    <row r="242" spans="1:24">
      <c r="A242">
        <v>872</v>
      </c>
      <c r="B242" t="s">
        <v>669</v>
      </c>
      <c r="C242">
        <v>2</v>
      </c>
      <c r="D242" t="s">
        <v>670</v>
      </c>
      <c r="E242">
        <v>24</v>
      </c>
      <c r="F242">
        <v>24</v>
      </c>
      <c r="G242">
        <v>24</v>
      </c>
      <c r="H242" t="s">
        <v>671</v>
      </c>
      <c r="I242">
        <v>49</v>
      </c>
      <c r="J242">
        <v>67.876999999999995</v>
      </c>
      <c r="K242" t="str">
        <f>"TKT"</f>
        <v>TKT</v>
      </c>
      <c r="L242" t="str">
        <f>"TKT"</f>
        <v>TKT</v>
      </c>
      <c r="M242">
        <v>4.8415571008674503</v>
      </c>
      <c r="N242">
        <v>9.8395189403973493</v>
      </c>
      <c r="O242">
        <v>10.031377336069999</v>
      </c>
      <c r="P242">
        <v>12.7826271293375</v>
      </c>
      <c r="Q242">
        <v>11.3018579397546</v>
      </c>
      <c r="R242">
        <v>13.501215481394601</v>
      </c>
      <c r="S242">
        <v>13.597626845637601</v>
      </c>
      <c r="T242">
        <v>8.2914297740984999</v>
      </c>
      <c r="U242">
        <v>12.125941499085901</v>
      </c>
      <c r="V242">
        <v>11.556995644057199</v>
      </c>
      <c r="W242">
        <v>12.7539809638918</v>
      </c>
      <c r="X242">
        <v>13.785039948679101</v>
      </c>
    </row>
    <row r="243" spans="1:24">
      <c r="A243">
        <v>934</v>
      </c>
      <c r="B243" t="s">
        <v>672</v>
      </c>
      <c r="C243">
        <v>3</v>
      </c>
      <c r="D243" t="s">
        <v>673</v>
      </c>
      <c r="E243">
        <v>33</v>
      </c>
      <c r="F243">
        <v>33</v>
      </c>
      <c r="G243">
        <v>33</v>
      </c>
      <c r="H243" t="s">
        <v>674</v>
      </c>
      <c r="I243">
        <v>55.4</v>
      </c>
      <c r="J243">
        <v>62.639000000000003</v>
      </c>
      <c r="K243" t="str">
        <f>"STIP1"</f>
        <v>STIP1</v>
      </c>
      <c r="L243" t="str">
        <f>"STIP1"</f>
        <v>STIP1</v>
      </c>
      <c r="M243">
        <v>3.6311678256505799</v>
      </c>
      <c r="N243">
        <v>12.5230241059603</v>
      </c>
      <c r="O243">
        <v>9.1194339418818195</v>
      </c>
      <c r="P243">
        <v>12.7826271293375</v>
      </c>
      <c r="Q243">
        <v>8.7903339531424294</v>
      </c>
      <c r="R243">
        <v>18.0016206418595</v>
      </c>
      <c r="S243">
        <v>15.8638979865772</v>
      </c>
      <c r="T243">
        <v>7.1069398063701401</v>
      </c>
      <c r="U243">
        <v>8.8188665447897598</v>
      </c>
      <c r="V243">
        <v>13.6582675793404</v>
      </c>
      <c r="W243">
        <v>8.9277866747242793</v>
      </c>
      <c r="X243">
        <v>11.815748527439199</v>
      </c>
    </row>
    <row r="244" spans="1:24">
      <c r="A244">
        <v>1065</v>
      </c>
      <c r="B244" t="s">
        <v>675</v>
      </c>
      <c r="C244">
        <v>2</v>
      </c>
      <c r="D244" t="s">
        <v>676</v>
      </c>
      <c r="E244">
        <v>21</v>
      </c>
      <c r="F244">
        <v>21</v>
      </c>
      <c r="G244">
        <v>17</v>
      </c>
      <c r="H244" t="s">
        <v>677</v>
      </c>
      <c r="I244">
        <v>47.8</v>
      </c>
      <c r="J244">
        <v>46.223999999999997</v>
      </c>
      <c r="K244" t="str">
        <f>"PIP4K2A"</f>
        <v>PIP4K2A</v>
      </c>
      <c r="L244" t="str">
        <f>"PIP4K2A"</f>
        <v>PIP4K2A</v>
      </c>
      <c r="M244">
        <v>8.4727249265180298</v>
      </c>
      <c r="N244">
        <v>12.5230241059603</v>
      </c>
      <c r="O244">
        <v>12.7672075186345</v>
      </c>
      <c r="P244">
        <v>13.8478460567823</v>
      </c>
      <c r="Q244">
        <v>6.2788099665303099</v>
      </c>
      <c r="R244">
        <v>12.6011344493016</v>
      </c>
      <c r="S244">
        <v>7.9319489932885903</v>
      </c>
      <c r="T244">
        <v>10.6604097095552</v>
      </c>
      <c r="U244">
        <v>12.125941499085901</v>
      </c>
      <c r="V244">
        <v>10.5063596764157</v>
      </c>
      <c r="W244">
        <v>10.2031847711135</v>
      </c>
      <c r="X244">
        <v>15.7543313699189</v>
      </c>
    </row>
    <row r="245" spans="1:24">
      <c r="A245">
        <v>224</v>
      </c>
      <c r="B245" t="s">
        <v>678</v>
      </c>
      <c r="C245">
        <v>2</v>
      </c>
      <c r="D245" t="s">
        <v>679</v>
      </c>
      <c r="E245">
        <v>14</v>
      </c>
      <c r="F245">
        <v>14</v>
      </c>
      <c r="G245">
        <v>14</v>
      </c>
      <c r="H245" t="s">
        <v>680</v>
      </c>
      <c r="I245">
        <v>49.5</v>
      </c>
      <c r="J245">
        <v>32.902999999999999</v>
      </c>
      <c r="K245" t="str">
        <f>"FCN3"</f>
        <v>FCN3</v>
      </c>
      <c r="L245" t="str">
        <f>"FCN3"</f>
        <v>FCN3</v>
      </c>
      <c r="M245">
        <v>19.366228403469801</v>
      </c>
      <c r="N245">
        <v>0.89450172185430499</v>
      </c>
      <c r="O245">
        <v>15.5030377011991</v>
      </c>
      <c r="P245">
        <v>24.500035331230301</v>
      </c>
      <c r="Q245">
        <v>2.51152398661212</v>
      </c>
      <c r="R245">
        <v>1.8001620641859499</v>
      </c>
      <c r="S245">
        <v>3.3994067114094002</v>
      </c>
      <c r="T245">
        <v>3.5534699031850701</v>
      </c>
      <c r="U245">
        <v>4.4094332723948799</v>
      </c>
      <c r="V245">
        <v>15.7595395146235</v>
      </c>
      <c r="W245">
        <v>39.537340988064699</v>
      </c>
      <c r="X245">
        <v>11.815748527439199</v>
      </c>
    </row>
    <row r="246" spans="1:24">
      <c r="A246">
        <v>1842</v>
      </c>
      <c r="B246" t="s">
        <v>681</v>
      </c>
      <c r="C246">
        <v>3</v>
      </c>
      <c r="D246" t="s">
        <v>682</v>
      </c>
      <c r="E246">
        <v>33</v>
      </c>
      <c r="F246">
        <v>33</v>
      </c>
      <c r="G246">
        <v>33</v>
      </c>
      <c r="H246" t="s">
        <v>683</v>
      </c>
      <c r="I246">
        <v>45.2</v>
      </c>
      <c r="J246">
        <v>96.022000000000006</v>
      </c>
      <c r="K246" t="str">
        <f>"PDCD6IP"</f>
        <v>PDCD6IP</v>
      </c>
      <c r="L246" t="str">
        <f>"PDCD6IP"</f>
        <v>PDCD6IP</v>
      </c>
      <c r="M246">
        <v>3.6311678256505799</v>
      </c>
      <c r="N246">
        <v>13.4175258278146</v>
      </c>
      <c r="O246">
        <v>16.414981095387301</v>
      </c>
      <c r="P246">
        <v>8.5217514195583597</v>
      </c>
      <c r="Q246">
        <v>12.5576199330606</v>
      </c>
      <c r="R246">
        <v>18.0016206418595</v>
      </c>
      <c r="S246">
        <v>10.198220134228199</v>
      </c>
      <c r="T246">
        <v>7.1069398063701401</v>
      </c>
      <c r="U246">
        <v>14.3306581352834</v>
      </c>
      <c r="V246">
        <v>13.6582675793404</v>
      </c>
      <c r="W246">
        <v>8.9277866747242793</v>
      </c>
      <c r="X246">
        <v>14.769685659299</v>
      </c>
    </row>
    <row r="247" spans="1:24">
      <c r="A247">
        <v>1122</v>
      </c>
      <c r="B247" t="s">
        <v>684</v>
      </c>
      <c r="C247">
        <v>3</v>
      </c>
      <c r="D247" t="s">
        <v>685</v>
      </c>
      <c r="E247">
        <v>35</v>
      </c>
      <c r="F247">
        <v>35</v>
      </c>
      <c r="G247">
        <v>35</v>
      </c>
      <c r="H247" t="s">
        <v>686</v>
      </c>
      <c r="I247">
        <v>64.2</v>
      </c>
      <c r="J247">
        <v>59.62</v>
      </c>
      <c r="K247" t="str">
        <f>"CCT8"</f>
        <v>CCT8</v>
      </c>
      <c r="L247" t="str">
        <f>"CCT8"</f>
        <v>CCT8</v>
      </c>
      <c r="M247">
        <v>4.8415571008674503</v>
      </c>
      <c r="N247">
        <v>10.7340206622517</v>
      </c>
      <c r="O247">
        <v>10.031377336069999</v>
      </c>
      <c r="P247">
        <v>11.717408201892701</v>
      </c>
      <c r="Q247">
        <v>8.7903339531424294</v>
      </c>
      <c r="R247">
        <v>10.800972385115699</v>
      </c>
      <c r="S247">
        <v>14.7307624161074</v>
      </c>
      <c r="T247">
        <v>4.7379598709134303</v>
      </c>
      <c r="U247">
        <v>14.3306581352834</v>
      </c>
      <c r="V247">
        <v>15.7595395146235</v>
      </c>
      <c r="W247">
        <v>14.029379060281</v>
      </c>
      <c r="X247">
        <v>14.769685659299</v>
      </c>
    </row>
    <row r="248" spans="1:24">
      <c r="A248">
        <v>1157</v>
      </c>
      <c r="B248" t="s">
        <v>687</v>
      </c>
      <c r="C248">
        <v>1</v>
      </c>
      <c r="D248" t="s">
        <v>688</v>
      </c>
      <c r="E248">
        <v>18</v>
      </c>
      <c r="F248">
        <v>18</v>
      </c>
      <c r="G248">
        <v>15</v>
      </c>
      <c r="H248" t="s">
        <v>687</v>
      </c>
      <c r="I248">
        <v>78</v>
      </c>
      <c r="J248">
        <v>32.921999999999997</v>
      </c>
      <c r="K248" t="str">
        <f>"CAPZA1"</f>
        <v>CAPZA1</v>
      </c>
      <c r="L248" t="str">
        <f>"CAPZA1"</f>
        <v>CAPZA1</v>
      </c>
      <c r="M248">
        <v>8.4727249265180298</v>
      </c>
      <c r="N248">
        <v>14.312027549668899</v>
      </c>
      <c r="O248">
        <v>12.7672075186345</v>
      </c>
      <c r="P248">
        <v>11.717408201892701</v>
      </c>
      <c r="Q248">
        <v>12.5576199330606</v>
      </c>
      <c r="R248">
        <v>10.800972385115699</v>
      </c>
      <c r="S248">
        <v>9.0650845637583899</v>
      </c>
      <c r="T248">
        <v>9.4759197418268606</v>
      </c>
      <c r="U248">
        <v>12.125941499085901</v>
      </c>
      <c r="V248">
        <v>13.6582675793404</v>
      </c>
      <c r="W248">
        <v>12.7539809638918</v>
      </c>
      <c r="X248">
        <v>14.769685659299</v>
      </c>
    </row>
    <row r="249" spans="1:24">
      <c r="A249">
        <v>1217</v>
      </c>
      <c r="B249" t="s">
        <v>689</v>
      </c>
      <c r="C249">
        <v>2</v>
      </c>
      <c r="D249" t="s">
        <v>690</v>
      </c>
      <c r="E249">
        <v>10</v>
      </c>
      <c r="F249">
        <v>10</v>
      </c>
      <c r="G249">
        <v>8</v>
      </c>
      <c r="H249" t="s">
        <v>691</v>
      </c>
      <c r="I249">
        <v>78.099999999999994</v>
      </c>
      <c r="J249">
        <v>16.960999999999999</v>
      </c>
      <c r="K249" t="str">
        <f>"MYL6"</f>
        <v>MYL6</v>
      </c>
      <c r="L249" t="str">
        <f>"MYL6"</f>
        <v>MYL6</v>
      </c>
      <c r="M249">
        <v>14.5246713026023</v>
      </c>
      <c r="N249">
        <v>10.7340206622517</v>
      </c>
      <c r="O249">
        <v>9.1194339418818195</v>
      </c>
      <c r="P249">
        <v>13.8478460567823</v>
      </c>
      <c r="Q249">
        <v>11.3018579397546</v>
      </c>
      <c r="R249">
        <v>14.401296513487599</v>
      </c>
      <c r="S249">
        <v>13.597626845637601</v>
      </c>
      <c r="T249">
        <v>15.3983695804686</v>
      </c>
      <c r="U249">
        <v>14.3306581352834</v>
      </c>
      <c r="V249">
        <v>16.810175482265102</v>
      </c>
      <c r="W249">
        <v>14.029379060281</v>
      </c>
      <c r="X249">
        <v>9.84645710619934</v>
      </c>
    </row>
    <row r="250" spans="1:24">
      <c r="A250">
        <v>522</v>
      </c>
      <c r="B250" t="s">
        <v>692</v>
      </c>
      <c r="C250">
        <v>2</v>
      </c>
      <c r="D250" t="s">
        <v>693</v>
      </c>
      <c r="E250">
        <v>23</v>
      </c>
      <c r="F250">
        <v>23</v>
      </c>
      <c r="G250">
        <v>23</v>
      </c>
      <c r="H250" t="s">
        <v>694</v>
      </c>
      <c r="I250">
        <v>36.1</v>
      </c>
      <c r="J250">
        <v>75.122</v>
      </c>
      <c r="K250" t="str">
        <f>"PROS1"</f>
        <v>PROS1</v>
      </c>
      <c r="L250" t="str">
        <f>"PROS1"</f>
        <v>PROS1</v>
      </c>
      <c r="M250">
        <v>13.3142820273855</v>
      </c>
      <c r="N250">
        <v>8.0505154966887407</v>
      </c>
      <c r="O250">
        <v>9.1194339418818195</v>
      </c>
      <c r="P250">
        <v>11.717408201892701</v>
      </c>
      <c r="Q250">
        <v>17.580667906284901</v>
      </c>
      <c r="R250">
        <v>8.1007292888367601</v>
      </c>
      <c r="S250">
        <v>13.597626845637601</v>
      </c>
      <c r="T250">
        <v>10.6604097095552</v>
      </c>
      <c r="U250">
        <v>11.023583180987201</v>
      </c>
      <c r="V250">
        <v>13.6582675793404</v>
      </c>
      <c r="W250">
        <v>14.029379060281</v>
      </c>
      <c r="X250">
        <v>6.8925199743395398</v>
      </c>
    </row>
    <row r="251" spans="1:24">
      <c r="A251">
        <v>332</v>
      </c>
      <c r="B251" t="s">
        <v>695</v>
      </c>
      <c r="C251">
        <v>1</v>
      </c>
      <c r="D251" t="s">
        <v>696</v>
      </c>
      <c r="E251">
        <v>18</v>
      </c>
      <c r="F251">
        <v>18</v>
      </c>
      <c r="G251">
        <v>18</v>
      </c>
      <c r="H251" t="s">
        <v>695</v>
      </c>
      <c r="I251">
        <v>45.9</v>
      </c>
      <c r="J251">
        <v>44.341000000000001</v>
      </c>
      <c r="K251" t="str">
        <f>"TGFB1"</f>
        <v>TGFB1</v>
      </c>
      <c r="L251" t="str">
        <f>"TGFB1"</f>
        <v>TGFB1</v>
      </c>
      <c r="M251">
        <v>6.0519463760843104</v>
      </c>
      <c r="N251">
        <v>8.0505154966887407</v>
      </c>
      <c r="O251">
        <v>9.1194339418818195</v>
      </c>
      <c r="P251">
        <v>13.8478460567823</v>
      </c>
      <c r="Q251">
        <v>6.2788099665303099</v>
      </c>
      <c r="R251">
        <v>13.501215481394601</v>
      </c>
      <c r="S251">
        <v>10.198220134228199</v>
      </c>
      <c r="T251">
        <v>10.6604097095552</v>
      </c>
      <c r="U251">
        <v>12.125941499085901</v>
      </c>
      <c r="V251">
        <v>12.6076316116988</v>
      </c>
      <c r="W251">
        <v>11.478582867502601</v>
      </c>
      <c r="X251">
        <v>16.738977080538898</v>
      </c>
    </row>
    <row r="252" spans="1:24">
      <c r="A252">
        <v>1784</v>
      </c>
      <c r="B252" t="s">
        <v>697</v>
      </c>
      <c r="C252">
        <v>2</v>
      </c>
      <c r="D252" t="s">
        <v>698</v>
      </c>
      <c r="E252">
        <v>31</v>
      </c>
      <c r="F252">
        <v>31</v>
      </c>
      <c r="G252">
        <v>31</v>
      </c>
      <c r="H252" t="s">
        <v>699</v>
      </c>
      <c r="I252">
        <v>49</v>
      </c>
      <c r="J252">
        <v>74.975999999999999</v>
      </c>
      <c r="K252" t="str">
        <f>"ARHGAP18"</f>
        <v>ARHGAP18</v>
      </c>
      <c r="L252" t="str">
        <f>"ARHGAP18"</f>
        <v>ARHGAP18</v>
      </c>
      <c r="M252">
        <v>6.0519463760843104</v>
      </c>
      <c r="N252">
        <v>15.2065292715232</v>
      </c>
      <c r="O252">
        <v>12.7672075186345</v>
      </c>
      <c r="P252">
        <v>10.652189274448</v>
      </c>
      <c r="Q252">
        <v>7.5345719598363701</v>
      </c>
      <c r="R252">
        <v>10.800972385115699</v>
      </c>
      <c r="S252">
        <v>11.331355704698</v>
      </c>
      <c r="T252">
        <v>10.6604097095552</v>
      </c>
      <c r="U252">
        <v>9.9212248628884794</v>
      </c>
      <c r="V252">
        <v>10.5063596764157</v>
      </c>
      <c r="W252">
        <v>3.82619428916755</v>
      </c>
      <c r="X252">
        <v>13.785039948679101</v>
      </c>
    </row>
    <row r="253" spans="1:24">
      <c r="A253">
        <v>1281</v>
      </c>
      <c r="B253" t="s">
        <v>700</v>
      </c>
      <c r="C253">
        <v>3</v>
      </c>
      <c r="D253" t="s">
        <v>701</v>
      </c>
      <c r="E253">
        <v>12</v>
      </c>
      <c r="F253">
        <v>12</v>
      </c>
      <c r="G253">
        <v>6</v>
      </c>
      <c r="H253" t="s">
        <v>702</v>
      </c>
      <c r="I253">
        <v>56.2</v>
      </c>
      <c r="J253">
        <v>21.45</v>
      </c>
      <c r="K253" t="str">
        <f>"RAC1;RAC3"</f>
        <v>RAC1;RAC3</v>
      </c>
      <c r="L253" t="str">
        <f>"RAC1;RAC3"</f>
        <v>RAC1;RAC3</v>
      </c>
      <c r="M253">
        <v>10.8935034769518</v>
      </c>
      <c r="N253">
        <v>11.628522384106001</v>
      </c>
      <c r="O253">
        <v>10.943320730258201</v>
      </c>
      <c r="P253">
        <v>10.652189274448</v>
      </c>
      <c r="Q253">
        <v>10.046095946448499</v>
      </c>
      <c r="R253">
        <v>9.0008103209297392</v>
      </c>
      <c r="S253">
        <v>13.597626845637601</v>
      </c>
      <c r="T253">
        <v>13.0293896450119</v>
      </c>
      <c r="U253">
        <v>13.228299817184601</v>
      </c>
      <c r="V253">
        <v>11.556995644057199</v>
      </c>
      <c r="W253">
        <v>12.7539809638918</v>
      </c>
      <c r="X253">
        <v>13.785039948679101</v>
      </c>
    </row>
    <row r="254" spans="1:24">
      <c r="A254">
        <v>636</v>
      </c>
      <c r="B254" t="s">
        <v>703</v>
      </c>
      <c r="C254">
        <v>3</v>
      </c>
      <c r="D254" t="s">
        <v>704</v>
      </c>
      <c r="E254">
        <v>62</v>
      </c>
      <c r="F254">
        <v>57</v>
      </c>
      <c r="G254">
        <v>57</v>
      </c>
      <c r="H254" t="s">
        <v>705</v>
      </c>
      <c r="I254">
        <v>33.5</v>
      </c>
      <c r="J254">
        <v>267.82</v>
      </c>
      <c r="K254" t="str">
        <f>"SPTB"</f>
        <v>SPTB</v>
      </c>
      <c r="L254" t="str">
        <f>"SPTB"</f>
        <v>SPTB</v>
      </c>
      <c r="M254">
        <v>2.4207785504337198</v>
      </c>
      <c r="N254">
        <v>13.4175258278146</v>
      </c>
      <c r="O254">
        <v>11.8552641244464</v>
      </c>
      <c r="P254">
        <v>6.3913135646687698</v>
      </c>
      <c r="Q254">
        <v>6.2788099665303099</v>
      </c>
      <c r="R254">
        <v>14.401296513487599</v>
      </c>
      <c r="S254">
        <v>10.198220134228199</v>
      </c>
      <c r="T254">
        <v>8.2914297740984999</v>
      </c>
      <c r="U254">
        <v>7.7165082266910403</v>
      </c>
      <c r="V254">
        <v>11.556995644057199</v>
      </c>
      <c r="W254">
        <v>10.2031847711135</v>
      </c>
      <c r="X254">
        <v>12.8003942380591</v>
      </c>
    </row>
    <row r="255" spans="1:24">
      <c r="A255">
        <v>665</v>
      </c>
      <c r="B255" t="s">
        <v>706</v>
      </c>
      <c r="C255">
        <v>1</v>
      </c>
      <c r="D255" t="s">
        <v>707</v>
      </c>
      <c r="E255">
        <v>39</v>
      </c>
      <c r="F255">
        <v>39</v>
      </c>
      <c r="G255">
        <v>39</v>
      </c>
      <c r="H255" t="s">
        <v>706</v>
      </c>
      <c r="I255">
        <v>53.5</v>
      </c>
      <c r="J255">
        <v>72.932000000000002</v>
      </c>
      <c r="K255" t="str">
        <f>"PDIA4"</f>
        <v>PDIA4</v>
      </c>
      <c r="L255" t="str">
        <f>"PDIA4"</f>
        <v>PDIA4</v>
      </c>
      <c r="M255">
        <v>7.2623356513011696</v>
      </c>
      <c r="N255">
        <v>11.628522384106001</v>
      </c>
      <c r="O255">
        <v>12.7672075186345</v>
      </c>
      <c r="P255">
        <v>10.652189274448</v>
      </c>
      <c r="Q255">
        <v>3.7672859799181899</v>
      </c>
      <c r="R255">
        <v>15.3013775455806</v>
      </c>
      <c r="S255">
        <v>14.7307624161074</v>
      </c>
      <c r="T255">
        <v>5.9224498386417803</v>
      </c>
      <c r="U255">
        <v>6.6141499085923199</v>
      </c>
      <c r="V255">
        <v>11.556995644057199</v>
      </c>
      <c r="W255">
        <v>12.7539809638918</v>
      </c>
      <c r="X255">
        <v>14.769685659299</v>
      </c>
    </row>
    <row r="256" spans="1:24">
      <c r="A256">
        <v>1192</v>
      </c>
      <c r="B256" t="s">
        <v>708</v>
      </c>
      <c r="C256">
        <v>3</v>
      </c>
      <c r="D256" t="s">
        <v>709</v>
      </c>
      <c r="E256">
        <v>9</v>
      </c>
      <c r="F256">
        <v>7</v>
      </c>
      <c r="G256">
        <v>7</v>
      </c>
      <c r="H256" t="s">
        <v>710</v>
      </c>
      <c r="I256">
        <v>29.6</v>
      </c>
      <c r="J256">
        <v>42.761000000000003</v>
      </c>
      <c r="K256" t="str">
        <f>"NAP1L1"</f>
        <v>NAP1L1</v>
      </c>
      <c r="L256" t="str">
        <f>"NAP1L1"</f>
        <v>NAP1L1</v>
      </c>
      <c r="M256">
        <v>8.4727249265180298</v>
      </c>
      <c r="N256">
        <v>12.5230241059603</v>
      </c>
      <c r="O256">
        <v>9.1194339418818195</v>
      </c>
      <c r="P256">
        <v>13.8478460567823</v>
      </c>
      <c r="Q256">
        <v>10.046095946448499</v>
      </c>
      <c r="R256">
        <v>10.800972385115699</v>
      </c>
      <c r="S256">
        <v>15.8638979865772</v>
      </c>
      <c r="T256">
        <v>10.6604097095552</v>
      </c>
      <c r="U256">
        <v>11.023583180987201</v>
      </c>
      <c r="V256">
        <v>12.6076316116988</v>
      </c>
      <c r="W256">
        <v>11.478582867502601</v>
      </c>
      <c r="X256">
        <v>14.769685659299</v>
      </c>
    </row>
    <row r="257" spans="1:24">
      <c r="A257">
        <v>418</v>
      </c>
      <c r="B257" t="s">
        <v>711</v>
      </c>
      <c r="C257">
        <v>1</v>
      </c>
      <c r="D257" t="s">
        <v>712</v>
      </c>
      <c r="E257">
        <v>11</v>
      </c>
      <c r="F257">
        <v>11</v>
      </c>
      <c r="G257">
        <v>11</v>
      </c>
      <c r="H257" t="s">
        <v>711</v>
      </c>
      <c r="I257">
        <v>64.7</v>
      </c>
      <c r="J257">
        <v>23.01</v>
      </c>
      <c r="K257" t="str">
        <f>"RBP4"</f>
        <v>RBP4</v>
      </c>
      <c r="L257" t="str">
        <f>"RBP4"</f>
        <v>RBP4</v>
      </c>
      <c r="M257">
        <v>33.890899706072098</v>
      </c>
      <c r="N257">
        <v>8.0505154966887407</v>
      </c>
      <c r="O257">
        <v>11.8552641244464</v>
      </c>
      <c r="P257">
        <v>10.652189274448</v>
      </c>
      <c r="Q257">
        <v>8.7903339531424294</v>
      </c>
      <c r="R257">
        <v>9.0008103209297392</v>
      </c>
      <c r="S257">
        <v>9.0650845637583899</v>
      </c>
      <c r="T257">
        <v>18.9518394836537</v>
      </c>
      <c r="U257">
        <v>6.6141499085923199</v>
      </c>
      <c r="V257">
        <v>14.708903546982</v>
      </c>
      <c r="W257">
        <v>17.855573349448601</v>
      </c>
      <c r="X257">
        <v>4.92322855309967</v>
      </c>
    </row>
    <row r="258" spans="1:24">
      <c r="A258">
        <v>1180</v>
      </c>
      <c r="B258" t="s">
        <v>713</v>
      </c>
      <c r="C258">
        <v>4</v>
      </c>
      <c r="D258" t="s">
        <v>714</v>
      </c>
      <c r="E258">
        <v>24</v>
      </c>
      <c r="F258">
        <v>24</v>
      </c>
      <c r="G258">
        <v>24</v>
      </c>
      <c r="H258" t="s">
        <v>715</v>
      </c>
      <c r="I258">
        <v>81</v>
      </c>
      <c r="J258">
        <v>33.231999999999999</v>
      </c>
      <c r="K258" t="str">
        <f>"NAPA;NAPB"</f>
        <v>NAPA;NAPB</v>
      </c>
      <c r="L258" t="str">
        <f>"NAPA;NAPB"</f>
        <v>NAPA;NAPB</v>
      </c>
      <c r="M258">
        <v>10.8935034769518</v>
      </c>
      <c r="N258">
        <v>11.628522384106001</v>
      </c>
      <c r="O258">
        <v>14.5910943070109</v>
      </c>
      <c r="P258">
        <v>8.5217514195583597</v>
      </c>
      <c r="Q258">
        <v>8.7903339531424294</v>
      </c>
      <c r="R258">
        <v>9.0008103209297392</v>
      </c>
      <c r="S258">
        <v>12.4644912751678</v>
      </c>
      <c r="T258">
        <v>8.2914297740984999</v>
      </c>
      <c r="U258">
        <v>13.228299817184601</v>
      </c>
      <c r="V258">
        <v>12.6076316116988</v>
      </c>
      <c r="W258">
        <v>12.7539809638918</v>
      </c>
      <c r="X258">
        <v>14.769685659299</v>
      </c>
    </row>
    <row r="259" spans="1:24">
      <c r="A259">
        <v>2140</v>
      </c>
      <c r="B259" t="s">
        <v>716</v>
      </c>
      <c r="C259">
        <v>4</v>
      </c>
      <c r="D259" t="s">
        <v>717</v>
      </c>
      <c r="E259">
        <v>9</v>
      </c>
      <c r="F259">
        <v>9</v>
      </c>
      <c r="G259">
        <v>4</v>
      </c>
      <c r="H259" t="s">
        <v>718</v>
      </c>
      <c r="I259">
        <v>38.9</v>
      </c>
      <c r="J259">
        <v>40.317</v>
      </c>
      <c r="K259" t="str">
        <f>"RTN4"</f>
        <v>RTN4</v>
      </c>
      <c r="L259" t="str">
        <f>"RTN4"</f>
        <v>RTN4</v>
      </c>
      <c r="M259">
        <v>10.8935034769518</v>
      </c>
      <c r="N259">
        <v>8.9450172185430503</v>
      </c>
      <c r="O259">
        <v>10.031377336069999</v>
      </c>
      <c r="P259">
        <v>11.717408201892701</v>
      </c>
      <c r="Q259">
        <v>13.8133819263667</v>
      </c>
      <c r="R259">
        <v>9.0008103209297392</v>
      </c>
      <c r="S259">
        <v>9.0650845637583899</v>
      </c>
      <c r="T259">
        <v>16.582859548197</v>
      </c>
      <c r="U259">
        <v>11.023583180987201</v>
      </c>
      <c r="V259">
        <v>11.556995644057199</v>
      </c>
      <c r="W259">
        <v>14.029379060281</v>
      </c>
      <c r="X259">
        <v>12.8003942380591</v>
      </c>
    </row>
    <row r="260" spans="1:24">
      <c r="A260">
        <v>14</v>
      </c>
      <c r="B260" t="s">
        <v>719</v>
      </c>
      <c r="C260">
        <v>2</v>
      </c>
      <c r="D260" t="s">
        <v>720</v>
      </c>
      <c r="E260">
        <v>12</v>
      </c>
      <c r="F260">
        <v>3</v>
      </c>
      <c r="G260">
        <v>3</v>
      </c>
      <c r="H260" t="s">
        <v>721</v>
      </c>
      <c r="I260">
        <v>48.1</v>
      </c>
      <c r="J260">
        <v>23.062999999999999</v>
      </c>
      <c r="K260" t="str">
        <f>"IGLL5;IGLC1"</f>
        <v>IGLL5;IGLC1</v>
      </c>
      <c r="L260" t="str">
        <f>"IGLL5;IGLC1"</f>
        <v>IGLL5;IGLC1</v>
      </c>
      <c r="M260">
        <v>15.735060577819199</v>
      </c>
      <c r="N260">
        <v>9.8395189403973493</v>
      </c>
      <c r="O260">
        <v>7.2955471535054599</v>
      </c>
      <c r="P260">
        <v>12.7826271293375</v>
      </c>
      <c r="Q260">
        <v>18.8364298995909</v>
      </c>
      <c r="R260">
        <v>6.3005672246508198</v>
      </c>
      <c r="S260">
        <v>11.331355704698</v>
      </c>
      <c r="T260">
        <v>10.6604097095552</v>
      </c>
      <c r="U260">
        <v>9.9212248628884794</v>
      </c>
      <c r="V260">
        <v>14.708903546982</v>
      </c>
      <c r="W260">
        <v>16.580175253059402</v>
      </c>
      <c r="X260">
        <v>13.785039948679101</v>
      </c>
    </row>
    <row r="261" spans="1:24">
      <c r="A261">
        <v>321</v>
      </c>
      <c r="B261" t="s">
        <v>722</v>
      </c>
      <c r="C261">
        <v>1</v>
      </c>
      <c r="D261" t="s">
        <v>723</v>
      </c>
      <c r="E261">
        <v>17</v>
      </c>
      <c r="F261">
        <v>17</v>
      </c>
      <c r="G261">
        <v>17</v>
      </c>
      <c r="H261" t="s">
        <v>722</v>
      </c>
      <c r="I261">
        <v>36.299999999999997</v>
      </c>
      <c r="J261">
        <v>53.154000000000003</v>
      </c>
      <c r="K261" t="str">
        <f>"AGT"</f>
        <v>AGT</v>
      </c>
      <c r="L261" t="str">
        <f>"AGT"</f>
        <v>AGT</v>
      </c>
      <c r="M261">
        <v>24.207785504337199</v>
      </c>
      <c r="N261">
        <v>8.0505154966887407</v>
      </c>
      <c r="O261">
        <v>8.2074905476936397</v>
      </c>
      <c r="P261">
        <v>6.3913135646687698</v>
      </c>
      <c r="Q261">
        <v>10.046095946448499</v>
      </c>
      <c r="R261">
        <v>6.3005672246508198</v>
      </c>
      <c r="S261">
        <v>11.331355704698</v>
      </c>
      <c r="T261">
        <v>21.3208194191104</v>
      </c>
      <c r="U261">
        <v>3.3070749542961599</v>
      </c>
      <c r="V261">
        <v>11.556995644057199</v>
      </c>
      <c r="W261">
        <v>17.855573349448601</v>
      </c>
      <c r="X261">
        <v>12.8003942380591</v>
      </c>
    </row>
    <row r="262" spans="1:24">
      <c r="A262">
        <v>844</v>
      </c>
      <c r="B262" t="s">
        <v>724</v>
      </c>
      <c r="C262">
        <v>1</v>
      </c>
      <c r="D262" t="s">
        <v>725</v>
      </c>
      <c r="E262">
        <v>14</v>
      </c>
      <c r="F262">
        <v>14</v>
      </c>
      <c r="G262">
        <v>14</v>
      </c>
      <c r="H262" t="s">
        <v>724</v>
      </c>
      <c r="I262">
        <v>47</v>
      </c>
      <c r="J262">
        <v>39.731000000000002</v>
      </c>
      <c r="K262" t="str">
        <f>"PON1"</f>
        <v>PON1</v>
      </c>
      <c r="L262" t="str">
        <f>"PON1"</f>
        <v>PON1</v>
      </c>
      <c r="M262">
        <v>19.366228403469801</v>
      </c>
      <c r="N262">
        <v>8.0505154966887407</v>
      </c>
      <c r="O262">
        <v>10.031377336069999</v>
      </c>
      <c r="P262">
        <v>12.7826271293375</v>
      </c>
      <c r="Q262">
        <v>15.069143919672699</v>
      </c>
      <c r="R262">
        <v>7.2006482567437899</v>
      </c>
      <c r="S262">
        <v>6.7988134228187898</v>
      </c>
      <c r="T262">
        <v>21.3208194191104</v>
      </c>
      <c r="U262">
        <v>5.5117915904936003</v>
      </c>
      <c r="V262">
        <v>15.7595395146235</v>
      </c>
      <c r="W262">
        <v>19.130971445837702</v>
      </c>
      <c r="X262">
        <v>11.815748527439199</v>
      </c>
    </row>
    <row r="263" spans="1:24">
      <c r="A263">
        <v>473</v>
      </c>
      <c r="B263" t="s">
        <v>726</v>
      </c>
      <c r="C263">
        <v>11</v>
      </c>
      <c r="D263" t="s">
        <v>727</v>
      </c>
      <c r="E263">
        <v>21</v>
      </c>
      <c r="F263">
        <v>21</v>
      </c>
      <c r="G263">
        <v>21</v>
      </c>
      <c r="H263" t="s">
        <v>728</v>
      </c>
      <c r="I263">
        <v>30.7</v>
      </c>
      <c r="J263">
        <v>84.52</v>
      </c>
      <c r="K263" t="str">
        <f>"APP"</f>
        <v>APP</v>
      </c>
      <c r="L263" t="str">
        <f>"APP"</f>
        <v>APP</v>
      </c>
      <c r="M263">
        <v>4.8415571008674503</v>
      </c>
      <c r="N263">
        <v>8.0505154966887407</v>
      </c>
      <c r="O263">
        <v>10.031377336069999</v>
      </c>
      <c r="P263">
        <v>10.652189274448</v>
      </c>
      <c r="Q263">
        <v>10.046095946448499</v>
      </c>
      <c r="R263">
        <v>11.7010534172087</v>
      </c>
      <c r="S263">
        <v>11.331355704698</v>
      </c>
      <c r="T263">
        <v>9.4759197418268606</v>
      </c>
      <c r="U263">
        <v>8.8188665447897598</v>
      </c>
      <c r="V263">
        <v>16.810175482265102</v>
      </c>
      <c r="W263">
        <v>11.478582867502601</v>
      </c>
      <c r="X263">
        <v>8.8618113955793998</v>
      </c>
    </row>
    <row r="264" spans="1:24">
      <c r="A264">
        <v>542</v>
      </c>
      <c r="B264" t="s">
        <v>729</v>
      </c>
      <c r="C264">
        <v>5</v>
      </c>
      <c r="D264" t="s">
        <v>730</v>
      </c>
      <c r="E264">
        <v>24</v>
      </c>
      <c r="F264">
        <v>22</v>
      </c>
      <c r="G264">
        <v>1</v>
      </c>
      <c r="H264" t="s">
        <v>731</v>
      </c>
      <c r="I264">
        <v>55.6</v>
      </c>
      <c r="J264">
        <v>56.033000000000001</v>
      </c>
      <c r="K264" t="str">
        <f>"LYN;HCK"</f>
        <v>LYN;HCK</v>
      </c>
      <c r="L264" t="str">
        <f>"LYN;HCK"</f>
        <v>LYN;HCK</v>
      </c>
      <c r="M264">
        <v>6.0519463760843104</v>
      </c>
      <c r="N264">
        <v>12.5230241059603</v>
      </c>
      <c r="O264">
        <v>12.7672075186345</v>
      </c>
      <c r="P264">
        <v>11.717408201892701</v>
      </c>
      <c r="Q264">
        <v>5.0230479732242497</v>
      </c>
      <c r="R264">
        <v>11.7010534172087</v>
      </c>
      <c r="S264">
        <v>9.0650845637583899</v>
      </c>
      <c r="T264">
        <v>7.1069398063701401</v>
      </c>
      <c r="U264">
        <v>7.7165082266910403</v>
      </c>
      <c r="V264">
        <v>9.4557237087741104</v>
      </c>
      <c r="W264">
        <v>10.2031847711135</v>
      </c>
      <c r="X264">
        <v>12.8003942380591</v>
      </c>
    </row>
    <row r="265" spans="1:24">
      <c r="A265">
        <v>141</v>
      </c>
      <c r="B265" t="s">
        <v>732</v>
      </c>
      <c r="C265">
        <v>5</v>
      </c>
      <c r="D265" t="s">
        <v>733</v>
      </c>
      <c r="E265">
        <v>26</v>
      </c>
      <c r="F265">
        <v>26</v>
      </c>
      <c r="G265">
        <v>26</v>
      </c>
      <c r="H265" t="s">
        <v>734</v>
      </c>
      <c r="I265">
        <v>48.8</v>
      </c>
      <c r="J265">
        <v>84.843000000000004</v>
      </c>
      <c r="K265" t="str">
        <f>"ARHGAP6"</f>
        <v>ARHGAP6</v>
      </c>
      <c r="L265" t="str">
        <f>"ARHGAP6"</f>
        <v>ARHGAP6</v>
      </c>
      <c r="M265">
        <v>8.4727249265180298</v>
      </c>
      <c r="N265">
        <v>13.4175258278146</v>
      </c>
      <c r="O265">
        <v>7.2955471535054599</v>
      </c>
      <c r="P265">
        <v>11.717408201892701</v>
      </c>
      <c r="Q265">
        <v>8.7903339531424294</v>
      </c>
      <c r="R265">
        <v>14.401296513487599</v>
      </c>
      <c r="S265">
        <v>4.5325422818791896</v>
      </c>
      <c r="T265">
        <v>7.1069398063701401</v>
      </c>
      <c r="U265">
        <v>8.8188665447897598</v>
      </c>
      <c r="V265">
        <v>15.7595395146235</v>
      </c>
      <c r="W265">
        <v>11.478582867502601</v>
      </c>
      <c r="X265">
        <v>11.815748527439199</v>
      </c>
    </row>
    <row r="266" spans="1:24">
      <c r="A266">
        <v>1984</v>
      </c>
      <c r="B266" t="s">
        <v>735</v>
      </c>
      <c r="C266">
        <v>1</v>
      </c>
      <c r="D266" t="s">
        <v>736</v>
      </c>
      <c r="E266">
        <v>15</v>
      </c>
      <c r="F266">
        <v>15</v>
      </c>
      <c r="G266">
        <v>15</v>
      </c>
      <c r="H266" t="s">
        <v>735</v>
      </c>
      <c r="I266">
        <v>83.6</v>
      </c>
      <c r="J266">
        <v>19.890999999999998</v>
      </c>
      <c r="K266" t="str">
        <f>"PARK7"</f>
        <v>PARK7</v>
      </c>
      <c r="L266" t="str">
        <f>"PARK7"</f>
        <v>PARK7</v>
      </c>
      <c r="M266">
        <v>6.0519463760843104</v>
      </c>
      <c r="N266">
        <v>8.9450172185430503</v>
      </c>
      <c r="O266">
        <v>10.943320730258201</v>
      </c>
      <c r="P266">
        <v>11.717408201892701</v>
      </c>
      <c r="Q266">
        <v>11.3018579397546</v>
      </c>
      <c r="R266">
        <v>9.9008913530227094</v>
      </c>
      <c r="S266">
        <v>9.0650845637583899</v>
      </c>
      <c r="T266">
        <v>11.8448996772836</v>
      </c>
      <c r="U266">
        <v>6.6141499085923199</v>
      </c>
      <c r="V266">
        <v>9.4557237087741104</v>
      </c>
      <c r="W266">
        <v>14.029379060281</v>
      </c>
      <c r="X266">
        <v>15.7543313699189</v>
      </c>
    </row>
    <row r="267" spans="1:24">
      <c r="A267">
        <v>493</v>
      </c>
      <c r="B267" t="s">
        <v>737</v>
      </c>
      <c r="C267">
        <v>1</v>
      </c>
      <c r="D267" t="s">
        <v>738</v>
      </c>
      <c r="E267">
        <v>27</v>
      </c>
      <c r="F267">
        <v>27</v>
      </c>
      <c r="G267">
        <v>2</v>
      </c>
      <c r="H267" t="s">
        <v>737</v>
      </c>
      <c r="I267">
        <v>45.5</v>
      </c>
      <c r="J267">
        <v>77.010999999999996</v>
      </c>
      <c r="K267" t="str">
        <f>"PRKCB"</f>
        <v>PRKCB</v>
      </c>
      <c r="L267" t="str">
        <f>"PRKCB"</f>
        <v>PRKCB</v>
      </c>
      <c r="M267">
        <v>4.8415571008674503</v>
      </c>
      <c r="N267">
        <v>15.2065292715232</v>
      </c>
      <c r="O267">
        <v>14.5910943070109</v>
      </c>
      <c r="P267">
        <v>10.652189274448</v>
      </c>
      <c r="Q267">
        <v>3.7672859799181899</v>
      </c>
      <c r="R267">
        <v>11.7010534172087</v>
      </c>
      <c r="S267">
        <v>7.9319489932885903</v>
      </c>
      <c r="T267">
        <v>4.7379598709134303</v>
      </c>
      <c r="U267">
        <v>11.023583180987201</v>
      </c>
      <c r="V267">
        <v>9.4557237087741104</v>
      </c>
      <c r="W267">
        <v>8.9277866747242793</v>
      </c>
      <c r="X267">
        <v>13.785039948679101</v>
      </c>
    </row>
    <row r="268" spans="1:24">
      <c r="A268">
        <v>666</v>
      </c>
      <c r="B268" t="s">
        <v>739</v>
      </c>
      <c r="C268">
        <v>1</v>
      </c>
      <c r="D268" t="s">
        <v>740</v>
      </c>
      <c r="E268">
        <v>29</v>
      </c>
      <c r="F268">
        <v>29</v>
      </c>
      <c r="G268">
        <v>29</v>
      </c>
      <c r="H268" t="s">
        <v>739</v>
      </c>
      <c r="I268">
        <v>36.9</v>
      </c>
      <c r="J268">
        <v>104.79</v>
      </c>
      <c r="K268" t="str">
        <f>"C6"</f>
        <v>C6</v>
      </c>
      <c r="L268" t="str">
        <f>"C6"</f>
        <v>C6</v>
      </c>
      <c r="M268">
        <v>21.7870069539035</v>
      </c>
      <c r="N268">
        <v>14.312027549668899</v>
      </c>
      <c r="O268">
        <v>10.943320730258201</v>
      </c>
      <c r="P268">
        <v>9.5869703470031506</v>
      </c>
      <c r="Q268">
        <v>17.580667906284901</v>
      </c>
      <c r="R268">
        <v>5.4004861925578398</v>
      </c>
      <c r="S268">
        <v>12.4644912751678</v>
      </c>
      <c r="T268">
        <v>15.3983695804686</v>
      </c>
      <c r="U268">
        <v>4.4094332723948799</v>
      </c>
      <c r="V268">
        <v>9.4557237087741104</v>
      </c>
      <c r="W268">
        <v>15.3047771566702</v>
      </c>
      <c r="X268">
        <v>4.92322855309967</v>
      </c>
    </row>
    <row r="269" spans="1:24">
      <c r="A269">
        <v>1235</v>
      </c>
      <c r="B269" t="s">
        <v>741</v>
      </c>
      <c r="C269">
        <v>1</v>
      </c>
      <c r="D269" t="s">
        <v>742</v>
      </c>
      <c r="E269">
        <v>16</v>
      </c>
      <c r="F269">
        <v>16</v>
      </c>
      <c r="G269">
        <v>16</v>
      </c>
      <c r="H269" t="s">
        <v>741</v>
      </c>
      <c r="I269">
        <v>70.2</v>
      </c>
      <c r="J269">
        <v>23.896999999999998</v>
      </c>
      <c r="K269" t="str">
        <f>"RAB14"</f>
        <v>RAB14</v>
      </c>
      <c r="L269" t="str">
        <f>"RAB14"</f>
        <v>RAB14</v>
      </c>
      <c r="M269">
        <v>10.8935034769518</v>
      </c>
      <c r="N269">
        <v>10.7340206622517</v>
      </c>
      <c r="O269">
        <v>13.679150912822699</v>
      </c>
      <c r="P269">
        <v>8.5217514195583597</v>
      </c>
      <c r="Q269">
        <v>7.5345719598363701</v>
      </c>
      <c r="R269">
        <v>11.7010534172087</v>
      </c>
      <c r="S269">
        <v>12.4644912751678</v>
      </c>
      <c r="T269">
        <v>9.4759197418268606</v>
      </c>
      <c r="U269">
        <v>12.125941499085901</v>
      </c>
      <c r="V269">
        <v>9.4557237087741104</v>
      </c>
      <c r="W269">
        <v>15.3047771566702</v>
      </c>
      <c r="X269">
        <v>12.8003942380591</v>
      </c>
    </row>
    <row r="270" spans="1:24">
      <c r="A270">
        <v>1476</v>
      </c>
      <c r="B270" t="s">
        <v>743</v>
      </c>
      <c r="C270">
        <v>1</v>
      </c>
      <c r="D270" t="s">
        <v>744</v>
      </c>
      <c r="E270">
        <v>15</v>
      </c>
      <c r="F270">
        <v>15</v>
      </c>
      <c r="G270">
        <v>15</v>
      </c>
      <c r="H270" t="s">
        <v>743</v>
      </c>
      <c r="I270">
        <v>80.3</v>
      </c>
      <c r="J270">
        <v>15.945</v>
      </c>
      <c r="K270" t="str">
        <f>"COTL1"</f>
        <v>COTL1</v>
      </c>
      <c r="L270" t="str">
        <f>"COTL1"</f>
        <v>COTL1</v>
      </c>
      <c r="M270">
        <v>12.1038927521686</v>
      </c>
      <c r="N270">
        <v>8.0505154966887407</v>
      </c>
      <c r="O270">
        <v>10.031377336069999</v>
      </c>
      <c r="P270">
        <v>10.652189274448</v>
      </c>
      <c r="Q270">
        <v>11.3018579397546</v>
      </c>
      <c r="R270">
        <v>12.6011344493016</v>
      </c>
      <c r="S270">
        <v>7.9319489932885903</v>
      </c>
      <c r="T270">
        <v>9.4759197418268606</v>
      </c>
      <c r="U270">
        <v>9.9212248628884794</v>
      </c>
      <c r="V270">
        <v>10.5063596764157</v>
      </c>
      <c r="W270">
        <v>6.37699048194591</v>
      </c>
      <c r="X270">
        <v>6.8925199743395398</v>
      </c>
    </row>
    <row r="271" spans="1:24">
      <c r="A271">
        <v>996</v>
      </c>
      <c r="B271" t="s">
        <v>745</v>
      </c>
      <c r="C271">
        <v>2</v>
      </c>
      <c r="D271" t="s">
        <v>746</v>
      </c>
      <c r="E271">
        <v>21</v>
      </c>
      <c r="F271">
        <v>21</v>
      </c>
      <c r="G271">
        <v>21</v>
      </c>
      <c r="H271" t="s">
        <v>747</v>
      </c>
      <c r="I271">
        <v>43</v>
      </c>
      <c r="J271">
        <v>64.734999999999999</v>
      </c>
      <c r="K271" t="str">
        <f>"ATP6V1A"</f>
        <v>ATP6V1A</v>
      </c>
      <c r="L271" t="str">
        <f>"ATP6V1A"</f>
        <v>ATP6V1A</v>
      </c>
      <c r="M271">
        <v>8.4727249265180298</v>
      </c>
      <c r="N271">
        <v>10.7340206622517</v>
      </c>
      <c r="O271">
        <v>12.7672075186345</v>
      </c>
      <c r="P271">
        <v>8.5217514195583597</v>
      </c>
      <c r="Q271">
        <v>8.7903339531424294</v>
      </c>
      <c r="R271">
        <v>7.2006482567437899</v>
      </c>
      <c r="S271">
        <v>10.198220134228199</v>
      </c>
      <c r="T271">
        <v>9.4759197418268606</v>
      </c>
      <c r="U271">
        <v>9.9212248628884794</v>
      </c>
      <c r="V271">
        <v>9.4557237087741104</v>
      </c>
      <c r="W271">
        <v>11.478582867502601</v>
      </c>
      <c r="X271">
        <v>11.815748527439199</v>
      </c>
    </row>
    <row r="272" spans="1:24">
      <c r="A272">
        <v>1010</v>
      </c>
      <c r="B272" t="s">
        <v>748</v>
      </c>
      <c r="C272">
        <v>1</v>
      </c>
      <c r="D272" t="s">
        <v>749</v>
      </c>
      <c r="E272">
        <v>25</v>
      </c>
      <c r="F272">
        <v>25</v>
      </c>
      <c r="G272">
        <v>25</v>
      </c>
      <c r="H272" t="s">
        <v>748</v>
      </c>
      <c r="I272">
        <v>37.9</v>
      </c>
      <c r="J272">
        <v>111.69</v>
      </c>
      <c r="K272" t="str">
        <f>"UBA7"</f>
        <v>UBA7</v>
      </c>
      <c r="L272" t="str">
        <f>"UBA7"</f>
        <v>UBA7</v>
      </c>
      <c r="M272">
        <v>10.8935034769518</v>
      </c>
      <c r="N272">
        <v>12.5230241059603</v>
      </c>
      <c r="O272">
        <v>13.679150912822699</v>
      </c>
      <c r="P272">
        <v>7.4565324921135696</v>
      </c>
      <c r="Q272">
        <v>8.7903339531424294</v>
      </c>
      <c r="R272">
        <v>9.0008103209297392</v>
      </c>
      <c r="S272">
        <v>9.0650845637583899</v>
      </c>
      <c r="T272">
        <v>5.9224498386417803</v>
      </c>
      <c r="U272">
        <v>11.023583180987201</v>
      </c>
      <c r="V272">
        <v>7.3544517734909798</v>
      </c>
      <c r="W272">
        <v>10.2031847711135</v>
      </c>
      <c r="X272">
        <v>14.769685659299</v>
      </c>
    </row>
    <row r="273" spans="1:24">
      <c r="A273">
        <v>1382</v>
      </c>
      <c r="B273" t="s">
        <v>750</v>
      </c>
      <c r="C273">
        <v>1</v>
      </c>
      <c r="D273" t="s">
        <v>751</v>
      </c>
      <c r="E273">
        <v>19</v>
      </c>
      <c r="F273">
        <v>19</v>
      </c>
      <c r="G273">
        <v>15</v>
      </c>
      <c r="H273" t="s">
        <v>750</v>
      </c>
      <c r="I273">
        <v>79.400000000000006</v>
      </c>
      <c r="J273">
        <v>22.11</v>
      </c>
      <c r="K273" t="str">
        <f>"PRDX1"</f>
        <v>PRDX1</v>
      </c>
      <c r="L273" t="str">
        <f>"PRDX1"</f>
        <v>PRDX1</v>
      </c>
      <c r="M273">
        <v>10.8935034769518</v>
      </c>
      <c r="N273">
        <v>10.7340206622517</v>
      </c>
      <c r="O273">
        <v>10.943320730258201</v>
      </c>
      <c r="P273">
        <v>14.9130649842271</v>
      </c>
      <c r="Q273">
        <v>8.7903339531424294</v>
      </c>
      <c r="R273">
        <v>10.800972385115699</v>
      </c>
      <c r="S273">
        <v>10.198220134228199</v>
      </c>
      <c r="T273">
        <v>11.8448996772836</v>
      </c>
      <c r="U273">
        <v>9.9212248628884794</v>
      </c>
      <c r="V273">
        <v>11.556995644057199</v>
      </c>
      <c r="W273">
        <v>8.9277866747242793</v>
      </c>
      <c r="X273">
        <v>9.84645710619934</v>
      </c>
    </row>
    <row r="274" spans="1:24">
      <c r="A274">
        <v>2199</v>
      </c>
      <c r="B274" t="s">
        <v>752</v>
      </c>
      <c r="C274">
        <v>3</v>
      </c>
      <c r="D274" t="s">
        <v>753</v>
      </c>
      <c r="E274">
        <v>18</v>
      </c>
      <c r="F274">
        <v>18</v>
      </c>
      <c r="G274">
        <v>18</v>
      </c>
      <c r="H274" t="s">
        <v>754</v>
      </c>
      <c r="I274">
        <v>50.9</v>
      </c>
      <c r="J274">
        <v>39.594000000000001</v>
      </c>
      <c r="K274" t="str">
        <f>"TMOD3;TMOD1"</f>
        <v>TMOD3;TMOD1</v>
      </c>
      <c r="L274" t="str">
        <f>"TMOD3;TMOD1"</f>
        <v>TMOD3;TMOD1</v>
      </c>
      <c r="M274">
        <v>13.3142820273855</v>
      </c>
      <c r="N274">
        <v>12.5230241059603</v>
      </c>
      <c r="O274">
        <v>14.5910943070109</v>
      </c>
      <c r="P274">
        <v>9.5869703470031506</v>
      </c>
      <c r="Q274">
        <v>10.046095946448499</v>
      </c>
      <c r="R274">
        <v>12.6011344493016</v>
      </c>
      <c r="S274">
        <v>11.331355704698</v>
      </c>
      <c r="T274">
        <v>7.1069398063701401</v>
      </c>
      <c r="U274">
        <v>11.023583180987201</v>
      </c>
      <c r="V274">
        <v>11.556995644057199</v>
      </c>
      <c r="W274">
        <v>8.9277866747242793</v>
      </c>
      <c r="X274">
        <v>7.8771656849594702</v>
      </c>
    </row>
    <row r="275" spans="1:24">
      <c r="A275">
        <v>954</v>
      </c>
      <c r="B275" t="s">
        <v>755</v>
      </c>
      <c r="C275">
        <v>1</v>
      </c>
      <c r="D275" t="s">
        <v>756</v>
      </c>
      <c r="E275">
        <v>16</v>
      </c>
      <c r="F275">
        <v>16</v>
      </c>
      <c r="G275">
        <v>15</v>
      </c>
      <c r="H275" t="s">
        <v>755</v>
      </c>
      <c r="I275">
        <v>48.7</v>
      </c>
      <c r="J275">
        <v>42.621000000000002</v>
      </c>
      <c r="K275" t="str">
        <f>"SERPINB6"</f>
        <v>SERPINB6</v>
      </c>
      <c r="L275" t="str">
        <f>"SERPINB6"</f>
        <v>SERPINB6</v>
      </c>
      <c r="M275">
        <v>10.8935034769518</v>
      </c>
      <c r="N275">
        <v>8.0505154966887407</v>
      </c>
      <c r="O275">
        <v>14.5910943070109</v>
      </c>
      <c r="P275">
        <v>13.8478460567823</v>
      </c>
      <c r="Q275">
        <v>8.7903339531424294</v>
      </c>
      <c r="R275">
        <v>9.9008913530227094</v>
      </c>
      <c r="S275">
        <v>6.7988134228187898</v>
      </c>
      <c r="T275">
        <v>8.2914297740984999</v>
      </c>
      <c r="U275">
        <v>13.228299817184601</v>
      </c>
      <c r="V275">
        <v>6.3038158058494096</v>
      </c>
      <c r="W275">
        <v>8.9277866747242793</v>
      </c>
      <c r="X275">
        <v>13.785039948679101</v>
      </c>
    </row>
    <row r="276" spans="1:24">
      <c r="A276">
        <v>981</v>
      </c>
      <c r="B276" t="s">
        <v>757</v>
      </c>
      <c r="C276">
        <v>3</v>
      </c>
      <c r="D276" t="s">
        <v>758</v>
      </c>
      <c r="E276">
        <v>29</v>
      </c>
      <c r="F276">
        <v>29</v>
      </c>
      <c r="G276">
        <v>29</v>
      </c>
      <c r="H276" t="s">
        <v>759</v>
      </c>
      <c r="I276">
        <v>55.9</v>
      </c>
      <c r="J276">
        <v>61.448</v>
      </c>
      <c r="K276" t="str">
        <f>"PGM1"</f>
        <v>PGM1</v>
      </c>
      <c r="L276" t="str">
        <f>"PGM1"</f>
        <v>PGM1</v>
      </c>
      <c r="M276">
        <v>8.4727249265180298</v>
      </c>
      <c r="N276">
        <v>14.312027549668899</v>
      </c>
      <c r="O276">
        <v>7.2955471535054599</v>
      </c>
      <c r="P276">
        <v>8.5217514195583597</v>
      </c>
      <c r="Q276">
        <v>10.046095946448499</v>
      </c>
      <c r="R276">
        <v>10.800972385115699</v>
      </c>
      <c r="S276">
        <v>6.7988134228187898</v>
      </c>
      <c r="T276">
        <v>11.8448996772836</v>
      </c>
      <c r="U276">
        <v>7.7165082266910403</v>
      </c>
      <c r="V276">
        <v>11.556995644057199</v>
      </c>
      <c r="W276">
        <v>11.478582867502601</v>
      </c>
      <c r="X276">
        <v>9.84645710619934</v>
      </c>
    </row>
    <row r="277" spans="1:24">
      <c r="A277">
        <v>1993</v>
      </c>
      <c r="B277" t="s">
        <v>760</v>
      </c>
      <c r="C277">
        <v>2</v>
      </c>
      <c r="D277" t="s">
        <v>761</v>
      </c>
      <c r="E277">
        <v>13</v>
      </c>
      <c r="F277">
        <v>13</v>
      </c>
      <c r="G277">
        <v>13</v>
      </c>
      <c r="H277" t="s">
        <v>762</v>
      </c>
      <c r="I277">
        <v>50.8</v>
      </c>
      <c r="J277">
        <v>33.261000000000003</v>
      </c>
      <c r="K277" t="str">
        <f>"MGLL"</f>
        <v>MGLL</v>
      </c>
      <c r="L277" t="str">
        <f>"MGLL"</f>
        <v>MGLL</v>
      </c>
      <c r="M277">
        <v>6.0519463760843104</v>
      </c>
      <c r="N277">
        <v>9.8395189403973493</v>
      </c>
      <c r="O277">
        <v>14.5910943070109</v>
      </c>
      <c r="P277">
        <v>9.5869703470031506</v>
      </c>
      <c r="Q277">
        <v>3.7672859799181899</v>
      </c>
      <c r="R277">
        <v>12.6011344493016</v>
      </c>
      <c r="S277">
        <v>5.6656778523489901</v>
      </c>
      <c r="T277">
        <v>9.4759197418268606</v>
      </c>
      <c r="U277">
        <v>15.4330164533821</v>
      </c>
      <c r="V277">
        <v>7.3544517734909798</v>
      </c>
      <c r="W277">
        <v>10.2031847711135</v>
      </c>
      <c r="X277">
        <v>9.84645710619934</v>
      </c>
    </row>
    <row r="278" spans="1:24">
      <c r="A278">
        <v>314</v>
      </c>
      <c r="B278" t="s">
        <v>763</v>
      </c>
      <c r="C278">
        <v>1</v>
      </c>
      <c r="D278" t="s">
        <v>764</v>
      </c>
      <c r="E278">
        <v>19</v>
      </c>
      <c r="F278">
        <v>19</v>
      </c>
      <c r="G278">
        <v>19</v>
      </c>
      <c r="H278" t="s">
        <v>763</v>
      </c>
      <c r="I278">
        <v>35.1</v>
      </c>
      <c r="J278">
        <v>67.790999999999997</v>
      </c>
      <c r="K278" t="str">
        <f>"F12"</f>
        <v>F12</v>
      </c>
      <c r="L278" t="str">
        <f>"F12"</f>
        <v>F12</v>
      </c>
      <c r="M278">
        <v>18.1558391282529</v>
      </c>
      <c r="N278">
        <v>8.0505154966887407</v>
      </c>
      <c r="O278">
        <v>4.5597169709409098</v>
      </c>
      <c r="P278">
        <v>15.9782839116719</v>
      </c>
      <c r="Q278">
        <v>22.6037158795091</v>
      </c>
      <c r="R278">
        <v>7.2006482567437899</v>
      </c>
      <c r="S278">
        <v>12.4644912751678</v>
      </c>
      <c r="T278">
        <v>13.0293896450119</v>
      </c>
      <c r="U278">
        <v>8.8188665447897598</v>
      </c>
      <c r="V278">
        <v>9.4557237087741104</v>
      </c>
      <c r="W278">
        <v>15.3047771566702</v>
      </c>
      <c r="X278">
        <v>6.8925199743395398</v>
      </c>
    </row>
    <row r="279" spans="1:24">
      <c r="A279">
        <v>592</v>
      </c>
      <c r="B279" t="s">
        <v>765</v>
      </c>
      <c r="C279">
        <v>1</v>
      </c>
      <c r="D279" t="s">
        <v>766</v>
      </c>
      <c r="E279">
        <v>20</v>
      </c>
      <c r="F279">
        <v>20</v>
      </c>
      <c r="G279">
        <v>19</v>
      </c>
      <c r="H279" t="s">
        <v>765</v>
      </c>
      <c r="I279">
        <v>32.799999999999997</v>
      </c>
      <c r="J279">
        <v>76.683999999999997</v>
      </c>
      <c r="K279" t="str">
        <f>"C1S"</f>
        <v>C1S</v>
      </c>
      <c r="L279" t="str">
        <f>"C1S"</f>
        <v>C1S</v>
      </c>
      <c r="M279">
        <v>10.8935034769518</v>
      </c>
      <c r="N279">
        <v>8.9450172185430503</v>
      </c>
      <c r="O279">
        <v>10.943320730258201</v>
      </c>
      <c r="P279">
        <v>11.717408201892701</v>
      </c>
      <c r="Q279">
        <v>16.324905912978799</v>
      </c>
      <c r="R279">
        <v>9.9008913530227094</v>
      </c>
      <c r="S279">
        <v>7.9319489932885903</v>
      </c>
      <c r="T279">
        <v>16.582859548197</v>
      </c>
      <c r="U279">
        <v>7.7165082266910403</v>
      </c>
      <c r="V279">
        <v>12.6076316116988</v>
      </c>
      <c r="W279">
        <v>10.2031847711135</v>
      </c>
      <c r="X279">
        <v>7.8771656849594702</v>
      </c>
    </row>
    <row r="280" spans="1:24">
      <c r="A280">
        <v>1289</v>
      </c>
      <c r="B280" t="s">
        <v>767</v>
      </c>
      <c r="C280">
        <v>4</v>
      </c>
      <c r="D280" t="s">
        <v>768</v>
      </c>
      <c r="E280">
        <v>12</v>
      </c>
      <c r="F280">
        <v>12</v>
      </c>
      <c r="G280">
        <v>12</v>
      </c>
      <c r="H280" t="s">
        <v>769</v>
      </c>
      <c r="I280">
        <v>57.1</v>
      </c>
      <c r="J280">
        <v>16.832000000000001</v>
      </c>
      <c r="K280" t="str">
        <f>"EIF5A;EIF5AL1;EIF5A2"</f>
        <v>EIF5A;EIF5AL1;EIF5A2</v>
      </c>
      <c r="L280" t="str">
        <f>"EIF5A;EIF5AL1;EIF5A2"</f>
        <v>EIF5A;EIF5AL1;EIF5A2</v>
      </c>
      <c r="M280">
        <v>4.8415571008674503</v>
      </c>
      <c r="N280">
        <v>11.628522384106001</v>
      </c>
      <c r="O280">
        <v>9.1194339418818195</v>
      </c>
      <c r="P280">
        <v>12.7826271293375</v>
      </c>
      <c r="Q280">
        <v>10.046095946448499</v>
      </c>
      <c r="R280">
        <v>9.9008913530227094</v>
      </c>
      <c r="S280">
        <v>4.5325422818791896</v>
      </c>
      <c r="T280">
        <v>10.6604097095552</v>
      </c>
      <c r="U280">
        <v>9.9212248628884794</v>
      </c>
      <c r="V280">
        <v>6.3038158058494096</v>
      </c>
      <c r="W280">
        <v>11.478582867502601</v>
      </c>
      <c r="X280">
        <v>10.8311028168193</v>
      </c>
    </row>
    <row r="281" spans="1:24">
      <c r="A281">
        <v>2180</v>
      </c>
      <c r="B281" t="s">
        <v>770</v>
      </c>
      <c r="C281">
        <v>9</v>
      </c>
      <c r="D281" t="s">
        <v>771</v>
      </c>
      <c r="E281">
        <v>21</v>
      </c>
      <c r="F281">
        <v>21</v>
      </c>
      <c r="G281">
        <v>11</v>
      </c>
      <c r="H281" t="s">
        <v>772</v>
      </c>
      <c r="I281">
        <v>49.2</v>
      </c>
      <c r="J281">
        <v>49.398000000000003</v>
      </c>
      <c r="K281" t="str">
        <f>"SEPT11;SEPT8;SEPT10"</f>
        <v>SEPT11;SEPT8;SEPT10</v>
      </c>
      <c r="L281" t="str">
        <f>"SEPT11;SEPT8;SEPT10"</f>
        <v>SEPT11;SEPT8;SEPT10</v>
      </c>
      <c r="M281">
        <v>10.8935034769518</v>
      </c>
      <c r="N281">
        <v>10.7340206622517</v>
      </c>
      <c r="O281">
        <v>15.5030377011991</v>
      </c>
      <c r="P281">
        <v>10.652189274448</v>
      </c>
      <c r="Q281">
        <v>8.7903339531424294</v>
      </c>
      <c r="R281">
        <v>10.800972385115699</v>
      </c>
      <c r="S281">
        <v>6.7988134228187898</v>
      </c>
      <c r="T281">
        <v>8.2914297740984999</v>
      </c>
      <c r="U281">
        <v>5.5117915904936003</v>
      </c>
      <c r="V281">
        <v>10.5063596764157</v>
      </c>
      <c r="W281">
        <v>11.478582867502601</v>
      </c>
      <c r="X281">
        <v>9.84645710619934</v>
      </c>
    </row>
    <row r="282" spans="1:24">
      <c r="A282">
        <v>1867</v>
      </c>
      <c r="B282" t="s">
        <v>773</v>
      </c>
      <c r="C282">
        <v>2</v>
      </c>
      <c r="D282" t="s">
        <v>774</v>
      </c>
      <c r="E282">
        <v>32</v>
      </c>
      <c r="F282">
        <v>32</v>
      </c>
      <c r="G282">
        <v>32</v>
      </c>
      <c r="H282" t="s">
        <v>775</v>
      </c>
      <c r="I282">
        <v>34.1</v>
      </c>
      <c r="J282">
        <v>124.61</v>
      </c>
      <c r="K282" t="str">
        <f>"HMHA1"</f>
        <v>HMHA1</v>
      </c>
      <c r="L282" t="str">
        <f>"HMHA1"</f>
        <v>HMHA1</v>
      </c>
      <c r="M282">
        <v>3.6311678256505799</v>
      </c>
      <c r="N282">
        <v>13.4175258278146</v>
      </c>
      <c r="O282">
        <v>12.7672075186345</v>
      </c>
      <c r="P282">
        <v>8.5217514195583597</v>
      </c>
      <c r="Q282">
        <v>5.0230479732242497</v>
      </c>
      <c r="R282">
        <v>12.6011344493016</v>
      </c>
      <c r="S282">
        <v>12.4644912751678</v>
      </c>
      <c r="T282">
        <v>7.1069398063701401</v>
      </c>
      <c r="U282">
        <v>11.023583180987201</v>
      </c>
      <c r="V282">
        <v>6.3038158058494096</v>
      </c>
      <c r="W282">
        <v>8.9277866747242793</v>
      </c>
      <c r="X282">
        <v>9.84645710619934</v>
      </c>
    </row>
    <row r="283" spans="1:24">
      <c r="A283">
        <v>2004</v>
      </c>
      <c r="B283" t="s">
        <v>776</v>
      </c>
      <c r="C283">
        <v>4</v>
      </c>
      <c r="D283" t="s">
        <v>777</v>
      </c>
      <c r="E283">
        <v>20</v>
      </c>
      <c r="F283">
        <v>20</v>
      </c>
      <c r="G283">
        <v>20</v>
      </c>
      <c r="H283" t="s">
        <v>778</v>
      </c>
      <c r="I283">
        <v>39.4</v>
      </c>
      <c r="J283">
        <v>59.366</v>
      </c>
      <c r="K283" t="str">
        <f>"CCT7"</f>
        <v>CCT7</v>
      </c>
      <c r="L283" t="str">
        <f>"CCT7"</f>
        <v>CCT7</v>
      </c>
      <c r="M283">
        <v>7.2623356513011696</v>
      </c>
      <c r="N283">
        <v>8.9450172185430503</v>
      </c>
      <c r="O283">
        <v>10.943320730258201</v>
      </c>
      <c r="P283">
        <v>11.717408201892701</v>
      </c>
      <c r="Q283">
        <v>10.046095946448499</v>
      </c>
      <c r="R283">
        <v>10.800972385115699</v>
      </c>
      <c r="S283">
        <v>7.9319489932885903</v>
      </c>
      <c r="T283">
        <v>7.1069398063701401</v>
      </c>
      <c r="U283">
        <v>8.8188665447897598</v>
      </c>
      <c r="V283">
        <v>10.5063596764157</v>
      </c>
      <c r="W283">
        <v>8.9277866747242793</v>
      </c>
      <c r="X283">
        <v>14.769685659299</v>
      </c>
    </row>
    <row r="284" spans="1:24">
      <c r="A284">
        <v>175</v>
      </c>
      <c r="B284" t="s">
        <v>779</v>
      </c>
      <c r="C284">
        <v>1</v>
      </c>
      <c r="D284" t="s">
        <v>780</v>
      </c>
      <c r="E284">
        <v>15</v>
      </c>
      <c r="F284">
        <v>15</v>
      </c>
      <c r="G284">
        <v>15</v>
      </c>
      <c r="H284" t="s">
        <v>779</v>
      </c>
      <c r="I284">
        <v>53.9</v>
      </c>
      <c r="J284">
        <v>38.087000000000003</v>
      </c>
      <c r="K284" t="str">
        <f>"CD5L"</f>
        <v>CD5L</v>
      </c>
      <c r="L284" t="str">
        <f>"CD5L"</f>
        <v>CD5L</v>
      </c>
      <c r="M284">
        <v>25.4181747795541</v>
      </c>
      <c r="N284">
        <v>10.7340206622517</v>
      </c>
      <c r="O284">
        <v>7.2955471535054599</v>
      </c>
      <c r="P284">
        <v>11.717408201892701</v>
      </c>
      <c r="Q284">
        <v>13.8133819263667</v>
      </c>
      <c r="R284">
        <v>7.2006482567437899</v>
      </c>
      <c r="S284">
        <v>5.6656778523489901</v>
      </c>
      <c r="T284">
        <v>11.8448996772836</v>
      </c>
      <c r="U284">
        <v>3.3070749542961599</v>
      </c>
      <c r="V284">
        <v>12.6076316116988</v>
      </c>
      <c r="W284">
        <v>16.580175253059402</v>
      </c>
      <c r="X284">
        <v>1.96929142123987</v>
      </c>
    </row>
    <row r="285" spans="1:24">
      <c r="A285">
        <v>1151</v>
      </c>
      <c r="B285" t="s">
        <v>781</v>
      </c>
      <c r="C285">
        <v>2</v>
      </c>
      <c r="D285" t="s">
        <v>782</v>
      </c>
      <c r="E285">
        <v>10</v>
      </c>
      <c r="F285">
        <v>10</v>
      </c>
      <c r="G285">
        <v>10</v>
      </c>
      <c r="H285" t="s">
        <v>783</v>
      </c>
      <c r="I285">
        <v>58.3</v>
      </c>
      <c r="J285">
        <v>23.207000000000001</v>
      </c>
      <c r="K285" t="str">
        <f>"ARHGDIA"</f>
        <v>ARHGDIA</v>
      </c>
      <c r="L285" t="str">
        <f>"ARHGDIA"</f>
        <v>ARHGDIA</v>
      </c>
      <c r="M285">
        <v>9.6831142017348899</v>
      </c>
      <c r="N285">
        <v>9.8395189403973493</v>
      </c>
      <c r="O285">
        <v>10.943320730258201</v>
      </c>
      <c r="P285">
        <v>10.652189274448</v>
      </c>
      <c r="Q285">
        <v>10.046095946448499</v>
      </c>
      <c r="R285">
        <v>9.9008913530227094</v>
      </c>
      <c r="S285">
        <v>12.4644912751678</v>
      </c>
      <c r="T285">
        <v>7.1069398063701401</v>
      </c>
      <c r="U285">
        <v>12.125941499085901</v>
      </c>
      <c r="V285">
        <v>10.5063596764157</v>
      </c>
      <c r="W285">
        <v>10.2031847711135</v>
      </c>
      <c r="X285">
        <v>11.815748527439199</v>
      </c>
    </row>
    <row r="286" spans="1:24">
      <c r="A286">
        <v>1504</v>
      </c>
      <c r="B286" t="s">
        <v>784</v>
      </c>
      <c r="C286">
        <v>2</v>
      </c>
      <c r="D286" t="s">
        <v>785</v>
      </c>
      <c r="E286">
        <v>26</v>
      </c>
      <c r="F286">
        <v>26</v>
      </c>
      <c r="G286">
        <v>26</v>
      </c>
      <c r="H286" t="s">
        <v>786</v>
      </c>
      <c r="I286">
        <v>47</v>
      </c>
      <c r="J286">
        <v>59.594000000000001</v>
      </c>
      <c r="K286" t="str">
        <f>"PDIA5"</f>
        <v>PDIA5</v>
      </c>
      <c r="L286" t="str">
        <f>"PDIA5"</f>
        <v>PDIA5</v>
      </c>
      <c r="M286">
        <v>15.735060577819199</v>
      </c>
      <c r="N286">
        <v>11.628522384106001</v>
      </c>
      <c r="O286">
        <v>17.3269244895755</v>
      </c>
      <c r="P286">
        <v>4.2608757097791798</v>
      </c>
      <c r="Q286">
        <v>3.7672859799181899</v>
      </c>
      <c r="R286">
        <v>15.3013775455806</v>
      </c>
      <c r="S286">
        <v>19.263304697986602</v>
      </c>
      <c r="T286">
        <v>5.9224498386417803</v>
      </c>
      <c r="U286">
        <v>16.5353747714808</v>
      </c>
      <c r="V286">
        <v>7.3544517734909798</v>
      </c>
      <c r="W286">
        <v>6.37699048194591</v>
      </c>
      <c r="X286">
        <v>17.7236227911588</v>
      </c>
    </row>
    <row r="287" spans="1:24">
      <c r="A287">
        <v>1712</v>
      </c>
      <c r="B287" t="s">
        <v>787</v>
      </c>
      <c r="C287">
        <v>1</v>
      </c>
      <c r="D287" t="s">
        <v>788</v>
      </c>
      <c r="E287">
        <v>33</v>
      </c>
      <c r="F287">
        <v>33</v>
      </c>
      <c r="G287">
        <v>33</v>
      </c>
      <c r="H287" t="s">
        <v>787</v>
      </c>
      <c r="I287">
        <v>39.700000000000003</v>
      </c>
      <c r="J287">
        <v>102</v>
      </c>
      <c r="K287" t="str">
        <f>"SND1"</f>
        <v>SND1</v>
      </c>
      <c r="L287" t="str">
        <f>"SND1"</f>
        <v>SND1</v>
      </c>
      <c r="M287">
        <v>7.2623356513011696</v>
      </c>
      <c r="N287">
        <v>13.4175258278146</v>
      </c>
      <c r="O287">
        <v>12.7672075186345</v>
      </c>
      <c r="P287">
        <v>8.5217514195583597</v>
      </c>
      <c r="Q287">
        <v>6.2788099665303099</v>
      </c>
      <c r="R287">
        <v>9.9008913530227094</v>
      </c>
      <c r="S287">
        <v>12.4644912751678</v>
      </c>
      <c r="T287">
        <v>7.1069398063701401</v>
      </c>
      <c r="U287">
        <v>8.8188665447897598</v>
      </c>
      <c r="V287">
        <v>4.2025438705662701</v>
      </c>
      <c r="W287">
        <v>11.478582867502601</v>
      </c>
      <c r="X287">
        <v>12.8003942380591</v>
      </c>
    </row>
    <row r="288" spans="1:24">
      <c r="A288">
        <v>491</v>
      </c>
      <c r="B288" t="s">
        <v>789</v>
      </c>
      <c r="C288">
        <v>5</v>
      </c>
      <c r="D288" t="s">
        <v>790</v>
      </c>
      <c r="E288">
        <v>24</v>
      </c>
      <c r="F288">
        <v>24</v>
      </c>
      <c r="G288">
        <v>24</v>
      </c>
      <c r="H288" t="s">
        <v>791</v>
      </c>
      <c r="I288">
        <v>32.5</v>
      </c>
      <c r="J288">
        <v>88.414000000000001</v>
      </c>
      <c r="K288" t="str">
        <f>"ITGB1"</f>
        <v>ITGB1</v>
      </c>
      <c r="L288" t="str">
        <f>"ITGB1"</f>
        <v>ITGB1</v>
      </c>
      <c r="M288">
        <v>2.4207785504337198</v>
      </c>
      <c r="N288">
        <v>8.9450172185430503</v>
      </c>
      <c r="O288">
        <v>7.2955471535054599</v>
      </c>
      <c r="P288">
        <v>18.108721766561501</v>
      </c>
      <c r="Q288">
        <v>11.3018579397546</v>
      </c>
      <c r="R288">
        <v>18.901701673952399</v>
      </c>
      <c r="S288">
        <v>10.198220134228199</v>
      </c>
      <c r="T288">
        <v>18.9518394836537</v>
      </c>
      <c r="U288">
        <v>16.5353747714808</v>
      </c>
      <c r="V288">
        <v>13.6582675793404</v>
      </c>
      <c r="W288">
        <v>1.27539809638918</v>
      </c>
      <c r="X288">
        <v>10.8311028168193</v>
      </c>
    </row>
    <row r="289" spans="1:24">
      <c r="A289">
        <v>709</v>
      </c>
      <c r="B289" t="s">
        <v>792</v>
      </c>
      <c r="C289">
        <v>1</v>
      </c>
      <c r="D289" t="s">
        <v>793</v>
      </c>
      <c r="E289">
        <v>27</v>
      </c>
      <c r="F289">
        <v>27</v>
      </c>
      <c r="G289">
        <v>27</v>
      </c>
      <c r="H289" t="s">
        <v>792</v>
      </c>
      <c r="I289">
        <v>44.5</v>
      </c>
      <c r="J289">
        <v>90.832999999999998</v>
      </c>
      <c r="K289" t="str">
        <f>"SELP"</f>
        <v>SELP</v>
      </c>
      <c r="L289" t="str">
        <f>"SELP"</f>
        <v>SELP</v>
      </c>
      <c r="M289">
        <v>1.2103892752168599</v>
      </c>
      <c r="N289">
        <v>7.1560137748344399</v>
      </c>
      <c r="O289">
        <v>7.2955471535054599</v>
      </c>
      <c r="P289">
        <v>18.108721766561501</v>
      </c>
      <c r="Q289">
        <v>16.324905912978799</v>
      </c>
      <c r="R289">
        <v>19.801782706045401</v>
      </c>
      <c r="S289">
        <v>16.997033557047001</v>
      </c>
      <c r="T289">
        <v>13.0293896450119</v>
      </c>
      <c r="U289">
        <v>23.1495246800731</v>
      </c>
      <c r="V289">
        <v>17.860811449906699</v>
      </c>
      <c r="W289">
        <v>0</v>
      </c>
      <c r="X289">
        <v>8.8618113955793998</v>
      </c>
    </row>
    <row r="290" spans="1:24">
      <c r="A290">
        <v>1074</v>
      </c>
      <c r="B290" t="s">
        <v>794</v>
      </c>
      <c r="C290">
        <v>2</v>
      </c>
      <c r="D290" t="s">
        <v>795</v>
      </c>
      <c r="E290">
        <v>25</v>
      </c>
      <c r="F290">
        <v>25</v>
      </c>
      <c r="G290">
        <v>25</v>
      </c>
      <c r="H290" t="s">
        <v>796</v>
      </c>
      <c r="I290">
        <v>42.7</v>
      </c>
      <c r="J290">
        <v>59.67</v>
      </c>
      <c r="K290" t="str">
        <f>"CCT5"</f>
        <v>CCT5</v>
      </c>
      <c r="L290" t="str">
        <f>"CCT5"</f>
        <v>CCT5</v>
      </c>
      <c r="M290">
        <v>7.2623356513011696</v>
      </c>
      <c r="N290">
        <v>9.8395189403973493</v>
      </c>
      <c r="O290">
        <v>10.943320730258201</v>
      </c>
      <c r="P290">
        <v>8.5217514195583597</v>
      </c>
      <c r="Q290">
        <v>10.046095946448499</v>
      </c>
      <c r="R290">
        <v>9.9008913530227094</v>
      </c>
      <c r="S290">
        <v>9.0650845637583899</v>
      </c>
      <c r="T290">
        <v>8.2914297740984999</v>
      </c>
      <c r="U290">
        <v>8.8188665447897598</v>
      </c>
      <c r="V290">
        <v>10.5063596764157</v>
      </c>
      <c r="W290">
        <v>10.2031847711135</v>
      </c>
      <c r="X290">
        <v>8.8618113955793998</v>
      </c>
    </row>
    <row r="291" spans="1:24">
      <c r="A291">
        <v>791</v>
      </c>
      <c r="B291" t="s">
        <v>797</v>
      </c>
      <c r="C291">
        <v>1</v>
      </c>
      <c r="D291" t="s">
        <v>798</v>
      </c>
      <c r="E291">
        <v>19</v>
      </c>
      <c r="F291">
        <v>19</v>
      </c>
      <c r="G291">
        <v>3</v>
      </c>
      <c r="H291" t="s">
        <v>797</v>
      </c>
      <c r="I291">
        <v>38.9</v>
      </c>
      <c r="J291">
        <v>46.234999999999999</v>
      </c>
      <c r="K291" t="str">
        <f>"PRKACB"</f>
        <v>PRKACB</v>
      </c>
      <c r="L291" t="str">
        <f>"PRKACB"</f>
        <v>PRKACB</v>
      </c>
      <c r="M291">
        <v>9.6831142017348899</v>
      </c>
      <c r="N291">
        <v>10.7340206622517</v>
      </c>
      <c r="O291">
        <v>11.8552641244464</v>
      </c>
      <c r="P291">
        <v>7.4565324921135696</v>
      </c>
      <c r="Q291">
        <v>7.5345719598363701</v>
      </c>
      <c r="R291">
        <v>8.1007292888367601</v>
      </c>
      <c r="S291">
        <v>6.7988134228187898</v>
      </c>
      <c r="T291">
        <v>7.1069398063701401</v>
      </c>
      <c r="U291">
        <v>11.023583180987201</v>
      </c>
      <c r="V291">
        <v>12.6076316116988</v>
      </c>
      <c r="W291">
        <v>6.37699048194591</v>
      </c>
      <c r="X291">
        <v>10.8311028168193</v>
      </c>
    </row>
    <row r="292" spans="1:24">
      <c r="A292">
        <v>1275</v>
      </c>
      <c r="B292" t="s">
        <v>799</v>
      </c>
      <c r="C292">
        <v>2</v>
      </c>
      <c r="D292" t="s">
        <v>800</v>
      </c>
      <c r="E292">
        <v>13</v>
      </c>
      <c r="F292">
        <v>13</v>
      </c>
      <c r="G292">
        <v>7</v>
      </c>
      <c r="H292" t="s">
        <v>801</v>
      </c>
      <c r="I292">
        <v>33.700000000000003</v>
      </c>
      <c r="J292">
        <v>36.296999999999997</v>
      </c>
      <c r="K292" t="str">
        <f>"GNB1"</f>
        <v>GNB1</v>
      </c>
      <c r="L292" t="str">
        <f>"GNB1"</f>
        <v>GNB1</v>
      </c>
      <c r="M292">
        <v>12.1038927521686</v>
      </c>
      <c r="N292">
        <v>10.7340206622517</v>
      </c>
      <c r="O292">
        <v>10.943320730258201</v>
      </c>
      <c r="P292">
        <v>11.717408201892701</v>
      </c>
      <c r="Q292">
        <v>7.5345719598363701</v>
      </c>
      <c r="R292">
        <v>8.1007292888367601</v>
      </c>
      <c r="S292">
        <v>7.9319489932885903</v>
      </c>
      <c r="T292">
        <v>13.0293896450119</v>
      </c>
      <c r="U292">
        <v>8.8188665447897598</v>
      </c>
      <c r="V292">
        <v>12.6076316116988</v>
      </c>
      <c r="W292">
        <v>3.82619428916755</v>
      </c>
      <c r="X292">
        <v>8.8618113955793998</v>
      </c>
    </row>
    <row r="293" spans="1:24">
      <c r="A293">
        <v>1592</v>
      </c>
      <c r="B293" t="s">
        <v>802</v>
      </c>
      <c r="C293">
        <v>3</v>
      </c>
      <c r="D293" t="s">
        <v>803</v>
      </c>
      <c r="E293">
        <v>25</v>
      </c>
      <c r="F293">
        <v>25</v>
      </c>
      <c r="G293">
        <v>25</v>
      </c>
      <c r="H293" t="s">
        <v>804</v>
      </c>
      <c r="I293">
        <v>43.5</v>
      </c>
      <c r="J293">
        <v>71.427999999999997</v>
      </c>
      <c r="K293" t="str">
        <f>"DBN1"</f>
        <v>DBN1</v>
      </c>
      <c r="L293" t="str">
        <f>"DBN1"</f>
        <v>DBN1</v>
      </c>
      <c r="M293">
        <v>8.4727249265180298</v>
      </c>
      <c r="N293">
        <v>9.8395189403973493</v>
      </c>
      <c r="O293">
        <v>11.8552641244464</v>
      </c>
      <c r="P293">
        <v>10.652189274448</v>
      </c>
      <c r="Q293">
        <v>6.2788099665303099</v>
      </c>
      <c r="R293">
        <v>11.7010534172087</v>
      </c>
      <c r="S293">
        <v>11.331355704698</v>
      </c>
      <c r="T293">
        <v>5.9224498386417803</v>
      </c>
      <c r="U293">
        <v>13.228299817184601</v>
      </c>
      <c r="V293">
        <v>8.4050877411325509</v>
      </c>
      <c r="W293">
        <v>12.7539809638918</v>
      </c>
      <c r="X293">
        <v>7.8771656849594702</v>
      </c>
    </row>
    <row r="294" spans="1:24">
      <c r="A294">
        <v>2171</v>
      </c>
      <c r="B294" t="s">
        <v>805</v>
      </c>
      <c r="C294">
        <v>2</v>
      </c>
      <c r="D294" t="s">
        <v>806</v>
      </c>
      <c r="E294">
        <v>27</v>
      </c>
      <c r="F294">
        <v>27</v>
      </c>
      <c r="G294">
        <v>27</v>
      </c>
      <c r="H294" t="s">
        <v>807</v>
      </c>
      <c r="I294">
        <v>46.5</v>
      </c>
      <c r="J294">
        <v>66.965999999999994</v>
      </c>
      <c r="K294" t="str">
        <f>"SACM1L"</f>
        <v>SACM1L</v>
      </c>
      <c r="L294" t="str">
        <f>"SACM1L"</f>
        <v>SACM1L</v>
      </c>
      <c r="M294">
        <v>6.0519463760843104</v>
      </c>
      <c r="N294">
        <v>14.312027549668899</v>
      </c>
      <c r="O294">
        <v>11.8552641244464</v>
      </c>
      <c r="P294">
        <v>9.5869703470031506</v>
      </c>
      <c r="Q294">
        <v>7.5345719598363701</v>
      </c>
      <c r="R294">
        <v>9.0008103209297392</v>
      </c>
      <c r="S294">
        <v>14.7307624161074</v>
      </c>
      <c r="T294">
        <v>7.1069398063701401</v>
      </c>
      <c r="U294">
        <v>9.9212248628884794</v>
      </c>
      <c r="V294">
        <v>7.3544517734909798</v>
      </c>
      <c r="W294">
        <v>8.9277866747242793</v>
      </c>
      <c r="X294">
        <v>8.8618113955793998</v>
      </c>
    </row>
    <row r="295" spans="1:24">
      <c r="A295">
        <v>521</v>
      </c>
      <c r="B295" t="s">
        <v>808</v>
      </c>
      <c r="C295">
        <v>2</v>
      </c>
      <c r="D295" t="s">
        <v>809</v>
      </c>
      <c r="E295">
        <v>13</v>
      </c>
      <c r="F295">
        <v>13</v>
      </c>
      <c r="G295">
        <v>13</v>
      </c>
      <c r="H295" t="s">
        <v>810</v>
      </c>
      <c r="I295">
        <v>73.900000000000006</v>
      </c>
      <c r="J295">
        <v>22.088000000000001</v>
      </c>
      <c r="K295" t="str">
        <f>"GPX1"</f>
        <v>GPX1</v>
      </c>
      <c r="L295" t="str">
        <f>"GPX1"</f>
        <v>GPX1</v>
      </c>
      <c r="M295">
        <v>14.5246713026023</v>
      </c>
      <c r="N295">
        <v>6.2615120529801302</v>
      </c>
      <c r="O295">
        <v>9.1194339418818195</v>
      </c>
      <c r="P295">
        <v>8.5217514195583597</v>
      </c>
      <c r="Q295">
        <v>3.7672859799181899</v>
      </c>
      <c r="R295">
        <v>13.501215481394601</v>
      </c>
      <c r="S295">
        <v>6.7988134228187898</v>
      </c>
      <c r="T295">
        <v>11.8448996772836</v>
      </c>
      <c r="U295">
        <v>13.228299817184601</v>
      </c>
      <c r="V295">
        <v>10.5063596764157</v>
      </c>
      <c r="W295">
        <v>8.9277866747242793</v>
      </c>
      <c r="X295">
        <v>11.815748527439199</v>
      </c>
    </row>
    <row r="296" spans="1:24">
      <c r="A296">
        <v>660</v>
      </c>
      <c r="B296" t="s">
        <v>811</v>
      </c>
      <c r="C296">
        <v>2</v>
      </c>
      <c r="D296" t="s">
        <v>812</v>
      </c>
      <c r="E296">
        <v>6</v>
      </c>
      <c r="F296">
        <v>6</v>
      </c>
      <c r="G296">
        <v>6</v>
      </c>
      <c r="H296" t="s">
        <v>813</v>
      </c>
      <c r="I296">
        <v>24.8</v>
      </c>
      <c r="J296">
        <v>21.716999999999999</v>
      </c>
      <c r="K296" t="str">
        <f>"GP1BB"</f>
        <v>GP1BB</v>
      </c>
      <c r="L296" t="str">
        <f>"GP1BB"</f>
        <v>GP1BB</v>
      </c>
      <c r="M296">
        <v>10.8935034769518</v>
      </c>
      <c r="N296">
        <v>7.1560137748344399</v>
      </c>
      <c r="O296">
        <v>6.3836037593172703</v>
      </c>
      <c r="P296">
        <v>11.717408201892701</v>
      </c>
      <c r="Q296">
        <v>15.069143919672699</v>
      </c>
      <c r="R296">
        <v>11.7010534172087</v>
      </c>
      <c r="S296">
        <v>12.4644912751678</v>
      </c>
      <c r="T296">
        <v>9.4759197418268606</v>
      </c>
      <c r="U296">
        <v>12.125941499085901</v>
      </c>
      <c r="V296">
        <v>12.6076316116988</v>
      </c>
      <c r="W296">
        <v>11.478582867502601</v>
      </c>
      <c r="X296">
        <v>10.8311028168193</v>
      </c>
    </row>
    <row r="297" spans="1:24">
      <c r="A297">
        <v>1256</v>
      </c>
      <c r="B297" t="s">
        <v>814</v>
      </c>
      <c r="C297">
        <v>3</v>
      </c>
      <c r="D297" t="s">
        <v>815</v>
      </c>
      <c r="E297">
        <v>18</v>
      </c>
      <c r="F297">
        <v>18</v>
      </c>
      <c r="G297">
        <v>6</v>
      </c>
      <c r="H297" t="s">
        <v>816</v>
      </c>
      <c r="I297">
        <v>47.9</v>
      </c>
      <c r="J297">
        <v>37.512</v>
      </c>
      <c r="K297" t="str">
        <f>"PPP1CA"</f>
        <v>PPP1CA</v>
      </c>
      <c r="L297" t="str">
        <f>"PPP1CA"</f>
        <v>PPP1CA</v>
      </c>
      <c r="M297">
        <v>7.2623356513011696</v>
      </c>
      <c r="N297">
        <v>14.312027549668899</v>
      </c>
      <c r="O297">
        <v>9.1194339418818195</v>
      </c>
      <c r="P297">
        <v>5.3260946372239797</v>
      </c>
      <c r="Q297">
        <v>7.5345719598363701</v>
      </c>
      <c r="R297">
        <v>12.6011344493016</v>
      </c>
      <c r="S297">
        <v>10.198220134228199</v>
      </c>
      <c r="T297">
        <v>7.1069398063701401</v>
      </c>
      <c r="U297">
        <v>13.228299817184601</v>
      </c>
      <c r="V297">
        <v>10.5063596764157</v>
      </c>
      <c r="W297">
        <v>10.2031847711135</v>
      </c>
      <c r="X297">
        <v>14.769685659299</v>
      </c>
    </row>
    <row r="298" spans="1:24">
      <c r="A298">
        <v>143</v>
      </c>
      <c r="B298" t="s">
        <v>817</v>
      </c>
      <c r="C298">
        <v>2</v>
      </c>
      <c r="D298" t="s">
        <v>818</v>
      </c>
      <c r="E298">
        <v>14</v>
      </c>
      <c r="F298">
        <v>14</v>
      </c>
      <c r="G298">
        <v>14</v>
      </c>
      <c r="H298" t="s">
        <v>819</v>
      </c>
      <c r="I298">
        <v>49.1</v>
      </c>
      <c r="J298">
        <v>47.941000000000003</v>
      </c>
      <c r="K298" t="str">
        <f>"TGFB1I1"</f>
        <v>TGFB1I1</v>
      </c>
      <c r="L298" t="str">
        <f>"TGFB1I1"</f>
        <v>TGFB1I1</v>
      </c>
      <c r="M298">
        <v>8.4727249265180298</v>
      </c>
      <c r="N298">
        <v>9.8395189403973493</v>
      </c>
      <c r="O298">
        <v>12.7672075186345</v>
      </c>
      <c r="P298">
        <v>5.3260946372239797</v>
      </c>
      <c r="Q298">
        <v>6.2788099665303099</v>
      </c>
      <c r="R298">
        <v>12.6011344493016</v>
      </c>
      <c r="S298">
        <v>11.331355704698</v>
      </c>
      <c r="T298">
        <v>8.2914297740984999</v>
      </c>
      <c r="U298">
        <v>6.6141499085923199</v>
      </c>
      <c r="V298">
        <v>5.2531798382078403</v>
      </c>
      <c r="W298">
        <v>16.580175253059402</v>
      </c>
      <c r="X298">
        <v>10.8311028168193</v>
      </c>
    </row>
    <row r="299" spans="1:24">
      <c r="A299">
        <v>506</v>
      </c>
      <c r="B299" t="s">
        <v>820</v>
      </c>
      <c r="C299">
        <v>3</v>
      </c>
      <c r="D299" t="s">
        <v>821</v>
      </c>
      <c r="E299">
        <v>19</v>
      </c>
      <c r="F299">
        <v>19</v>
      </c>
      <c r="G299">
        <v>19</v>
      </c>
      <c r="H299" t="s">
        <v>822</v>
      </c>
      <c r="I299">
        <v>28.2</v>
      </c>
      <c r="J299">
        <v>83.266999999999996</v>
      </c>
      <c r="K299" t="str">
        <f>"C2"</f>
        <v>C2</v>
      </c>
      <c r="L299" t="str">
        <f>"C2"</f>
        <v>C2</v>
      </c>
      <c r="M299">
        <v>15.735060577819199</v>
      </c>
      <c r="N299">
        <v>8.9450172185430503</v>
      </c>
      <c r="O299">
        <v>10.031377336069999</v>
      </c>
      <c r="P299">
        <v>9.5869703470031506</v>
      </c>
      <c r="Q299">
        <v>15.069143919672699</v>
      </c>
      <c r="R299">
        <v>9.9008913530227094</v>
      </c>
      <c r="S299">
        <v>12.4644912751678</v>
      </c>
      <c r="T299">
        <v>10.6604097095552</v>
      </c>
      <c r="U299">
        <v>6.6141499085923199</v>
      </c>
      <c r="V299">
        <v>7.3544517734909798</v>
      </c>
      <c r="W299">
        <v>15.3047771566702</v>
      </c>
      <c r="X299">
        <v>5.9078742637195996</v>
      </c>
    </row>
    <row r="300" spans="1:24">
      <c r="A300">
        <v>2375</v>
      </c>
      <c r="B300" t="s">
        <v>823</v>
      </c>
      <c r="C300">
        <v>2</v>
      </c>
      <c r="D300" t="s">
        <v>824</v>
      </c>
      <c r="E300">
        <v>14</v>
      </c>
      <c r="F300">
        <v>14</v>
      </c>
      <c r="G300">
        <v>14</v>
      </c>
      <c r="H300" t="s">
        <v>825</v>
      </c>
      <c r="I300">
        <v>45.8</v>
      </c>
      <c r="J300">
        <v>32.582999999999998</v>
      </c>
      <c r="K300" t="str">
        <f>"F11R"</f>
        <v>F11R</v>
      </c>
      <c r="L300" t="str">
        <f>"F11R"</f>
        <v>F11R</v>
      </c>
      <c r="M300">
        <v>6.0519463760843104</v>
      </c>
      <c r="N300">
        <v>10.7340206622517</v>
      </c>
      <c r="O300">
        <v>9.1194339418818195</v>
      </c>
      <c r="P300">
        <v>11.717408201892701</v>
      </c>
      <c r="Q300">
        <v>6.2788099665303099</v>
      </c>
      <c r="R300">
        <v>9.0008103209297392</v>
      </c>
      <c r="S300">
        <v>6.7988134228187898</v>
      </c>
      <c r="T300">
        <v>10.6604097095552</v>
      </c>
      <c r="U300">
        <v>5.5117915904936003</v>
      </c>
      <c r="V300">
        <v>17.860811449906699</v>
      </c>
      <c r="W300">
        <v>7.6523885783351</v>
      </c>
      <c r="X300">
        <v>4.92322855309967</v>
      </c>
    </row>
    <row r="301" spans="1:24">
      <c r="A301">
        <v>1008</v>
      </c>
      <c r="B301" t="s">
        <v>826</v>
      </c>
      <c r="C301">
        <v>2</v>
      </c>
      <c r="D301" t="s">
        <v>827</v>
      </c>
      <c r="E301">
        <v>26</v>
      </c>
      <c r="F301">
        <v>26</v>
      </c>
      <c r="G301">
        <v>26</v>
      </c>
      <c r="H301" t="s">
        <v>828</v>
      </c>
      <c r="I301">
        <v>40.5</v>
      </c>
      <c r="J301">
        <v>82.998999999999995</v>
      </c>
      <c r="K301" t="str">
        <f>"HADHA"</f>
        <v>HADHA</v>
      </c>
      <c r="L301" t="str">
        <f>"HADHA"</f>
        <v>HADHA</v>
      </c>
      <c r="M301">
        <v>7.2623356513011696</v>
      </c>
      <c r="N301">
        <v>9.8395189403973493</v>
      </c>
      <c r="O301">
        <v>11.8552641244464</v>
      </c>
      <c r="P301">
        <v>8.5217514195583597</v>
      </c>
      <c r="Q301">
        <v>10.046095946448499</v>
      </c>
      <c r="R301">
        <v>8.1007292888367601</v>
      </c>
      <c r="S301">
        <v>7.9319489932885903</v>
      </c>
      <c r="T301">
        <v>8.2914297740984999</v>
      </c>
      <c r="U301">
        <v>11.023583180987201</v>
      </c>
      <c r="V301">
        <v>8.4050877411325509</v>
      </c>
      <c r="W301">
        <v>5.1015923855567298</v>
      </c>
      <c r="X301">
        <v>13.785039948679101</v>
      </c>
    </row>
    <row r="302" spans="1:24">
      <c r="A302">
        <v>1962</v>
      </c>
      <c r="B302" t="s">
        <v>829</v>
      </c>
      <c r="C302">
        <v>3</v>
      </c>
      <c r="D302" t="s">
        <v>830</v>
      </c>
      <c r="E302">
        <v>14</v>
      </c>
      <c r="F302">
        <v>14</v>
      </c>
      <c r="G302">
        <v>14</v>
      </c>
      <c r="H302" t="s">
        <v>831</v>
      </c>
      <c r="I302">
        <v>29</v>
      </c>
      <c r="J302">
        <v>62.216000000000001</v>
      </c>
      <c r="K302" t="str">
        <f>"PGLYRP2"</f>
        <v>PGLYRP2</v>
      </c>
      <c r="L302" t="str">
        <f>"PGLYRP2"</f>
        <v>PGLYRP2</v>
      </c>
      <c r="M302">
        <v>21.7870069539035</v>
      </c>
      <c r="N302">
        <v>7.1560137748344399</v>
      </c>
      <c r="O302">
        <v>9.1194339418818195</v>
      </c>
      <c r="P302">
        <v>8.5217514195583597</v>
      </c>
      <c r="Q302">
        <v>17.580667906284901</v>
      </c>
      <c r="R302">
        <v>9.0008103209297392</v>
      </c>
      <c r="S302">
        <v>3.3994067114094002</v>
      </c>
      <c r="T302">
        <v>20.1363294513821</v>
      </c>
      <c r="U302">
        <v>3.3070749542961599</v>
      </c>
      <c r="V302">
        <v>11.556995644057199</v>
      </c>
      <c r="W302">
        <v>10.2031847711135</v>
      </c>
      <c r="X302">
        <v>5.9078742637195996</v>
      </c>
    </row>
    <row r="303" spans="1:24">
      <c r="A303">
        <v>416</v>
      </c>
      <c r="B303" t="s">
        <v>832</v>
      </c>
      <c r="C303">
        <v>1</v>
      </c>
      <c r="D303" t="s">
        <v>833</v>
      </c>
      <c r="E303">
        <v>9</v>
      </c>
      <c r="F303">
        <v>9</v>
      </c>
      <c r="G303">
        <v>9</v>
      </c>
      <c r="H303" t="s">
        <v>832</v>
      </c>
      <c r="I303">
        <v>32.299999999999997</v>
      </c>
      <c r="J303">
        <v>38.177</v>
      </c>
      <c r="K303" t="str">
        <f>"LRG1"</f>
        <v>LRG1</v>
      </c>
      <c r="L303" t="str">
        <f>"LRG1"</f>
        <v>LRG1</v>
      </c>
      <c r="M303">
        <v>12.1038927521686</v>
      </c>
      <c r="N303">
        <v>5.3670103311258304</v>
      </c>
      <c r="O303">
        <v>6.3836037593172703</v>
      </c>
      <c r="P303">
        <v>6.3913135646687698</v>
      </c>
      <c r="Q303">
        <v>16.324905912978799</v>
      </c>
      <c r="R303">
        <v>7.2006482567437899</v>
      </c>
      <c r="S303">
        <v>13.597626845637601</v>
      </c>
      <c r="T303">
        <v>13.0293896450119</v>
      </c>
      <c r="U303">
        <v>12.125941499085901</v>
      </c>
      <c r="V303">
        <v>8.4050877411325509</v>
      </c>
      <c r="W303">
        <v>10.2031847711135</v>
      </c>
      <c r="X303">
        <v>10.8311028168193</v>
      </c>
    </row>
    <row r="304" spans="1:24">
      <c r="A304">
        <v>1474</v>
      </c>
      <c r="B304" t="s">
        <v>834</v>
      </c>
      <c r="C304">
        <v>3</v>
      </c>
      <c r="D304" t="s">
        <v>835</v>
      </c>
      <c r="E304">
        <v>53</v>
      </c>
      <c r="F304">
        <v>53</v>
      </c>
      <c r="G304">
        <v>53</v>
      </c>
      <c r="H304" t="s">
        <v>836</v>
      </c>
      <c r="I304">
        <v>31.4</v>
      </c>
      <c r="J304">
        <v>218.52</v>
      </c>
      <c r="K304" t="str">
        <f>"CKAP5"</f>
        <v>CKAP5</v>
      </c>
      <c r="L304" t="str">
        <f>"CKAP5"</f>
        <v>CKAP5</v>
      </c>
      <c r="M304">
        <v>3.6311678256505799</v>
      </c>
      <c r="N304">
        <v>9.8395189403973493</v>
      </c>
      <c r="O304">
        <v>8.2074905476936397</v>
      </c>
      <c r="P304">
        <v>7.4565324921135696</v>
      </c>
      <c r="Q304">
        <v>3.7672859799181899</v>
      </c>
      <c r="R304">
        <v>8.1007292888367601</v>
      </c>
      <c r="S304">
        <v>11.331355704698</v>
      </c>
      <c r="T304">
        <v>3.5534699031850701</v>
      </c>
      <c r="U304">
        <v>12.125941499085901</v>
      </c>
      <c r="V304">
        <v>9.4557237087741104</v>
      </c>
      <c r="W304">
        <v>14.029379060281</v>
      </c>
      <c r="X304">
        <v>7.8771656849594702</v>
      </c>
    </row>
    <row r="305" spans="1:24">
      <c r="A305">
        <v>873</v>
      </c>
      <c r="B305" t="s">
        <v>837</v>
      </c>
      <c r="C305">
        <v>1</v>
      </c>
      <c r="D305" t="s">
        <v>838</v>
      </c>
      <c r="E305">
        <v>16</v>
      </c>
      <c r="F305">
        <v>16</v>
      </c>
      <c r="G305">
        <v>16</v>
      </c>
      <c r="H305" t="s">
        <v>837</v>
      </c>
      <c r="I305">
        <v>42.4</v>
      </c>
      <c r="J305">
        <v>48.540999999999997</v>
      </c>
      <c r="K305" t="str">
        <f>"SERPINA4"</f>
        <v>SERPINA4</v>
      </c>
      <c r="L305" t="str">
        <f>"SERPINA4"</f>
        <v>SERPINA4</v>
      </c>
      <c r="M305">
        <v>14.5246713026023</v>
      </c>
      <c r="N305">
        <v>6.2615120529801302</v>
      </c>
      <c r="O305">
        <v>10.031377336069999</v>
      </c>
      <c r="P305">
        <v>11.717408201892701</v>
      </c>
      <c r="Q305">
        <v>11.3018579397546</v>
      </c>
      <c r="R305">
        <v>8.1007292888367601</v>
      </c>
      <c r="S305">
        <v>6.7988134228187898</v>
      </c>
      <c r="T305">
        <v>14.2138796127403</v>
      </c>
      <c r="U305">
        <v>6.6141499085923199</v>
      </c>
      <c r="V305">
        <v>10.5063596764157</v>
      </c>
      <c r="W305">
        <v>11.478582867502601</v>
      </c>
      <c r="X305">
        <v>6.8925199743395398</v>
      </c>
    </row>
    <row r="306" spans="1:24">
      <c r="A306">
        <v>733</v>
      </c>
      <c r="B306" t="s">
        <v>839</v>
      </c>
      <c r="C306">
        <v>1</v>
      </c>
      <c r="D306" t="s">
        <v>840</v>
      </c>
      <c r="E306">
        <v>22</v>
      </c>
      <c r="F306">
        <v>22</v>
      </c>
      <c r="G306">
        <v>22</v>
      </c>
      <c r="H306" t="s">
        <v>839</v>
      </c>
      <c r="I306">
        <v>46.4</v>
      </c>
      <c r="J306">
        <v>60.343000000000004</v>
      </c>
      <c r="K306" t="str">
        <f>"TCP1"</f>
        <v>TCP1</v>
      </c>
      <c r="L306" t="str">
        <f>"TCP1"</f>
        <v>TCP1</v>
      </c>
      <c r="M306">
        <v>9.6831142017348899</v>
      </c>
      <c r="N306">
        <v>9.8395189403973493</v>
      </c>
      <c r="O306">
        <v>11.8552641244464</v>
      </c>
      <c r="P306">
        <v>6.3913135646687698</v>
      </c>
      <c r="Q306">
        <v>10.046095946448499</v>
      </c>
      <c r="R306">
        <v>9.9008913530227094</v>
      </c>
      <c r="S306">
        <v>7.9319489932885903</v>
      </c>
      <c r="T306">
        <v>8.2914297740984999</v>
      </c>
      <c r="U306">
        <v>5.5117915904936003</v>
      </c>
      <c r="V306">
        <v>5.2531798382078403</v>
      </c>
      <c r="W306">
        <v>17.855573349448601</v>
      </c>
      <c r="X306">
        <v>12.8003942380591</v>
      </c>
    </row>
    <row r="307" spans="1:24">
      <c r="A307">
        <v>1280</v>
      </c>
      <c r="B307" t="s">
        <v>841</v>
      </c>
      <c r="C307">
        <v>2</v>
      </c>
      <c r="D307" t="s">
        <v>842</v>
      </c>
      <c r="E307">
        <v>18</v>
      </c>
      <c r="F307">
        <v>18</v>
      </c>
      <c r="G307">
        <v>18</v>
      </c>
      <c r="H307" t="s">
        <v>843</v>
      </c>
      <c r="I307">
        <v>67.7</v>
      </c>
      <c r="J307">
        <v>25.206</v>
      </c>
      <c r="K307" t="str">
        <f>"GRB2"</f>
        <v>GRB2</v>
      </c>
      <c r="L307" t="str">
        <f>"GRB2"</f>
        <v>GRB2</v>
      </c>
      <c r="M307">
        <v>7.2623356513011696</v>
      </c>
      <c r="N307">
        <v>5.3670103311258304</v>
      </c>
      <c r="O307">
        <v>8.2074905476936397</v>
      </c>
      <c r="P307">
        <v>5.3260946372239797</v>
      </c>
      <c r="Q307">
        <v>6.2788099665303099</v>
      </c>
      <c r="R307">
        <v>12.6011344493016</v>
      </c>
      <c r="S307">
        <v>10.198220134228199</v>
      </c>
      <c r="T307">
        <v>8.2914297740984999</v>
      </c>
      <c r="U307">
        <v>5.5117915904936003</v>
      </c>
      <c r="V307">
        <v>8.4050877411325509</v>
      </c>
      <c r="W307">
        <v>7.6523885783351</v>
      </c>
      <c r="X307">
        <v>10.8311028168193</v>
      </c>
    </row>
    <row r="308" spans="1:24">
      <c r="A308">
        <v>1421</v>
      </c>
      <c r="B308" t="s">
        <v>844</v>
      </c>
      <c r="C308">
        <v>3</v>
      </c>
      <c r="D308" t="s">
        <v>845</v>
      </c>
      <c r="E308">
        <v>34</v>
      </c>
      <c r="F308">
        <v>34</v>
      </c>
      <c r="G308">
        <v>34</v>
      </c>
      <c r="H308" t="s">
        <v>846</v>
      </c>
      <c r="I308">
        <v>29.1</v>
      </c>
      <c r="J308">
        <v>144.75</v>
      </c>
      <c r="K308" t="str">
        <f>"FLII"</f>
        <v>FLII</v>
      </c>
      <c r="L308" t="str">
        <f>"FLII"</f>
        <v>FLII</v>
      </c>
      <c r="M308">
        <v>7.2623356513011696</v>
      </c>
      <c r="N308">
        <v>11.628522384106001</v>
      </c>
      <c r="O308">
        <v>8.2074905476936397</v>
      </c>
      <c r="P308">
        <v>8.5217514195583597</v>
      </c>
      <c r="Q308">
        <v>6.2788099665303099</v>
      </c>
      <c r="R308">
        <v>7.2006482567437899</v>
      </c>
      <c r="S308">
        <v>7.9319489932885903</v>
      </c>
      <c r="T308">
        <v>7.1069398063701401</v>
      </c>
      <c r="U308">
        <v>12.125941499085901</v>
      </c>
      <c r="V308">
        <v>6.3038158058494096</v>
      </c>
      <c r="W308">
        <v>14.029379060281</v>
      </c>
      <c r="X308">
        <v>8.8618113955793998</v>
      </c>
    </row>
    <row r="309" spans="1:24">
      <c r="A309">
        <v>1302</v>
      </c>
      <c r="B309" t="s">
        <v>847</v>
      </c>
      <c r="C309">
        <v>4</v>
      </c>
      <c r="D309" t="s">
        <v>848</v>
      </c>
      <c r="E309">
        <v>17</v>
      </c>
      <c r="F309">
        <v>17</v>
      </c>
      <c r="G309">
        <v>17</v>
      </c>
      <c r="H309" t="s">
        <v>849</v>
      </c>
      <c r="I309">
        <v>44.2</v>
      </c>
      <c r="J309">
        <v>50.14</v>
      </c>
      <c r="K309" t="str">
        <f>"EEF1A1;EEF1A1P5;EEF1A2"</f>
        <v>EEF1A1;EEF1A1P5;EEF1A2</v>
      </c>
      <c r="L309" t="str">
        <f>"EEF1A1;EEF1A1P5;EEF1A2"</f>
        <v>EEF1A1;EEF1A1P5;EEF1A2</v>
      </c>
      <c r="M309">
        <v>1.2103892752168599</v>
      </c>
      <c r="N309">
        <v>9.8395189403973493</v>
      </c>
      <c r="O309">
        <v>15.5030377011991</v>
      </c>
      <c r="P309">
        <v>5.3260946372239797</v>
      </c>
      <c r="Q309">
        <v>7.5345719598363701</v>
      </c>
      <c r="R309">
        <v>12.6011344493016</v>
      </c>
      <c r="S309">
        <v>9.0650845637583899</v>
      </c>
      <c r="T309">
        <v>3.5534699031850701</v>
      </c>
      <c r="U309">
        <v>8.8188665447897598</v>
      </c>
      <c r="V309">
        <v>3.1519079029246999</v>
      </c>
      <c r="W309">
        <v>12.7539809638918</v>
      </c>
      <c r="X309">
        <v>11.815748527439199</v>
      </c>
    </row>
    <row r="310" spans="1:24">
      <c r="A310">
        <v>1528</v>
      </c>
      <c r="B310" t="s">
        <v>850</v>
      </c>
      <c r="C310">
        <v>3</v>
      </c>
      <c r="D310" t="s">
        <v>851</v>
      </c>
      <c r="E310">
        <v>14</v>
      </c>
      <c r="F310">
        <v>14</v>
      </c>
      <c r="G310">
        <v>14</v>
      </c>
      <c r="H310" t="s">
        <v>852</v>
      </c>
      <c r="I310">
        <v>55.7</v>
      </c>
      <c r="J310">
        <v>41.487000000000002</v>
      </c>
      <c r="K310" t="str">
        <f>"SEPT2"</f>
        <v>SEPT2</v>
      </c>
      <c r="L310" t="str">
        <f>"SEPT2"</f>
        <v>SEPT2</v>
      </c>
      <c r="M310">
        <v>10.8935034769518</v>
      </c>
      <c r="N310">
        <v>6.2615120529801302</v>
      </c>
      <c r="O310">
        <v>10.943320730258201</v>
      </c>
      <c r="P310">
        <v>3.19565678233438</v>
      </c>
      <c r="Q310">
        <v>5.0230479732242497</v>
      </c>
      <c r="R310">
        <v>9.0008103209297392</v>
      </c>
      <c r="S310">
        <v>10.198220134228199</v>
      </c>
      <c r="T310">
        <v>9.4759197418268606</v>
      </c>
      <c r="U310">
        <v>8.8188665447897598</v>
      </c>
      <c r="V310">
        <v>9.4557237087741104</v>
      </c>
      <c r="W310">
        <v>8.9277866747242793</v>
      </c>
      <c r="X310">
        <v>12.8003942380591</v>
      </c>
    </row>
    <row r="311" spans="1:24">
      <c r="A311">
        <v>720</v>
      </c>
      <c r="B311" t="s">
        <v>853</v>
      </c>
      <c r="C311">
        <v>4</v>
      </c>
      <c r="D311" t="s">
        <v>854</v>
      </c>
      <c r="E311">
        <v>15</v>
      </c>
      <c r="F311">
        <v>15</v>
      </c>
      <c r="G311">
        <v>15</v>
      </c>
      <c r="H311" t="s">
        <v>855</v>
      </c>
      <c r="I311">
        <v>30.7</v>
      </c>
      <c r="J311">
        <v>53.052999999999997</v>
      </c>
      <c r="K311" t="str">
        <f>"CD36"</f>
        <v>CD36</v>
      </c>
      <c r="L311" t="str">
        <f>"CD36"</f>
        <v>CD36</v>
      </c>
      <c r="M311">
        <v>3.6311678256505799</v>
      </c>
      <c r="N311">
        <v>11.628522384106001</v>
      </c>
      <c r="O311">
        <v>7.2955471535054599</v>
      </c>
      <c r="P311">
        <v>9.5869703470031506</v>
      </c>
      <c r="Q311">
        <v>10.046095946448499</v>
      </c>
      <c r="R311">
        <v>18.0016206418595</v>
      </c>
      <c r="S311">
        <v>12.4644912751678</v>
      </c>
      <c r="T311">
        <v>14.2138796127403</v>
      </c>
      <c r="U311">
        <v>16.5353747714808</v>
      </c>
      <c r="V311">
        <v>16.810175482265102</v>
      </c>
      <c r="W311">
        <v>0</v>
      </c>
      <c r="X311">
        <v>12.8003942380591</v>
      </c>
    </row>
    <row r="312" spans="1:24">
      <c r="A312">
        <v>1108</v>
      </c>
      <c r="B312" t="s">
        <v>856</v>
      </c>
      <c r="C312">
        <v>2</v>
      </c>
      <c r="D312" t="s">
        <v>857</v>
      </c>
      <c r="E312">
        <v>18</v>
      </c>
      <c r="F312">
        <v>18</v>
      </c>
      <c r="G312">
        <v>15</v>
      </c>
      <c r="H312" t="s">
        <v>858</v>
      </c>
      <c r="I312">
        <v>52.6</v>
      </c>
      <c r="J312">
        <v>42.142000000000003</v>
      </c>
      <c r="K312" t="str">
        <f>"GNAQ;GNA11"</f>
        <v>GNAQ;GNA11</v>
      </c>
      <c r="L312" t="str">
        <f>"GNAQ;GNA11"</f>
        <v>GNAQ;GNA11</v>
      </c>
      <c r="M312">
        <v>14.5246713026023</v>
      </c>
      <c r="N312">
        <v>8.9450172185430503</v>
      </c>
      <c r="O312">
        <v>10.943320730258201</v>
      </c>
      <c r="P312">
        <v>10.652189274448</v>
      </c>
      <c r="Q312">
        <v>6.2788099665303099</v>
      </c>
      <c r="R312">
        <v>7.2006482567437899</v>
      </c>
      <c r="S312">
        <v>9.0650845637583899</v>
      </c>
      <c r="T312">
        <v>10.6604097095552</v>
      </c>
      <c r="U312">
        <v>6.6141499085923199</v>
      </c>
      <c r="V312">
        <v>11.556995644057199</v>
      </c>
      <c r="W312">
        <v>10.2031847711135</v>
      </c>
      <c r="X312">
        <v>8.8618113955793998</v>
      </c>
    </row>
    <row r="313" spans="1:24">
      <c r="A313">
        <v>618</v>
      </c>
      <c r="B313" t="s">
        <v>859</v>
      </c>
      <c r="C313">
        <v>2</v>
      </c>
      <c r="D313" t="s">
        <v>860</v>
      </c>
      <c r="E313">
        <v>21</v>
      </c>
      <c r="F313">
        <v>21</v>
      </c>
      <c r="G313">
        <v>16</v>
      </c>
      <c r="H313" t="s">
        <v>861</v>
      </c>
      <c r="I313">
        <v>54.1</v>
      </c>
      <c r="J313">
        <v>42.981000000000002</v>
      </c>
      <c r="K313" t="str">
        <f>"PRKAR1A"</f>
        <v>PRKAR1A</v>
      </c>
      <c r="L313" t="str">
        <f>"PRKAR1A"</f>
        <v>PRKAR1A</v>
      </c>
      <c r="M313">
        <v>13.3142820273855</v>
      </c>
      <c r="N313">
        <v>6.2615120529801302</v>
      </c>
      <c r="O313">
        <v>8.2074905476936397</v>
      </c>
      <c r="P313">
        <v>11.717408201892701</v>
      </c>
      <c r="Q313">
        <v>7.5345719598363701</v>
      </c>
      <c r="R313">
        <v>8.1007292888367601</v>
      </c>
      <c r="S313">
        <v>11.331355704698</v>
      </c>
      <c r="T313">
        <v>7.1069398063701401</v>
      </c>
      <c r="U313">
        <v>7.7165082266910403</v>
      </c>
      <c r="V313">
        <v>6.3038158058494096</v>
      </c>
      <c r="W313">
        <v>3.82619428916755</v>
      </c>
      <c r="X313">
        <v>13.785039948679101</v>
      </c>
    </row>
    <row r="314" spans="1:24">
      <c r="A314">
        <v>727</v>
      </c>
      <c r="B314" t="s">
        <v>862</v>
      </c>
      <c r="C314">
        <v>1</v>
      </c>
      <c r="D314" t="s">
        <v>863</v>
      </c>
      <c r="E314">
        <v>25</v>
      </c>
      <c r="F314">
        <v>25</v>
      </c>
      <c r="G314">
        <v>25</v>
      </c>
      <c r="H314" t="s">
        <v>862</v>
      </c>
      <c r="I314">
        <v>30</v>
      </c>
      <c r="J314">
        <v>129.29</v>
      </c>
      <c r="K314" t="str">
        <f>"ITGA2"</f>
        <v>ITGA2</v>
      </c>
      <c r="L314" t="str">
        <f>"ITGA2"</f>
        <v>ITGA2</v>
      </c>
      <c r="M314">
        <v>7.2623356513011696</v>
      </c>
      <c r="N314">
        <v>8.0505154966887407</v>
      </c>
      <c r="O314">
        <v>8.2074905476936397</v>
      </c>
      <c r="P314">
        <v>6.3913135646687698</v>
      </c>
      <c r="Q314">
        <v>5.0230479732242497</v>
      </c>
      <c r="R314">
        <v>9.9008913530227094</v>
      </c>
      <c r="S314">
        <v>5.6656778523489901</v>
      </c>
      <c r="T314">
        <v>5.9224498386417803</v>
      </c>
      <c r="U314">
        <v>11.023583180987201</v>
      </c>
      <c r="V314">
        <v>9.4557237087741104</v>
      </c>
      <c r="W314">
        <v>15.3047771566702</v>
      </c>
      <c r="X314">
        <v>13.785039948679101</v>
      </c>
    </row>
    <row r="315" spans="1:24">
      <c r="A315">
        <v>356</v>
      </c>
      <c r="B315" t="s">
        <v>864</v>
      </c>
      <c r="C315">
        <v>1</v>
      </c>
      <c r="D315" t="s">
        <v>865</v>
      </c>
      <c r="E315">
        <v>7</v>
      </c>
      <c r="F315">
        <v>7</v>
      </c>
      <c r="G315">
        <v>2</v>
      </c>
      <c r="H315" t="s">
        <v>864</v>
      </c>
      <c r="I315">
        <v>53.5</v>
      </c>
      <c r="J315">
        <v>12.64</v>
      </c>
      <c r="K315" t="s">
        <v>866</v>
      </c>
      <c r="L315" t="s">
        <v>866</v>
      </c>
      <c r="M315">
        <v>10.8935034769518</v>
      </c>
      <c r="N315">
        <v>6.2615120529801302</v>
      </c>
      <c r="O315">
        <v>9.1194339418818195</v>
      </c>
      <c r="P315">
        <v>7.4565324921135696</v>
      </c>
      <c r="Q315">
        <v>10.046095946448499</v>
      </c>
      <c r="R315">
        <v>8.1007292888367601</v>
      </c>
      <c r="S315">
        <v>6.7988134228187898</v>
      </c>
      <c r="T315">
        <v>16.582859548197</v>
      </c>
      <c r="U315">
        <v>5.5117915904936003</v>
      </c>
      <c r="V315">
        <v>8.4050877411325509</v>
      </c>
      <c r="W315">
        <v>16.580175253059402</v>
      </c>
      <c r="X315">
        <v>5.9078742637195996</v>
      </c>
    </row>
    <row r="316" spans="1:24">
      <c r="A316">
        <v>1690</v>
      </c>
      <c r="B316" t="s">
        <v>867</v>
      </c>
      <c r="C316">
        <v>11</v>
      </c>
      <c r="D316" t="s">
        <v>868</v>
      </c>
      <c r="E316">
        <v>18</v>
      </c>
      <c r="F316">
        <v>4</v>
      </c>
      <c r="G316">
        <v>1</v>
      </c>
      <c r="H316" t="s">
        <v>869</v>
      </c>
      <c r="I316">
        <v>14.8</v>
      </c>
      <c r="J316">
        <v>121.36</v>
      </c>
      <c r="K316" t="str">
        <f>"POTEE;POTEF;POTEI;POTEA;POTEG;POTEM;POTEH"</f>
        <v>POTEE;POTEF;POTEI;POTEA;POTEG;POTEM;POTEH</v>
      </c>
      <c r="L316" t="str">
        <f>"POTEE;POTEF;POTEI;POTEA;POTEG;POTEM;POTEH"</f>
        <v>POTEE;POTEF;POTEI;POTEA;POTEG;POTEM;POTEH</v>
      </c>
      <c r="M316">
        <v>6.0519463760843104</v>
      </c>
      <c r="N316">
        <v>8.9450172185430503</v>
      </c>
      <c r="O316">
        <v>9.1194339418818195</v>
      </c>
      <c r="P316">
        <v>13.8478460567823</v>
      </c>
      <c r="Q316">
        <v>10.046095946448499</v>
      </c>
      <c r="R316">
        <v>9.9008913530227094</v>
      </c>
      <c r="S316">
        <v>10.198220134228199</v>
      </c>
      <c r="T316">
        <v>11.8448996772836</v>
      </c>
      <c r="U316">
        <v>12.125941499085901</v>
      </c>
      <c r="V316">
        <v>9.4557237087741104</v>
      </c>
      <c r="W316">
        <v>10.2031847711135</v>
      </c>
      <c r="X316">
        <v>7.8771656849594702</v>
      </c>
    </row>
    <row r="317" spans="1:24">
      <c r="A317">
        <v>466</v>
      </c>
      <c r="B317" t="s">
        <v>870</v>
      </c>
      <c r="C317">
        <v>2</v>
      </c>
      <c r="D317" t="s">
        <v>871</v>
      </c>
      <c r="E317">
        <v>10</v>
      </c>
      <c r="F317">
        <v>10</v>
      </c>
      <c r="G317">
        <v>10</v>
      </c>
      <c r="H317" t="s">
        <v>872</v>
      </c>
      <c r="I317">
        <v>55.6</v>
      </c>
      <c r="J317">
        <v>28.315000000000001</v>
      </c>
      <c r="K317" t="str">
        <f>"CAPNS1;CAPNS2"</f>
        <v>CAPNS1;CAPNS2</v>
      </c>
      <c r="L317" t="str">
        <f>"CAPNS1;CAPNS2"</f>
        <v>CAPNS1;CAPNS2</v>
      </c>
      <c r="M317">
        <v>8.4727249265180298</v>
      </c>
      <c r="N317">
        <v>8.0505154966887407</v>
      </c>
      <c r="O317">
        <v>10.031377336069999</v>
      </c>
      <c r="P317">
        <v>13.8478460567823</v>
      </c>
      <c r="Q317">
        <v>7.5345719598363701</v>
      </c>
      <c r="R317">
        <v>9.0008103209297392</v>
      </c>
      <c r="S317">
        <v>4.5325422818791896</v>
      </c>
      <c r="T317">
        <v>5.9224498386417803</v>
      </c>
      <c r="U317">
        <v>7.7165082266910403</v>
      </c>
      <c r="V317">
        <v>9.4557237087741104</v>
      </c>
      <c r="W317">
        <v>8.9277866747242793</v>
      </c>
      <c r="X317">
        <v>11.815748527439199</v>
      </c>
    </row>
    <row r="318" spans="1:24">
      <c r="A318">
        <v>1393</v>
      </c>
      <c r="B318" t="s">
        <v>873</v>
      </c>
      <c r="C318">
        <v>4</v>
      </c>
      <c r="D318" t="s">
        <v>874</v>
      </c>
      <c r="E318">
        <v>16</v>
      </c>
      <c r="F318">
        <v>16</v>
      </c>
      <c r="G318">
        <v>16</v>
      </c>
      <c r="H318" t="s">
        <v>875</v>
      </c>
      <c r="I318">
        <v>44.4</v>
      </c>
      <c r="J318">
        <v>45.514000000000003</v>
      </c>
      <c r="K318" t="str">
        <f>"DMTN"</f>
        <v>DMTN</v>
      </c>
      <c r="L318" t="str">
        <f>"DMTN"</f>
        <v>DMTN</v>
      </c>
      <c r="M318">
        <v>6.0519463760843104</v>
      </c>
      <c r="N318">
        <v>9.8395189403973493</v>
      </c>
      <c r="O318">
        <v>9.1194339418818195</v>
      </c>
      <c r="P318">
        <v>9.5869703470031506</v>
      </c>
      <c r="Q318">
        <v>6.2788099665303099</v>
      </c>
      <c r="R318">
        <v>11.7010534172087</v>
      </c>
      <c r="S318">
        <v>5.6656778523489901</v>
      </c>
      <c r="T318">
        <v>7.1069398063701401</v>
      </c>
      <c r="U318">
        <v>6.6141499085923199</v>
      </c>
      <c r="V318">
        <v>9.4557237087741104</v>
      </c>
      <c r="W318">
        <v>6.37699048194591</v>
      </c>
      <c r="X318">
        <v>7.8771656849594702</v>
      </c>
    </row>
    <row r="319" spans="1:24">
      <c r="A319">
        <v>1699</v>
      </c>
      <c r="B319" t="s">
        <v>876</v>
      </c>
      <c r="C319">
        <v>3</v>
      </c>
      <c r="D319" t="s">
        <v>877</v>
      </c>
      <c r="E319">
        <v>47</v>
      </c>
      <c r="F319">
        <v>47</v>
      </c>
      <c r="G319">
        <v>47</v>
      </c>
      <c r="H319" t="s">
        <v>878</v>
      </c>
      <c r="I319">
        <v>23.9</v>
      </c>
      <c r="J319">
        <v>299.33999999999997</v>
      </c>
      <c r="K319" t="str">
        <f>"NBEAL2"</f>
        <v>NBEAL2</v>
      </c>
      <c r="L319" t="str">
        <f>"NBEAL2"</f>
        <v>NBEAL2</v>
      </c>
      <c r="M319">
        <v>9.6831142017348899</v>
      </c>
      <c r="N319">
        <v>11.628522384106001</v>
      </c>
      <c r="O319">
        <v>15.5030377011991</v>
      </c>
      <c r="P319">
        <v>11.717408201892701</v>
      </c>
      <c r="Q319">
        <v>0</v>
      </c>
      <c r="R319">
        <v>16.201458577673499</v>
      </c>
      <c r="S319">
        <v>5.6656778523489901</v>
      </c>
      <c r="T319">
        <v>2.3689799354567098</v>
      </c>
      <c r="U319">
        <v>9.9212248628884794</v>
      </c>
      <c r="V319">
        <v>10.5063596764157</v>
      </c>
      <c r="W319">
        <v>8.9277866747242793</v>
      </c>
      <c r="X319">
        <v>9.84645710619934</v>
      </c>
    </row>
    <row r="320" spans="1:24">
      <c r="A320">
        <v>528</v>
      </c>
      <c r="B320" t="s">
        <v>879</v>
      </c>
      <c r="C320">
        <v>1</v>
      </c>
      <c r="D320" t="s">
        <v>880</v>
      </c>
      <c r="E320">
        <v>19</v>
      </c>
      <c r="F320">
        <v>19</v>
      </c>
      <c r="G320">
        <v>19</v>
      </c>
      <c r="H320" t="s">
        <v>879</v>
      </c>
      <c r="I320">
        <v>34.299999999999997</v>
      </c>
      <c r="J320">
        <v>67.046000000000006</v>
      </c>
      <c r="K320" t="str">
        <f>"C8B"</f>
        <v>C8B</v>
      </c>
      <c r="L320" t="str">
        <f>"C8B"</f>
        <v>C8B</v>
      </c>
      <c r="M320">
        <v>15.735060577819199</v>
      </c>
      <c r="N320">
        <v>10.7340206622517</v>
      </c>
      <c r="O320">
        <v>11.8552641244464</v>
      </c>
      <c r="P320">
        <v>6.3913135646687698</v>
      </c>
      <c r="Q320">
        <v>13.8133819263667</v>
      </c>
      <c r="R320">
        <v>6.3005672246508198</v>
      </c>
      <c r="S320">
        <v>12.4644912751678</v>
      </c>
      <c r="T320">
        <v>13.0293896450119</v>
      </c>
      <c r="U320">
        <v>5.5117915904936003</v>
      </c>
      <c r="V320">
        <v>11.556995644057199</v>
      </c>
      <c r="W320">
        <v>12.7539809638918</v>
      </c>
      <c r="X320">
        <v>4.92322855309967</v>
      </c>
    </row>
    <row r="321" spans="1:24">
      <c r="A321">
        <v>890</v>
      </c>
      <c r="B321" t="s">
        <v>881</v>
      </c>
      <c r="C321">
        <v>6</v>
      </c>
      <c r="D321" t="s">
        <v>882</v>
      </c>
      <c r="E321">
        <v>25</v>
      </c>
      <c r="F321">
        <v>25</v>
      </c>
      <c r="G321">
        <v>25</v>
      </c>
      <c r="H321" t="s">
        <v>883</v>
      </c>
      <c r="I321">
        <v>47.7</v>
      </c>
      <c r="J321">
        <v>65.308000000000007</v>
      </c>
      <c r="K321" t="str">
        <f>"PPP2R1A;PPP2R1B"</f>
        <v>PPP2R1A;PPP2R1B</v>
      </c>
      <c r="L321" t="str">
        <f>"PPP2R1A;PPP2R1B"</f>
        <v>PPP2R1A;PPP2R1B</v>
      </c>
      <c r="M321">
        <v>7.2623356513011696</v>
      </c>
      <c r="N321">
        <v>11.628522384106001</v>
      </c>
      <c r="O321">
        <v>12.7672075186345</v>
      </c>
      <c r="P321">
        <v>7.4565324921135696</v>
      </c>
      <c r="Q321">
        <v>3.7672859799181899</v>
      </c>
      <c r="R321">
        <v>9.9008913530227094</v>
      </c>
      <c r="S321">
        <v>4.5325422818791896</v>
      </c>
      <c r="T321">
        <v>7.1069398063701401</v>
      </c>
      <c r="U321">
        <v>7.7165082266910403</v>
      </c>
      <c r="V321">
        <v>7.3544517734909798</v>
      </c>
      <c r="W321">
        <v>7.6523885783351</v>
      </c>
      <c r="X321">
        <v>6.8925199743395398</v>
      </c>
    </row>
    <row r="322" spans="1:24">
      <c r="A322">
        <v>1166</v>
      </c>
      <c r="B322" t="s">
        <v>884</v>
      </c>
      <c r="C322">
        <v>2</v>
      </c>
      <c r="D322" t="s">
        <v>885</v>
      </c>
      <c r="E322">
        <v>44</v>
      </c>
      <c r="F322">
        <v>44</v>
      </c>
      <c r="G322">
        <v>44</v>
      </c>
      <c r="H322" t="s">
        <v>886</v>
      </c>
      <c r="I322">
        <v>44.2</v>
      </c>
      <c r="J322">
        <v>138.34</v>
      </c>
      <c r="K322" t="str">
        <f>"COPA"</f>
        <v>COPA</v>
      </c>
      <c r="L322" t="str">
        <f>"COPA"</f>
        <v>COPA</v>
      </c>
      <c r="M322">
        <v>4.8415571008674503</v>
      </c>
      <c r="N322">
        <v>8.0505154966887407</v>
      </c>
      <c r="O322">
        <v>12.7672075186345</v>
      </c>
      <c r="P322">
        <v>4.2608757097791798</v>
      </c>
      <c r="Q322">
        <v>3.7672859799181899</v>
      </c>
      <c r="R322">
        <v>7.2006482567437899</v>
      </c>
      <c r="S322">
        <v>7.9319489932885903</v>
      </c>
      <c r="T322">
        <v>5.9224498386417803</v>
      </c>
      <c r="U322">
        <v>14.3306581352834</v>
      </c>
      <c r="V322">
        <v>4.2025438705662701</v>
      </c>
      <c r="W322">
        <v>7.6523885783351</v>
      </c>
      <c r="X322">
        <v>16.738977080538898</v>
      </c>
    </row>
    <row r="323" spans="1:24">
      <c r="A323">
        <v>378</v>
      </c>
      <c r="B323" t="s">
        <v>887</v>
      </c>
      <c r="C323">
        <v>2</v>
      </c>
      <c r="D323" t="s">
        <v>888</v>
      </c>
      <c r="E323">
        <v>5</v>
      </c>
      <c r="F323">
        <v>5</v>
      </c>
      <c r="G323">
        <v>4</v>
      </c>
      <c r="H323" t="s">
        <v>889</v>
      </c>
      <c r="I323">
        <v>42.2</v>
      </c>
      <c r="J323">
        <v>11.771000000000001</v>
      </c>
      <c r="K323" t="s">
        <v>890</v>
      </c>
      <c r="L323" t="s">
        <v>890</v>
      </c>
      <c r="M323">
        <v>16.945449853036099</v>
      </c>
      <c r="N323">
        <v>8.9450172185430503</v>
      </c>
      <c r="O323">
        <v>9.1194339418818195</v>
      </c>
      <c r="P323">
        <v>9.5869703470031506</v>
      </c>
      <c r="Q323">
        <v>12.5576199330606</v>
      </c>
      <c r="R323">
        <v>5.4004861925578398</v>
      </c>
      <c r="S323">
        <v>6.7988134228187898</v>
      </c>
      <c r="T323">
        <v>13.0293896450119</v>
      </c>
      <c r="U323">
        <v>6.6141499085923199</v>
      </c>
      <c r="V323">
        <v>9.4557237087741104</v>
      </c>
      <c r="W323">
        <v>10.2031847711135</v>
      </c>
      <c r="X323">
        <v>5.9078742637195996</v>
      </c>
    </row>
    <row r="324" spans="1:24">
      <c r="A324">
        <v>412</v>
      </c>
      <c r="B324" t="s">
        <v>891</v>
      </c>
      <c r="C324">
        <v>1</v>
      </c>
      <c r="D324" t="s">
        <v>892</v>
      </c>
      <c r="E324">
        <v>8</v>
      </c>
      <c r="F324">
        <v>8</v>
      </c>
      <c r="G324">
        <v>8</v>
      </c>
      <c r="H324" t="s">
        <v>891</v>
      </c>
      <c r="I324">
        <v>28.5</v>
      </c>
      <c r="J324">
        <v>26.721</v>
      </c>
      <c r="K324" t="str">
        <f>"C1QB"</f>
        <v>C1QB</v>
      </c>
      <c r="L324" t="str">
        <f>"C1QB"</f>
        <v>C1QB</v>
      </c>
      <c r="M324">
        <v>12.1038927521686</v>
      </c>
      <c r="N324">
        <v>9.8395189403973493</v>
      </c>
      <c r="O324">
        <v>9.1194339418818195</v>
      </c>
      <c r="P324">
        <v>11.717408201892701</v>
      </c>
      <c r="Q324">
        <v>12.5576199330606</v>
      </c>
      <c r="R324">
        <v>6.3005672246508198</v>
      </c>
      <c r="S324">
        <v>6.7988134228187898</v>
      </c>
      <c r="T324">
        <v>10.6604097095552</v>
      </c>
      <c r="U324">
        <v>6.6141499085923199</v>
      </c>
      <c r="V324">
        <v>9.4557237087741104</v>
      </c>
      <c r="W324">
        <v>11.478582867502601</v>
      </c>
      <c r="X324">
        <v>5.9078742637195996</v>
      </c>
    </row>
    <row r="325" spans="1:24">
      <c r="A325">
        <v>1037</v>
      </c>
      <c r="B325" t="s">
        <v>893</v>
      </c>
      <c r="C325">
        <v>6</v>
      </c>
      <c r="D325" t="s">
        <v>894</v>
      </c>
      <c r="E325">
        <v>25</v>
      </c>
      <c r="F325">
        <v>25</v>
      </c>
      <c r="G325">
        <v>25</v>
      </c>
      <c r="H325" t="s">
        <v>895</v>
      </c>
      <c r="I325">
        <v>55.9</v>
      </c>
      <c r="J325">
        <v>72.064999999999998</v>
      </c>
      <c r="K325" t="str">
        <f>"SYK;ZAP70;ANKK1"</f>
        <v>SYK;ZAP70;ANKK1</v>
      </c>
      <c r="L325" t="str">
        <f>"SYK;ZAP70;ANKK1"</f>
        <v>SYK;ZAP70;ANKK1</v>
      </c>
      <c r="M325">
        <v>8.4727249265180298</v>
      </c>
      <c r="N325">
        <v>14.312027549668899</v>
      </c>
      <c r="O325">
        <v>9.1194339418818195</v>
      </c>
      <c r="P325">
        <v>6.3913135646687698</v>
      </c>
      <c r="Q325">
        <v>3.7672859799181899</v>
      </c>
      <c r="R325">
        <v>6.3005672246508198</v>
      </c>
      <c r="S325">
        <v>11.331355704698</v>
      </c>
      <c r="T325">
        <v>4.7379598709134303</v>
      </c>
      <c r="U325">
        <v>4.4094332723948799</v>
      </c>
      <c r="V325">
        <v>11.556995644057199</v>
      </c>
      <c r="W325">
        <v>16.580175253059402</v>
      </c>
      <c r="X325">
        <v>6.8925199743395398</v>
      </c>
    </row>
    <row r="326" spans="1:24">
      <c r="A326">
        <v>316</v>
      </c>
      <c r="B326" t="s">
        <v>896</v>
      </c>
      <c r="C326">
        <v>1</v>
      </c>
      <c r="D326" t="s">
        <v>897</v>
      </c>
      <c r="E326">
        <v>14</v>
      </c>
      <c r="F326">
        <v>14</v>
      </c>
      <c r="G326">
        <v>14</v>
      </c>
      <c r="H326" t="s">
        <v>896</v>
      </c>
      <c r="I326">
        <v>73.900000000000006</v>
      </c>
      <c r="J326">
        <v>28.87</v>
      </c>
      <c r="K326" t="str">
        <f>"CA1"</f>
        <v>CA1</v>
      </c>
      <c r="L326" t="str">
        <f>"CA1"</f>
        <v>CA1</v>
      </c>
      <c r="M326">
        <v>8.4727249265180298</v>
      </c>
      <c r="N326">
        <v>4.4725086092715198</v>
      </c>
      <c r="O326">
        <v>8.2074905476936397</v>
      </c>
      <c r="P326">
        <v>22.369597476340701</v>
      </c>
      <c r="Q326">
        <v>11.3018579397546</v>
      </c>
      <c r="R326">
        <v>23.4021068344173</v>
      </c>
      <c r="S326">
        <v>14.7307624161074</v>
      </c>
      <c r="T326">
        <v>4.7379598709134303</v>
      </c>
      <c r="U326">
        <v>5.5117915904936003</v>
      </c>
      <c r="V326">
        <v>4.2025438705662701</v>
      </c>
      <c r="W326">
        <v>5.1015923855567298</v>
      </c>
      <c r="X326">
        <v>0.984645710619934</v>
      </c>
    </row>
    <row r="327" spans="1:24">
      <c r="A327">
        <v>1198</v>
      </c>
      <c r="B327" t="s">
        <v>898</v>
      </c>
      <c r="C327">
        <v>5</v>
      </c>
      <c r="D327" t="s">
        <v>899</v>
      </c>
      <c r="E327">
        <v>31</v>
      </c>
      <c r="F327">
        <v>31</v>
      </c>
      <c r="G327">
        <v>31</v>
      </c>
      <c r="H327" t="s">
        <v>900</v>
      </c>
      <c r="I327">
        <v>40.799999999999997</v>
      </c>
      <c r="J327">
        <v>103.28</v>
      </c>
      <c r="K327" t="str">
        <f>"NPEPPS;NPEPPSL1"</f>
        <v>NPEPPS;NPEPPSL1</v>
      </c>
      <c r="L327" t="str">
        <f>"NPEPPS;NPEPPSL1"</f>
        <v>NPEPPS;NPEPPSL1</v>
      </c>
      <c r="M327">
        <v>4.8415571008674503</v>
      </c>
      <c r="N327">
        <v>7.1560137748344399</v>
      </c>
      <c r="O327">
        <v>8.2074905476936397</v>
      </c>
      <c r="P327">
        <v>6.3913135646687698</v>
      </c>
      <c r="Q327">
        <v>10.046095946448499</v>
      </c>
      <c r="R327">
        <v>9.0008103209297392</v>
      </c>
      <c r="S327">
        <v>12.4644912751678</v>
      </c>
      <c r="T327">
        <v>5.9224498386417803</v>
      </c>
      <c r="U327">
        <v>9.9212248628884794</v>
      </c>
      <c r="V327">
        <v>6.3038158058494096</v>
      </c>
      <c r="W327">
        <v>12.7539809638918</v>
      </c>
      <c r="X327">
        <v>10.8311028168193</v>
      </c>
    </row>
    <row r="328" spans="1:24">
      <c r="A328">
        <v>892</v>
      </c>
      <c r="B328" t="s">
        <v>901</v>
      </c>
      <c r="C328">
        <v>6</v>
      </c>
      <c r="D328" t="s">
        <v>902</v>
      </c>
      <c r="E328">
        <v>12</v>
      </c>
      <c r="F328">
        <v>12</v>
      </c>
      <c r="G328">
        <v>11</v>
      </c>
      <c r="H328" t="s">
        <v>903</v>
      </c>
      <c r="I328">
        <v>64.7</v>
      </c>
      <c r="J328">
        <v>22.04</v>
      </c>
      <c r="K328" t="str">
        <f>"PPIF;PPIE;RANBP2"</f>
        <v>PPIF;PPIE;RANBP2</v>
      </c>
      <c r="L328" t="str">
        <f>"PPIF;PPIE;RANBP2"</f>
        <v>PPIF;PPIE;RANBP2</v>
      </c>
      <c r="M328">
        <v>6.0519463760843104</v>
      </c>
      <c r="N328">
        <v>10.7340206622517</v>
      </c>
      <c r="O328">
        <v>10.031377336069999</v>
      </c>
      <c r="P328">
        <v>9.5869703470031506</v>
      </c>
      <c r="Q328">
        <v>6.2788099665303099</v>
      </c>
      <c r="R328">
        <v>6.3005672246508198</v>
      </c>
      <c r="S328">
        <v>7.9319489932885903</v>
      </c>
      <c r="T328">
        <v>8.2914297740984999</v>
      </c>
      <c r="U328">
        <v>13.228299817184601</v>
      </c>
      <c r="V328">
        <v>10.5063596764157</v>
      </c>
      <c r="W328">
        <v>11.478582867502601</v>
      </c>
      <c r="X328">
        <v>11.815748527439199</v>
      </c>
    </row>
    <row r="329" spans="1:24">
      <c r="A329">
        <v>1225</v>
      </c>
      <c r="B329" t="s">
        <v>904</v>
      </c>
      <c r="C329">
        <v>3</v>
      </c>
      <c r="D329" t="s">
        <v>905</v>
      </c>
      <c r="E329">
        <v>12</v>
      </c>
      <c r="F329">
        <v>11</v>
      </c>
      <c r="G329">
        <v>8</v>
      </c>
      <c r="H329" t="s">
        <v>906</v>
      </c>
      <c r="I329">
        <v>54.1</v>
      </c>
      <c r="J329">
        <v>23.667999999999999</v>
      </c>
      <c r="K329" t="str">
        <f>"RAB8A;RAB3B"</f>
        <v>RAB8A;RAB3B</v>
      </c>
      <c r="L329" t="str">
        <f>"RAB8A;RAB3B"</f>
        <v>RAB8A;RAB3B</v>
      </c>
      <c r="M329">
        <v>6.0519463760843104</v>
      </c>
      <c r="N329">
        <v>6.2615120529801302</v>
      </c>
      <c r="O329">
        <v>8.2074905476936397</v>
      </c>
      <c r="P329">
        <v>9.5869703470031506</v>
      </c>
      <c r="Q329">
        <v>8.7903339531424294</v>
      </c>
      <c r="R329">
        <v>8.1007292888367601</v>
      </c>
      <c r="S329">
        <v>6.7988134228187898</v>
      </c>
      <c r="T329">
        <v>10.6604097095552</v>
      </c>
      <c r="U329">
        <v>6.6141499085923199</v>
      </c>
      <c r="V329">
        <v>11.556995644057199</v>
      </c>
      <c r="W329">
        <v>6.37699048194591</v>
      </c>
      <c r="X329">
        <v>6.8925199743395398</v>
      </c>
    </row>
    <row r="330" spans="1:24">
      <c r="A330">
        <v>1258</v>
      </c>
      <c r="B330" t="s">
        <v>907</v>
      </c>
      <c r="C330">
        <v>3</v>
      </c>
      <c r="D330" t="s">
        <v>908</v>
      </c>
      <c r="E330">
        <v>9</v>
      </c>
      <c r="F330">
        <v>9</v>
      </c>
      <c r="G330">
        <v>9</v>
      </c>
      <c r="H330" t="s">
        <v>909</v>
      </c>
      <c r="I330">
        <v>46.3</v>
      </c>
      <c r="J330">
        <v>16.837</v>
      </c>
      <c r="K330" t="str">
        <f>"CALM1;CALML3;TNNC2"</f>
        <v>CALM1;CALML3;TNNC2</v>
      </c>
      <c r="L330" t="str">
        <f>"CALM1;CALML3;TNNC2"</f>
        <v>CALM1;CALML3;TNNC2</v>
      </c>
      <c r="M330">
        <v>6.0519463760843104</v>
      </c>
      <c r="N330">
        <v>7.1560137748344399</v>
      </c>
      <c r="O330">
        <v>9.1194339418818195</v>
      </c>
      <c r="P330">
        <v>9.5869703470031506</v>
      </c>
      <c r="Q330">
        <v>10.046095946448499</v>
      </c>
      <c r="R330">
        <v>8.1007292888367601</v>
      </c>
      <c r="S330">
        <v>5.6656778523489901</v>
      </c>
      <c r="T330">
        <v>9.4759197418268606</v>
      </c>
      <c r="U330">
        <v>7.7165082266910403</v>
      </c>
      <c r="V330">
        <v>11.556995644057199</v>
      </c>
      <c r="W330">
        <v>8.9277866747242793</v>
      </c>
      <c r="X330">
        <v>7.8771656849594702</v>
      </c>
    </row>
    <row r="331" spans="1:24">
      <c r="A331">
        <v>1123</v>
      </c>
      <c r="B331" t="s">
        <v>910</v>
      </c>
      <c r="C331">
        <v>2</v>
      </c>
      <c r="D331" t="s">
        <v>911</v>
      </c>
      <c r="E331">
        <v>24</v>
      </c>
      <c r="F331">
        <v>24</v>
      </c>
      <c r="G331">
        <v>24</v>
      </c>
      <c r="H331" t="s">
        <v>912</v>
      </c>
      <c r="I331">
        <v>46.2</v>
      </c>
      <c r="J331">
        <v>57.923999999999999</v>
      </c>
      <c r="K331" t="str">
        <f>"CCT4"</f>
        <v>CCT4</v>
      </c>
      <c r="L331" t="str">
        <f>"CCT4"</f>
        <v>CCT4</v>
      </c>
      <c r="M331">
        <v>9.6831142017348899</v>
      </c>
      <c r="N331">
        <v>5.3670103311258304</v>
      </c>
      <c r="O331">
        <v>8.2074905476936397</v>
      </c>
      <c r="P331">
        <v>7.4565324921135696</v>
      </c>
      <c r="Q331">
        <v>7.5345719598363701</v>
      </c>
      <c r="R331">
        <v>10.800972385115699</v>
      </c>
      <c r="S331">
        <v>5.6656778523489901</v>
      </c>
      <c r="T331">
        <v>7.1069398063701401</v>
      </c>
      <c r="U331">
        <v>9.9212248628884794</v>
      </c>
      <c r="V331">
        <v>9.4557237087741104</v>
      </c>
      <c r="W331">
        <v>8.9277866747242793</v>
      </c>
      <c r="X331">
        <v>12.8003942380591</v>
      </c>
    </row>
    <row r="332" spans="1:24">
      <c r="A332">
        <v>1404</v>
      </c>
      <c r="B332" t="s">
        <v>913</v>
      </c>
      <c r="C332">
        <v>2</v>
      </c>
      <c r="D332" t="s">
        <v>914</v>
      </c>
      <c r="E332">
        <v>29</v>
      </c>
      <c r="F332">
        <v>29</v>
      </c>
      <c r="G332">
        <v>1</v>
      </c>
      <c r="H332" t="s">
        <v>915</v>
      </c>
      <c r="I332">
        <v>32.1</v>
      </c>
      <c r="J332">
        <v>103.92</v>
      </c>
      <c r="K332" t="str">
        <f>"AP1B1"</f>
        <v>AP1B1</v>
      </c>
      <c r="L332" t="str">
        <f>"AP1B1"</f>
        <v>AP1B1</v>
      </c>
      <c r="M332">
        <v>8.4727249265180298</v>
      </c>
      <c r="N332">
        <v>8.9450172185430503</v>
      </c>
      <c r="O332">
        <v>13.679150912822699</v>
      </c>
      <c r="P332">
        <v>5.3260946372239797</v>
      </c>
      <c r="Q332">
        <v>3.7672859799181899</v>
      </c>
      <c r="R332">
        <v>9.0008103209297392</v>
      </c>
      <c r="S332">
        <v>4.5325422818791896</v>
      </c>
      <c r="T332">
        <v>4.7379598709134303</v>
      </c>
      <c r="U332">
        <v>9.9212248628884794</v>
      </c>
      <c r="V332">
        <v>14.708903546982</v>
      </c>
      <c r="W332">
        <v>7.6523885783351</v>
      </c>
      <c r="X332">
        <v>5.9078742637195996</v>
      </c>
    </row>
    <row r="333" spans="1:24">
      <c r="A333">
        <v>1954</v>
      </c>
      <c r="B333" t="s">
        <v>916</v>
      </c>
      <c r="C333">
        <v>2</v>
      </c>
      <c r="D333" t="s">
        <v>917</v>
      </c>
      <c r="E333">
        <v>20</v>
      </c>
      <c r="F333">
        <v>20</v>
      </c>
      <c r="G333">
        <v>20</v>
      </c>
      <c r="H333" t="s">
        <v>918</v>
      </c>
      <c r="I333">
        <v>56</v>
      </c>
      <c r="J333">
        <v>52.878</v>
      </c>
      <c r="K333" t="str">
        <f>"CNDP2"</f>
        <v>CNDP2</v>
      </c>
      <c r="L333" t="str">
        <f>"CNDP2"</f>
        <v>CNDP2</v>
      </c>
      <c r="M333">
        <v>9.6831142017348899</v>
      </c>
      <c r="N333">
        <v>9.8395189403973493</v>
      </c>
      <c r="O333">
        <v>13.679150912822699</v>
      </c>
      <c r="P333">
        <v>7.4565324921135696</v>
      </c>
      <c r="Q333">
        <v>8.7903339531424294</v>
      </c>
      <c r="R333">
        <v>7.2006482567437899</v>
      </c>
      <c r="S333">
        <v>7.9319489932885903</v>
      </c>
      <c r="T333">
        <v>9.4759197418268606</v>
      </c>
      <c r="U333">
        <v>4.4094332723948799</v>
      </c>
      <c r="V333">
        <v>7.3544517734909798</v>
      </c>
      <c r="W333">
        <v>3.82619428916755</v>
      </c>
      <c r="X333">
        <v>7.8771656849594702</v>
      </c>
    </row>
    <row r="334" spans="1:24">
      <c r="A334">
        <v>2200</v>
      </c>
      <c r="B334" t="s">
        <v>919</v>
      </c>
      <c r="C334">
        <v>3</v>
      </c>
      <c r="D334" t="s">
        <v>920</v>
      </c>
      <c r="E334">
        <v>30</v>
      </c>
      <c r="F334">
        <v>30</v>
      </c>
      <c r="G334">
        <v>30</v>
      </c>
      <c r="H334" t="s">
        <v>921</v>
      </c>
      <c r="I334">
        <v>24</v>
      </c>
      <c r="J334">
        <v>174.97</v>
      </c>
      <c r="K334" t="str">
        <f>"UGGT1;UGGT2"</f>
        <v>UGGT1;UGGT2</v>
      </c>
      <c r="L334" t="str">
        <f>"UGGT1;UGGT2"</f>
        <v>UGGT1;UGGT2</v>
      </c>
      <c r="M334">
        <v>3.6311678256505799</v>
      </c>
      <c r="N334">
        <v>9.8395189403973493</v>
      </c>
      <c r="O334">
        <v>14.5910943070109</v>
      </c>
      <c r="P334">
        <v>6.3913135646687698</v>
      </c>
      <c r="Q334">
        <v>3.7672859799181899</v>
      </c>
      <c r="R334">
        <v>9.0008103209297392</v>
      </c>
      <c r="S334">
        <v>10.198220134228199</v>
      </c>
      <c r="T334">
        <v>5.9224498386417803</v>
      </c>
      <c r="U334">
        <v>9.9212248628884794</v>
      </c>
      <c r="V334">
        <v>9.4557237087741104</v>
      </c>
      <c r="W334">
        <v>5.1015923855567298</v>
      </c>
      <c r="X334">
        <v>9.84645710619934</v>
      </c>
    </row>
    <row r="335" spans="1:24">
      <c r="A335">
        <v>2311</v>
      </c>
      <c r="B335" t="s">
        <v>922</v>
      </c>
      <c r="C335">
        <v>4</v>
      </c>
      <c r="D335" t="s">
        <v>923</v>
      </c>
      <c r="E335">
        <v>19</v>
      </c>
      <c r="F335">
        <v>19</v>
      </c>
      <c r="G335">
        <v>19</v>
      </c>
      <c r="H335" t="s">
        <v>924</v>
      </c>
      <c r="I335">
        <v>40.200000000000003</v>
      </c>
      <c r="J335">
        <v>54.732999999999997</v>
      </c>
      <c r="K335" t="str">
        <f>"HPSE"</f>
        <v>HPSE</v>
      </c>
      <c r="L335" t="str">
        <f>"HPSE"</f>
        <v>HPSE</v>
      </c>
      <c r="M335">
        <v>6.0519463760843104</v>
      </c>
      <c r="N335">
        <v>7.1560137748344399</v>
      </c>
      <c r="O335">
        <v>3.64777357675273</v>
      </c>
      <c r="P335">
        <v>8.5217514195583597</v>
      </c>
      <c r="Q335">
        <v>7.5345719598363701</v>
      </c>
      <c r="R335">
        <v>12.6011344493016</v>
      </c>
      <c r="S335">
        <v>9.0650845637583899</v>
      </c>
      <c r="T335">
        <v>8.2914297740984999</v>
      </c>
      <c r="U335">
        <v>15.4330164533821</v>
      </c>
      <c r="V335">
        <v>7.3544517734909798</v>
      </c>
      <c r="W335">
        <v>8.9277866747242793</v>
      </c>
      <c r="X335">
        <v>9.84645710619934</v>
      </c>
    </row>
    <row r="336" spans="1:24">
      <c r="A336">
        <v>1567</v>
      </c>
      <c r="B336" t="s">
        <v>925</v>
      </c>
      <c r="C336">
        <v>1</v>
      </c>
      <c r="D336" t="s">
        <v>926</v>
      </c>
      <c r="E336">
        <v>17</v>
      </c>
      <c r="F336">
        <v>16</v>
      </c>
      <c r="G336">
        <v>15</v>
      </c>
      <c r="H336" t="s">
        <v>925</v>
      </c>
      <c r="I336">
        <v>64.599999999999994</v>
      </c>
      <c r="J336">
        <v>29.998999999999999</v>
      </c>
      <c r="K336" t="str">
        <f>"MAPRE1"</f>
        <v>MAPRE1</v>
      </c>
      <c r="L336" t="str">
        <f>"MAPRE1"</f>
        <v>MAPRE1</v>
      </c>
      <c r="M336">
        <v>9.6831142017348899</v>
      </c>
      <c r="N336">
        <v>8.0505154966887407</v>
      </c>
      <c r="O336">
        <v>10.031377336069999</v>
      </c>
      <c r="P336">
        <v>6.3913135646687698</v>
      </c>
      <c r="Q336">
        <v>6.2788099665303099</v>
      </c>
      <c r="R336">
        <v>12.6011344493016</v>
      </c>
      <c r="S336">
        <v>6.7988134228187898</v>
      </c>
      <c r="T336">
        <v>10.6604097095552</v>
      </c>
      <c r="U336">
        <v>6.6141499085923199</v>
      </c>
      <c r="V336">
        <v>10.5063596764157</v>
      </c>
      <c r="W336">
        <v>7.6523885783351</v>
      </c>
      <c r="X336">
        <v>7.8771656849594702</v>
      </c>
    </row>
    <row r="337" spans="1:24">
      <c r="A337">
        <v>366</v>
      </c>
      <c r="B337" t="s">
        <v>927</v>
      </c>
      <c r="C337">
        <v>1</v>
      </c>
      <c r="D337" t="s">
        <v>928</v>
      </c>
      <c r="E337">
        <v>5</v>
      </c>
      <c r="F337">
        <v>4</v>
      </c>
      <c r="G337">
        <v>2</v>
      </c>
      <c r="H337" t="s">
        <v>927</v>
      </c>
      <c r="I337">
        <v>28.2</v>
      </c>
      <c r="J337">
        <v>12.582000000000001</v>
      </c>
      <c r="K337" t="str">
        <f>"IGHV3-23"</f>
        <v>IGHV3-23</v>
      </c>
      <c r="L337" t="str">
        <f>"IGHV3-23"</f>
        <v>IGHV3-23</v>
      </c>
      <c r="M337">
        <v>14.5246713026023</v>
      </c>
      <c r="N337">
        <v>7.1560137748344399</v>
      </c>
      <c r="O337">
        <v>10.031377336069999</v>
      </c>
      <c r="P337">
        <v>10.652189274448</v>
      </c>
      <c r="Q337">
        <v>16.324905912978799</v>
      </c>
      <c r="R337">
        <v>8.1007292888367601</v>
      </c>
      <c r="S337">
        <v>9.0650845637583899</v>
      </c>
      <c r="T337">
        <v>11.8448996772836</v>
      </c>
      <c r="U337">
        <v>5.5117915904936003</v>
      </c>
      <c r="V337">
        <v>7.3544517734909798</v>
      </c>
      <c r="W337">
        <v>6.37699048194591</v>
      </c>
      <c r="X337">
        <v>7.8771656849594702</v>
      </c>
    </row>
    <row r="338" spans="1:24">
      <c r="A338">
        <v>1214</v>
      </c>
      <c r="B338" t="s">
        <v>929</v>
      </c>
      <c r="C338">
        <v>4</v>
      </c>
      <c r="D338" t="s">
        <v>930</v>
      </c>
      <c r="E338">
        <v>10</v>
      </c>
      <c r="F338">
        <v>10</v>
      </c>
      <c r="G338">
        <v>10</v>
      </c>
      <c r="H338" t="s">
        <v>931</v>
      </c>
      <c r="I338">
        <v>64.900000000000006</v>
      </c>
      <c r="J338">
        <v>19.667000000000002</v>
      </c>
      <c r="K338" t="str">
        <f>"ARPC4"</f>
        <v>ARPC4</v>
      </c>
      <c r="L338" t="str">
        <f>"ARPC4"</f>
        <v>ARPC4</v>
      </c>
      <c r="M338">
        <v>9.6831142017348899</v>
      </c>
      <c r="N338">
        <v>5.3670103311258304</v>
      </c>
      <c r="O338">
        <v>8.2074905476936397</v>
      </c>
      <c r="P338">
        <v>7.4565324921135696</v>
      </c>
      <c r="Q338">
        <v>8.7903339531424294</v>
      </c>
      <c r="R338">
        <v>8.1007292888367601</v>
      </c>
      <c r="S338">
        <v>11.331355704698</v>
      </c>
      <c r="T338">
        <v>8.2914297740984999</v>
      </c>
      <c r="U338">
        <v>13.228299817184601</v>
      </c>
      <c r="V338">
        <v>8.4050877411325509</v>
      </c>
      <c r="W338">
        <v>8.9277866747242793</v>
      </c>
      <c r="X338">
        <v>11.815748527439199</v>
      </c>
    </row>
    <row r="339" spans="1:24">
      <c r="A339">
        <v>2077</v>
      </c>
      <c r="B339" t="s">
        <v>932</v>
      </c>
      <c r="C339">
        <v>2</v>
      </c>
      <c r="D339" t="s">
        <v>933</v>
      </c>
      <c r="E339">
        <v>14</v>
      </c>
      <c r="F339">
        <v>14</v>
      </c>
      <c r="G339">
        <v>7</v>
      </c>
      <c r="H339" t="s">
        <v>934</v>
      </c>
      <c r="I339">
        <v>71.599999999999994</v>
      </c>
      <c r="J339">
        <v>22.170999999999999</v>
      </c>
      <c r="K339" t="str">
        <f>"RAB1B;RAB1C"</f>
        <v>RAB1B;RAB1C</v>
      </c>
      <c r="L339" t="str">
        <f>"RAB1B;RAB1C"</f>
        <v>RAB1B;RAB1C</v>
      </c>
      <c r="M339">
        <v>8.4727249265180298</v>
      </c>
      <c r="N339">
        <v>5.3670103311258304</v>
      </c>
      <c r="O339">
        <v>7.2955471535054599</v>
      </c>
      <c r="P339">
        <v>6.3913135646687698</v>
      </c>
      <c r="Q339">
        <v>7.5345719598363701</v>
      </c>
      <c r="R339">
        <v>10.800972385115699</v>
      </c>
      <c r="S339">
        <v>10.198220134228199</v>
      </c>
      <c r="T339">
        <v>8.2914297740984999</v>
      </c>
      <c r="U339">
        <v>13.228299817184601</v>
      </c>
      <c r="V339">
        <v>7.3544517734909798</v>
      </c>
      <c r="W339">
        <v>10.2031847711135</v>
      </c>
      <c r="X339">
        <v>10.8311028168193</v>
      </c>
    </row>
    <row r="340" spans="1:24">
      <c r="A340">
        <v>222</v>
      </c>
      <c r="B340" t="s">
        <v>935</v>
      </c>
      <c r="C340">
        <v>1</v>
      </c>
      <c r="D340" t="s">
        <v>936</v>
      </c>
      <c r="E340">
        <v>16</v>
      </c>
      <c r="F340">
        <v>16</v>
      </c>
      <c r="G340">
        <v>16</v>
      </c>
      <c r="H340" t="s">
        <v>935</v>
      </c>
      <c r="I340">
        <v>36.799999999999997</v>
      </c>
      <c r="J340">
        <v>41.216000000000001</v>
      </c>
      <c r="K340" t="str">
        <f>"SKAP2"</f>
        <v>SKAP2</v>
      </c>
      <c r="L340" t="str">
        <f>"SKAP2"</f>
        <v>SKAP2</v>
      </c>
      <c r="M340">
        <v>4.8415571008674503</v>
      </c>
      <c r="N340">
        <v>10.7340206622517</v>
      </c>
      <c r="O340">
        <v>11.8552641244464</v>
      </c>
      <c r="P340">
        <v>7.4565324921135696</v>
      </c>
      <c r="Q340">
        <v>3.7672859799181899</v>
      </c>
      <c r="R340">
        <v>8.1007292888367601</v>
      </c>
      <c r="S340">
        <v>5.6656778523489901</v>
      </c>
      <c r="T340">
        <v>9.4759197418268606</v>
      </c>
      <c r="U340">
        <v>7.7165082266910403</v>
      </c>
      <c r="V340">
        <v>12.6076316116988</v>
      </c>
      <c r="W340">
        <v>7.6523885783351</v>
      </c>
      <c r="X340">
        <v>6.8925199743395398</v>
      </c>
    </row>
    <row r="341" spans="1:24">
      <c r="A341">
        <v>2382</v>
      </c>
      <c r="B341" t="s">
        <v>937</v>
      </c>
      <c r="C341">
        <v>5</v>
      </c>
      <c r="D341" t="s">
        <v>938</v>
      </c>
      <c r="E341">
        <v>18</v>
      </c>
      <c r="F341">
        <v>18</v>
      </c>
      <c r="G341">
        <v>10</v>
      </c>
      <c r="H341" t="s">
        <v>939</v>
      </c>
      <c r="I341">
        <v>44.5</v>
      </c>
      <c r="J341">
        <v>47.912999999999997</v>
      </c>
      <c r="K341" t="str">
        <f>"STK24;STK25"</f>
        <v>STK24;STK25</v>
      </c>
      <c r="L341" t="str">
        <f>"STK24;STK25"</f>
        <v>STK24;STK25</v>
      </c>
      <c r="M341">
        <v>7.2623356513011696</v>
      </c>
      <c r="N341">
        <v>8.9450172185430503</v>
      </c>
      <c r="O341">
        <v>12.7672075186345</v>
      </c>
      <c r="P341">
        <v>9.5869703470031506</v>
      </c>
      <c r="Q341">
        <v>8.7903339531424294</v>
      </c>
      <c r="R341">
        <v>9.0008103209297392</v>
      </c>
      <c r="S341">
        <v>9.0650845637583899</v>
      </c>
      <c r="T341">
        <v>7.1069398063701401</v>
      </c>
      <c r="U341">
        <v>8.8188665447897598</v>
      </c>
      <c r="V341">
        <v>8.4050877411325509</v>
      </c>
      <c r="W341">
        <v>10.2031847711135</v>
      </c>
      <c r="X341">
        <v>11.815748527439199</v>
      </c>
    </row>
    <row r="342" spans="1:24">
      <c r="A342">
        <v>1002</v>
      </c>
      <c r="B342" t="s">
        <v>940</v>
      </c>
      <c r="C342">
        <v>2</v>
      </c>
      <c r="D342" t="s">
        <v>941</v>
      </c>
      <c r="E342">
        <v>23</v>
      </c>
      <c r="F342">
        <v>23</v>
      </c>
      <c r="G342">
        <v>18</v>
      </c>
      <c r="H342" t="s">
        <v>942</v>
      </c>
      <c r="I342">
        <v>41.8</v>
      </c>
      <c r="J342">
        <v>58.024000000000001</v>
      </c>
      <c r="K342" t="str">
        <f>"CCT6A"</f>
        <v>CCT6A</v>
      </c>
      <c r="L342" t="str">
        <f>"CCT6A"</f>
        <v>CCT6A</v>
      </c>
      <c r="M342">
        <v>9.6831142017348899</v>
      </c>
      <c r="N342">
        <v>6.2615120529801302</v>
      </c>
      <c r="O342">
        <v>8.2074905476936397</v>
      </c>
      <c r="P342">
        <v>9.5869703470031506</v>
      </c>
      <c r="Q342">
        <v>5.0230479732242497</v>
      </c>
      <c r="R342">
        <v>8.1007292888367601</v>
      </c>
      <c r="S342">
        <v>10.198220134228199</v>
      </c>
      <c r="T342">
        <v>8.2914297740984999</v>
      </c>
      <c r="U342">
        <v>6.6141499085923199</v>
      </c>
      <c r="V342">
        <v>9.4557237087741104</v>
      </c>
      <c r="W342">
        <v>11.478582867502601</v>
      </c>
      <c r="X342">
        <v>9.84645710619934</v>
      </c>
    </row>
    <row r="343" spans="1:24">
      <c r="A343">
        <v>1255</v>
      </c>
      <c r="B343" t="s">
        <v>943</v>
      </c>
      <c r="C343">
        <v>1</v>
      </c>
      <c r="D343" t="s">
        <v>944</v>
      </c>
      <c r="E343">
        <v>17</v>
      </c>
      <c r="F343">
        <v>12</v>
      </c>
      <c r="G343">
        <v>10</v>
      </c>
      <c r="H343" t="s">
        <v>943</v>
      </c>
      <c r="I343">
        <v>59.1</v>
      </c>
      <c r="J343">
        <v>28.302</v>
      </c>
      <c r="K343" t="str">
        <f>"YWHAG"</f>
        <v>YWHAG</v>
      </c>
      <c r="L343" t="str">
        <f>"YWHAG"</f>
        <v>YWHAG</v>
      </c>
      <c r="M343">
        <v>9.6831142017348899</v>
      </c>
      <c r="N343">
        <v>10.7340206622517</v>
      </c>
      <c r="O343">
        <v>10.031377336069999</v>
      </c>
      <c r="P343">
        <v>10.652189274448</v>
      </c>
      <c r="Q343">
        <v>7.5345719598363701</v>
      </c>
      <c r="R343">
        <v>8.1007292888367601</v>
      </c>
      <c r="S343">
        <v>9.0650845637583899</v>
      </c>
      <c r="T343">
        <v>11.8448996772836</v>
      </c>
      <c r="U343">
        <v>11.023583180987201</v>
      </c>
      <c r="V343">
        <v>8.4050877411325509</v>
      </c>
      <c r="W343">
        <v>14.029379060281</v>
      </c>
      <c r="X343">
        <v>7.8771656849594702</v>
      </c>
    </row>
    <row r="344" spans="1:24">
      <c r="A344">
        <v>776</v>
      </c>
      <c r="B344" t="s">
        <v>945</v>
      </c>
      <c r="C344">
        <v>1</v>
      </c>
      <c r="D344" t="s">
        <v>946</v>
      </c>
      <c r="E344">
        <v>15</v>
      </c>
      <c r="F344">
        <v>15</v>
      </c>
      <c r="G344">
        <v>15</v>
      </c>
      <c r="H344" t="s">
        <v>945</v>
      </c>
      <c r="I344">
        <v>60.1</v>
      </c>
      <c r="J344">
        <v>30.771999999999998</v>
      </c>
      <c r="K344" t="str">
        <f>"VDAC1"</f>
        <v>VDAC1</v>
      </c>
      <c r="L344" t="str">
        <f>"VDAC1"</f>
        <v>VDAC1</v>
      </c>
      <c r="M344">
        <v>8.4727249265180298</v>
      </c>
      <c r="N344">
        <v>8.9450172185430503</v>
      </c>
      <c r="O344">
        <v>8.2074905476936397</v>
      </c>
      <c r="P344">
        <v>9.5869703470031506</v>
      </c>
      <c r="Q344">
        <v>5.0230479732242497</v>
      </c>
      <c r="R344">
        <v>9.9008913530227094</v>
      </c>
      <c r="S344">
        <v>11.331355704698</v>
      </c>
      <c r="T344">
        <v>10.6604097095552</v>
      </c>
      <c r="U344">
        <v>11.023583180987201</v>
      </c>
      <c r="V344">
        <v>7.3544517734909798</v>
      </c>
      <c r="W344">
        <v>10.2031847711135</v>
      </c>
      <c r="X344">
        <v>10.8311028168193</v>
      </c>
    </row>
    <row r="345" spans="1:24">
      <c r="A345">
        <v>1379</v>
      </c>
      <c r="B345" t="s">
        <v>947</v>
      </c>
      <c r="C345">
        <v>18</v>
      </c>
      <c r="D345" t="s">
        <v>948</v>
      </c>
      <c r="E345">
        <v>30</v>
      </c>
      <c r="F345">
        <v>30</v>
      </c>
      <c r="G345">
        <v>29</v>
      </c>
      <c r="H345" t="s">
        <v>949</v>
      </c>
      <c r="I345">
        <v>51.4</v>
      </c>
      <c r="J345">
        <v>76.28</v>
      </c>
      <c r="K345" t="str">
        <f>"BTK;EPHA6;EPHB1;EPHA5;EPHA2;EPHA3;EPHB4;EPHA7;EPHB3;EPHA8"</f>
        <v>BTK;EPHA6;EPHB1;EPHA5;EPHA2;EPHA3;EPHB4;EPHA7;EPHB3;EPHA8</v>
      </c>
      <c r="L345" t="str">
        <f>"BTK;EPHA6;EPHB1;EPHA5;EPHA2;EPHA3;EPHB4;EPHA7;EPHB3;EPHA8"</f>
        <v>BTK;EPHA6;EPHB1;EPHA5;EPHA2;EPHA3;EPHB4;EPHA7;EPHB3;EPHA8</v>
      </c>
      <c r="M345">
        <v>7.2623356513011696</v>
      </c>
      <c r="N345">
        <v>7.1560137748344399</v>
      </c>
      <c r="O345">
        <v>10.943320730258201</v>
      </c>
      <c r="P345">
        <v>9.5869703470031506</v>
      </c>
      <c r="Q345">
        <v>3.7672859799181899</v>
      </c>
      <c r="R345">
        <v>11.7010534172087</v>
      </c>
      <c r="S345">
        <v>6.7988134228187898</v>
      </c>
      <c r="T345">
        <v>5.9224498386417803</v>
      </c>
      <c r="U345">
        <v>8.8188665447897598</v>
      </c>
      <c r="V345">
        <v>11.556995644057199</v>
      </c>
      <c r="W345">
        <v>8.9277866747242793</v>
      </c>
      <c r="X345">
        <v>7.8771656849594702</v>
      </c>
    </row>
    <row r="346" spans="1:24">
      <c r="A346">
        <v>216</v>
      </c>
      <c r="B346" t="s">
        <v>950</v>
      </c>
      <c r="C346">
        <v>1</v>
      </c>
      <c r="D346" t="s">
        <v>951</v>
      </c>
      <c r="E346">
        <v>15</v>
      </c>
      <c r="F346">
        <v>15</v>
      </c>
      <c r="G346">
        <v>15</v>
      </c>
      <c r="H346" t="s">
        <v>950</v>
      </c>
      <c r="I346">
        <v>26.2</v>
      </c>
      <c r="J346">
        <v>51.712000000000003</v>
      </c>
      <c r="K346" t="str">
        <f>"CS"</f>
        <v>CS</v>
      </c>
      <c r="L346" t="str">
        <f>"CS"</f>
        <v>CS</v>
      </c>
      <c r="M346">
        <v>6.0519463760843104</v>
      </c>
      <c r="N346">
        <v>6.2615120529801302</v>
      </c>
      <c r="O346">
        <v>8.2074905476936397</v>
      </c>
      <c r="P346">
        <v>8.5217514195583597</v>
      </c>
      <c r="Q346">
        <v>6.2788099665303099</v>
      </c>
      <c r="R346">
        <v>8.1007292888367601</v>
      </c>
      <c r="S346">
        <v>12.4644912751678</v>
      </c>
      <c r="T346">
        <v>8.2914297740984999</v>
      </c>
      <c r="U346">
        <v>7.7165082266910403</v>
      </c>
      <c r="V346">
        <v>7.3544517734909798</v>
      </c>
      <c r="W346">
        <v>8.9277866747242793</v>
      </c>
      <c r="X346">
        <v>9.84645710619934</v>
      </c>
    </row>
    <row r="347" spans="1:24">
      <c r="A347">
        <v>2000</v>
      </c>
      <c r="B347" t="s">
        <v>952</v>
      </c>
      <c r="C347">
        <v>1</v>
      </c>
      <c r="D347" t="s">
        <v>953</v>
      </c>
      <c r="E347">
        <v>29</v>
      </c>
      <c r="F347">
        <v>29</v>
      </c>
      <c r="G347">
        <v>29</v>
      </c>
      <c r="H347" t="s">
        <v>952</v>
      </c>
      <c r="I347">
        <v>44.9</v>
      </c>
      <c r="J347">
        <v>85.424000000000007</v>
      </c>
      <c r="K347" t="str">
        <f>"ACO2"</f>
        <v>ACO2</v>
      </c>
      <c r="L347" t="str">
        <f>"ACO2"</f>
        <v>ACO2</v>
      </c>
      <c r="M347">
        <v>3.6311678256505799</v>
      </c>
      <c r="N347">
        <v>7.1560137748344399</v>
      </c>
      <c r="O347">
        <v>12.7672075186345</v>
      </c>
      <c r="P347">
        <v>8.5217514195583597</v>
      </c>
      <c r="Q347">
        <v>5.0230479732242497</v>
      </c>
      <c r="R347">
        <v>9.0008103209297392</v>
      </c>
      <c r="S347">
        <v>4.5325422818791896</v>
      </c>
      <c r="T347">
        <v>5.9224498386417803</v>
      </c>
      <c r="U347">
        <v>5.5117915904936003</v>
      </c>
      <c r="V347">
        <v>7.3544517734909798</v>
      </c>
      <c r="W347">
        <v>5.1015923855567298</v>
      </c>
      <c r="X347">
        <v>10.8311028168193</v>
      </c>
    </row>
    <row r="348" spans="1:24">
      <c r="A348">
        <v>845</v>
      </c>
      <c r="B348" t="s">
        <v>954</v>
      </c>
      <c r="C348">
        <v>4</v>
      </c>
      <c r="D348" t="s">
        <v>955</v>
      </c>
      <c r="E348">
        <v>26</v>
      </c>
      <c r="F348">
        <v>26</v>
      </c>
      <c r="G348">
        <v>26</v>
      </c>
      <c r="H348" t="s">
        <v>956</v>
      </c>
      <c r="I348">
        <v>52.5</v>
      </c>
      <c r="J348">
        <v>58.762</v>
      </c>
      <c r="K348" t="str">
        <f>"MAOB;MAOA"</f>
        <v>MAOB;MAOA</v>
      </c>
      <c r="L348" t="str">
        <f>"MAOB;MAOA"</f>
        <v>MAOB;MAOA</v>
      </c>
      <c r="M348">
        <v>10.8935034769518</v>
      </c>
      <c r="N348">
        <v>9.8395189403973493</v>
      </c>
      <c r="O348">
        <v>8.2074905476936397</v>
      </c>
      <c r="P348">
        <v>9.5869703470031506</v>
      </c>
      <c r="Q348">
        <v>5.0230479732242497</v>
      </c>
      <c r="R348">
        <v>9.9008913530227094</v>
      </c>
      <c r="S348">
        <v>10.198220134228199</v>
      </c>
      <c r="T348">
        <v>4.7379598709134303</v>
      </c>
      <c r="U348">
        <v>5.5117915904936003</v>
      </c>
      <c r="V348">
        <v>4.2025438705662701</v>
      </c>
      <c r="W348">
        <v>8.9277866747242793</v>
      </c>
      <c r="X348">
        <v>8.8618113955793998</v>
      </c>
    </row>
    <row r="349" spans="1:24">
      <c r="A349">
        <v>1837</v>
      </c>
      <c r="B349" t="s">
        <v>957</v>
      </c>
      <c r="C349">
        <v>1</v>
      </c>
      <c r="D349" t="s">
        <v>958</v>
      </c>
      <c r="E349">
        <v>23</v>
      </c>
      <c r="F349">
        <v>23</v>
      </c>
      <c r="G349">
        <v>23</v>
      </c>
      <c r="H349" t="s">
        <v>957</v>
      </c>
      <c r="I349">
        <v>45.9</v>
      </c>
      <c r="J349">
        <v>72.694999999999993</v>
      </c>
      <c r="K349" t="str">
        <f>"UBASH3B"</f>
        <v>UBASH3B</v>
      </c>
      <c r="L349" t="str">
        <f>"UBASH3B"</f>
        <v>UBASH3B</v>
      </c>
      <c r="M349">
        <v>7.2623356513011696</v>
      </c>
      <c r="N349">
        <v>9.8395189403973493</v>
      </c>
      <c r="O349">
        <v>5.4716603651290896</v>
      </c>
      <c r="P349">
        <v>7.4565324921135696</v>
      </c>
      <c r="Q349">
        <v>8.7903339531424294</v>
      </c>
      <c r="R349">
        <v>8.1007292888367601</v>
      </c>
      <c r="S349">
        <v>12.4644912751678</v>
      </c>
      <c r="T349">
        <v>7.1069398063701401</v>
      </c>
      <c r="U349">
        <v>6.6141499085923199</v>
      </c>
      <c r="V349">
        <v>9.4557237087741104</v>
      </c>
      <c r="W349">
        <v>7.6523885783351</v>
      </c>
      <c r="X349">
        <v>8.8618113955793998</v>
      </c>
    </row>
    <row r="350" spans="1:24">
      <c r="A350">
        <v>2379</v>
      </c>
      <c r="B350" t="s">
        <v>959</v>
      </c>
      <c r="C350">
        <v>2</v>
      </c>
      <c r="D350" t="s">
        <v>960</v>
      </c>
      <c r="E350">
        <v>28</v>
      </c>
      <c r="F350">
        <v>28</v>
      </c>
      <c r="G350">
        <v>28</v>
      </c>
      <c r="H350" t="s">
        <v>961</v>
      </c>
      <c r="I350">
        <v>35.1</v>
      </c>
      <c r="J350">
        <v>106.67</v>
      </c>
      <c r="K350" t="str">
        <f>"EMILIN1"</f>
        <v>EMILIN1</v>
      </c>
      <c r="L350" t="str">
        <f>"EMILIN1"</f>
        <v>EMILIN1</v>
      </c>
      <c r="M350">
        <v>7.2623356513011696</v>
      </c>
      <c r="N350">
        <v>2.6835051655629099</v>
      </c>
      <c r="O350">
        <v>3.64777357675273</v>
      </c>
      <c r="P350">
        <v>14.9130649842271</v>
      </c>
      <c r="Q350">
        <v>11.3018579397546</v>
      </c>
      <c r="R350">
        <v>15.3013775455806</v>
      </c>
      <c r="S350">
        <v>13.597626845637601</v>
      </c>
      <c r="T350">
        <v>15.3983695804686</v>
      </c>
      <c r="U350">
        <v>12.125941499085901</v>
      </c>
      <c r="V350">
        <v>11.556995644057199</v>
      </c>
      <c r="W350">
        <v>2.5507961927783702</v>
      </c>
      <c r="X350">
        <v>7.8771656849594702</v>
      </c>
    </row>
    <row r="351" spans="1:24">
      <c r="A351">
        <v>120</v>
      </c>
      <c r="B351" t="s">
        <v>962</v>
      </c>
      <c r="C351">
        <v>1</v>
      </c>
      <c r="D351" t="s">
        <v>963</v>
      </c>
      <c r="E351">
        <v>10</v>
      </c>
      <c r="F351">
        <v>10</v>
      </c>
      <c r="G351">
        <v>10</v>
      </c>
      <c r="H351" t="s">
        <v>962</v>
      </c>
      <c r="I351">
        <v>48.3</v>
      </c>
      <c r="J351">
        <v>20.545999999999999</v>
      </c>
      <c r="K351" t="str">
        <f>"ARPC3"</f>
        <v>ARPC3</v>
      </c>
      <c r="L351" t="str">
        <f>"ARPC3"</f>
        <v>ARPC3</v>
      </c>
      <c r="M351">
        <v>4.8415571008674503</v>
      </c>
      <c r="N351">
        <v>8.9450172185430503</v>
      </c>
      <c r="O351">
        <v>7.2955471535054599</v>
      </c>
      <c r="P351">
        <v>5.3260946372239797</v>
      </c>
      <c r="Q351">
        <v>3.7672859799181899</v>
      </c>
      <c r="R351">
        <v>12.6011344493016</v>
      </c>
      <c r="S351">
        <v>9.0650845637583899</v>
      </c>
      <c r="T351">
        <v>3.5534699031850701</v>
      </c>
      <c r="U351">
        <v>9.9212248628884794</v>
      </c>
      <c r="V351">
        <v>5.2531798382078403</v>
      </c>
      <c r="W351">
        <v>6.37699048194591</v>
      </c>
      <c r="X351">
        <v>6.8925199743395398</v>
      </c>
    </row>
    <row r="352" spans="1:24">
      <c r="A352">
        <v>420</v>
      </c>
      <c r="B352" t="s">
        <v>964</v>
      </c>
      <c r="C352">
        <v>1</v>
      </c>
      <c r="D352" t="s">
        <v>965</v>
      </c>
      <c r="E352">
        <v>9</v>
      </c>
      <c r="F352">
        <v>6</v>
      </c>
      <c r="G352">
        <v>6</v>
      </c>
      <c r="H352" t="s">
        <v>964</v>
      </c>
      <c r="I352">
        <v>45.3</v>
      </c>
      <c r="J352">
        <v>23.510999999999999</v>
      </c>
      <c r="K352" t="str">
        <f>"ORM1"</f>
        <v>ORM1</v>
      </c>
      <c r="L352" t="str">
        <f>"ORM1"</f>
        <v>ORM1</v>
      </c>
      <c r="M352">
        <v>6.0519463760843104</v>
      </c>
      <c r="N352">
        <v>3.57800688741722</v>
      </c>
      <c r="O352">
        <v>0</v>
      </c>
      <c r="P352">
        <v>13.8478460567823</v>
      </c>
      <c r="Q352">
        <v>26.371001859427299</v>
      </c>
      <c r="R352">
        <v>10.800972385115699</v>
      </c>
      <c r="S352">
        <v>12.4644912751678</v>
      </c>
      <c r="T352">
        <v>22.5053093868388</v>
      </c>
      <c r="U352">
        <v>11.023583180987201</v>
      </c>
      <c r="V352">
        <v>16.810175482265102</v>
      </c>
      <c r="W352">
        <v>2.5507961927783702</v>
      </c>
      <c r="X352">
        <v>6.8925199743395398</v>
      </c>
    </row>
    <row r="353" spans="1:24">
      <c r="A353">
        <v>1458</v>
      </c>
      <c r="B353" t="s">
        <v>966</v>
      </c>
      <c r="C353">
        <v>5</v>
      </c>
      <c r="D353" t="s">
        <v>967</v>
      </c>
      <c r="E353">
        <v>30</v>
      </c>
      <c r="F353">
        <v>30</v>
      </c>
      <c r="G353">
        <v>30</v>
      </c>
      <c r="H353" t="s">
        <v>968</v>
      </c>
      <c r="I353">
        <v>41.8</v>
      </c>
      <c r="J353">
        <v>77.421999999999997</v>
      </c>
      <c r="K353" t="str">
        <f>"STIM1;STIM2"</f>
        <v>STIM1;STIM2</v>
      </c>
      <c r="L353" t="str">
        <f>"STIM1;STIM2"</f>
        <v>STIM1;STIM2</v>
      </c>
      <c r="M353">
        <v>3.6311678256505799</v>
      </c>
      <c r="N353">
        <v>8.9450172185430503</v>
      </c>
      <c r="O353">
        <v>12.7672075186345</v>
      </c>
      <c r="P353">
        <v>9.5869703470031506</v>
      </c>
      <c r="Q353">
        <v>7.5345719598363701</v>
      </c>
      <c r="R353">
        <v>6.3005672246508198</v>
      </c>
      <c r="S353">
        <v>7.9319489932885903</v>
      </c>
      <c r="T353">
        <v>3.5534699031850701</v>
      </c>
      <c r="U353">
        <v>8.8188665447897598</v>
      </c>
      <c r="V353">
        <v>9.4557237087741104</v>
      </c>
      <c r="W353">
        <v>3.82619428916755</v>
      </c>
      <c r="X353">
        <v>9.84645710619934</v>
      </c>
    </row>
    <row r="354" spans="1:24">
      <c r="A354">
        <v>1444</v>
      </c>
      <c r="B354" t="s">
        <v>969</v>
      </c>
      <c r="C354">
        <v>1</v>
      </c>
      <c r="D354" t="s">
        <v>970</v>
      </c>
      <c r="E354">
        <v>28</v>
      </c>
      <c r="F354">
        <v>28</v>
      </c>
      <c r="G354">
        <v>28</v>
      </c>
      <c r="H354" t="s">
        <v>969</v>
      </c>
      <c r="I354">
        <v>29.5</v>
      </c>
      <c r="J354">
        <v>113.89</v>
      </c>
      <c r="K354" t="str">
        <f>"NNT"</f>
        <v>NNT</v>
      </c>
      <c r="L354" t="str">
        <f>"NNT"</f>
        <v>NNT</v>
      </c>
      <c r="M354">
        <v>3.6311678256505799</v>
      </c>
      <c r="N354">
        <v>8.0505154966887407</v>
      </c>
      <c r="O354">
        <v>5.4716603651290896</v>
      </c>
      <c r="P354">
        <v>5.3260946372239797</v>
      </c>
      <c r="Q354">
        <v>1.25576199330606</v>
      </c>
      <c r="R354">
        <v>12.6011344493016</v>
      </c>
      <c r="S354">
        <v>11.331355704698</v>
      </c>
      <c r="T354">
        <v>4.7379598709134303</v>
      </c>
      <c r="U354">
        <v>6.6141499085923199</v>
      </c>
      <c r="V354">
        <v>8.4050877411325509</v>
      </c>
      <c r="W354">
        <v>8.9277866747242793</v>
      </c>
      <c r="X354">
        <v>14.769685659299</v>
      </c>
    </row>
    <row r="355" spans="1:24">
      <c r="A355">
        <v>474</v>
      </c>
      <c r="B355" t="s">
        <v>971</v>
      </c>
      <c r="C355">
        <v>1</v>
      </c>
      <c r="D355" t="s">
        <v>972</v>
      </c>
      <c r="E355">
        <v>11</v>
      </c>
      <c r="F355">
        <v>11</v>
      </c>
      <c r="G355">
        <v>11</v>
      </c>
      <c r="H355" t="s">
        <v>971</v>
      </c>
      <c r="I355">
        <v>39.200000000000003</v>
      </c>
      <c r="J355">
        <v>21.274999999999999</v>
      </c>
      <c r="K355" t="str">
        <f>"APOD"</f>
        <v>APOD</v>
      </c>
      <c r="L355" t="str">
        <f>"APOD"</f>
        <v>APOD</v>
      </c>
      <c r="M355">
        <v>14.5246713026023</v>
      </c>
      <c r="N355">
        <v>7.1560137748344399</v>
      </c>
      <c r="O355">
        <v>8.2074905476936397</v>
      </c>
      <c r="P355">
        <v>6.3913135646687698</v>
      </c>
      <c r="Q355">
        <v>11.3018579397546</v>
      </c>
      <c r="R355">
        <v>5.4004861925578398</v>
      </c>
      <c r="S355">
        <v>14.7307624161074</v>
      </c>
      <c r="T355">
        <v>14.2138796127403</v>
      </c>
      <c r="U355">
        <v>1.10235831809872</v>
      </c>
      <c r="V355">
        <v>12.6076316116988</v>
      </c>
      <c r="W355">
        <v>12.7539809638918</v>
      </c>
      <c r="X355">
        <v>2.9539371318597998</v>
      </c>
    </row>
    <row r="356" spans="1:24">
      <c r="A356">
        <v>692</v>
      </c>
      <c r="B356" t="s">
        <v>973</v>
      </c>
      <c r="C356">
        <v>1</v>
      </c>
      <c r="D356" t="s">
        <v>974</v>
      </c>
      <c r="E356">
        <v>5</v>
      </c>
      <c r="F356">
        <v>5</v>
      </c>
      <c r="G356">
        <v>5</v>
      </c>
      <c r="H356" t="s">
        <v>973</v>
      </c>
      <c r="I356">
        <v>30.5</v>
      </c>
      <c r="J356">
        <v>19.045999999999999</v>
      </c>
      <c r="K356" t="str">
        <f>"GP9"</f>
        <v>GP9</v>
      </c>
      <c r="L356" t="str">
        <f>"GP9"</f>
        <v>GP9</v>
      </c>
      <c r="M356">
        <v>6.0519463760843104</v>
      </c>
      <c r="N356">
        <v>7.1560137748344399</v>
      </c>
      <c r="O356">
        <v>10.031377336069999</v>
      </c>
      <c r="P356">
        <v>7.4565324921135696</v>
      </c>
      <c r="Q356">
        <v>7.5345719598363701</v>
      </c>
      <c r="R356">
        <v>6.3005672246508198</v>
      </c>
      <c r="S356">
        <v>6.7988134228187898</v>
      </c>
      <c r="T356">
        <v>9.4759197418268606</v>
      </c>
      <c r="U356">
        <v>11.023583180987201</v>
      </c>
      <c r="V356">
        <v>11.556995644057199</v>
      </c>
      <c r="W356">
        <v>7.6523885783351</v>
      </c>
      <c r="X356">
        <v>6.8925199743395398</v>
      </c>
    </row>
    <row r="357" spans="1:24">
      <c r="A357">
        <v>846</v>
      </c>
      <c r="B357" t="s">
        <v>975</v>
      </c>
      <c r="C357">
        <v>1</v>
      </c>
      <c r="D357" t="s">
        <v>976</v>
      </c>
      <c r="E357">
        <v>17</v>
      </c>
      <c r="F357">
        <v>12</v>
      </c>
      <c r="G357">
        <v>11</v>
      </c>
      <c r="H357" t="s">
        <v>975</v>
      </c>
      <c r="I357">
        <v>46.9</v>
      </c>
      <c r="J357">
        <v>27.763999999999999</v>
      </c>
      <c r="K357" t="str">
        <f>"YWHAQ"</f>
        <v>YWHAQ</v>
      </c>
      <c r="L357" t="str">
        <f>"YWHAQ"</f>
        <v>YWHAQ</v>
      </c>
      <c r="M357">
        <v>7.2623356513011696</v>
      </c>
      <c r="N357">
        <v>9.8395189403973493</v>
      </c>
      <c r="O357">
        <v>10.943320730258201</v>
      </c>
      <c r="P357">
        <v>8.5217514195583597</v>
      </c>
      <c r="Q357">
        <v>5.0230479732242497</v>
      </c>
      <c r="R357">
        <v>9.9008913530227094</v>
      </c>
      <c r="S357">
        <v>5.6656778523489901</v>
      </c>
      <c r="T357">
        <v>8.2914297740984999</v>
      </c>
      <c r="U357">
        <v>4.4094332723948799</v>
      </c>
      <c r="V357">
        <v>9.4557237087741104</v>
      </c>
      <c r="W357">
        <v>7.6523885783351</v>
      </c>
      <c r="X357">
        <v>3.9385828424797298</v>
      </c>
    </row>
    <row r="358" spans="1:24">
      <c r="A358">
        <v>866</v>
      </c>
      <c r="B358" t="s">
        <v>977</v>
      </c>
      <c r="C358">
        <v>2</v>
      </c>
      <c r="D358" t="s">
        <v>978</v>
      </c>
      <c r="E358">
        <v>19</v>
      </c>
      <c r="F358">
        <v>19</v>
      </c>
      <c r="G358">
        <v>19</v>
      </c>
      <c r="H358" t="s">
        <v>979</v>
      </c>
      <c r="I358">
        <v>47.5</v>
      </c>
      <c r="J358">
        <v>52.771000000000001</v>
      </c>
      <c r="K358" t="str">
        <f>"LAP3"</f>
        <v>LAP3</v>
      </c>
      <c r="L358" t="str">
        <f>"LAP3"</f>
        <v>LAP3</v>
      </c>
      <c r="M358">
        <v>2.4207785504337198</v>
      </c>
      <c r="N358">
        <v>7.1560137748344399</v>
      </c>
      <c r="O358">
        <v>9.1194339418818195</v>
      </c>
      <c r="P358">
        <v>8.5217514195583597</v>
      </c>
      <c r="Q358">
        <v>6.2788099665303099</v>
      </c>
      <c r="R358">
        <v>11.7010534172087</v>
      </c>
      <c r="S358">
        <v>10.198220134228199</v>
      </c>
      <c r="T358">
        <v>5.9224498386417803</v>
      </c>
      <c r="U358">
        <v>7.7165082266910403</v>
      </c>
      <c r="V358">
        <v>8.4050877411325509</v>
      </c>
      <c r="W358">
        <v>10.2031847711135</v>
      </c>
      <c r="X358">
        <v>5.9078742637195996</v>
      </c>
    </row>
    <row r="359" spans="1:24">
      <c r="A359">
        <v>991</v>
      </c>
      <c r="B359" t="s">
        <v>980</v>
      </c>
      <c r="C359">
        <v>1</v>
      </c>
      <c r="D359" t="s">
        <v>981</v>
      </c>
      <c r="E359">
        <v>17</v>
      </c>
      <c r="F359">
        <v>17</v>
      </c>
      <c r="G359">
        <v>17</v>
      </c>
      <c r="H359" t="s">
        <v>980</v>
      </c>
      <c r="I359">
        <v>45.7</v>
      </c>
      <c r="J359">
        <v>37.54</v>
      </c>
      <c r="K359" t="str">
        <f>"TALDO1"</f>
        <v>TALDO1</v>
      </c>
      <c r="L359" t="str">
        <f>"TALDO1"</f>
        <v>TALDO1</v>
      </c>
      <c r="M359">
        <v>4.8415571008674503</v>
      </c>
      <c r="N359">
        <v>8.9450172185430503</v>
      </c>
      <c r="O359">
        <v>9.1194339418818195</v>
      </c>
      <c r="P359">
        <v>10.652189274448</v>
      </c>
      <c r="Q359">
        <v>6.2788099665303099</v>
      </c>
      <c r="R359">
        <v>8.1007292888367601</v>
      </c>
      <c r="S359">
        <v>10.198220134228199</v>
      </c>
      <c r="T359">
        <v>8.2914297740984999</v>
      </c>
      <c r="U359">
        <v>7.7165082266910403</v>
      </c>
      <c r="V359">
        <v>11.556995644057199</v>
      </c>
      <c r="W359">
        <v>7.6523885783351</v>
      </c>
      <c r="X359">
        <v>6.8925199743395398</v>
      </c>
    </row>
    <row r="360" spans="1:24">
      <c r="A360">
        <v>997</v>
      </c>
      <c r="B360" t="s">
        <v>982</v>
      </c>
      <c r="C360">
        <v>1</v>
      </c>
      <c r="D360" t="s">
        <v>983</v>
      </c>
      <c r="E360">
        <v>21</v>
      </c>
      <c r="F360">
        <v>20</v>
      </c>
      <c r="G360">
        <v>20</v>
      </c>
      <c r="H360" t="s">
        <v>982</v>
      </c>
      <c r="I360">
        <v>36.4</v>
      </c>
      <c r="J360">
        <v>73.680000000000007</v>
      </c>
      <c r="K360" t="str">
        <f>"HSPA9"</f>
        <v>HSPA9</v>
      </c>
      <c r="L360" t="str">
        <f>"HSPA9"</f>
        <v>HSPA9</v>
      </c>
      <c r="M360">
        <v>3.6311678256505799</v>
      </c>
      <c r="N360">
        <v>8.0505154966887407</v>
      </c>
      <c r="O360">
        <v>7.2955471535054599</v>
      </c>
      <c r="P360">
        <v>6.3913135646687698</v>
      </c>
      <c r="Q360">
        <v>3.7672859799181899</v>
      </c>
      <c r="R360">
        <v>14.401296513487599</v>
      </c>
      <c r="S360">
        <v>10.198220134228199</v>
      </c>
      <c r="T360">
        <v>2.3689799354567098</v>
      </c>
      <c r="U360">
        <v>3.3070749542961599</v>
      </c>
      <c r="V360">
        <v>8.4050877411325509</v>
      </c>
      <c r="W360">
        <v>7.6523885783351</v>
      </c>
      <c r="X360">
        <v>10.8311028168193</v>
      </c>
    </row>
    <row r="361" spans="1:24">
      <c r="A361">
        <v>2162</v>
      </c>
      <c r="B361" t="s">
        <v>984</v>
      </c>
      <c r="C361">
        <v>3</v>
      </c>
      <c r="D361" t="s">
        <v>985</v>
      </c>
      <c r="E361">
        <v>13</v>
      </c>
      <c r="F361">
        <v>13</v>
      </c>
      <c r="G361">
        <v>6</v>
      </c>
      <c r="H361" t="s">
        <v>986</v>
      </c>
      <c r="I361">
        <v>59.6</v>
      </c>
      <c r="J361">
        <v>23.460999999999999</v>
      </c>
      <c r="K361" t="str">
        <f>"RAB6B;RAB6C"</f>
        <v>RAB6B;RAB6C</v>
      </c>
      <c r="L361" t="str">
        <f>"RAB6B;RAB6C"</f>
        <v>RAB6B;RAB6C</v>
      </c>
      <c r="M361">
        <v>6.0519463760843104</v>
      </c>
      <c r="N361">
        <v>5.3670103311258304</v>
      </c>
      <c r="O361">
        <v>7.2955471535054599</v>
      </c>
      <c r="P361">
        <v>6.3913135646687698</v>
      </c>
      <c r="Q361">
        <v>5.0230479732242497</v>
      </c>
      <c r="R361">
        <v>9.0008103209297392</v>
      </c>
      <c r="S361">
        <v>7.9319489932885903</v>
      </c>
      <c r="T361">
        <v>7.1069398063701401</v>
      </c>
      <c r="U361">
        <v>9.9212248628884794</v>
      </c>
      <c r="V361">
        <v>7.3544517734909798</v>
      </c>
      <c r="W361">
        <v>8.9277866747242793</v>
      </c>
      <c r="X361">
        <v>11.815748527439199</v>
      </c>
    </row>
    <row r="362" spans="1:24">
      <c r="A362">
        <v>481</v>
      </c>
      <c r="B362" t="s">
        <v>987</v>
      </c>
      <c r="C362">
        <v>2</v>
      </c>
      <c r="D362" t="s">
        <v>988</v>
      </c>
      <c r="E362">
        <v>19</v>
      </c>
      <c r="F362">
        <v>19</v>
      </c>
      <c r="G362">
        <v>19</v>
      </c>
      <c r="H362" t="s">
        <v>989</v>
      </c>
      <c r="I362">
        <v>33.4</v>
      </c>
      <c r="J362">
        <v>65.75</v>
      </c>
      <c r="K362" t="str">
        <f>"CFI"</f>
        <v>CFI</v>
      </c>
      <c r="L362" t="str">
        <f>"CFI"</f>
        <v>CFI</v>
      </c>
      <c r="M362">
        <v>13.3142820273855</v>
      </c>
      <c r="N362">
        <v>5.3670103311258304</v>
      </c>
      <c r="O362">
        <v>5.4716603651290896</v>
      </c>
      <c r="P362">
        <v>11.717408201892701</v>
      </c>
      <c r="Q362">
        <v>15.069143919672699</v>
      </c>
      <c r="R362">
        <v>8.1007292888367601</v>
      </c>
      <c r="S362">
        <v>13.597626845637601</v>
      </c>
      <c r="T362">
        <v>13.0293896450119</v>
      </c>
      <c r="U362">
        <v>6.6141499085923199</v>
      </c>
      <c r="V362">
        <v>9.4557237087741104</v>
      </c>
      <c r="W362">
        <v>11.478582867502601</v>
      </c>
      <c r="X362">
        <v>6.8925199743395398</v>
      </c>
    </row>
    <row r="363" spans="1:24">
      <c r="A363">
        <v>1138</v>
      </c>
      <c r="B363" t="s">
        <v>990</v>
      </c>
      <c r="C363">
        <v>1</v>
      </c>
      <c r="D363" t="s">
        <v>991</v>
      </c>
      <c r="E363">
        <v>20</v>
      </c>
      <c r="F363">
        <v>20</v>
      </c>
      <c r="G363">
        <v>5</v>
      </c>
      <c r="H363" t="s">
        <v>990</v>
      </c>
      <c r="I363">
        <v>29.5</v>
      </c>
      <c r="J363">
        <v>89.864999999999995</v>
      </c>
      <c r="K363" t="str">
        <f>"STAT5B"</f>
        <v>STAT5B</v>
      </c>
      <c r="L363" t="str">
        <f>"STAT5B"</f>
        <v>STAT5B</v>
      </c>
      <c r="M363">
        <v>3.6311678256505799</v>
      </c>
      <c r="N363">
        <v>11.628522384106001</v>
      </c>
      <c r="O363">
        <v>13.679150912822699</v>
      </c>
      <c r="P363">
        <v>7.4565324921135696</v>
      </c>
      <c r="Q363">
        <v>3.7672859799181899</v>
      </c>
      <c r="R363">
        <v>8.1007292888367601</v>
      </c>
      <c r="S363">
        <v>4.5325422818791896</v>
      </c>
      <c r="T363">
        <v>7.1069398063701401</v>
      </c>
      <c r="U363">
        <v>4.4094332723948799</v>
      </c>
      <c r="V363">
        <v>9.4557237087741104</v>
      </c>
      <c r="W363">
        <v>6.37699048194591</v>
      </c>
      <c r="X363">
        <v>9.84645710619934</v>
      </c>
    </row>
    <row r="364" spans="1:24">
      <c r="A364">
        <v>1373</v>
      </c>
      <c r="B364" t="s">
        <v>992</v>
      </c>
      <c r="C364">
        <v>3</v>
      </c>
      <c r="D364" t="s">
        <v>993</v>
      </c>
      <c r="E364">
        <v>25</v>
      </c>
      <c r="F364">
        <v>25</v>
      </c>
      <c r="G364">
        <v>25</v>
      </c>
      <c r="H364" t="s">
        <v>994</v>
      </c>
      <c r="I364">
        <v>42.7</v>
      </c>
      <c r="J364">
        <v>88.105000000000004</v>
      </c>
      <c r="K364" t="str">
        <f>"PTPN12"</f>
        <v>PTPN12</v>
      </c>
      <c r="L364" t="str">
        <f>"PTPN12"</f>
        <v>PTPN12</v>
      </c>
      <c r="M364">
        <v>4.8415571008674503</v>
      </c>
      <c r="N364">
        <v>11.628522384106001</v>
      </c>
      <c r="O364">
        <v>12.7672075186345</v>
      </c>
      <c r="P364">
        <v>8.5217514195583597</v>
      </c>
      <c r="Q364">
        <v>3.7672859799181899</v>
      </c>
      <c r="R364">
        <v>13.501215481394601</v>
      </c>
      <c r="S364">
        <v>3.3994067114094002</v>
      </c>
      <c r="T364">
        <v>5.9224498386417803</v>
      </c>
      <c r="U364">
        <v>9.9212248628884794</v>
      </c>
      <c r="V364">
        <v>4.2025438705662701</v>
      </c>
      <c r="W364">
        <v>7.6523885783351</v>
      </c>
      <c r="X364">
        <v>9.84645710619934</v>
      </c>
    </row>
    <row r="365" spans="1:24">
      <c r="A365">
        <v>1012</v>
      </c>
      <c r="B365" t="s">
        <v>995</v>
      </c>
      <c r="C365">
        <v>4</v>
      </c>
      <c r="D365" t="s">
        <v>996</v>
      </c>
      <c r="E365">
        <v>18</v>
      </c>
      <c r="F365">
        <v>18</v>
      </c>
      <c r="G365">
        <v>18</v>
      </c>
      <c r="H365" t="s">
        <v>997</v>
      </c>
      <c r="I365">
        <v>43.8</v>
      </c>
      <c r="J365">
        <v>50.704000000000001</v>
      </c>
      <c r="K365" t="str">
        <f>"CSK;MATK"</f>
        <v>CSK;MATK</v>
      </c>
      <c r="L365" t="str">
        <f>"CSK;MATK"</f>
        <v>CSK;MATK</v>
      </c>
      <c r="M365">
        <v>8.4727249265180298</v>
      </c>
      <c r="N365">
        <v>10.7340206622517</v>
      </c>
      <c r="O365">
        <v>10.031377336069999</v>
      </c>
      <c r="P365">
        <v>7.4565324921135696</v>
      </c>
      <c r="Q365">
        <v>5.0230479732242497</v>
      </c>
      <c r="R365">
        <v>9.9008913530227094</v>
      </c>
      <c r="S365">
        <v>6.7988134228187898</v>
      </c>
      <c r="T365">
        <v>7.1069398063701401</v>
      </c>
      <c r="U365">
        <v>5.5117915904936003</v>
      </c>
      <c r="V365">
        <v>6.3038158058494096</v>
      </c>
      <c r="W365">
        <v>5.1015923855567298</v>
      </c>
      <c r="X365">
        <v>10.8311028168193</v>
      </c>
    </row>
    <row r="366" spans="1:24">
      <c r="A366">
        <v>1119</v>
      </c>
      <c r="B366" t="s">
        <v>998</v>
      </c>
      <c r="C366">
        <v>5</v>
      </c>
      <c r="D366" t="s">
        <v>999</v>
      </c>
      <c r="E366">
        <v>25</v>
      </c>
      <c r="F366">
        <v>25</v>
      </c>
      <c r="G366">
        <v>14</v>
      </c>
      <c r="H366" t="s">
        <v>1000</v>
      </c>
      <c r="I366">
        <v>32.1</v>
      </c>
      <c r="J366">
        <v>97.975999999999999</v>
      </c>
      <c r="K366" t="str">
        <f>"DNM2"</f>
        <v>DNM2</v>
      </c>
      <c r="L366" t="str">
        <f>"DNM2"</f>
        <v>DNM2</v>
      </c>
      <c r="M366">
        <v>6.0519463760843104</v>
      </c>
      <c r="N366">
        <v>8.9450172185430503</v>
      </c>
      <c r="O366">
        <v>5.4716603651290896</v>
      </c>
      <c r="P366">
        <v>6.3913135646687698</v>
      </c>
      <c r="Q366">
        <v>3.7672859799181899</v>
      </c>
      <c r="R366">
        <v>8.1007292888367601</v>
      </c>
      <c r="S366">
        <v>10.198220134228199</v>
      </c>
      <c r="T366">
        <v>5.9224498386417803</v>
      </c>
      <c r="U366">
        <v>6.6141499085923199</v>
      </c>
      <c r="V366">
        <v>6.3038158058494096</v>
      </c>
      <c r="W366">
        <v>2.5507961927783702</v>
      </c>
      <c r="X366">
        <v>12.8003942380591</v>
      </c>
    </row>
    <row r="367" spans="1:24">
      <c r="A367">
        <v>1223</v>
      </c>
      <c r="B367" t="s">
        <v>1001</v>
      </c>
      <c r="C367">
        <v>5</v>
      </c>
      <c r="D367" t="s">
        <v>1002</v>
      </c>
      <c r="E367">
        <v>10</v>
      </c>
      <c r="F367">
        <v>9</v>
      </c>
      <c r="G367">
        <v>9</v>
      </c>
      <c r="H367" t="s">
        <v>1003</v>
      </c>
      <c r="I367">
        <v>49.2</v>
      </c>
      <c r="J367">
        <v>21.257999999999999</v>
      </c>
      <c r="K367" t="str">
        <f>"CDC42;RHOJ;RHOQ"</f>
        <v>CDC42;RHOJ;RHOQ</v>
      </c>
      <c r="L367" t="str">
        <f>"CDC42;RHOJ;RHOQ"</f>
        <v>CDC42;RHOJ;RHOQ</v>
      </c>
      <c r="M367">
        <v>8.4727249265180298</v>
      </c>
      <c r="N367">
        <v>7.1560137748344399</v>
      </c>
      <c r="O367">
        <v>7.2955471535054599</v>
      </c>
      <c r="P367">
        <v>6.3913135646687698</v>
      </c>
      <c r="Q367">
        <v>6.2788099665303099</v>
      </c>
      <c r="R367">
        <v>8.1007292888367601</v>
      </c>
      <c r="S367">
        <v>5.6656778523489901</v>
      </c>
      <c r="T367">
        <v>5.9224498386417803</v>
      </c>
      <c r="U367">
        <v>7.7165082266910403</v>
      </c>
      <c r="V367">
        <v>5.2531798382078403</v>
      </c>
      <c r="W367">
        <v>8.9277866747242793</v>
      </c>
      <c r="X367">
        <v>6.8925199743395398</v>
      </c>
    </row>
    <row r="368" spans="1:24">
      <c r="A368">
        <v>1936</v>
      </c>
      <c r="B368" t="s">
        <v>1004</v>
      </c>
      <c r="C368">
        <v>6</v>
      </c>
      <c r="D368" t="s">
        <v>1005</v>
      </c>
      <c r="E368">
        <v>21</v>
      </c>
      <c r="F368">
        <v>21</v>
      </c>
      <c r="G368">
        <v>21</v>
      </c>
      <c r="H368" t="s">
        <v>1006</v>
      </c>
      <c r="I368">
        <v>44.6</v>
      </c>
      <c r="J368">
        <v>63.944000000000003</v>
      </c>
      <c r="K368" t="str">
        <f>"PDLIM5"</f>
        <v>PDLIM5</v>
      </c>
      <c r="L368" t="str">
        <f>"PDLIM5"</f>
        <v>PDLIM5</v>
      </c>
      <c r="M368">
        <v>4.8415571008674503</v>
      </c>
      <c r="N368">
        <v>10.7340206622517</v>
      </c>
      <c r="O368">
        <v>7.2955471535054599</v>
      </c>
      <c r="P368">
        <v>7.4565324921135696</v>
      </c>
      <c r="Q368">
        <v>5.0230479732242497</v>
      </c>
      <c r="R368">
        <v>8.1007292888367601</v>
      </c>
      <c r="S368">
        <v>11.331355704698</v>
      </c>
      <c r="T368">
        <v>5.9224498386417803</v>
      </c>
      <c r="U368">
        <v>6.6141499085923199</v>
      </c>
      <c r="V368">
        <v>7.3544517734909798</v>
      </c>
      <c r="W368">
        <v>6.37699048194591</v>
      </c>
      <c r="X368">
        <v>6.8925199743395398</v>
      </c>
    </row>
    <row r="369" spans="1:24">
      <c r="A369">
        <v>668</v>
      </c>
      <c r="B369" t="s">
        <v>1007</v>
      </c>
      <c r="C369">
        <v>2</v>
      </c>
      <c r="D369" t="s">
        <v>1008</v>
      </c>
      <c r="E369">
        <v>14</v>
      </c>
      <c r="F369">
        <v>14</v>
      </c>
      <c r="G369">
        <v>14</v>
      </c>
      <c r="H369" t="s">
        <v>1009</v>
      </c>
      <c r="I369">
        <v>55.8</v>
      </c>
      <c r="J369">
        <v>36.293999999999997</v>
      </c>
      <c r="K369" t="str">
        <f>"ALAD"</f>
        <v>ALAD</v>
      </c>
      <c r="L369" t="str">
        <f>"ALAD"</f>
        <v>ALAD</v>
      </c>
      <c r="M369">
        <v>6.0519463760843104</v>
      </c>
      <c r="N369">
        <v>10.7340206622517</v>
      </c>
      <c r="O369">
        <v>5.4716603651290896</v>
      </c>
      <c r="P369">
        <v>7.4565324921135696</v>
      </c>
      <c r="Q369">
        <v>7.5345719598363701</v>
      </c>
      <c r="R369">
        <v>9.9008913530227094</v>
      </c>
      <c r="S369">
        <v>6.7988134228187898</v>
      </c>
      <c r="T369">
        <v>8.2914297740984999</v>
      </c>
      <c r="U369">
        <v>12.125941499085901</v>
      </c>
      <c r="V369">
        <v>6.3038158058494096</v>
      </c>
      <c r="W369">
        <v>6.37699048194591</v>
      </c>
      <c r="X369">
        <v>10.8311028168193</v>
      </c>
    </row>
    <row r="370" spans="1:24">
      <c r="A370">
        <v>2377</v>
      </c>
      <c r="B370" t="s">
        <v>1010</v>
      </c>
      <c r="C370">
        <v>2</v>
      </c>
      <c r="D370" t="s">
        <v>1011</v>
      </c>
      <c r="E370">
        <v>17</v>
      </c>
      <c r="F370">
        <v>17</v>
      </c>
      <c r="G370">
        <v>16</v>
      </c>
      <c r="H370" t="s">
        <v>1012</v>
      </c>
      <c r="I370">
        <v>81</v>
      </c>
      <c r="J370">
        <v>28.771999999999998</v>
      </c>
      <c r="K370" t="str">
        <f>"CLIC4;CLIC2"</f>
        <v>CLIC4;CLIC2</v>
      </c>
      <c r="L370" t="str">
        <f>"CLIC4;CLIC2"</f>
        <v>CLIC4;CLIC2</v>
      </c>
      <c r="M370">
        <v>4.8415571008674503</v>
      </c>
      <c r="N370">
        <v>8.0505154966887407</v>
      </c>
      <c r="O370">
        <v>10.031377336069999</v>
      </c>
      <c r="P370">
        <v>8.5217514195583597</v>
      </c>
      <c r="Q370">
        <v>3.7672859799181899</v>
      </c>
      <c r="R370">
        <v>8.1007292888367601</v>
      </c>
      <c r="S370">
        <v>5.6656778523489901</v>
      </c>
      <c r="T370">
        <v>9.4759197418268606</v>
      </c>
      <c r="U370">
        <v>6.6141499085923199</v>
      </c>
      <c r="V370">
        <v>7.3544517734909798</v>
      </c>
      <c r="W370">
        <v>6.37699048194591</v>
      </c>
      <c r="X370">
        <v>7.8771656849594702</v>
      </c>
    </row>
    <row r="371" spans="1:24">
      <c r="A371">
        <v>1175</v>
      </c>
      <c r="B371" t="s">
        <v>1013</v>
      </c>
      <c r="C371">
        <v>1</v>
      </c>
      <c r="D371" t="s">
        <v>1014</v>
      </c>
      <c r="E371">
        <v>30</v>
      </c>
      <c r="F371">
        <v>30</v>
      </c>
      <c r="G371">
        <v>30</v>
      </c>
      <c r="H371" t="s">
        <v>1013</v>
      </c>
      <c r="I371">
        <v>59.8</v>
      </c>
      <c r="J371">
        <v>59.143000000000001</v>
      </c>
      <c r="K371" t="str">
        <f>"YARS"</f>
        <v>YARS</v>
      </c>
      <c r="L371" t="str">
        <f>"YARS"</f>
        <v>YARS</v>
      </c>
      <c r="M371">
        <v>6.0519463760843104</v>
      </c>
      <c r="N371">
        <v>7.1560137748344399</v>
      </c>
      <c r="O371">
        <v>10.031377336069999</v>
      </c>
      <c r="P371">
        <v>7.4565324921135696</v>
      </c>
      <c r="Q371">
        <v>1.25576199330606</v>
      </c>
      <c r="R371">
        <v>12.6011344493016</v>
      </c>
      <c r="S371">
        <v>6.7988134228187898</v>
      </c>
      <c r="T371">
        <v>2.3689799354567098</v>
      </c>
      <c r="U371">
        <v>7.7165082266910403</v>
      </c>
      <c r="V371">
        <v>8.4050877411325509</v>
      </c>
      <c r="W371">
        <v>8.9277866747242793</v>
      </c>
      <c r="X371">
        <v>9.84645710619934</v>
      </c>
    </row>
    <row r="372" spans="1:24">
      <c r="A372">
        <v>1087</v>
      </c>
      <c r="B372" t="s">
        <v>1015</v>
      </c>
      <c r="C372">
        <v>8</v>
      </c>
      <c r="D372" t="s">
        <v>1016</v>
      </c>
      <c r="E372">
        <v>17</v>
      </c>
      <c r="F372">
        <v>17</v>
      </c>
      <c r="G372">
        <v>16</v>
      </c>
      <c r="H372" t="s">
        <v>1017</v>
      </c>
      <c r="I372">
        <v>43.7</v>
      </c>
      <c r="J372">
        <v>46.308</v>
      </c>
      <c r="K372" t="str">
        <f>"ARRB1;ARRB2;SAG"</f>
        <v>ARRB1;ARRB2;SAG</v>
      </c>
      <c r="L372" t="str">
        <f>"ARRB1;ARRB2;SAG"</f>
        <v>ARRB1;ARRB2;SAG</v>
      </c>
      <c r="M372">
        <v>3.6311678256505799</v>
      </c>
      <c r="N372">
        <v>8.0505154966887407</v>
      </c>
      <c r="O372">
        <v>10.031377336069999</v>
      </c>
      <c r="P372">
        <v>9.5869703470031506</v>
      </c>
      <c r="Q372">
        <v>10.046095946448499</v>
      </c>
      <c r="R372">
        <v>8.1007292888367601</v>
      </c>
      <c r="S372">
        <v>7.9319489932885903</v>
      </c>
      <c r="T372">
        <v>3.5534699031850701</v>
      </c>
      <c r="U372">
        <v>7.7165082266910403</v>
      </c>
      <c r="V372">
        <v>7.3544517734909798</v>
      </c>
      <c r="W372">
        <v>5.1015923855567298</v>
      </c>
      <c r="X372">
        <v>6.8925199743395398</v>
      </c>
    </row>
    <row r="373" spans="1:24">
      <c r="A373">
        <v>287</v>
      </c>
      <c r="B373" t="s">
        <v>1018</v>
      </c>
      <c r="C373">
        <v>2</v>
      </c>
      <c r="D373" t="s">
        <v>1019</v>
      </c>
      <c r="E373">
        <v>23</v>
      </c>
      <c r="F373">
        <v>23</v>
      </c>
      <c r="G373">
        <v>23</v>
      </c>
      <c r="H373" t="s">
        <v>1020</v>
      </c>
      <c r="I373">
        <v>46.1</v>
      </c>
      <c r="J373">
        <v>63.243000000000002</v>
      </c>
      <c r="K373" t="str">
        <f>"ABHD16A"</f>
        <v>ABHD16A</v>
      </c>
      <c r="L373" t="str">
        <f>"ABHD16A"</f>
        <v>ABHD16A</v>
      </c>
      <c r="M373">
        <v>4.8415571008674503</v>
      </c>
      <c r="N373">
        <v>8.0505154966887407</v>
      </c>
      <c r="O373">
        <v>8.2074905476936397</v>
      </c>
      <c r="P373">
        <v>4.2608757097791798</v>
      </c>
      <c r="Q373">
        <v>3.7672859799181899</v>
      </c>
      <c r="R373">
        <v>11.7010534172087</v>
      </c>
      <c r="S373">
        <v>5.6656778523489901</v>
      </c>
      <c r="T373">
        <v>4.7379598709134303</v>
      </c>
      <c r="U373">
        <v>5.5117915904936003</v>
      </c>
      <c r="V373">
        <v>8.4050877411325509</v>
      </c>
      <c r="W373">
        <v>5.1015923855567298</v>
      </c>
      <c r="X373">
        <v>9.84645710619934</v>
      </c>
    </row>
    <row r="374" spans="1:24">
      <c r="A374">
        <v>984</v>
      </c>
      <c r="B374" t="s">
        <v>1021</v>
      </c>
      <c r="C374">
        <v>2</v>
      </c>
      <c r="D374" t="s">
        <v>1022</v>
      </c>
      <c r="E374">
        <v>15</v>
      </c>
      <c r="F374">
        <v>15</v>
      </c>
      <c r="G374">
        <v>15</v>
      </c>
      <c r="H374" t="s">
        <v>1023</v>
      </c>
      <c r="I374">
        <v>40.700000000000003</v>
      </c>
      <c r="J374">
        <v>46.311999999999998</v>
      </c>
      <c r="K374" t="str">
        <f>"SERPINF1"</f>
        <v>SERPINF1</v>
      </c>
      <c r="L374" t="str">
        <f>"SERPINF1"</f>
        <v>SERPINF1</v>
      </c>
      <c r="M374">
        <v>13.3142820273855</v>
      </c>
      <c r="N374">
        <v>5.3670103311258304</v>
      </c>
      <c r="O374">
        <v>5.4716603651290896</v>
      </c>
      <c r="P374">
        <v>10.652189274448</v>
      </c>
      <c r="Q374">
        <v>7.5345719598363701</v>
      </c>
      <c r="R374">
        <v>7.2006482567437899</v>
      </c>
      <c r="S374">
        <v>10.198220134228199</v>
      </c>
      <c r="T374">
        <v>10.6604097095552</v>
      </c>
      <c r="U374">
        <v>6.6141499085923199</v>
      </c>
      <c r="V374">
        <v>10.5063596764157</v>
      </c>
      <c r="W374">
        <v>14.029379060281</v>
      </c>
      <c r="X374">
        <v>4.92322855309967</v>
      </c>
    </row>
    <row r="375" spans="1:24">
      <c r="A375">
        <v>2012</v>
      </c>
      <c r="B375" t="s">
        <v>1024</v>
      </c>
      <c r="C375">
        <v>3</v>
      </c>
      <c r="D375" t="s">
        <v>1025</v>
      </c>
      <c r="E375">
        <v>14</v>
      </c>
      <c r="F375">
        <v>14</v>
      </c>
      <c r="G375">
        <v>14</v>
      </c>
      <c r="H375" t="s">
        <v>1026</v>
      </c>
      <c r="I375">
        <v>29.9</v>
      </c>
      <c r="J375">
        <v>54.234000000000002</v>
      </c>
      <c r="K375" t="str">
        <f>"CORO1B;FER1L4"</f>
        <v>CORO1B;FER1L4</v>
      </c>
      <c r="L375" t="str">
        <f>"CORO1B;FER1L4"</f>
        <v>CORO1B;FER1L4</v>
      </c>
      <c r="M375">
        <v>8.4727249265180298</v>
      </c>
      <c r="N375">
        <v>8.9450172185430503</v>
      </c>
      <c r="O375">
        <v>6.3836037593172703</v>
      </c>
      <c r="P375">
        <v>11.717408201892701</v>
      </c>
      <c r="Q375">
        <v>5.0230479732242497</v>
      </c>
      <c r="R375">
        <v>6.3005672246508198</v>
      </c>
      <c r="S375">
        <v>6.7988134228187898</v>
      </c>
      <c r="T375">
        <v>9.4759197418268606</v>
      </c>
      <c r="U375">
        <v>11.023583180987201</v>
      </c>
      <c r="V375">
        <v>11.556995644057199</v>
      </c>
      <c r="W375">
        <v>8.9277866747242793</v>
      </c>
      <c r="X375">
        <v>11.815748527439199</v>
      </c>
    </row>
    <row r="376" spans="1:24">
      <c r="A376">
        <v>1057</v>
      </c>
      <c r="B376" t="s">
        <v>1027</v>
      </c>
      <c r="C376">
        <v>2</v>
      </c>
      <c r="D376" t="s">
        <v>1028</v>
      </c>
      <c r="E376">
        <v>16</v>
      </c>
      <c r="F376">
        <v>13</v>
      </c>
      <c r="G376">
        <v>13</v>
      </c>
      <c r="H376" t="s">
        <v>1029</v>
      </c>
      <c r="I376">
        <v>73.400000000000006</v>
      </c>
      <c r="J376">
        <v>32.948999999999998</v>
      </c>
      <c r="K376" t="str">
        <f>"CAPZA2"</f>
        <v>CAPZA2</v>
      </c>
      <c r="L376" t="str">
        <f>"CAPZA2"</f>
        <v>CAPZA2</v>
      </c>
      <c r="M376">
        <v>6.0519463760843104</v>
      </c>
      <c r="N376">
        <v>10.7340206622517</v>
      </c>
      <c r="O376">
        <v>10.031377336069999</v>
      </c>
      <c r="P376">
        <v>4.2608757097791798</v>
      </c>
      <c r="Q376">
        <v>5.0230479732242497</v>
      </c>
      <c r="R376">
        <v>8.1007292888367601</v>
      </c>
      <c r="S376">
        <v>9.0650845637583899</v>
      </c>
      <c r="T376">
        <v>3.5534699031850701</v>
      </c>
      <c r="U376">
        <v>9.9212248628884794</v>
      </c>
      <c r="V376">
        <v>6.3038158058494096</v>
      </c>
      <c r="W376">
        <v>6.37699048194591</v>
      </c>
      <c r="X376">
        <v>10.8311028168193</v>
      </c>
    </row>
    <row r="377" spans="1:24">
      <c r="A377">
        <v>888</v>
      </c>
      <c r="B377" t="s">
        <v>1030</v>
      </c>
      <c r="C377">
        <v>1</v>
      </c>
      <c r="D377" t="s">
        <v>1031</v>
      </c>
      <c r="E377">
        <v>11</v>
      </c>
      <c r="F377">
        <v>11</v>
      </c>
      <c r="G377">
        <v>11</v>
      </c>
      <c r="H377" t="s">
        <v>1030</v>
      </c>
      <c r="I377">
        <v>80.7</v>
      </c>
      <c r="J377">
        <v>21.056999999999999</v>
      </c>
      <c r="K377" t="str">
        <f>"PEBP1"</f>
        <v>PEBP1</v>
      </c>
      <c r="L377" t="str">
        <f>"PEBP1"</f>
        <v>PEBP1</v>
      </c>
      <c r="M377">
        <v>9.6831142017348899</v>
      </c>
      <c r="N377">
        <v>8.9450172185430503</v>
      </c>
      <c r="O377">
        <v>10.943320730258201</v>
      </c>
      <c r="P377">
        <v>8.5217514195583597</v>
      </c>
      <c r="Q377">
        <v>7.5345719598363701</v>
      </c>
      <c r="R377">
        <v>8.1007292888367601</v>
      </c>
      <c r="S377">
        <v>3.3994067114094002</v>
      </c>
      <c r="T377">
        <v>9.4759197418268606</v>
      </c>
      <c r="U377">
        <v>7.7165082266910403</v>
      </c>
      <c r="V377">
        <v>6.3038158058494096</v>
      </c>
      <c r="W377">
        <v>7.6523885783351</v>
      </c>
      <c r="X377">
        <v>5.9078742637195996</v>
      </c>
    </row>
    <row r="378" spans="1:24">
      <c r="A378">
        <v>1115</v>
      </c>
      <c r="B378" t="s">
        <v>1032</v>
      </c>
      <c r="C378">
        <v>2</v>
      </c>
      <c r="D378" t="s">
        <v>1033</v>
      </c>
      <c r="E378">
        <v>18</v>
      </c>
      <c r="F378">
        <v>17</v>
      </c>
      <c r="G378">
        <v>16</v>
      </c>
      <c r="H378" t="s">
        <v>1034</v>
      </c>
      <c r="I378">
        <v>51.6</v>
      </c>
      <c r="J378">
        <v>42.402999999999999</v>
      </c>
      <c r="K378" t="str">
        <f>"SERPINB9;SERPINB8"</f>
        <v>SERPINB9;SERPINB8</v>
      </c>
      <c r="L378" t="str">
        <f>"SERPINB9;SERPINB8"</f>
        <v>SERPINB9;SERPINB8</v>
      </c>
      <c r="M378">
        <v>8.4727249265180298</v>
      </c>
      <c r="N378">
        <v>7.1560137748344399</v>
      </c>
      <c r="O378">
        <v>10.943320730258201</v>
      </c>
      <c r="P378">
        <v>5.3260946372239797</v>
      </c>
      <c r="Q378">
        <v>5.0230479732242497</v>
      </c>
      <c r="R378">
        <v>11.7010534172087</v>
      </c>
      <c r="S378">
        <v>10.198220134228199</v>
      </c>
      <c r="T378">
        <v>7.1069398063701401</v>
      </c>
      <c r="U378">
        <v>5.5117915904936003</v>
      </c>
      <c r="V378">
        <v>9.4557237087741104</v>
      </c>
      <c r="W378">
        <v>6.37699048194591</v>
      </c>
      <c r="X378">
        <v>8.8618113955793998</v>
      </c>
    </row>
    <row r="379" spans="1:24">
      <c r="A379">
        <v>1423</v>
      </c>
      <c r="B379" t="s">
        <v>1035</v>
      </c>
      <c r="C379">
        <v>1</v>
      </c>
      <c r="D379" t="s">
        <v>1036</v>
      </c>
      <c r="E379">
        <v>19</v>
      </c>
      <c r="F379">
        <v>19</v>
      </c>
      <c r="G379">
        <v>19</v>
      </c>
      <c r="H379" t="s">
        <v>1035</v>
      </c>
      <c r="I379">
        <v>36.4</v>
      </c>
      <c r="J379">
        <v>60.186999999999998</v>
      </c>
      <c r="K379" t="str">
        <f>"LCP2"</f>
        <v>LCP2</v>
      </c>
      <c r="L379" t="str">
        <f>"LCP2"</f>
        <v>LCP2</v>
      </c>
      <c r="M379">
        <v>1.2103892752168599</v>
      </c>
      <c r="N379">
        <v>10.7340206622517</v>
      </c>
      <c r="O379">
        <v>10.943320730258201</v>
      </c>
      <c r="P379">
        <v>11.717408201892701</v>
      </c>
      <c r="Q379">
        <v>3.7672859799181899</v>
      </c>
      <c r="R379">
        <v>6.3005672246508198</v>
      </c>
      <c r="S379">
        <v>7.9319489932885903</v>
      </c>
      <c r="T379">
        <v>7.1069398063701401</v>
      </c>
      <c r="U379">
        <v>7.7165082266910403</v>
      </c>
      <c r="V379">
        <v>6.3038158058494096</v>
      </c>
      <c r="W379">
        <v>7.6523885783351</v>
      </c>
      <c r="X379">
        <v>3.9385828424797298</v>
      </c>
    </row>
    <row r="380" spans="1:24">
      <c r="A380">
        <v>433</v>
      </c>
      <c r="B380" t="s">
        <v>1037</v>
      </c>
      <c r="C380">
        <v>1</v>
      </c>
      <c r="D380" t="s">
        <v>1038</v>
      </c>
      <c r="E380">
        <v>25</v>
      </c>
      <c r="F380">
        <v>25</v>
      </c>
      <c r="G380">
        <v>23</v>
      </c>
      <c r="H380" t="s">
        <v>1037</v>
      </c>
      <c r="I380">
        <v>47.3</v>
      </c>
      <c r="J380">
        <v>71.369</v>
      </c>
      <c r="K380" t="str">
        <f>"KLKB1"</f>
        <v>KLKB1</v>
      </c>
      <c r="L380" t="str">
        <f>"KLKB1"</f>
        <v>KLKB1</v>
      </c>
      <c r="M380">
        <v>15.735060577819199</v>
      </c>
      <c r="N380">
        <v>3.57800688741722</v>
      </c>
      <c r="O380">
        <v>6.3836037593172703</v>
      </c>
      <c r="P380">
        <v>7.4565324921135696</v>
      </c>
      <c r="Q380">
        <v>12.5576199330606</v>
      </c>
      <c r="R380">
        <v>4.5004051604648696</v>
      </c>
      <c r="S380">
        <v>6.7988134228187898</v>
      </c>
      <c r="T380">
        <v>18.9518394836537</v>
      </c>
      <c r="U380">
        <v>1.10235831809872</v>
      </c>
      <c r="V380">
        <v>11.556995644057199</v>
      </c>
      <c r="W380">
        <v>12.7539809638918</v>
      </c>
      <c r="X380">
        <v>0.984645710619934</v>
      </c>
    </row>
    <row r="381" spans="1:24">
      <c r="A381">
        <v>1589</v>
      </c>
      <c r="B381" t="s">
        <v>1039</v>
      </c>
      <c r="C381">
        <v>6</v>
      </c>
      <c r="D381" t="s">
        <v>1040</v>
      </c>
      <c r="E381">
        <v>23</v>
      </c>
      <c r="F381">
        <v>23</v>
      </c>
      <c r="G381">
        <v>23</v>
      </c>
      <c r="H381" t="s">
        <v>1041</v>
      </c>
      <c r="I381">
        <v>55.8</v>
      </c>
      <c r="J381">
        <v>58.161999999999999</v>
      </c>
      <c r="K381" t="str">
        <f>"DPYSL2;DPYSL3;CRMP1"</f>
        <v>DPYSL2;DPYSL3;CRMP1</v>
      </c>
      <c r="L381" t="str">
        <f>"DPYSL2;DPYSL3;CRMP1"</f>
        <v>DPYSL2;DPYSL3;CRMP1</v>
      </c>
      <c r="M381">
        <v>4.8415571008674503</v>
      </c>
      <c r="N381">
        <v>9.8395189403973493</v>
      </c>
      <c r="O381">
        <v>10.031377336069999</v>
      </c>
      <c r="P381">
        <v>7.4565324921135696</v>
      </c>
      <c r="Q381">
        <v>5.0230479732242497</v>
      </c>
      <c r="R381">
        <v>9.0008103209297392</v>
      </c>
      <c r="S381">
        <v>10.198220134228199</v>
      </c>
      <c r="T381">
        <v>2.3689799354567098</v>
      </c>
      <c r="U381">
        <v>12.125941499085901</v>
      </c>
      <c r="V381">
        <v>4.2025438705662701</v>
      </c>
      <c r="W381">
        <v>10.2031847711135</v>
      </c>
      <c r="X381">
        <v>9.84645710619934</v>
      </c>
    </row>
    <row r="382" spans="1:24">
      <c r="A382">
        <v>1619</v>
      </c>
      <c r="B382" t="s">
        <v>1042</v>
      </c>
      <c r="C382">
        <v>1</v>
      </c>
      <c r="D382" t="s">
        <v>1043</v>
      </c>
      <c r="E382">
        <v>12</v>
      </c>
      <c r="F382">
        <v>3</v>
      </c>
      <c r="G382">
        <v>3</v>
      </c>
      <c r="H382" t="s">
        <v>1042</v>
      </c>
      <c r="I382">
        <v>24.5</v>
      </c>
      <c r="J382">
        <v>49.774999999999999</v>
      </c>
      <c r="K382" t="str">
        <f>"TUBB8"</f>
        <v>TUBB8</v>
      </c>
      <c r="L382" t="str">
        <f>"TUBB8"</f>
        <v>TUBB8</v>
      </c>
      <c r="M382">
        <v>4.8415571008674503</v>
      </c>
      <c r="N382">
        <v>8.9450172185430503</v>
      </c>
      <c r="O382">
        <v>8.2074905476936397</v>
      </c>
      <c r="P382">
        <v>8.5217514195583597</v>
      </c>
      <c r="Q382">
        <v>5.0230479732242497</v>
      </c>
      <c r="R382">
        <v>7.2006482567437899</v>
      </c>
      <c r="S382">
        <v>9.0650845637583899</v>
      </c>
      <c r="T382">
        <v>9.4759197418268606</v>
      </c>
      <c r="U382">
        <v>6.6141499085923199</v>
      </c>
      <c r="V382">
        <v>8.4050877411325509</v>
      </c>
      <c r="W382">
        <v>7.6523885783351</v>
      </c>
      <c r="X382">
        <v>6.8925199743395398</v>
      </c>
    </row>
    <row r="383" spans="1:24">
      <c r="A383">
        <v>2197</v>
      </c>
      <c r="B383" t="s">
        <v>1044</v>
      </c>
      <c r="C383">
        <v>2</v>
      </c>
      <c r="D383" t="s">
        <v>1045</v>
      </c>
      <c r="E383">
        <v>30</v>
      </c>
      <c r="F383">
        <v>10</v>
      </c>
      <c r="G383">
        <v>10</v>
      </c>
      <c r="H383" t="s">
        <v>1046</v>
      </c>
      <c r="I383">
        <v>62.1</v>
      </c>
      <c r="J383">
        <v>50.093000000000004</v>
      </c>
      <c r="K383" t="str">
        <f>"TUBA8"</f>
        <v>TUBA8</v>
      </c>
      <c r="L383" t="str">
        <f>"TUBA8"</f>
        <v>TUBA8</v>
      </c>
      <c r="M383">
        <v>2.4207785504337198</v>
      </c>
      <c r="N383">
        <v>6.2615120529801302</v>
      </c>
      <c r="O383">
        <v>10.031377336069999</v>
      </c>
      <c r="P383">
        <v>7.4565324921135696</v>
      </c>
      <c r="Q383">
        <v>7.5345719598363701</v>
      </c>
      <c r="R383">
        <v>7.2006482567437899</v>
      </c>
      <c r="S383">
        <v>10.198220134228199</v>
      </c>
      <c r="T383">
        <v>9.4759197418268606</v>
      </c>
      <c r="U383">
        <v>9.9212248628884794</v>
      </c>
      <c r="V383">
        <v>9.4557237087741104</v>
      </c>
      <c r="W383">
        <v>7.6523885783351</v>
      </c>
      <c r="X383">
        <v>11.815748527439199</v>
      </c>
    </row>
    <row r="384" spans="1:24">
      <c r="A384">
        <v>1238</v>
      </c>
      <c r="B384" t="s">
        <v>1047</v>
      </c>
      <c r="C384">
        <v>1</v>
      </c>
      <c r="D384" t="s">
        <v>1048</v>
      </c>
      <c r="E384">
        <v>14</v>
      </c>
      <c r="F384">
        <v>14</v>
      </c>
      <c r="G384">
        <v>8</v>
      </c>
      <c r="H384" t="s">
        <v>1047</v>
      </c>
      <c r="I384">
        <v>45.7</v>
      </c>
      <c r="J384">
        <v>42.613</v>
      </c>
      <c r="K384" t="str">
        <f>"ACTR1A"</f>
        <v>ACTR1A</v>
      </c>
      <c r="L384" t="str">
        <f>"ACTR1A"</f>
        <v>ACTR1A</v>
      </c>
      <c r="M384">
        <v>6.0519463760843104</v>
      </c>
      <c r="N384">
        <v>9.8395189403973493</v>
      </c>
      <c r="O384">
        <v>9.1194339418818195</v>
      </c>
      <c r="P384">
        <v>5.3260946372239797</v>
      </c>
      <c r="Q384">
        <v>8.7903339531424294</v>
      </c>
      <c r="R384">
        <v>8.1007292888367601</v>
      </c>
      <c r="S384">
        <v>7.9319489932885903</v>
      </c>
      <c r="T384">
        <v>4.7379598709134303</v>
      </c>
      <c r="U384">
        <v>7.7165082266910403</v>
      </c>
      <c r="V384">
        <v>7.3544517734909798</v>
      </c>
      <c r="W384">
        <v>7.6523885783351</v>
      </c>
      <c r="X384">
        <v>7.8771656849594702</v>
      </c>
    </row>
    <row r="385" spans="1:24">
      <c r="A385">
        <v>778</v>
      </c>
      <c r="B385" t="s">
        <v>1049</v>
      </c>
      <c r="C385">
        <v>1</v>
      </c>
      <c r="D385" t="s">
        <v>1050</v>
      </c>
      <c r="E385">
        <v>8</v>
      </c>
      <c r="F385">
        <v>8</v>
      </c>
      <c r="G385">
        <v>8</v>
      </c>
      <c r="H385" t="s">
        <v>1049</v>
      </c>
      <c r="I385">
        <v>22.4</v>
      </c>
      <c r="J385">
        <v>25.416</v>
      </c>
      <c r="K385" t="str">
        <f>"CD9"</f>
        <v>CD9</v>
      </c>
      <c r="L385" t="str">
        <f>"CD9"</f>
        <v>CD9</v>
      </c>
      <c r="M385">
        <v>8.4727249265180298</v>
      </c>
      <c r="N385">
        <v>7.1560137748344399</v>
      </c>
      <c r="O385">
        <v>5.4716603651290896</v>
      </c>
      <c r="P385">
        <v>10.652189274448</v>
      </c>
      <c r="Q385">
        <v>7.5345719598363701</v>
      </c>
      <c r="R385">
        <v>7.2006482567437899</v>
      </c>
      <c r="S385">
        <v>9.0650845637583899</v>
      </c>
      <c r="T385">
        <v>7.1069398063701401</v>
      </c>
      <c r="U385">
        <v>11.023583180987201</v>
      </c>
      <c r="V385">
        <v>7.3544517734909798</v>
      </c>
      <c r="W385">
        <v>8.9277866747242793</v>
      </c>
      <c r="X385">
        <v>10.8311028168193</v>
      </c>
    </row>
    <row r="386" spans="1:24">
      <c r="A386">
        <v>1230</v>
      </c>
      <c r="B386" t="s">
        <v>1051</v>
      </c>
      <c r="C386">
        <v>1</v>
      </c>
      <c r="D386" t="s">
        <v>1052</v>
      </c>
      <c r="E386">
        <v>13</v>
      </c>
      <c r="F386">
        <v>12</v>
      </c>
      <c r="G386">
        <v>11</v>
      </c>
      <c r="H386" t="s">
        <v>1051</v>
      </c>
      <c r="I386">
        <v>52</v>
      </c>
      <c r="J386">
        <v>22.541</v>
      </c>
      <c r="K386" t="str">
        <f>"RAB10"</f>
        <v>RAB10</v>
      </c>
      <c r="L386" t="str">
        <f>"RAB10"</f>
        <v>RAB10</v>
      </c>
      <c r="M386">
        <v>6.0519463760843104</v>
      </c>
      <c r="N386">
        <v>6.2615120529801302</v>
      </c>
      <c r="O386">
        <v>3.64777357675273</v>
      </c>
      <c r="P386">
        <v>3.19565678233438</v>
      </c>
      <c r="Q386">
        <v>7.5345719598363701</v>
      </c>
      <c r="R386">
        <v>12.6011344493016</v>
      </c>
      <c r="S386">
        <v>7.9319489932885903</v>
      </c>
      <c r="T386">
        <v>5.9224498386417803</v>
      </c>
      <c r="U386">
        <v>4.4094332723948799</v>
      </c>
      <c r="V386">
        <v>9.4557237087741104</v>
      </c>
      <c r="W386">
        <v>11.478582867502601</v>
      </c>
      <c r="X386">
        <v>7.8771656849594702</v>
      </c>
    </row>
    <row r="387" spans="1:24">
      <c r="A387">
        <v>1047</v>
      </c>
      <c r="B387" t="s">
        <v>1053</v>
      </c>
      <c r="C387">
        <v>1</v>
      </c>
      <c r="D387" t="s">
        <v>1054</v>
      </c>
      <c r="E387">
        <v>17</v>
      </c>
      <c r="F387">
        <v>17</v>
      </c>
      <c r="G387">
        <v>17</v>
      </c>
      <c r="H387" t="s">
        <v>1053</v>
      </c>
      <c r="I387">
        <v>59.7</v>
      </c>
      <c r="J387">
        <v>33.777000000000001</v>
      </c>
      <c r="K387" t="str">
        <f>"CRKL"</f>
        <v>CRKL</v>
      </c>
      <c r="L387" t="str">
        <f>"CRKL"</f>
        <v>CRKL</v>
      </c>
      <c r="M387">
        <v>7.2623356513011696</v>
      </c>
      <c r="N387">
        <v>7.1560137748344399</v>
      </c>
      <c r="O387">
        <v>7.2955471535054599</v>
      </c>
      <c r="P387">
        <v>6.3913135646687698</v>
      </c>
      <c r="Q387">
        <v>7.5345719598363701</v>
      </c>
      <c r="R387">
        <v>5.4004861925578398</v>
      </c>
      <c r="S387">
        <v>9.0650845637583899</v>
      </c>
      <c r="T387">
        <v>5.9224498386417803</v>
      </c>
      <c r="U387">
        <v>6.6141499085923199</v>
      </c>
      <c r="V387">
        <v>6.3038158058494096</v>
      </c>
      <c r="W387">
        <v>10.2031847711135</v>
      </c>
      <c r="X387">
        <v>7.8771656849594702</v>
      </c>
    </row>
    <row r="388" spans="1:24">
      <c r="A388">
        <v>177</v>
      </c>
      <c r="B388" t="s">
        <v>1055</v>
      </c>
      <c r="C388">
        <v>7</v>
      </c>
      <c r="D388" t="s">
        <v>1056</v>
      </c>
      <c r="E388">
        <v>21</v>
      </c>
      <c r="F388">
        <v>21</v>
      </c>
      <c r="G388">
        <v>20</v>
      </c>
      <c r="H388" t="s">
        <v>1057</v>
      </c>
      <c r="I388">
        <v>18.899999999999999</v>
      </c>
      <c r="J388">
        <v>141.16</v>
      </c>
      <c r="K388" t="str">
        <f>"KALRN;ARHGEF25"</f>
        <v>KALRN;ARHGEF25</v>
      </c>
      <c r="L388" t="str">
        <f>"KALRN;ARHGEF25"</f>
        <v>KALRN;ARHGEF25</v>
      </c>
      <c r="M388">
        <v>2.4207785504337198</v>
      </c>
      <c r="N388">
        <v>10.7340206622517</v>
      </c>
      <c r="O388">
        <v>10.031377336069999</v>
      </c>
      <c r="P388">
        <v>7.4565324921135696</v>
      </c>
      <c r="Q388">
        <v>5.0230479732242497</v>
      </c>
      <c r="R388">
        <v>7.2006482567437899</v>
      </c>
      <c r="S388">
        <v>4.5325422818791896</v>
      </c>
      <c r="T388">
        <v>3.5534699031850701</v>
      </c>
      <c r="U388">
        <v>6.6141499085923199</v>
      </c>
      <c r="V388">
        <v>7.3544517734909798</v>
      </c>
      <c r="W388">
        <v>8.9277866747242793</v>
      </c>
      <c r="X388">
        <v>9.84645710619934</v>
      </c>
    </row>
    <row r="389" spans="1:24">
      <c r="A389">
        <v>694</v>
      </c>
      <c r="B389" t="s">
        <v>1058</v>
      </c>
      <c r="C389">
        <v>2</v>
      </c>
      <c r="D389" t="s">
        <v>1059</v>
      </c>
      <c r="E389">
        <v>22</v>
      </c>
      <c r="F389">
        <v>22</v>
      </c>
      <c r="G389">
        <v>22</v>
      </c>
      <c r="H389" t="s">
        <v>1060</v>
      </c>
      <c r="I389">
        <v>48.9</v>
      </c>
      <c r="J389">
        <v>57.136000000000003</v>
      </c>
      <c r="K389" t="str">
        <f>"DARS"</f>
        <v>DARS</v>
      </c>
      <c r="L389" t="str">
        <f>"DARS"</f>
        <v>DARS</v>
      </c>
      <c r="M389">
        <v>12.1038927521686</v>
      </c>
      <c r="N389">
        <v>7.1560137748344399</v>
      </c>
      <c r="O389">
        <v>7.2955471535054599</v>
      </c>
      <c r="P389">
        <v>7.4565324921135696</v>
      </c>
      <c r="Q389">
        <v>5.0230479732242497</v>
      </c>
      <c r="R389">
        <v>5.4004861925578398</v>
      </c>
      <c r="S389">
        <v>6.7988134228187898</v>
      </c>
      <c r="T389">
        <v>10.6604097095552</v>
      </c>
      <c r="U389">
        <v>6.6141499085923199</v>
      </c>
      <c r="V389">
        <v>5.2531798382078403</v>
      </c>
      <c r="W389">
        <v>7.6523885783351</v>
      </c>
      <c r="X389">
        <v>7.8771656849594702</v>
      </c>
    </row>
    <row r="390" spans="1:24">
      <c r="A390">
        <v>1375</v>
      </c>
      <c r="B390" t="s">
        <v>1061</v>
      </c>
      <c r="C390">
        <v>2</v>
      </c>
      <c r="D390" t="s">
        <v>1062</v>
      </c>
      <c r="E390">
        <v>25</v>
      </c>
      <c r="F390">
        <v>25</v>
      </c>
      <c r="G390">
        <v>24</v>
      </c>
      <c r="H390" t="s">
        <v>1063</v>
      </c>
      <c r="I390">
        <v>35.9</v>
      </c>
      <c r="J390">
        <v>77.504000000000005</v>
      </c>
      <c r="K390" t="str">
        <f>"PRKCD"</f>
        <v>PRKCD</v>
      </c>
      <c r="L390" t="str">
        <f>"PRKCD"</f>
        <v>PRKCD</v>
      </c>
      <c r="M390">
        <v>1.2103892752168599</v>
      </c>
      <c r="N390">
        <v>11.628522384106001</v>
      </c>
      <c r="O390">
        <v>10.943320730258201</v>
      </c>
      <c r="P390">
        <v>5.3260946372239797</v>
      </c>
      <c r="Q390">
        <v>2.51152398661212</v>
      </c>
      <c r="R390">
        <v>7.2006482567437899</v>
      </c>
      <c r="S390">
        <v>6.7988134228187898</v>
      </c>
      <c r="T390">
        <v>2.3689799354567098</v>
      </c>
      <c r="U390">
        <v>16.5353747714808</v>
      </c>
      <c r="V390">
        <v>5.2531798382078403</v>
      </c>
      <c r="W390">
        <v>8.9277866747242793</v>
      </c>
      <c r="X390">
        <v>10.8311028168193</v>
      </c>
    </row>
    <row r="391" spans="1:24">
      <c r="A391">
        <v>1463</v>
      </c>
      <c r="B391" t="s">
        <v>1064</v>
      </c>
      <c r="C391">
        <v>2</v>
      </c>
      <c r="D391" t="s">
        <v>1065</v>
      </c>
      <c r="E391">
        <v>12</v>
      </c>
      <c r="F391">
        <v>12</v>
      </c>
      <c r="G391">
        <v>11</v>
      </c>
      <c r="H391" t="s">
        <v>1066</v>
      </c>
      <c r="I391">
        <v>57.3</v>
      </c>
      <c r="J391">
        <v>24.997</v>
      </c>
      <c r="K391" t="str">
        <f>"RAB32;RAB29"</f>
        <v>RAB32;RAB29</v>
      </c>
      <c r="L391" t="str">
        <f>"RAB32;RAB29"</f>
        <v>RAB32;RAB29</v>
      </c>
      <c r="M391">
        <v>12.1038927521686</v>
      </c>
      <c r="N391">
        <v>8.0505154966887407</v>
      </c>
      <c r="O391">
        <v>8.2074905476936397</v>
      </c>
      <c r="P391">
        <v>7.4565324921135696</v>
      </c>
      <c r="Q391">
        <v>2.51152398661212</v>
      </c>
      <c r="R391">
        <v>7.2006482567437899</v>
      </c>
      <c r="S391">
        <v>10.198220134228199</v>
      </c>
      <c r="T391">
        <v>10.6604097095552</v>
      </c>
      <c r="U391">
        <v>7.7165082266910403</v>
      </c>
      <c r="V391">
        <v>6.3038158058494096</v>
      </c>
      <c r="W391">
        <v>7.6523885783351</v>
      </c>
      <c r="X391">
        <v>8.8618113955793998</v>
      </c>
    </row>
    <row r="392" spans="1:24">
      <c r="A392">
        <v>252</v>
      </c>
      <c r="B392" t="s">
        <v>1067</v>
      </c>
      <c r="C392">
        <v>1</v>
      </c>
      <c r="D392" t="s">
        <v>1068</v>
      </c>
      <c r="E392">
        <v>14</v>
      </c>
      <c r="F392">
        <v>14</v>
      </c>
      <c r="G392">
        <v>14</v>
      </c>
      <c r="H392" t="s">
        <v>1067</v>
      </c>
      <c r="I392">
        <v>33.799999999999997</v>
      </c>
      <c r="J392">
        <v>55.015999999999998</v>
      </c>
      <c r="K392" t="str">
        <f>"ENDOD1"</f>
        <v>ENDOD1</v>
      </c>
      <c r="L392" t="str">
        <f>"ENDOD1"</f>
        <v>ENDOD1</v>
      </c>
      <c r="M392">
        <v>4.8415571008674503</v>
      </c>
      <c r="N392">
        <v>5.3670103311258304</v>
      </c>
      <c r="O392">
        <v>5.4716603651290896</v>
      </c>
      <c r="P392">
        <v>6.3913135646687698</v>
      </c>
      <c r="Q392">
        <v>6.2788099665303099</v>
      </c>
      <c r="R392">
        <v>6.3005672246508198</v>
      </c>
      <c r="S392">
        <v>6.7988134228187898</v>
      </c>
      <c r="T392">
        <v>5.9224498386417803</v>
      </c>
      <c r="U392">
        <v>11.023583180987201</v>
      </c>
      <c r="V392">
        <v>6.3038158058494096</v>
      </c>
      <c r="W392">
        <v>10.2031847711135</v>
      </c>
      <c r="X392">
        <v>11.815748527439199</v>
      </c>
    </row>
    <row r="393" spans="1:24">
      <c r="A393">
        <v>605</v>
      </c>
      <c r="B393" t="s">
        <v>1069</v>
      </c>
      <c r="C393">
        <v>4</v>
      </c>
      <c r="D393" t="s">
        <v>1070</v>
      </c>
      <c r="E393">
        <v>17</v>
      </c>
      <c r="F393">
        <v>17</v>
      </c>
      <c r="G393">
        <v>7</v>
      </c>
      <c r="H393" t="s">
        <v>1071</v>
      </c>
      <c r="I393">
        <v>62</v>
      </c>
      <c r="J393">
        <v>34.195999999999998</v>
      </c>
      <c r="K393" t="str">
        <f>"SULT1A4;SULT1A3"</f>
        <v>SULT1A4;SULT1A3</v>
      </c>
      <c r="L393" t="str">
        <f>"SULT1A4;SULT1A3"</f>
        <v>SULT1A4;SULT1A3</v>
      </c>
      <c r="M393">
        <v>3.6311678256505799</v>
      </c>
      <c r="N393">
        <v>5.3670103311258304</v>
      </c>
      <c r="O393">
        <v>8.2074905476936397</v>
      </c>
      <c r="P393">
        <v>7.4565324921135696</v>
      </c>
      <c r="Q393">
        <v>2.51152398661212</v>
      </c>
      <c r="R393">
        <v>4.5004051604648696</v>
      </c>
      <c r="S393">
        <v>5.6656778523489901</v>
      </c>
      <c r="T393">
        <v>3.5534699031850701</v>
      </c>
      <c r="U393">
        <v>9.9212248628884794</v>
      </c>
      <c r="V393">
        <v>9.4557237087741104</v>
      </c>
      <c r="W393">
        <v>7.6523885783351</v>
      </c>
      <c r="X393">
        <v>4.92322855309967</v>
      </c>
    </row>
    <row r="394" spans="1:24">
      <c r="A394">
        <v>530</v>
      </c>
      <c r="B394" t="s">
        <v>1072</v>
      </c>
      <c r="C394">
        <v>1</v>
      </c>
      <c r="D394" t="s">
        <v>1073</v>
      </c>
      <c r="E394">
        <v>8</v>
      </c>
      <c r="F394">
        <v>8</v>
      </c>
      <c r="G394">
        <v>8</v>
      </c>
      <c r="H394" t="s">
        <v>1072</v>
      </c>
      <c r="I394">
        <v>51</v>
      </c>
      <c r="J394">
        <v>22.277000000000001</v>
      </c>
      <c r="K394" t="str">
        <f>"C8G"</f>
        <v>C8G</v>
      </c>
      <c r="L394" t="str">
        <f>"C8G"</f>
        <v>C8G</v>
      </c>
      <c r="M394">
        <v>10.8935034769518</v>
      </c>
      <c r="N394">
        <v>7.1560137748344399</v>
      </c>
      <c r="O394">
        <v>10.031377336069999</v>
      </c>
      <c r="P394">
        <v>12.7826271293375</v>
      </c>
      <c r="Q394">
        <v>8.7903339531424294</v>
      </c>
      <c r="R394">
        <v>5.4004861925578398</v>
      </c>
      <c r="S394">
        <v>6.7988134228187898</v>
      </c>
      <c r="T394">
        <v>9.4759197418268606</v>
      </c>
      <c r="U394">
        <v>2.20471663619744</v>
      </c>
      <c r="V394">
        <v>9.4557237087741104</v>
      </c>
      <c r="W394">
        <v>10.2031847711135</v>
      </c>
      <c r="X394">
        <v>4.92322855309967</v>
      </c>
    </row>
    <row r="395" spans="1:24">
      <c r="A395">
        <v>1455</v>
      </c>
      <c r="B395" t="s">
        <v>1074</v>
      </c>
      <c r="C395">
        <v>3</v>
      </c>
      <c r="D395" t="s">
        <v>1075</v>
      </c>
      <c r="E395">
        <v>17</v>
      </c>
      <c r="F395">
        <v>17</v>
      </c>
      <c r="G395">
        <v>17</v>
      </c>
      <c r="H395" t="s">
        <v>1076</v>
      </c>
      <c r="I395">
        <v>49.1</v>
      </c>
      <c r="J395">
        <v>44.23</v>
      </c>
      <c r="K395" t="str">
        <f>"DCTN2"</f>
        <v>DCTN2</v>
      </c>
      <c r="L395" t="str">
        <f>"DCTN2"</f>
        <v>DCTN2</v>
      </c>
      <c r="M395">
        <v>4.8415571008674503</v>
      </c>
      <c r="N395">
        <v>5.3670103311258304</v>
      </c>
      <c r="O395">
        <v>5.4716603651290896</v>
      </c>
      <c r="P395">
        <v>6.3913135646687698</v>
      </c>
      <c r="Q395">
        <v>3.7672859799181899</v>
      </c>
      <c r="R395">
        <v>8.1007292888367601</v>
      </c>
      <c r="S395">
        <v>9.0650845637583899</v>
      </c>
      <c r="T395">
        <v>9.4759197418268606</v>
      </c>
      <c r="U395">
        <v>7.7165082266910403</v>
      </c>
      <c r="V395">
        <v>5.2531798382078403</v>
      </c>
      <c r="W395">
        <v>5.1015923855567298</v>
      </c>
      <c r="X395">
        <v>8.8618113955793998</v>
      </c>
    </row>
    <row r="396" spans="1:24">
      <c r="A396">
        <v>2358</v>
      </c>
      <c r="B396" t="s">
        <v>1077</v>
      </c>
      <c r="C396">
        <v>3</v>
      </c>
      <c r="D396" t="s">
        <v>1078</v>
      </c>
      <c r="E396">
        <v>27</v>
      </c>
      <c r="F396">
        <v>27</v>
      </c>
      <c r="G396">
        <v>27</v>
      </c>
      <c r="H396" t="s">
        <v>1079</v>
      </c>
      <c r="I396">
        <v>32.6</v>
      </c>
      <c r="J396">
        <v>111.33</v>
      </c>
      <c r="K396" t="str">
        <f>"HYOU1;TEX15"</f>
        <v>HYOU1;TEX15</v>
      </c>
      <c r="L396" t="str">
        <f>"HYOU1;TEX15"</f>
        <v>HYOU1;TEX15</v>
      </c>
      <c r="M396">
        <v>2.4207785504337198</v>
      </c>
      <c r="N396">
        <v>8.9450172185430503</v>
      </c>
      <c r="O396">
        <v>10.031377336069999</v>
      </c>
      <c r="P396">
        <v>5.3260946372239797</v>
      </c>
      <c r="Q396">
        <v>5.0230479732242497</v>
      </c>
      <c r="R396">
        <v>8.1007292888367601</v>
      </c>
      <c r="S396">
        <v>5.6656778523489901</v>
      </c>
      <c r="T396">
        <v>1.18448996772836</v>
      </c>
      <c r="U396">
        <v>8.8188665447897598</v>
      </c>
      <c r="V396">
        <v>7.3544517734909798</v>
      </c>
      <c r="W396">
        <v>3.82619428916755</v>
      </c>
      <c r="X396">
        <v>8.8618113955793998</v>
      </c>
    </row>
    <row r="397" spans="1:24">
      <c r="A397">
        <v>820</v>
      </c>
      <c r="B397" t="s">
        <v>1080</v>
      </c>
      <c r="C397">
        <v>2</v>
      </c>
      <c r="D397" t="s">
        <v>1081</v>
      </c>
      <c r="E397">
        <v>12</v>
      </c>
      <c r="F397">
        <v>5</v>
      </c>
      <c r="G397">
        <v>5</v>
      </c>
      <c r="H397" t="s">
        <v>1082</v>
      </c>
      <c r="I397">
        <v>66.3</v>
      </c>
      <c r="J397">
        <v>19.827000000000002</v>
      </c>
      <c r="K397" t="str">
        <f>"MYL9"</f>
        <v>MYL9</v>
      </c>
      <c r="L397" t="str">
        <f>"MYL9"</f>
        <v>MYL9</v>
      </c>
      <c r="M397">
        <v>7.2623356513011696</v>
      </c>
      <c r="N397">
        <v>9.8395189403973493</v>
      </c>
      <c r="O397">
        <v>6.3836037593172703</v>
      </c>
      <c r="P397">
        <v>8.5217514195583597</v>
      </c>
      <c r="Q397">
        <v>8.7903339531424294</v>
      </c>
      <c r="R397">
        <v>9.0008103209297392</v>
      </c>
      <c r="S397">
        <v>9.0650845637583899</v>
      </c>
      <c r="T397">
        <v>8.2914297740984999</v>
      </c>
      <c r="U397">
        <v>12.125941499085901</v>
      </c>
      <c r="V397">
        <v>6.3038158058494096</v>
      </c>
      <c r="W397">
        <v>8.9277866747242793</v>
      </c>
      <c r="X397">
        <v>7.8771656849594702</v>
      </c>
    </row>
    <row r="398" spans="1:24">
      <c r="A398">
        <v>1640</v>
      </c>
      <c r="B398" t="s">
        <v>1083</v>
      </c>
      <c r="C398">
        <v>2</v>
      </c>
      <c r="D398" t="s">
        <v>1084</v>
      </c>
      <c r="E398">
        <v>8</v>
      </c>
      <c r="F398">
        <v>8</v>
      </c>
      <c r="G398">
        <v>8</v>
      </c>
      <c r="H398" t="s">
        <v>1085</v>
      </c>
      <c r="I398">
        <v>26.3</v>
      </c>
      <c r="J398">
        <v>32.463999999999999</v>
      </c>
      <c r="K398" t="str">
        <f>"LY6G6F"</f>
        <v>LY6G6F</v>
      </c>
      <c r="L398" t="str">
        <f>"LY6G6F"</f>
        <v>LY6G6F</v>
      </c>
      <c r="M398">
        <v>8.4727249265180298</v>
      </c>
      <c r="N398">
        <v>5.3670103311258304</v>
      </c>
      <c r="O398">
        <v>6.3836037593172703</v>
      </c>
      <c r="P398">
        <v>5.3260946372239797</v>
      </c>
      <c r="Q398">
        <v>5.0230479732242497</v>
      </c>
      <c r="R398">
        <v>9.0008103209297392</v>
      </c>
      <c r="S398">
        <v>5.6656778523489901</v>
      </c>
      <c r="T398">
        <v>8.2914297740984999</v>
      </c>
      <c r="U398">
        <v>6.6141499085923199</v>
      </c>
      <c r="V398">
        <v>3.1519079029246999</v>
      </c>
      <c r="W398">
        <v>7.6523885783351</v>
      </c>
      <c r="X398">
        <v>8.8618113955793998</v>
      </c>
    </row>
    <row r="399" spans="1:24">
      <c r="A399">
        <v>681</v>
      </c>
      <c r="B399" t="s">
        <v>1086</v>
      </c>
      <c r="C399">
        <v>2</v>
      </c>
      <c r="D399" t="s">
        <v>1087</v>
      </c>
      <c r="E399">
        <v>12</v>
      </c>
      <c r="F399">
        <v>12</v>
      </c>
      <c r="G399">
        <v>12</v>
      </c>
      <c r="H399" t="s">
        <v>1088</v>
      </c>
      <c r="I399">
        <v>25</v>
      </c>
      <c r="J399">
        <v>59.177</v>
      </c>
      <c r="K399" t="str">
        <f>"PRKCSH"</f>
        <v>PRKCSH</v>
      </c>
      <c r="L399" t="str">
        <f>"PRKCSH"</f>
        <v>PRKCSH</v>
      </c>
      <c r="M399">
        <v>8.4727249265180298</v>
      </c>
      <c r="N399">
        <v>8.9450172185430503</v>
      </c>
      <c r="O399">
        <v>8.2074905476936397</v>
      </c>
      <c r="P399">
        <v>3.19565678233438</v>
      </c>
      <c r="Q399">
        <v>0</v>
      </c>
      <c r="R399">
        <v>9.0008103209297392</v>
      </c>
      <c r="S399">
        <v>7.9319489932885903</v>
      </c>
      <c r="T399">
        <v>3.5534699031850701</v>
      </c>
      <c r="U399">
        <v>8.8188665447897598</v>
      </c>
      <c r="V399">
        <v>7.3544517734909798</v>
      </c>
      <c r="W399">
        <v>8.9277866747242793</v>
      </c>
      <c r="X399">
        <v>9.84645710619934</v>
      </c>
    </row>
    <row r="400" spans="1:24">
      <c r="A400">
        <v>719</v>
      </c>
      <c r="B400" t="s">
        <v>1089</v>
      </c>
      <c r="C400">
        <v>5</v>
      </c>
      <c r="D400" t="s">
        <v>1090</v>
      </c>
      <c r="E400">
        <v>30</v>
      </c>
      <c r="F400">
        <v>22</v>
      </c>
      <c r="G400">
        <v>16</v>
      </c>
      <c r="H400" t="s">
        <v>1091</v>
      </c>
      <c r="I400">
        <v>32.5</v>
      </c>
      <c r="J400">
        <v>114.76</v>
      </c>
      <c r="K400" t="str">
        <f>"ATP2A2"</f>
        <v>ATP2A2</v>
      </c>
      <c r="L400" t="str">
        <f>"ATP2A2"</f>
        <v>ATP2A2</v>
      </c>
      <c r="M400">
        <v>8.4727249265180298</v>
      </c>
      <c r="N400">
        <v>8.0505154966887407</v>
      </c>
      <c r="O400">
        <v>9.1194339418818195</v>
      </c>
      <c r="P400">
        <v>3.19565678233438</v>
      </c>
      <c r="Q400">
        <v>5.0230479732242497</v>
      </c>
      <c r="R400">
        <v>7.2006482567437899</v>
      </c>
      <c r="S400">
        <v>5.6656778523489901</v>
      </c>
      <c r="T400">
        <v>3.5534699031850701</v>
      </c>
      <c r="U400">
        <v>3.3070749542961599</v>
      </c>
      <c r="V400">
        <v>6.3038158058494096</v>
      </c>
      <c r="W400">
        <v>5.1015923855567298</v>
      </c>
      <c r="X400">
        <v>11.815748527439199</v>
      </c>
    </row>
    <row r="401" spans="1:24">
      <c r="A401">
        <v>1490</v>
      </c>
      <c r="B401" t="s">
        <v>1092</v>
      </c>
      <c r="C401">
        <v>6</v>
      </c>
      <c r="D401" t="s">
        <v>1093</v>
      </c>
      <c r="E401">
        <v>28</v>
      </c>
      <c r="F401">
        <v>28</v>
      </c>
      <c r="G401">
        <v>28</v>
      </c>
      <c r="H401" t="s">
        <v>1094</v>
      </c>
      <c r="I401">
        <v>29.6</v>
      </c>
      <c r="J401">
        <v>136.82</v>
      </c>
      <c r="K401" t="str">
        <f>"DCTN1"</f>
        <v>DCTN1</v>
      </c>
      <c r="L401" t="str">
        <f>"DCTN1"</f>
        <v>DCTN1</v>
      </c>
      <c r="M401">
        <v>2.4207785504337198</v>
      </c>
      <c r="N401">
        <v>8.9450172185430503</v>
      </c>
      <c r="O401">
        <v>14.5910943070109</v>
      </c>
      <c r="P401">
        <v>7.4565324921135696</v>
      </c>
      <c r="Q401">
        <v>2.51152398661212</v>
      </c>
      <c r="R401">
        <v>9.0008103209297392</v>
      </c>
      <c r="S401">
        <v>3.3994067114094002</v>
      </c>
      <c r="T401">
        <v>4.7379598709134303</v>
      </c>
      <c r="U401">
        <v>6.6141499085923199</v>
      </c>
      <c r="V401">
        <v>6.3038158058494096</v>
      </c>
      <c r="W401">
        <v>2.5507961927783702</v>
      </c>
      <c r="X401">
        <v>8.8618113955793998</v>
      </c>
    </row>
    <row r="402" spans="1:24">
      <c r="A402">
        <v>1688</v>
      </c>
      <c r="B402" t="s">
        <v>1095</v>
      </c>
      <c r="C402">
        <v>3</v>
      </c>
      <c r="D402" t="s">
        <v>1096</v>
      </c>
      <c r="E402">
        <v>16</v>
      </c>
      <c r="F402">
        <v>16</v>
      </c>
      <c r="G402">
        <v>16</v>
      </c>
      <c r="H402" t="s">
        <v>1097</v>
      </c>
      <c r="I402">
        <v>25.5</v>
      </c>
      <c r="J402">
        <v>79.596000000000004</v>
      </c>
      <c r="K402" t="str">
        <f>"CNST"</f>
        <v>CNST</v>
      </c>
      <c r="L402" t="str">
        <f>"CNST"</f>
        <v>CNST</v>
      </c>
      <c r="M402">
        <v>6.0519463760843104</v>
      </c>
      <c r="N402">
        <v>8.9450172185430503</v>
      </c>
      <c r="O402">
        <v>5.4716603651290896</v>
      </c>
      <c r="P402">
        <v>6.3913135646687698</v>
      </c>
      <c r="Q402">
        <v>1.25576199330606</v>
      </c>
      <c r="R402">
        <v>9.0008103209297392</v>
      </c>
      <c r="S402">
        <v>4.5325422818791896</v>
      </c>
      <c r="T402">
        <v>7.1069398063701401</v>
      </c>
      <c r="U402">
        <v>7.7165082266910403</v>
      </c>
      <c r="V402">
        <v>8.4050877411325509</v>
      </c>
      <c r="W402">
        <v>5.1015923855567298</v>
      </c>
      <c r="X402">
        <v>8.8618113955793998</v>
      </c>
    </row>
    <row r="403" spans="1:24">
      <c r="A403">
        <v>164</v>
      </c>
      <c r="B403" t="s">
        <v>1098</v>
      </c>
      <c r="C403">
        <v>2</v>
      </c>
      <c r="D403" t="s">
        <v>1099</v>
      </c>
      <c r="E403">
        <v>21</v>
      </c>
      <c r="F403">
        <v>21</v>
      </c>
      <c r="G403">
        <v>21</v>
      </c>
      <c r="H403" t="s">
        <v>1100</v>
      </c>
      <c r="I403">
        <v>31.3</v>
      </c>
      <c r="J403">
        <v>91.35</v>
      </c>
      <c r="K403" t="str">
        <f>"AP1G1"</f>
        <v>AP1G1</v>
      </c>
      <c r="L403" t="str">
        <f>"AP1G1"</f>
        <v>AP1G1</v>
      </c>
      <c r="M403">
        <v>4.8415571008674503</v>
      </c>
      <c r="N403">
        <v>10.7340206622517</v>
      </c>
      <c r="O403">
        <v>8.2074905476936397</v>
      </c>
      <c r="P403">
        <v>4.2608757097791798</v>
      </c>
      <c r="Q403">
        <v>2.51152398661212</v>
      </c>
      <c r="R403">
        <v>7.2006482567437899</v>
      </c>
      <c r="S403">
        <v>6.7988134228187898</v>
      </c>
      <c r="T403">
        <v>5.9224498386417803</v>
      </c>
      <c r="U403">
        <v>6.6141499085923199</v>
      </c>
      <c r="V403">
        <v>7.3544517734909798</v>
      </c>
      <c r="W403">
        <v>8.9277866747242793</v>
      </c>
      <c r="X403">
        <v>13.785039948679101</v>
      </c>
    </row>
    <row r="404" spans="1:24">
      <c r="A404">
        <v>549</v>
      </c>
      <c r="B404" t="s">
        <v>1101</v>
      </c>
      <c r="C404">
        <v>1</v>
      </c>
      <c r="D404" t="s">
        <v>1102</v>
      </c>
      <c r="E404">
        <v>9</v>
      </c>
      <c r="F404">
        <v>9</v>
      </c>
      <c r="G404">
        <v>9</v>
      </c>
      <c r="H404" t="s">
        <v>1101</v>
      </c>
      <c r="I404">
        <v>27.9</v>
      </c>
      <c r="J404">
        <v>45.14</v>
      </c>
      <c r="K404" t="str">
        <f>"SERPINA6"</f>
        <v>SERPINA6</v>
      </c>
      <c r="L404" t="str">
        <f>"SERPINA6"</f>
        <v>SERPINA6</v>
      </c>
      <c r="M404">
        <v>12.1038927521686</v>
      </c>
      <c r="N404">
        <v>5.3670103311258304</v>
      </c>
      <c r="O404">
        <v>6.3836037593172703</v>
      </c>
      <c r="P404">
        <v>6.3913135646687698</v>
      </c>
      <c r="Q404">
        <v>11.3018579397546</v>
      </c>
      <c r="R404">
        <v>4.5004051604648696</v>
      </c>
      <c r="S404">
        <v>5.6656778523489901</v>
      </c>
      <c r="T404">
        <v>9.4759197418268606</v>
      </c>
      <c r="U404">
        <v>6.6141499085923199</v>
      </c>
      <c r="V404">
        <v>7.3544517734909798</v>
      </c>
      <c r="W404">
        <v>10.2031847711135</v>
      </c>
      <c r="X404">
        <v>6.8925199743395398</v>
      </c>
    </row>
    <row r="405" spans="1:24">
      <c r="A405">
        <v>410</v>
      </c>
      <c r="B405" t="s">
        <v>1103</v>
      </c>
      <c r="C405">
        <v>1</v>
      </c>
      <c r="D405" t="s">
        <v>1104</v>
      </c>
      <c r="E405">
        <v>9</v>
      </c>
      <c r="F405">
        <v>9</v>
      </c>
      <c r="G405">
        <v>9</v>
      </c>
      <c r="H405" t="s">
        <v>1103</v>
      </c>
      <c r="I405">
        <v>34.1</v>
      </c>
      <c r="J405">
        <v>25.387</v>
      </c>
      <c r="K405" t="str">
        <f>"APCS"</f>
        <v>APCS</v>
      </c>
      <c r="L405" t="str">
        <f>"APCS"</f>
        <v>APCS</v>
      </c>
      <c r="M405">
        <v>8.4727249265180298</v>
      </c>
      <c r="N405">
        <v>4.4725086092715198</v>
      </c>
      <c r="O405">
        <v>6.3836037593172703</v>
      </c>
      <c r="P405">
        <v>8.5217514195583597</v>
      </c>
      <c r="Q405">
        <v>11.3018579397546</v>
      </c>
      <c r="R405">
        <v>6.3005672246508198</v>
      </c>
      <c r="S405">
        <v>10.198220134228199</v>
      </c>
      <c r="T405">
        <v>7.1069398063701401</v>
      </c>
      <c r="U405">
        <v>5.5117915904936003</v>
      </c>
      <c r="V405">
        <v>8.4050877411325509</v>
      </c>
      <c r="W405">
        <v>7.6523885783351</v>
      </c>
      <c r="X405">
        <v>6.8925199743395398</v>
      </c>
    </row>
    <row r="406" spans="1:24">
      <c r="A406">
        <v>1331</v>
      </c>
      <c r="B406" t="s">
        <v>1105</v>
      </c>
      <c r="C406">
        <v>3</v>
      </c>
      <c r="D406" t="s">
        <v>1106</v>
      </c>
      <c r="E406">
        <v>21</v>
      </c>
      <c r="F406">
        <v>21</v>
      </c>
      <c r="G406">
        <v>21</v>
      </c>
      <c r="H406" t="s">
        <v>1107</v>
      </c>
      <c r="I406">
        <v>60.9</v>
      </c>
      <c r="J406">
        <v>52.295999999999999</v>
      </c>
      <c r="K406" t="str">
        <f>"MPP1"</f>
        <v>MPP1</v>
      </c>
      <c r="L406" t="str">
        <f>"MPP1"</f>
        <v>MPP1</v>
      </c>
      <c r="M406">
        <v>3.6311678256505799</v>
      </c>
      <c r="N406">
        <v>7.1560137748344399</v>
      </c>
      <c r="O406">
        <v>7.2955471535054599</v>
      </c>
      <c r="P406">
        <v>3.19565678233438</v>
      </c>
      <c r="Q406">
        <v>2.51152398661212</v>
      </c>
      <c r="R406">
        <v>8.1007292888367601</v>
      </c>
      <c r="S406">
        <v>9.0650845637583899</v>
      </c>
      <c r="T406">
        <v>5.9224498386417803</v>
      </c>
      <c r="U406">
        <v>4.4094332723948799</v>
      </c>
      <c r="V406">
        <v>5.2531798382078403</v>
      </c>
      <c r="W406">
        <v>6.37699048194591</v>
      </c>
      <c r="X406">
        <v>7.8771656849594702</v>
      </c>
    </row>
    <row r="407" spans="1:24">
      <c r="A407">
        <v>1473</v>
      </c>
      <c r="B407" t="s">
        <v>1108</v>
      </c>
      <c r="C407">
        <v>5</v>
      </c>
      <c r="D407" t="s">
        <v>1109</v>
      </c>
      <c r="E407">
        <v>22</v>
      </c>
      <c r="F407">
        <v>22</v>
      </c>
      <c r="G407">
        <v>22</v>
      </c>
      <c r="H407" t="s">
        <v>1110</v>
      </c>
      <c r="I407">
        <v>29.7</v>
      </c>
      <c r="J407">
        <v>77.802999999999997</v>
      </c>
      <c r="K407" t="str">
        <f>"PRKG1;PRKG2"</f>
        <v>PRKG1;PRKG2</v>
      </c>
      <c r="L407" t="str">
        <f>"PRKG1;PRKG2"</f>
        <v>PRKG1;PRKG2</v>
      </c>
      <c r="M407">
        <v>3.6311678256505799</v>
      </c>
      <c r="N407">
        <v>8.0505154966887407</v>
      </c>
      <c r="O407">
        <v>10.943320730258201</v>
      </c>
      <c r="P407">
        <v>2.1304378548895899</v>
      </c>
      <c r="Q407">
        <v>10.046095946448499</v>
      </c>
      <c r="R407">
        <v>5.4004861925578398</v>
      </c>
      <c r="S407">
        <v>3.3994067114094002</v>
      </c>
      <c r="T407">
        <v>4.7379598709134303</v>
      </c>
      <c r="U407">
        <v>7.7165082266910403</v>
      </c>
      <c r="V407">
        <v>3.1519079029246999</v>
      </c>
      <c r="W407">
        <v>7.6523885783351</v>
      </c>
      <c r="X407">
        <v>6.8925199743395398</v>
      </c>
    </row>
    <row r="408" spans="1:24">
      <c r="A408">
        <v>1960</v>
      </c>
      <c r="B408" t="s">
        <v>1111</v>
      </c>
      <c r="C408">
        <v>7</v>
      </c>
      <c r="D408" t="s">
        <v>1112</v>
      </c>
      <c r="E408">
        <v>20</v>
      </c>
      <c r="F408">
        <v>20</v>
      </c>
      <c r="G408">
        <v>20</v>
      </c>
      <c r="H408" t="s">
        <v>1113</v>
      </c>
      <c r="I408">
        <v>18.600000000000001</v>
      </c>
      <c r="J408">
        <v>160.99</v>
      </c>
      <c r="K408" t="str">
        <f>"ARAP1"</f>
        <v>ARAP1</v>
      </c>
      <c r="L408" t="str">
        <f>"ARAP1"</f>
        <v>ARAP1</v>
      </c>
      <c r="M408">
        <v>7.2623356513011696</v>
      </c>
      <c r="N408">
        <v>5.3670103311258304</v>
      </c>
      <c r="O408">
        <v>3.64777357675273</v>
      </c>
      <c r="P408">
        <v>6.3913135646687698</v>
      </c>
      <c r="Q408">
        <v>2.51152398661212</v>
      </c>
      <c r="R408">
        <v>11.7010534172087</v>
      </c>
      <c r="S408">
        <v>3.3994067114094002</v>
      </c>
      <c r="T408">
        <v>8.2914297740984999</v>
      </c>
      <c r="U408">
        <v>6.6141499085923199</v>
      </c>
      <c r="V408">
        <v>6.3038158058494096</v>
      </c>
      <c r="W408">
        <v>7.6523885783351</v>
      </c>
      <c r="X408">
        <v>7.8771656849594702</v>
      </c>
    </row>
    <row r="409" spans="1:24">
      <c r="A409">
        <v>2048</v>
      </c>
      <c r="B409" t="s">
        <v>1114</v>
      </c>
      <c r="C409">
        <v>4</v>
      </c>
      <c r="D409" t="s">
        <v>1115</v>
      </c>
      <c r="E409">
        <v>14</v>
      </c>
      <c r="F409">
        <v>14</v>
      </c>
      <c r="G409">
        <v>14</v>
      </c>
      <c r="H409" t="s">
        <v>1116</v>
      </c>
      <c r="I409">
        <v>41.4</v>
      </c>
      <c r="J409">
        <v>48.585999999999999</v>
      </c>
      <c r="K409" t="str">
        <f>"AP1M1;AP1M2"</f>
        <v>AP1M1;AP1M2</v>
      </c>
      <c r="L409" t="str">
        <f>"AP1M1;AP1M2"</f>
        <v>AP1M1;AP1M2</v>
      </c>
      <c r="M409">
        <v>6.0519463760843104</v>
      </c>
      <c r="N409">
        <v>8.0505154966887407</v>
      </c>
      <c r="O409">
        <v>10.031377336069999</v>
      </c>
      <c r="P409">
        <v>6.3913135646687698</v>
      </c>
      <c r="Q409">
        <v>5.0230479732242497</v>
      </c>
      <c r="R409">
        <v>6.3005672246508198</v>
      </c>
      <c r="S409">
        <v>7.9319489932885903</v>
      </c>
      <c r="T409">
        <v>3.5534699031850701</v>
      </c>
      <c r="U409">
        <v>4.4094332723948799</v>
      </c>
      <c r="V409">
        <v>4.2025438705662701</v>
      </c>
      <c r="W409">
        <v>7.6523885783351</v>
      </c>
      <c r="X409">
        <v>10.8311028168193</v>
      </c>
    </row>
    <row r="410" spans="1:24">
      <c r="A410">
        <v>221</v>
      </c>
      <c r="B410" t="s">
        <v>1117</v>
      </c>
      <c r="C410">
        <v>1</v>
      </c>
      <c r="D410" t="s">
        <v>1118</v>
      </c>
      <c r="E410">
        <v>16</v>
      </c>
      <c r="F410">
        <v>16</v>
      </c>
      <c r="G410">
        <v>16</v>
      </c>
      <c r="H410" t="s">
        <v>1117</v>
      </c>
      <c r="I410">
        <v>53.3</v>
      </c>
      <c r="J410">
        <v>33.195</v>
      </c>
      <c r="K410" t="str">
        <f>"STX11"</f>
        <v>STX11</v>
      </c>
      <c r="L410" t="str">
        <f>"STX11"</f>
        <v>STX11</v>
      </c>
      <c r="M410">
        <v>7.2623356513011696</v>
      </c>
      <c r="N410">
        <v>6.2615120529801302</v>
      </c>
      <c r="O410">
        <v>10.031377336069999</v>
      </c>
      <c r="P410">
        <v>6.3913135646687698</v>
      </c>
      <c r="Q410">
        <v>3.7672859799181899</v>
      </c>
      <c r="R410">
        <v>5.4004861925578398</v>
      </c>
      <c r="S410">
        <v>5.6656778523489901</v>
      </c>
      <c r="T410">
        <v>3.5534699031850701</v>
      </c>
      <c r="U410">
        <v>6.6141499085923199</v>
      </c>
      <c r="V410">
        <v>9.4557237087741104</v>
      </c>
      <c r="W410">
        <v>7.6523885783351</v>
      </c>
      <c r="X410">
        <v>4.92322855309967</v>
      </c>
    </row>
    <row r="411" spans="1:24">
      <c r="A411">
        <v>1521</v>
      </c>
      <c r="B411" t="s">
        <v>1119</v>
      </c>
      <c r="C411">
        <v>2</v>
      </c>
      <c r="D411" t="s">
        <v>1120</v>
      </c>
      <c r="E411">
        <v>22</v>
      </c>
      <c r="F411">
        <v>22</v>
      </c>
      <c r="G411">
        <v>22</v>
      </c>
      <c r="H411" t="s">
        <v>1121</v>
      </c>
      <c r="I411">
        <v>30.4</v>
      </c>
      <c r="J411">
        <v>97.168999999999997</v>
      </c>
      <c r="K411" t="str">
        <f>"KPNB1"</f>
        <v>KPNB1</v>
      </c>
      <c r="L411" t="str">
        <f>"KPNB1"</f>
        <v>KPNB1</v>
      </c>
      <c r="M411">
        <v>4.8415571008674503</v>
      </c>
      <c r="N411">
        <v>2.6835051655629099</v>
      </c>
      <c r="O411">
        <v>7.2955471535054599</v>
      </c>
      <c r="P411">
        <v>4.2608757097791798</v>
      </c>
      <c r="Q411">
        <v>0</v>
      </c>
      <c r="R411">
        <v>6.3005672246508198</v>
      </c>
      <c r="S411">
        <v>6.7988134228187898</v>
      </c>
      <c r="T411">
        <v>1.18448996772836</v>
      </c>
      <c r="U411">
        <v>6.6141499085923199</v>
      </c>
      <c r="V411">
        <v>5.2531798382078403</v>
      </c>
      <c r="W411">
        <v>7.6523885783351</v>
      </c>
      <c r="X411">
        <v>8.8618113955793998</v>
      </c>
    </row>
    <row r="412" spans="1:24">
      <c r="A412">
        <v>864</v>
      </c>
      <c r="B412" t="s">
        <v>1122</v>
      </c>
      <c r="C412">
        <v>2</v>
      </c>
      <c r="D412" t="s">
        <v>1123</v>
      </c>
      <c r="E412">
        <v>13</v>
      </c>
      <c r="F412">
        <v>13</v>
      </c>
      <c r="G412">
        <v>11</v>
      </c>
      <c r="H412" t="s">
        <v>1124</v>
      </c>
      <c r="I412">
        <v>43.1</v>
      </c>
      <c r="J412">
        <v>41.389000000000003</v>
      </c>
      <c r="K412" t="str">
        <f>"MAPK1"</f>
        <v>MAPK1</v>
      </c>
      <c r="L412" t="str">
        <f>"MAPK1"</f>
        <v>MAPK1</v>
      </c>
      <c r="M412">
        <v>6.0519463760843104</v>
      </c>
      <c r="N412">
        <v>5.3670103311258304</v>
      </c>
      <c r="O412">
        <v>7.2955471535054599</v>
      </c>
      <c r="P412">
        <v>6.3913135646687698</v>
      </c>
      <c r="Q412">
        <v>3.7672859799181899</v>
      </c>
      <c r="R412">
        <v>7.2006482567437899</v>
      </c>
      <c r="S412">
        <v>3.3994067114094002</v>
      </c>
      <c r="T412">
        <v>5.9224498386417803</v>
      </c>
      <c r="U412">
        <v>2.20471663619744</v>
      </c>
      <c r="V412">
        <v>6.3038158058494096</v>
      </c>
      <c r="W412">
        <v>6.37699048194591</v>
      </c>
      <c r="X412">
        <v>7.8771656849594702</v>
      </c>
    </row>
    <row r="413" spans="1:24">
      <c r="A413">
        <v>1344</v>
      </c>
      <c r="B413" t="s">
        <v>1125</v>
      </c>
      <c r="C413">
        <v>5</v>
      </c>
      <c r="D413" t="s">
        <v>1126</v>
      </c>
      <c r="E413">
        <v>27</v>
      </c>
      <c r="F413">
        <v>27</v>
      </c>
      <c r="G413">
        <v>26</v>
      </c>
      <c r="H413" t="s">
        <v>1127</v>
      </c>
      <c r="I413">
        <v>31.3</v>
      </c>
      <c r="J413">
        <v>100.69</v>
      </c>
      <c r="K413" t="str">
        <f>"AMPD2"</f>
        <v>AMPD2</v>
      </c>
      <c r="L413" t="str">
        <f>"AMPD2"</f>
        <v>AMPD2</v>
      </c>
      <c r="M413">
        <v>3.6311678256505799</v>
      </c>
      <c r="N413">
        <v>9.8395189403973493</v>
      </c>
      <c r="O413">
        <v>11.8552641244464</v>
      </c>
      <c r="P413">
        <v>7.4565324921135696</v>
      </c>
      <c r="Q413">
        <v>3.7672859799181899</v>
      </c>
      <c r="R413">
        <v>8.1007292888367601</v>
      </c>
      <c r="S413">
        <v>7.9319489932885903</v>
      </c>
      <c r="T413">
        <v>5.9224498386417803</v>
      </c>
      <c r="U413">
        <v>3.3070749542961599</v>
      </c>
      <c r="V413">
        <v>4.2025438705662701</v>
      </c>
      <c r="W413">
        <v>5.1015923855567298</v>
      </c>
      <c r="X413">
        <v>6.8925199743395398</v>
      </c>
    </row>
    <row r="414" spans="1:24">
      <c r="A414">
        <v>1550</v>
      </c>
      <c r="B414" t="s">
        <v>1128</v>
      </c>
      <c r="C414">
        <v>3</v>
      </c>
      <c r="D414" t="s">
        <v>1129</v>
      </c>
      <c r="E414">
        <v>13</v>
      </c>
      <c r="F414">
        <v>13</v>
      </c>
      <c r="G414">
        <v>9</v>
      </c>
      <c r="H414" t="s">
        <v>1130</v>
      </c>
      <c r="I414">
        <v>63.5</v>
      </c>
      <c r="J414">
        <v>37.497</v>
      </c>
      <c r="K414" t="str">
        <f>"PCBP1;PCBP4"</f>
        <v>PCBP1;PCBP4</v>
      </c>
      <c r="L414" t="str">
        <f>"PCBP1;PCBP4"</f>
        <v>PCBP1;PCBP4</v>
      </c>
      <c r="M414">
        <v>4.8415571008674503</v>
      </c>
      <c r="N414">
        <v>7.1560137748344399</v>
      </c>
      <c r="O414">
        <v>7.2955471535054599</v>
      </c>
      <c r="P414">
        <v>7.4565324921135696</v>
      </c>
      <c r="Q414">
        <v>2.51152398661212</v>
      </c>
      <c r="R414">
        <v>8.1007292888367601</v>
      </c>
      <c r="S414">
        <v>5.6656778523489901</v>
      </c>
      <c r="T414">
        <v>8.2914297740984999</v>
      </c>
      <c r="U414">
        <v>7.7165082266910403</v>
      </c>
      <c r="V414">
        <v>4.2025438705662701</v>
      </c>
      <c r="W414">
        <v>5.1015923855567298</v>
      </c>
      <c r="X414">
        <v>7.8771656849594702</v>
      </c>
    </row>
    <row r="415" spans="1:24">
      <c r="A415">
        <v>635</v>
      </c>
      <c r="B415" t="s">
        <v>1131</v>
      </c>
      <c r="C415">
        <v>3</v>
      </c>
      <c r="D415" t="s">
        <v>1132</v>
      </c>
      <c r="E415">
        <v>8</v>
      </c>
      <c r="F415">
        <v>8</v>
      </c>
      <c r="G415">
        <v>5</v>
      </c>
      <c r="H415" t="s">
        <v>1133</v>
      </c>
      <c r="I415">
        <v>30.6</v>
      </c>
      <c r="J415">
        <v>23.408000000000001</v>
      </c>
      <c r="K415" t="str">
        <f>"RALB"</f>
        <v>RALB</v>
      </c>
      <c r="L415" t="str">
        <f>"RALB"</f>
        <v>RALB</v>
      </c>
      <c r="M415">
        <v>6.0519463760843104</v>
      </c>
      <c r="N415">
        <v>6.2615120529801302</v>
      </c>
      <c r="O415">
        <v>8.2074905476936397</v>
      </c>
      <c r="P415">
        <v>5.3260946372239797</v>
      </c>
      <c r="Q415">
        <v>5.0230479732242497</v>
      </c>
      <c r="R415">
        <v>5.4004861925578398</v>
      </c>
      <c r="S415">
        <v>7.9319489932885903</v>
      </c>
      <c r="T415">
        <v>7.1069398063701401</v>
      </c>
      <c r="U415">
        <v>7.7165082266910403</v>
      </c>
      <c r="V415">
        <v>8.4050877411325509</v>
      </c>
      <c r="W415">
        <v>5.1015923855567298</v>
      </c>
      <c r="X415">
        <v>6.8925199743395398</v>
      </c>
    </row>
    <row r="416" spans="1:24">
      <c r="A416">
        <v>152</v>
      </c>
      <c r="B416" t="s">
        <v>1134</v>
      </c>
      <c r="C416">
        <v>2</v>
      </c>
      <c r="D416" t="s">
        <v>1135</v>
      </c>
      <c r="E416">
        <v>9</v>
      </c>
      <c r="F416">
        <v>9</v>
      </c>
      <c r="G416">
        <v>9</v>
      </c>
      <c r="H416" t="s">
        <v>1136</v>
      </c>
      <c r="I416">
        <v>37</v>
      </c>
      <c r="J416">
        <v>39.588999999999999</v>
      </c>
      <c r="K416" t="str">
        <f>"AKR7A2;AKR7L"</f>
        <v>AKR7A2;AKR7L</v>
      </c>
      <c r="L416" t="str">
        <f>"AKR7A2;AKR7L"</f>
        <v>AKR7A2;AKR7L</v>
      </c>
      <c r="M416">
        <v>4.8415571008674503</v>
      </c>
      <c r="N416">
        <v>8.0505154966887407</v>
      </c>
      <c r="O416">
        <v>8.2074905476936397</v>
      </c>
      <c r="P416">
        <v>6.3913135646687698</v>
      </c>
      <c r="Q416">
        <v>5.0230479732242497</v>
      </c>
      <c r="R416">
        <v>9.9008913530227094</v>
      </c>
      <c r="S416">
        <v>5.6656778523489901</v>
      </c>
      <c r="T416">
        <v>5.9224498386417803</v>
      </c>
      <c r="U416">
        <v>5.5117915904936003</v>
      </c>
      <c r="V416">
        <v>7.3544517734909798</v>
      </c>
      <c r="W416">
        <v>5.1015923855567298</v>
      </c>
      <c r="X416">
        <v>9.84645710619934</v>
      </c>
    </row>
    <row r="417" spans="1:24">
      <c r="A417">
        <v>2017</v>
      </c>
      <c r="B417" t="s">
        <v>1137</v>
      </c>
      <c r="C417">
        <v>1</v>
      </c>
      <c r="D417" t="s">
        <v>1138</v>
      </c>
      <c r="E417">
        <v>13</v>
      </c>
      <c r="F417">
        <v>13</v>
      </c>
      <c r="G417">
        <v>13</v>
      </c>
      <c r="H417" t="s">
        <v>1137</v>
      </c>
      <c r="I417">
        <v>36.200000000000003</v>
      </c>
      <c r="J417">
        <v>46.970999999999997</v>
      </c>
      <c r="K417" t="str">
        <f>"ERP44"</f>
        <v>ERP44</v>
      </c>
      <c r="L417" t="str">
        <f>"ERP44"</f>
        <v>ERP44</v>
      </c>
      <c r="M417">
        <v>4.8415571008674503</v>
      </c>
      <c r="N417">
        <v>5.3670103311258304</v>
      </c>
      <c r="O417">
        <v>5.4716603651290896</v>
      </c>
      <c r="P417">
        <v>7.4565324921135696</v>
      </c>
      <c r="Q417">
        <v>1.25576199330606</v>
      </c>
      <c r="R417">
        <v>8.1007292888367601</v>
      </c>
      <c r="S417">
        <v>7.9319489932885903</v>
      </c>
      <c r="T417">
        <v>5.9224498386417803</v>
      </c>
      <c r="U417">
        <v>9.9212248628884794</v>
      </c>
      <c r="V417">
        <v>6.3038158058494096</v>
      </c>
      <c r="W417">
        <v>6.37699048194591</v>
      </c>
      <c r="X417">
        <v>5.9078742637195996</v>
      </c>
    </row>
    <row r="418" spans="1:24">
      <c r="A418">
        <v>970</v>
      </c>
      <c r="B418" t="s">
        <v>1139</v>
      </c>
      <c r="C418">
        <v>2</v>
      </c>
      <c r="D418" t="s">
        <v>1140</v>
      </c>
      <c r="E418">
        <v>19</v>
      </c>
      <c r="F418">
        <v>19</v>
      </c>
      <c r="G418">
        <v>19</v>
      </c>
      <c r="H418" t="s">
        <v>1141</v>
      </c>
      <c r="I418">
        <v>35.700000000000003</v>
      </c>
      <c r="J418">
        <v>66.034000000000006</v>
      </c>
      <c r="K418" t="str">
        <f>"IGFALS"</f>
        <v>IGFALS</v>
      </c>
      <c r="L418" t="str">
        <f>"IGFALS"</f>
        <v>IGFALS</v>
      </c>
      <c r="M418">
        <v>19.366228403469801</v>
      </c>
      <c r="N418">
        <v>5.3670103311258304</v>
      </c>
      <c r="O418">
        <v>2.7358301825645501</v>
      </c>
      <c r="P418">
        <v>8.5217514195583597</v>
      </c>
      <c r="Q418">
        <v>7.5345719598363701</v>
      </c>
      <c r="R418">
        <v>2.7002430962789199</v>
      </c>
      <c r="S418">
        <v>6.7988134228187898</v>
      </c>
      <c r="T418">
        <v>13.0293896450119</v>
      </c>
      <c r="U418">
        <v>3.3070749542961599</v>
      </c>
      <c r="V418">
        <v>9.4557237087741104</v>
      </c>
      <c r="W418">
        <v>15.3047771566702</v>
      </c>
      <c r="X418">
        <v>5.9078742637195996</v>
      </c>
    </row>
    <row r="419" spans="1:24">
      <c r="A419">
        <v>1098</v>
      </c>
      <c r="B419" t="s">
        <v>1142</v>
      </c>
      <c r="C419">
        <v>3</v>
      </c>
      <c r="D419" t="s">
        <v>1143</v>
      </c>
      <c r="E419">
        <v>21</v>
      </c>
      <c r="F419">
        <v>21</v>
      </c>
      <c r="G419">
        <v>21</v>
      </c>
      <c r="H419" t="s">
        <v>1144</v>
      </c>
      <c r="I419">
        <v>41.1</v>
      </c>
      <c r="J419">
        <v>68.058000000000007</v>
      </c>
      <c r="K419" t="str">
        <f>"ACADVL"</f>
        <v>ACADVL</v>
      </c>
      <c r="L419" t="str">
        <f>"ACADVL"</f>
        <v>ACADVL</v>
      </c>
      <c r="M419">
        <v>7.2623356513011696</v>
      </c>
      <c r="N419">
        <v>3.57800688741722</v>
      </c>
      <c r="O419">
        <v>8.2074905476936397</v>
      </c>
      <c r="P419">
        <v>5.3260946372239797</v>
      </c>
      <c r="Q419">
        <v>2.51152398661212</v>
      </c>
      <c r="R419">
        <v>6.3005672246508198</v>
      </c>
      <c r="S419">
        <v>6.7988134228187898</v>
      </c>
      <c r="T419">
        <v>3.5534699031850701</v>
      </c>
      <c r="U419">
        <v>5.5117915904936003</v>
      </c>
      <c r="V419">
        <v>7.3544517734909798</v>
      </c>
      <c r="W419">
        <v>7.6523885783351</v>
      </c>
      <c r="X419">
        <v>5.9078742637195996</v>
      </c>
    </row>
    <row r="420" spans="1:24">
      <c r="A420">
        <v>1377</v>
      </c>
      <c r="B420" t="s">
        <v>1145</v>
      </c>
      <c r="C420">
        <v>3</v>
      </c>
      <c r="D420" t="s">
        <v>1146</v>
      </c>
      <c r="E420">
        <v>16</v>
      </c>
      <c r="F420">
        <v>16</v>
      </c>
      <c r="G420">
        <v>16</v>
      </c>
      <c r="H420" t="s">
        <v>1147</v>
      </c>
      <c r="I420">
        <v>21.8</v>
      </c>
      <c r="J420">
        <v>99.325999999999993</v>
      </c>
      <c r="K420" t="str">
        <f>"ITIH3"</f>
        <v>ITIH3</v>
      </c>
      <c r="L420" t="str">
        <f>"ITIH3"</f>
        <v>ITIH3</v>
      </c>
      <c r="M420">
        <v>2.4207785504337198</v>
      </c>
      <c r="N420">
        <v>5.3670103311258304</v>
      </c>
      <c r="O420">
        <v>7.2955471535054599</v>
      </c>
      <c r="P420">
        <v>8.5217514195583597</v>
      </c>
      <c r="Q420">
        <v>17.580667906284901</v>
      </c>
      <c r="R420">
        <v>4.5004051604648696</v>
      </c>
      <c r="S420">
        <v>18.130169127516801</v>
      </c>
      <c r="T420">
        <v>7.1069398063701401</v>
      </c>
      <c r="U420">
        <v>11.023583180987201</v>
      </c>
      <c r="V420">
        <v>5.2531798382078403</v>
      </c>
      <c r="W420">
        <v>10.2031847711135</v>
      </c>
      <c r="X420">
        <v>3.9385828424797298</v>
      </c>
    </row>
    <row r="421" spans="1:24">
      <c r="A421">
        <v>2062</v>
      </c>
      <c r="B421" t="s">
        <v>1148</v>
      </c>
      <c r="C421">
        <v>1</v>
      </c>
      <c r="D421" t="s">
        <v>1149</v>
      </c>
      <c r="E421">
        <v>20</v>
      </c>
      <c r="F421">
        <v>20</v>
      </c>
      <c r="G421">
        <v>20</v>
      </c>
      <c r="H421" t="s">
        <v>1148</v>
      </c>
      <c r="I421">
        <v>20.6</v>
      </c>
      <c r="J421">
        <v>141.29</v>
      </c>
      <c r="K421" t="str">
        <f>"UBE2O"</f>
        <v>UBE2O</v>
      </c>
      <c r="L421" t="str">
        <f>"UBE2O"</f>
        <v>UBE2O</v>
      </c>
      <c r="M421">
        <v>4.8415571008674503</v>
      </c>
      <c r="N421">
        <v>6.2615120529801302</v>
      </c>
      <c r="O421">
        <v>5.4716603651290896</v>
      </c>
      <c r="P421">
        <v>6.3913135646687698</v>
      </c>
      <c r="Q421">
        <v>1.25576199330606</v>
      </c>
      <c r="R421">
        <v>10.800972385115699</v>
      </c>
      <c r="S421">
        <v>6.7988134228187898</v>
      </c>
      <c r="T421">
        <v>4.7379598709134303</v>
      </c>
      <c r="U421">
        <v>6.6141499085923199</v>
      </c>
      <c r="V421">
        <v>5.2531798382078403</v>
      </c>
      <c r="W421">
        <v>5.1015923855567298</v>
      </c>
      <c r="X421">
        <v>8.8618113955793998</v>
      </c>
    </row>
    <row r="422" spans="1:24">
      <c r="A422">
        <v>565</v>
      </c>
      <c r="B422" t="s">
        <v>1150</v>
      </c>
      <c r="C422">
        <v>11</v>
      </c>
      <c r="D422" t="s">
        <v>1151</v>
      </c>
      <c r="E422">
        <v>30</v>
      </c>
      <c r="F422">
        <v>30</v>
      </c>
      <c r="G422">
        <v>26</v>
      </c>
      <c r="H422" t="s">
        <v>1152</v>
      </c>
      <c r="I422">
        <v>60.9</v>
      </c>
      <c r="J422">
        <v>53.651000000000003</v>
      </c>
      <c r="K422" t="str">
        <f>"VIM;DES;PRPH;GFAP;INA;NEFM;NEFL"</f>
        <v>VIM;DES;PRPH;GFAP;INA;NEFM;NEFL</v>
      </c>
      <c r="L422" t="str">
        <f>"VIM;DES;PRPH;GFAP;INA;NEFM;NEFL"</f>
        <v>VIM;DES;PRPH;GFAP;INA;NEFM;NEFL</v>
      </c>
      <c r="M422">
        <v>2.4207785504337198</v>
      </c>
      <c r="N422">
        <v>5.3670103311258304</v>
      </c>
      <c r="O422">
        <v>7.2955471535054599</v>
      </c>
      <c r="P422">
        <v>2.1304378548895899</v>
      </c>
      <c r="Q422">
        <v>2.51152398661212</v>
      </c>
      <c r="R422">
        <v>23.4021068344173</v>
      </c>
      <c r="S422">
        <v>9.0650845637583899</v>
      </c>
      <c r="T422">
        <v>2.3689799354567098</v>
      </c>
      <c r="U422">
        <v>9.9212248628884794</v>
      </c>
      <c r="V422">
        <v>4.2025438705662701</v>
      </c>
      <c r="W422">
        <v>1.27539809638918</v>
      </c>
      <c r="X422">
        <v>5.9078742637195996</v>
      </c>
    </row>
    <row r="423" spans="1:24">
      <c r="A423">
        <v>661</v>
      </c>
      <c r="B423" t="s">
        <v>1153</v>
      </c>
      <c r="C423">
        <v>1</v>
      </c>
      <c r="D423" t="s">
        <v>1154</v>
      </c>
      <c r="E423">
        <v>18</v>
      </c>
      <c r="F423">
        <v>18</v>
      </c>
      <c r="G423">
        <v>18</v>
      </c>
      <c r="H423" t="s">
        <v>1153</v>
      </c>
      <c r="I423">
        <v>52.1</v>
      </c>
      <c r="J423">
        <v>49.972999999999999</v>
      </c>
      <c r="K423" t="str">
        <f>"RNH1"</f>
        <v>RNH1</v>
      </c>
      <c r="L423" t="str">
        <f>"RNH1"</f>
        <v>RNH1</v>
      </c>
      <c r="M423">
        <v>4.8415571008674503</v>
      </c>
      <c r="N423">
        <v>7.1560137748344399</v>
      </c>
      <c r="O423">
        <v>6.3836037593172703</v>
      </c>
      <c r="P423">
        <v>7.4565324921135696</v>
      </c>
      <c r="Q423">
        <v>6.2788099665303099</v>
      </c>
      <c r="R423">
        <v>5.4004861925578398</v>
      </c>
      <c r="S423">
        <v>5.6656778523489901</v>
      </c>
      <c r="T423">
        <v>4.7379598709134303</v>
      </c>
      <c r="U423">
        <v>4.4094332723948799</v>
      </c>
      <c r="V423">
        <v>8.4050877411325509</v>
      </c>
      <c r="W423">
        <v>5.1015923855567298</v>
      </c>
      <c r="X423">
        <v>5.9078742637195996</v>
      </c>
    </row>
    <row r="424" spans="1:24">
      <c r="A424">
        <v>1128</v>
      </c>
      <c r="B424" t="s">
        <v>1155</v>
      </c>
      <c r="C424">
        <v>2</v>
      </c>
      <c r="D424" t="s">
        <v>1156</v>
      </c>
      <c r="E424">
        <v>9</v>
      </c>
      <c r="F424">
        <v>9</v>
      </c>
      <c r="G424">
        <v>9</v>
      </c>
      <c r="H424" t="s">
        <v>1157</v>
      </c>
      <c r="I424">
        <v>61.6</v>
      </c>
      <c r="J424">
        <v>20.478000000000002</v>
      </c>
      <c r="K424" t="str">
        <f>"DUSP3"</f>
        <v>DUSP3</v>
      </c>
      <c r="L424" t="str">
        <f>"DUSP3"</f>
        <v>DUSP3</v>
      </c>
      <c r="M424">
        <v>4.8415571008674503</v>
      </c>
      <c r="N424">
        <v>4.4725086092715198</v>
      </c>
      <c r="O424">
        <v>6.3836037593172703</v>
      </c>
      <c r="P424">
        <v>5.3260946372239797</v>
      </c>
      <c r="Q424">
        <v>5.0230479732242497</v>
      </c>
      <c r="R424">
        <v>6.3005672246508198</v>
      </c>
      <c r="S424">
        <v>5.6656778523489901</v>
      </c>
      <c r="T424">
        <v>3.5534699031850701</v>
      </c>
      <c r="U424">
        <v>6.6141499085923199</v>
      </c>
      <c r="V424">
        <v>4.2025438705662701</v>
      </c>
      <c r="W424">
        <v>11.478582867502601</v>
      </c>
      <c r="X424">
        <v>9.84645710619934</v>
      </c>
    </row>
    <row r="425" spans="1:24">
      <c r="A425">
        <v>792</v>
      </c>
      <c r="B425" t="s">
        <v>1158</v>
      </c>
      <c r="C425">
        <v>1</v>
      </c>
      <c r="D425" t="s">
        <v>1159</v>
      </c>
      <c r="E425">
        <v>14</v>
      </c>
      <c r="F425">
        <v>14</v>
      </c>
      <c r="G425">
        <v>14</v>
      </c>
      <c r="H425" t="s">
        <v>1158</v>
      </c>
      <c r="I425">
        <v>39.5</v>
      </c>
      <c r="J425">
        <v>48.442</v>
      </c>
      <c r="K425" t="str">
        <f>"UQCRC2"</f>
        <v>UQCRC2</v>
      </c>
      <c r="L425" t="str">
        <f>"UQCRC2"</f>
        <v>UQCRC2</v>
      </c>
      <c r="M425">
        <v>6.0519463760843104</v>
      </c>
      <c r="N425">
        <v>5.3670103311258304</v>
      </c>
      <c r="O425">
        <v>8.2074905476936397</v>
      </c>
      <c r="P425">
        <v>7.4565324921135696</v>
      </c>
      <c r="Q425">
        <v>6.2788099665303099</v>
      </c>
      <c r="R425">
        <v>9.0008103209297392</v>
      </c>
      <c r="S425">
        <v>6.7988134228187898</v>
      </c>
      <c r="T425">
        <v>3.5534699031850701</v>
      </c>
      <c r="U425">
        <v>4.4094332723948799</v>
      </c>
      <c r="V425">
        <v>5.2531798382078403</v>
      </c>
      <c r="W425">
        <v>8.9277866747242793</v>
      </c>
      <c r="X425">
        <v>5.9078742637195996</v>
      </c>
    </row>
    <row r="426" spans="1:24">
      <c r="A426">
        <v>932</v>
      </c>
      <c r="B426" t="s">
        <v>1160</v>
      </c>
      <c r="C426">
        <v>1</v>
      </c>
      <c r="D426" t="s">
        <v>1161</v>
      </c>
      <c r="E426">
        <v>16</v>
      </c>
      <c r="F426">
        <v>6</v>
      </c>
      <c r="G426">
        <v>1</v>
      </c>
      <c r="H426" t="s">
        <v>1160</v>
      </c>
      <c r="I426">
        <v>58.2</v>
      </c>
      <c r="J426">
        <v>27.85</v>
      </c>
      <c r="K426" t="str">
        <f>"YWHAB"</f>
        <v>YWHAB</v>
      </c>
      <c r="L426" t="str">
        <f>"YWHAB"</f>
        <v>YWHAB</v>
      </c>
      <c r="M426">
        <v>7.2623356513011696</v>
      </c>
      <c r="N426">
        <v>5.3670103311258304</v>
      </c>
      <c r="O426">
        <v>9.1194339418818195</v>
      </c>
      <c r="P426">
        <v>5.3260946372239797</v>
      </c>
      <c r="Q426">
        <v>6.2788099665303099</v>
      </c>
      <c r="R426">
        <v>8.1007292888367601</v>
      </c>
      <c r="S426">
        <v>5.6656778523489901</v>
      </c>
      <c r="T426">
        <v>7.1069398063701401</v>
      </c>
      <c r="U426">
        <v>3.3070749542961599</v>
      </c>
      <c r="V426">
        <v>6.3038158058494096</v>
      </c>
      <c r="W426">
        <v>7.6523885783351</v>
      </c>
      <c r="X426">
        <v>4.92322855309967</v>
      </c>
    </row>
    <row r="427" spans="1:24">
      <c r="A427">
        <v>964</v>
      </c>
      <c r="B427" t="s">
        <v>1162</v>
      </c>
      <c r="C427">
        <v>2</v>
      </c>
      <c r="D427" t="s">
        <v>1163</v>
      </c>
      <c r="E427">
        <v>27</v>
      </c>
      <c r="F427">
        <v>27</v>
      </c>
      <c r="G427">
        <v>27</v>
      </c>
      <c r="H427" t="s">
        <v>1164</v>
      </c>
      <c r="I427">
        <v>39.299999999999997</v>
      </c>
      <c r="J427">
        <v>99.045000000000002</v>
      </c>
      <c r="K427" t="str">
        <f>"COPB2"</f>
        <v>COPB2</v>
      </c>
      <c r="L427" t="str">
        <f>"COPB2"</f>
        <v>COPB2</v>
      </c>
      <c r="M427">
        <v>0</v>
      </c>
      <c r="N427">
        <v>8.0505154966887407</v>
      </c>
      <c r="O427">
        <v>8.2074905476936397</v>
      </c>
      <c r="P427">
        <v>4.2608757097791798</v>
      </c>
      <c r="Q427">
        <v>2.51152398661212</v>
      </c>
      <c r="R427">
        <v>8.1007292888367601</v>
      </c>
      <c r="S427">
        <v>7.9319489932885903</v>
      </c>
      <c r="T427">
        <v>4.7379598709134303</v>
      </c>
      <c r="U427">
        <v>11.023583180987201</v>
      </c>
      <c r="V427">
        <v>7.3544517734909798</v>
      </c>
      <c r="W427">
        <v>5.1015923855567298</v>
      </c>
      <c r="X427">
        <v>6.8925199743395398</v>
      </c>
    </row>
    <row r="428" spans="1:24">
      <c r="A428">
        <v>1728</v>
      </c>
      <c r="B428" t="s">
        <v>1165</v>
      </c>
      <c r="C428">
        <v>5</v>
      </c>
      <c r="D428" t="s">
        <v>1166</v>
      </c>
      <c r="E428">
        <v>16</v>
      </c>
      <c r="F428">
        <v>3</v>
      </c>
      <c r="G428">
        <v>3</v>
      </c>
      <c r="H428" t="s">
        <v>1167</v>
      </c>
      <c r="I428">
        <v>6.6</v>
      </c>
      <c r="J428">
        <v>227.87</v>
      </c>
      <c r="K428" t="str">
        <f>"MYH14"</f>
        <v>MYH14</v>
      </c>
      <c r="L428" t="str">
        <f>"MYH14"</f>
        <v>MYH14</v>
      </c>
      <c r="M428">
        <v>4.8415571008674503</v>
      </c>
      <c r="N428">
        <v>8.0505154966887407</v>
      </c>
      <c r="O428">
        <v>7.2955471535054599</v>
      </c>
      <c r="P428">
        <v>3.19565678233438</v>
      </c>
      <c r="Q428">
        <v>3.7672859799181899</v>
      </c>
      <c r="R428">
        <v>6.3005672246508198</v>
      </c>
      <c r="S428">
        <v>3.3994067114094002</v>
      </c>
      <c r="T428">
        <v>5.9224498386417803</v>
      </c>
      <c r="U428">
        <v>4.4094332723948799</v>
      </c>
      <c r="V428">
        <v>7.3544517734909798</v>
      </c>
      <c r="W428">
        <v>5.1015923855567298</v>
      </c>
      <c r="X428">
        <v>2.9539371318597998</v>
      </c>
    </row>
    <row r="429" spans="1:24">
      <c r="A429">
        <v>2010</v>
      </c>
      <c r="B429" t="s">
        <v>1168</v>
      </c>
      <c r="C429">
        <v>1</v>
      </c>
      <c r="D429" t="s">
        <v>1169</v>
      </c>
      <c r="E429">
        <v>37</v>
      </c>
      <c r="F429">
        <v>2</v>
      </c>
      <c r="G429">
        <v>2</v>
      </c>
      <c r="H429" t="s">
        <v>1168</v>
      </c>
      <c r="I429">
        <v>73.900000000000006</v>
      </c>
      <c r="J429">
        <v>49.895000000000003</v>
      </c>
      <c r="K429" t="str">
        <f>"TUBA1C"</f>
        <v>TUBA1C</v>
      </c>
      <c r="L429" t="str">
        <f>"TUBA1C"</f>
        <v>TUBA1C</v>
      </c>
      <c r="M429">
        <v>6.0519463760843104</v>
      </c>
      <c r="N429">
        <v>6.2615120529801302</v>
      </c>
      <c r="O429">
        <v>5.4716603651290896</v>
      </c>
      <c r="P429">
        <v>7.4565324921135696</v>
      </c>
      <c r="Q429">
        <v>5.0230479732242497</v>
      </c>
      <c r="R429">
        <v>7.2006482567437899</v>
      </c>
      <c r="S429">
        <v>6.7988134228187898</v>
      </c>
      <c r="T429">
        <v>4.7379598709134303</v>
      </c>
      <c r="U429">
        <v>6.6141499085923199</v>
      </c>
      <c r="V429">
        <v>6.3038158058494096</v>
      </c>
      <c r="W429">
        <v>3.82619428916755</v>
      </c>
      <c r="X429">
        <v>5.9078742637195996</v>
      </c>
    </row>
    <row r="430" spans="1:24">
      <c r="A430">
        <v>235</v>
      </c>
      <c r="B430" t="s">
        <v>1170</v>
      </c>
      <c r="C430">
        <v>1</v>
      </c>
      <c r="D430" t="s">
        <v>1171</v>
      </c>
      <c r="E430">
        <v>15</v>
      </c>
      <c r="F430">
        <v>14</v>
      </c>
      <c r="G430">
        <v>14</v>
      </c>
      <c r="H430" t="s">
        <v>1170</v>
      </c>
      <c r="I430">
        <v>36.700000000000003</v>
      </c>
      <c r="J430">
        <v>46.658999999999999</v>
      </c>
      <c r="K430" t="str">
        <f>"IDH1"</f>
        <v>IDH1</v>
      </c>
      <c r="L430" t="str">
        <f>"IDH1"</f>
        <v>IDH1</v>
      </c>
      <c r="M430">
        <v>2.4207785504337198</v>
      </c>
      <c r="N430">
        <v>8.0505154966887407</v>
      </c>
      <c r="O430">
        <v>7.2955471535054599</v>
      </c>
      <c r="P430">
        <v>3.19565678233438</v>
      </c>
      <c r="Q430">
        <v>2.51152398661212</v>
      </c>
      <c r="R430">
        <v>5.4004861925578398</v>
      </c>
      <c r="S430">
        <v>5.6656778523489901</v>
      </c>
      <c r="T430">
        <v>5.9224498386417803</v>
      </c>
      <c r="U430">
        <v>5.5117915904936003</v>
      </c>
      <c r="V430">
        <v>8.4050877411325509</v>
      </c>
      <c r="W430">
        <v>2.5507961927783702</v>
      </c>
      <c r="X430">
        <v>3.9385828424797298</v>
      </c>
    </row>
    <row r="431" spans="1:24">
      <c r="A431">
        <v>495</v>
      </c>
      <c r="B431" t="s">
        <v>1172</v>
      </c>
      <c r="C431">
        <v>1</v>
      </c>
      <c r="D431" t="s">
        <v>1173</v>
      </c>
      <c r="E431">
        <v>10</v>
      </c>
      <c r="F431">
        <v>10</v>
      </c>
      <c r="G431">
        <v>10</v>
      </c>
      <c r="H431" t="s">
        <v>1172</v>
      </c>
      <c r="I431">
        <v>35.4</v>
      </c>
      <c r="J431">
        <v>40.786000000000001</v>
      </c>
      <c r="K431" t="str">
        <f>"UROD"</f>
        <v>UROD</v>
      </c>
      <c r="L431" t="str">
        <f>"UROD"</f>
        <v>UROD</v>
      </c>
      <c r="M431">
        <v>2.4207785504337198</v>
      </c>
      <c r="N431">
        <v>6.2615120529801302</v>
      </c>
      <c r="O431">
        <v>8.2074905476936397</v>
      </c>
      <c r="P431">
        <v>4.2608757097791798</v>
      </c>
      <c r="Q431">
        <v>3.7672859799181899</v>
      </c>
      <c r="R431">
        <v>8.1007292888367601</v>
      </c>
      <c r="S431">
        <v>6.7988134228187898</v>
      </c>
      <c r="T431">
        <v>5.9224498386417803</v>
      </c>
      <c r="U431">
        <v>8.8188665447897598</v>
      </c>
      <c r="V431">
        <v>5.2531798382078403</v>
      </c>
      <c r="W431">
        <v>3.82619428916755</v>
      </c>
      <c r="X431">
        <v>5.9078742637195996</v>
      </c>
    </row>
    <row r="432" spans="1:24">
      <c r="A432">
        <v>2307</v>
      </c>
      <c r="B432" t="s">
        <v>1174</v>
      </c>
      <c r="C432">
        <v>2</v>
      </c>
      <c r="D432" t="s">
        <v>1175</v>
      </c>
      <c r="E432">
        <v>20</v>
      </c>
      <c r="F432">
        <v>20</v>
      </c>
      <c r="G432">
        <v>20</v>
      </c>
      <c r="H432" t="s">
        <v>1176</v>
      </c>
      <c r="I432">
        <v>60.6</v>
      </c>
      <c r="J432">
        <v>38.058999999999997</v>
      </c>
      <c r="K432" t="str">
        <f>"PA2G4"</f>
        <v>PA2G4</v>
      </c>
      <c r="L432" t="str">
        <f>"PA2G4"</f>
        <v>PA2G4</v>
      </c>
      <c r="M432">
        <v>6.0519463760843104</v>
      </c>
      <c r="N432">
        <v>7.1560137748344399</v>
      </c>
      <c r="O432">
        <v>8.2074905476936397</v>
      </c>
      <c r="P432">
        <v>3.19565678233438</v>
      </c>
      <c r="Q432">
        <v>1.25576199330606</v>
      </c>
      <c r="R432">
        <v>8.1007292888367601</v>
      </c>
      <c r="S432">
        <v>6.7988134228187898</v>
      </c>
      <c r="T432">
        <v>4.7379598709134303</v>
      </c>
      <c r="U432">
        <v>2.20471663619744</v>
      </c>
      <c r="V432">
        <v>8.4050877411325509</v>
      </c>
      <c r="W432">
        <v>7.6523885783351</v>
      </c>
      <c r="X432">
        <v>5.9078742637195996</v>
      </c>
    </row>
    <row r="433" spans="1:24">
      <c r="A433">
        <v>1487</v>
      </c>
      <c r="B433" t="s">
        <v>1177</v>
      </c>
      <c r="C433">
        <v>1</v>
      </c>
      <c r="D433" t="s">
        <v>1178</v>
      </c>
      <c r="E433">
        <v>13</v>
      </c>
      <c r="F433">
        <v>13</v>
      </c>
      <c r="G433">
        <v>13</v>
      </c>
      <c r="H433" t="s">
        <v>1177</v>
      </c>
      <c r="I433">
        <v>48.6</v>
      </c>
      <c r="J433">
        <v>32.232999999999997</v>
      </c>
      <c r="K433" t="str">
        <f>"MLEC"</f>
        <v>MLEC</v>
      </c>
      <c r="L433" t="str">
        <f>"MLEC"</f>
        <v>MLEC</v>
      </c>
      <c r="M433">
        <v>4.8415571008674503</v>
      </c>
      <c r="N433">
        <v>5.3670103311258304</v>
      </c>
      <c r="O433">
        <v>8.2074905476936397</v>
      </c>
      <c r="P433">
        <v>5.3260946372239797</v>
      </c>
      <c r="Q433">
        <v>7.5345719598363701</v>
      </c>
      <c r="R433">
        <v>6.3005672246508198</v>
      </c>
      <c r="S433">
        <v>3.3994067114094002</v>
      </c>
      <c r="T433">
        <v>3.5534699031850701</v>
      </c>
      <c r="U433">
        <v>5.5117915904936003</v>
      </c>
      <c r="V433">
        <v>4.2025438705662701</v>
      </c>
      <c r="W433">
        <v>6.37699048194591</v>
      </c>
      <c r="X433">
        <v>4.92322855309967</v>
      </c>
    </row>
    <row r="434" spans="1:24">
      <c r="A434">
        <v>527</v>
      </c>
      <c r="B434" t="s">
        <v>1179</v>
      </c>
      <c r="C434">
        <v>1</v>
      </c>
      <c r="D434" t="s">
        <v>1180</v>
      </c>
      <c r="E434">
        <v>16</v>
      </c>
      <c r="F434">
        <v>16</v>
      </c>
      <c r="G434">
        <v>16</v>
      </c>
      <c r="H434" t="s">
        <v>1179</v>
      </c>
      <c r="I434">
        <v>26.9</v>
      </c>
      <c r="J434">
        <v>65.162999999999997</v>
      </c>
      <c r="K434" t="str">
        <f>"C8A"</f>
        <v>C8A</v>
      </c>
      <c r="L434" t="str">
        <f>"C8A"</f>
        <v>C8A</v>
      </c>
      <c r="M434">
        <v>13.3142820273855</v>
      </c>
      <c r="N434">
        <v>8.9450172185430503</v>
      </c>
      <c r="O434">
        <v>7.2955471535054599</v>
      </c>
      <c r="P434">
        <v>6.3913135646687698</v>
      </c>
      <c r="Q434">
        <v>8.7903339531424294</v>
      </c>
      <c r="R434">
        <v>6.3005672246508198</v>
      </c>
      <c r="S434">
        <v>5.6656778523489901</v>
      </c>
      <c r="T434">
        <v>8.2914297740984999</v>
      </c>
      <c r="U434">
        <v>3.3070749542961599</v>
      </c>
      <c r="V434">
        <v>7.3544517734909798</v>
      </c>
      <c r="W434">
        <v>8.9277866747242793</v>
      </c>
      <c r="X434">
        <v>1.96929142123987</v>
      </c>
    </row>
    <row r="435" spans="1:24">
      <c r="A435">
        <v>887</v>
      </c>
      <c r="B435" t="s">
        <v>1181</v>
      </c>
      <c r="C435">
        <v>2</v>
      </c>
      <c r="D435" t="s">
        <v>1182</v>
      </c>
      <c r="E435">
        <v>9</v>
      </c>
      <c r="F435">
        <v>9</v>
      </c>
      <c r="G435">
        <v>9</v>
      </c>
      <c r="H435" t="s">
        <v>1183</v>
      </c>
      <c r="I435">
        <v>45.4</v>
      </c>
      <c r="J435">
        <v>22.222000000000001</v>
      </c>
      <c r="K435" t="str">
        <f>"CMPK1"</f>
        <v>CMPK1</v>
      </c>
      <c r="L435" t="str">
        <f>"CMPK1"</f>
        <v>CMPK1</v>
      </c>
      <c r="M435">
        <v>6.0519463760843104</v>
      </c>
      <c r="N435">
        <v>8.0505154966887407</v>
      </c>
      <c r="O435">
        <v>5.4716603651290896</v>
      </c>
      <c r="P435">
        <v>5.3260946372239797</v>
      </c>
      <c r="Q435">
        <v>5.0230479732242497</v>
      </c>
      <c r="R435">
        <v>6.3005672246508198</v>
      </c>
      <c r="S435">
        <v>3.3994067114094002</v>
      </c>
      <c r="T435">
        <v>4.7379598709134303</v>
      </c>
      <c r="U435">
        <v>5.5117915904936003</v>
      </c>
      <c r="V435">
        <v>7.3544517734909798</v>
      </c>
      <c r="W435">
        <v>5.1015923855567298</v>
      </c>
      <c r="X435">
        <v>9.84645710619934</v>
      </c>
    </row>
    <row r="436" spans="1:24">
      <c r="A436">
        <v>88</v>
      </c>
      <c r="B436" t="s">
        <v>1184</v>
      </c>
      <c r="C436">
        <v>2</v>
      </c>
      <c r="D436" t="s">
        <v>1185</v>
      </c>
      <c r="E436">
        <v>16</v>
      </c>
      <c r="F436">
        <v>16</v>
      </c>
      <c r="G436">
        <v>16</v>
      </c>
      <c r="H436" t="s">
        <v>1186</v>
      </c>
      <c r="I436">
        <v>23.8</v>
      </c>
      <c r="J436">
        <v>84.141000000000005</v>
      </c>
      <c r="K436" t="str">
        <f>"ADAM10"</f>
        <v>ADAM10</v>
      </c>
      <c r="L436" t="str">
        <f>"ADAM10"</f>
        <v>ADAM10</v>
      </c>
      <c r="M436">
        <v>4.8415571008674503</v>
      </c>
      <c r="N436">
        <v>10.7340206622517</v>
      </c>
      <c r="O436">
        <v>8.2074905476936397</v>
      </c>
      <c r="P436">
        <v>6.3913135646687698</v>
      </c>
      <c r="Q436">
        <v>5.0230479732242497</v>
      </c>
      <c r="R436">
        <v>4.5004051604648696</v>
      </c>
      <c r="S436">
        <v>3.3994067114094002</v>
      </c>
      <c r="T436">
        <v>4.7379598709134303</v>
      </c>
      <c r="U436">
        <v>9.9212248628884794</v>
      </c>
      <c r="V436">
        <v>4.2025438705662701</v>
      </c>
      <c r="W436">
        <v>3.82619428916755</v>
      </c>
      <c r="X436">
        <v>9.84645710619934</v>
      </c>
    </row>
    <row r="437" spans="1:24">
      <c r="A437">
        <v>305</v>
      </c>
      <c r="B437" t="s">
        <v>1187</v>
      </c>
      <c r="C437">
        <v>4</v>
      </c>
      <c r="D437" t="s">
        <v>1188</v>
      </c>
      <c r="E437">
        <v>14</v>
      </c>
      <c r="F437">
        <v>14</v>
      </c>
      <c r="G437">
        <v>14</v>
      </c>
      <c r="H437" t="s">
        <v>1189</v>
      </c>
      <c r="I437">
        <v>67.5</v>
      </c>
      <c r="J437">
        <v>21.635000000000002</v>
      </c>
      <c r="K437" t="str">
        <f>"AK1;AK5"</f>
        <v>AK1;AK5</v>
      </c>
      <c r="L437" t="str">
        <f>"AK1;AK5"</f>
        <v>AK1;AK5</v>
      </c>
      <c r="M437">
        <v>3.6311678256505799</v>
      </c>
      <c r="N437">
        <v>7.1560137748344399</v>
      </c>
      <c r="O437">
        <v>9.1194339418818195</v>
      </c>
      <c r="P437">
        <v>6.3913135646687698</v>
      </c>
      <c r="Q437">
        <v>3.7672859799181899</v>
      </c>
      <c r="R437">
        <v>6.3005672246508198</v>
      </c>
      <c r="S437">
        <v>2.2662711409396001</v>
      </c>
      <c r="T437">
        <v>7.1069398063701401</v>
      </c>
      <c r="U437">
        <v>6.6141499085923199</v>
      </c>
      <c r="V437">
        <v>10.5063596764157</v>
      </c>
      <c r="W437">
        <v>3.82619428916755</v>
      </c>
      <c r="X437">
        <v>4.92322855309967</v>
      </c>
    </row>
    <row r="438" spans="1:24">
      <c r="A438">
        <v>1718</v>
      </c>
      <c r="B438" t="s">
        <v>1190</v>
      </c>
      <c r="C438">
        <v>1</v>
      </c>
      <c r="D438" t="s">
        <v>1191</v>
      </c>
      <c r="E438">
        <v>14</v>
      </c>
      <c r="F438">
        <v>14</v>
      </c>
      <c r="G438">
        <v>7</v>
      </c>
      <c r="H438" t="s">
        <v>1190</v>
      </c>
      <c r="I438">
        <v>43.8</v>
      </c>
      <c r="J438">
        <v>53.287999999999997</v>
      </c>
      <c r="K438" t="str">
        <f>"DOK3"</f>
        <v>DOK3</v>
      </c>
      <c r="L438" t="str">
        <f>"DOK3"</f>
        <v>DOK3</v>
      </c>
      <c r="M438">
        <v>4.8415571008674503</v>
      </c>
      <c r="N438">
        <v>7.1560137748344399</v>
      </c>
      <c r="O438">
        <v>10.031377336069999</v>
      </c>
      <c r="P438">
        <v>6.3913135646687698</v>
      </c>
      <c r="Q438">
        <v>5.0230479732242497</v>
      </c>
      <c r="R438">
        <v>4.5004051604648696</v>
      </c>
      <c r="S438">
        <v>4.5325422818791896</v>
      </c>
      <c r="T438">
        <v>3.5534699031850701</v>
      </c>
      <c r="U438">
        <v>4.4094332723948799</v>
      </c>
      <c r="V438">
        <v>6.3038158058494096</v>
      </c>
      <c r="W438">
        <v>2.5507961927783702</v>
      </c>
      <c r="X438">
        <v>6.8925199743395398</v>
      </c>
    </row>
    <row r="439" spans="1:24">
      <c r="A439">
        <v>345</v>
      </c>
      <c r="B439" t="s">
        <v>1192</v>
      </c>
      <c r="C439">
        <v>1</v>
      </c>
      <c r="D439" t="s">
        <v>1193</v>
      </c>
      <c r="E439">
        <v>3</v>
      </c>
      <c r="F439">
        <v>3</v>
      </c>
      <c r="G439">
        <v>2</v>
      </c>
      <c r="H439" t="s">
        <v>1192</v>
      </c>
      <c r="I439">
        <v>31.5</v>
      </c>
      <c r="J439">
        <v>11.84</v>
      </c>
      <c r="K439" t="s">
        <v>1194</v>
      </c>
      <c r="L439" t="s">
        <v>1194</v>
      </c>
      <c r="M439">
        <v>8.4727249265180298</v>
      </c>
      <c r="N439">
        <v>3.57800688741722</v>
      </c>
      <c r="O439">
        <v>6.3836037593172703</v>
      </c>
      <c r="P439">
        <v>7.4565324921135696</v>
      </c>
      <c r="Q439">
        <v>6.2788099665303099</v>
      </c>
      <c r="R439">
        <v>5.4004861925578398</v>
      </c>
      <c r="S439">
        <v>4.5325422818791896</v>
      </c>
      <c r="T439">
        <v>5.9224498386417803</v>
      </c>
      <c r="U439">
        <v>5.5117915904936003</v>
      </c>
      <c r="V439">
        <v>5.2531798382078403</v>
      </c>
      <c r="W439">
        <v>6.37699048194591</v>
      </c>
      <c r="X439">
        <v>4.92322855309967</v>
      </c>
    </row>
    <row r="440" spans="1:24">
      <c r="A440">
        <v>477</v>
      </c>
      <c r="B440" t="s">
        <v>1195</v>
      </c>
      <c r="C440">
        <v>2</v>
      </c>
      <c r="D440" t="s">
        <v>1196</v>
      </c>
      <c r="E440">
        <v>10</v>
      </c>
      <c r="F440">
        <v>10</v>
      </c>
      <c r="G440">
        <v>10</v>
      </c>
      <c r="H440" t="s">
        <v>1197</v>
      </c>
      <c r="I440">
        <v>33.299999999999997</v>
      </c>
      <c r="J440">
        <v>45.058999999999997</v>
      </c>
      <c r="K440" t="str">
        <f>"SERPINE1"</f>
        <v>SERPINE1</v>
      </c>
      <c r="L440" t="str">
        <f>"SERPINE1"</f>
        <v>SERPINE1</v>
      </c>
      <c r="M440">
        <v>6.0519463760843104</v>
      </c>
      <c r="N440">
        <v>8.9450172185430503</v>
      </c>
      <c r="O440">
        <v>7.2955471535054599</v>
      </c>
      <c r="P440">
        <v>4.2608757097791798</v>
      </c>
      <c r="Q440">
        <v>1.25576199330606</v>
      </c>
      <c r="R440">
        <v>7.2006482567437899</v>
      </c>
      <c r="S440">
        <v>6.7988134228187898</v>
      </c>
      <c r="T440">
        <v>3.5534699031850701</v>
      </c>
      <c r="U440">
        <v>3.3070749542961599</v>
      </c>
      <c r="V440">
        <v>6.3038158058494096</v>
      </c>
      <c r="W440">
        <v>6.37699048194591</v>
      </c>
      <c r="X440">
        <v>5.9078742637195996</v>
      </c>
    </row>
    <row r="441" spans="1:24">
      <c r="A441">
        <v>594</v>
      </c>
      <c r="B441" t="s">
        <v>1198</v>
      </c>
      <c r="C441">
        <v>1</v>
      </c>
      <c r="D441" t="s">
        <v>1199</v>
      </c>
      <c r="E441">
        <v>10</v>
      </c>
      <c r="F441">
        <v>3</v>
      </c>
      <c r="G441">
        <v>3</v>
      </c>
      <c r="H441" t="s">
        <v>1198</v>
      </c>
      <c r="I441">
        <v>23.6</v>
      </c>
      <c r="J441">
        <v>39.454999999999998</v>
      </c>
      <c r="K441" t="str">
        <f>"ALDOC"</f>
        <v>ALDOC</v>
      </c>
      <c r="L441" t="str">
        <f>"ALDOC"</f>
        <v>ALDOC</v>
      </c>
      <c r="M441">
        <v>4.8415571008674503</v>
      </c>
      <c r="N441">
        <v>6.2615120529801302</v>
      </c>
      <c r="O441">
        <v>7.2955471535054599</v>
      </c>
      <c r="P441">
        <v>6.3913135646687698</v>
      </c>
      <c r="Q441">
        <v>1.25576199330606</v>
      </c>
      <c r="R441">
        <v>5.4004861925578398</v>
      </c>
      <c r="S441">
        <v>3.3994067114094002</v>
      </c>
      <c r="T441">
        <v>7.1069398063701401</v>
      </c>
      <c r="U441">
        <v>5.5117915904936003</v>
      </c>
      <c r="V441">
        <v>6.3038158058494096</v>
      </c>
      <c r="W441">
        <v>7.6523885783351</v>
      </c>
      <c r="X441">
        <v>6.8925199743395398</v>
      </c>
    </row>
    <row r="442" spans="1:24">
      <c r="A442">
        <v>1511</v>
      </c>
      <c r="B442" t="s">
        <v>1200</v>
      </c>
      <c r="C442">
        <v>3</v>
      </c>
      <c r="D442" t="s">
        <v>1201</v>
      </c>
      <c r="E442">
        <v>19</v>
      </c>
      <c r="F442">
        <v>19</v>
      </c>
      <c r="G442">
        <v>19</v>
      </c>
      <c r="H442" t="s">
        <v>1202</v>
      </c>
      <c r="I442">
        <v>31.4</v>
      </c>
      <c r="J442">
        <v>68.259</v>
      </c>
      <c r="K442" t="str">
        <f>"CLINT1"</f>
        <v>CLINT1</v>
      </c>
      <c r="L442" t="str">
        <f>"CLINT1"</f>
        <v>CLINT1</v>
      </c>
      <c r="M442">
        <v>1.2103892752168599</v>
      </c>
      <c r="N442">
        <v>8.9450172185430503</v>
      </c>
      <c r="O442">
        <v>10.943320730258201</v>
      </c>
      <c r="P442">
        <v>2.1304378548895899</v>
      </c>
      <c r="Q442">
        <v>3.7672859799181899</v>
      </c>
      <c r="R442">
        <v>8.1007292888367601</v>
      </c>
      <c r="S442">
        <v>6.7988134228187898</v>
      </c>
      <c r="T442">
        <v>1.18448996772836</v>
      </c>
      <c r="U442">
        <v>6.6141499085923199</v>
      </c>
      <c r="V442">
        <v>5.2531798382078403</v>
      </c>
      <c r="W442">
        <v>6.37699048194591</v>
      </c>
      <c r="X442">
        <v>6.8925199743395398</v>
      </c>
    </row>
    <row r="443" spans="1:24">
      <c r="A443">
        <v>568</v>
      </c>
      <c r="B443" t="s">
        <v>1203</v>
      </c>
      <c r="C443">
        <v>1</v>
      </c>
      <c r="D443" t="s">
        <v>1204</v>
      </c>
      <c r="E443">
        <v>12</v>
      </c>
      <c r="F443">
        <v>12</v>
      </c>
      <c r="G443">
        <v>12</v>
      </c>
      <c r="H443" t="s">
        <v>1203</v>
      </c>
      <c r="I443">
        <v>29.7</v>
      </c>
      <c r="J443">
        <v>35.936</v>
      </c>
      <c r="K443" t="str">
        <f>"ANXA5"</f>
        <v>ANXA5</v>
      </c>
      <c r="L443" t="str">
        <f>"ANXA5"</f>
        <v>ANXA5</v>
      </c>
      <c r="M443">
        <v>4.8415571008674503</v>
      </c>
      <c r="N443">
        <v>5.3670103311258304</v>
      </c>
      <c r="O443">
        <v>6.3836037593172703</v>
      </c>
      <c r="P443">
        <v>5.3260946372239797</v>
      </c>
      <c r="Q443">
        <v>5.0230479732242497</v>
      </c>
      <c r="R443">
        <v>6.3005672246508198</v>
      </c>
      <c r="S443">
        <v>6.7988134228187898</v>
      </c>
      <c r="T443">
        <v>3.5534699031850701</v>
      </c>
      <c r="U443">
        <v>9.9212248628884794</v>
      </c>
      <c r="V443">
        <v>3.1519079029246999</v>
      </c>
      <c r="W443">
        <v>3.82619428916755</v>
      </c>
      <c r="X443">
        <v>8.8618113955793998</v>
      </c>
    </row>
    <row r="444" spans="1:24">
      <c r="A444">
        <v>1165</v>
      </c>
      <c r="B444" t="s">
        <v>1205</v>
      </c>
      <c r="C444">
        <v>1</v>
      </c>
      <c r="D444" t="s">
        <v>1206</v>
      </c>
      <c r="E444">
        <v>23</v>
      </c>
      <c r="F444">
        <v>23</v>
      </c>
      <c r="G444">
        <v>23</v>
      </c>
      <c r="H444" t="s">
        <v>1205</v>
      </c>
      <c r="I444">
        <v>33.700000000000003</v>
      </c>
      <c r="J444">
        <v>107.14</v>
      </c>
      <c r="K444" t="str">
        <f>"COPB1"</f>
        <v>COPB1</v>
      </c>
      <c r="L444" t="str">
        <f>"COPB1"</f>
        <v>COPB1</v>
      </c>
      <c r="M444">
        <v>2.4207785504337198</v>
      </c>
      <c r="N444">
        <v>5.3670103311258304</v>
      </c>
      <c r="O444">
        <v>7.2955471535054599</v>
      </c>
      <c r="P444">
        <v>3.19565678233438</v>
      </c>
      <c r="Q444">
        <v>3.7672859799181899</v>
      </c>
      <c r="R444">
        <v>4.5004051604648696</v>
      </c>
      <c r="S444">
        <v>4.5325422818791896</v>
      </c>
      <c r="T444">
        <v>1.18448996772836</v>
      </c>
      <c r="U444">
        <v>6.6141499085923199</v>
      </c>
      <c r="V444">
        <v>6.3038158058494096</v>
      </c>
      <c r="W444">
        <v>6.37699048194591</v>
      </c>
      <c r="X444">
        <v>5.9078742637195996</v>
      </c>
    </row>
    <row r="445" spans="1:24">
      <c r="A445">
        <v>755</v>
      </c>
      <c r="B445" t="s">
        <v>1207</v>
      </c>
      <c r="C445">
        <v>2</v>
      </c>
      <c r="D445" t="s">
        <v>1208</v>
      </c>
      <c r="E445">
        <v>19</v>
      </c>
      <c r="F445">
        <v>19</v>
      </c>
      <c r="G445">
        <v>19</v>
      </c>
      <c r="H445" t="s">
        <v>1209</v>
      </c>
      <c r="I445">
        <v>49.6</v>
      </c>
      <c r="J445">
        <v>49.954999999999998</v>
      </c>
      <c r="K445" t="str">
        <f>"TYMP"</f>
        <v>TYMP</v>
      </c>
      <c r="L445" t="str">
        <f>"TYMP"</f>
        <v>TYMP</v>
      </c>
      <c r="M445">
        <v>4.8415571008674503</v>
      </c>
      <c r="N445">
        <v>3.57800688741722</v>
      </c>
      <c r="O445">
        <v>6.3836037593172703</v>
      </c>
      <c r="P445">
        <v>5.3260946372239797</v>
      </c>
      <c r="Q445">
        <v>7.5345719598363701</v>
      </c>
      <c r="R445">
        <v>8.1007292888367601</v>
      </c>
      <c r="S445">
        <v>4.5325422818791896</v>
      </c>
      <c r="T445">
        <v>9.4759197418268606</v>
      </c>
      <c r="U445">
        <v>7.7165082266910403</v>
      </c>
      <c r="V445">
        <v>0</v>
      </c>
      <c r="W445">
        <v>5.1015923855567298</v>
      </c>
      <c r="X445">
        <v>4.92322855309967</v>
      </c>
    </row>
    <row r="446" spans="1:24">
      <c r="A446">
        <v>804</v>
      </c>
      <c r="B446" t="s">
        <v>1210</v>
      </c>
      <c r="C446">
        <v>4</v>
      </c>
      <c r="D446" t="s">
        <v>1211</v>
      </c>
      <c r="E446">
        <v>16</v>
      </c>
      <c r="F446">
        <v>16</v>
      </c>
      <c r="G446">
        <v>16</v>
      </c>
      <c r="H446" t="s">
        <v>1212</v>
      </c>
      <c r="I446">
        <v>31.5</v>
      </c>
      <c r="J446">
        <v>65.442999999999998</v>
      </c>
      <c r="K446" t="str">
        <f>"ME2;ME3"</f>
        <v>ME2;ME3</v>
      </c>
      <c r="L446" t="str">
        <f>"ME2;ME3"</f>
        <v>ME2;ME3</v>
      </c>
      <c r="M446">
        <v>0</v>
      </c>
      <c r="N446">
        <v>5.3670103311258304</v>
      </c>
      <c r="O446">
        <v>9.1194339418818195</v>
      </c>
      <c r="P446">
        <v>5.3260946372239797</v>
      </c>
      <c r="Q446">
        <v>2.51152398661212</v>
      </c>
      <c r="R446">
        <v>5.4004861925578398</v>
      </c>
      <c r="S446">
        <v>6.7988134228187898</v>
      </c>
      <c r="T446">
        <v>7.1069398063701401</v>
      </c>
      <c r="U446">
        <v>8.8188665447897598</v>
      </c>
      <c r="V446">
        <v>7.3544517734909798</v>
      </c>
      <c r="W446">
        <v>5.1015923855567298</v>
      </c>
      <c r="X446">
        <v>6.8925199743395398</v>
      </c>
    </row>
    <row r="447" spans="1:24">
      <c r="A447">
        <v>1431</v>
      </c>
      <c r="B447" t="s">
        <v>1213</v>
      </c>
      <c r="C447">
        <v>1</v>
      </c>
      <c r="D447" t="s">
        <v>1214</v>
      </c>
      <c r="E447">
        <v>13</v>
      </c>
      <c r="F447">
        <v>10</v>
      </c>
      <c r="G447">
        <v>10</v>
      </c>
      <c r="H447" t="s">
        <v>1213</v>
      </c>
      <c r="I447">
        <v>57.6</v>
      </c>
      <c r="J447">
        <v>30.54</v>
      </c>
      <c r="K447" t="str">
        <f>"PRDX4"</f>
        <v>PRDX4</v>
      </c>
      <c r="L447" t="str">
        <f>"PRDX4"</f>
        <v>PRDX4</v>
      </c>
      <c r="M447">
        <v>3.6311678256505799</v>
      </c>
      <c r="N447">
        <v>8.0505154966887407</v>
      </c>
      <c r="O447">
        <v>8.2074905476936397</v>
      </c>
      <c r="P447">
        <v>3.19565678233438</v>
      </c>
      <c r="Q447">
        <v>2.51152398661212</v>
      </c>
      <c r="R447">
        <v>8.1007292888367601</v>
      </c>
      <c r="S447">
        <v>2.2662711409396001</v>
      </c>
      <c r="T447">
        <v>2.3689799354567098</v>
      </c>
      <c r="U447">
        <v>8.8188665447897598</v>
      </c>
      <c r="V447">
        <v>6.3038158058494096</v>
      </c>
      <c r="W447">
        <v>7.6523885783351</v>
      </c>
      <c r="X447">
        <v>6.8925199743395398</v>
      </c>
    </row>
    <row r="448" spans="1:24">
      <c r="A448">
        <v>648</v>
      </c>
      <c r="B448" t="s">
        <v>1215</v>
      </c>
      <c r="C448">
        <v>3</v>
      </c>
      <c r="D448" t="s">
        <v>1216</v>
      </c>
      <c r="E448">
        <v>15</v>
      </c>
      <c r="F448">
        <v>15</v>
      </c>
      <c r="G448">
        <v>6</v>
      </c>
      <c r="H448" t="s">
        <v>1217</v>
      </c>
      <c r="I448">
        <v>49.3</v>
      </c>
      <c r="J448">
        <v>32.866</v>
      </c>
      <c r="K448" t="str">
        <f>"SLC25A6;SLC25A4;SLC25A31"</f>
        <v>SLC25A6;SLC25A4;SLC25A31</v>
      </c>
      <c r="L448" t="str">
        <f>"SLC25A6;SLC25A4;SLC25A31"</f>
        <v>SLC25A6;SLC25A4;SLC25A31</v>
      </c>
      <c r="M448">
        <v>7.2623356513011696</v>
      </c>
      <c r="N448">
        <v>2.6835051655629099</v>
      </c>
      <c r="O448">
        <v>2.7358301825645501</v>
      </c>
      <c r="P448">
        <v>5.3260946372239797</v>
      </c>
      <c r="Q448">
        <v>3.7672859799181899</v>
      </c>
      <c r="R448">
        <v>6.3005672246508198</v>
      </c>
      <c r="S448">
        <v>10.198220134228199</v>
      </c>
      <c r="T448">
        <v>3.5534699031850701</v>
      </c>
      <c r="U448">
        <v>14.3306581352834</v>
      </c>
      <c r="V448">
        <v>2.1012719352831399</v>
      </c>
      <c r="W448">
        <v>8.9277866747242793</v>
      </c>
      <c r="X448">
        <v>9.84645710619934</v>
      </c>
    </row>
    <row r="449" spans="1:24">
      <c r="A449">
        <v>884</v>
      </c>
      <c r="B449" t="s">
        <v>1218</v>
      </c>
      <c r="C449">
        <v>2</v>
      </c>
      <c r="D449" t="s">
        <v>1219</v>
      </c>
      <c r="E449">
        <v>9</v>
      </c>
      <c r="F449">
        <v>9</v>
      </c>
      <c r="G449">
        <v>9</v>
      </c>
      <c r="H449" t="s">
        <v>1220</v>
      </c>
      <c r="I449">
        <v>46.6</v>
      </c>
      <c r="J449">
        <v>25.838000000000001</v>
      </c>
      <c r="K449" t="str">
        <f>"PRDX3"</f>
        <v>PRDX3</v>
      </c>
      <c r="L449" t="str">
        <f>"PRDX3"</f>
        <v>PRDX3</v>
      </c>
      <c r="M449">
        <v>4.8415571008674503</v>
      </c>
      <c r="N449">
        <v>3.57800688741722</v>
      </c>
      <c r="O449">
        <v>4.5597169709409098</v>
      </c>
      <c r="P449">
        <v>6.3913135646687698</v>
      </c>
      <c r="Q449">
        <v>6.2788099665303099</v>
      </c>
      <c r="R449">
        <v>5.4004861925578398</v>
      </c>
      <c r="S449">
        <v>10.198220134228199</v>
      </c>
      <c r="T449">
        <v>8.2914297740984999</v>
      </c>
      <c r="U449">
        <v>7.7165082266910403</v>
      </c>
      <c r="V449">
        <v>4.2025438705662701</v>
      </c>
      <c r="W449">
        <v>10.2031847711135</v>
      </c>
      <c r="X449">
        <v>5.9078742637195996</v>
      </c>
    </row>
    <row r="450" spans="1:24">
      <c r="A450">
        <v>969</v>
      </c>
      <c r="B450" t="s">
        <v>1221</v>
      </c>
      <c r="C450">
        <v>3</v>
      </c>
      <c r="D450" t="s">
        <v>1222</v>
      </c>
      <c r="E450">
        <v>13</v>
      </c>
      <c r="F450">
        <v>13</v>
      </c>
      <c r="G450">
        <v>12</v>
      </c>
      <c r="H450" t="s">
        <v>1223</v>
      </c>
      <c r="I450">
        <v>42.9</v>
      </c>
      <c r="J450">
        <v>42.447000000000003</v>
      </c>
      <c r="K450" t="str">
        <f>"PPM1A"</f>
        <v>PPM1A</v>
      </c>
      <c r="L450" t="str">
        <f>"PPM1A"</f>
        <v>PPM1A</v>
      </c>
      <c r="M450">
        <v>1.2103892752168599</v>
      </c>
      <c r="N450">
        <v>8.9450172185430503</v>
      </c>
      <c r="O450">
        <v>7.2955471535054599</v>
      </c>
      <c r="P450">
        <v>6.3913135646687698</v>
      </c>
      <c r="Q450">
        <v>2.51152398661212</v>
      </c>
      <c r="R450">
        <v>5.4004861925578398</v>
      </c>
      <c r="S450">
        <v>6.7988134228187898</v>
      </c>
      <c r="T450">
        <v>9.4759197418268606</v>
      </c>
      <c r="U450">
        <v>7.7165082266910403</v>
      </c>
      <c r="V450">
        <v>3.1519079029246999</v>
      </c>
      <c r="W450">
        <v>10.2031847711135</v>
      </c>
      <c r="X450">
        <v>6.8925199743395398</v>
      </c>
    </row>
    <row r="451" spans="1:24">
      <c r="A451">
        <v>1066</v>
      </c>
      <c r="B451" t="s">
        <v>1224</v>
      </c>
      <c r="C451">
        <v>2</v>
      </c>
      <c r="D451" t="s">
        <v>1225</v>
      </c>
      <c r="E451">
        <v>18</v>
      </c>
      <c r="F451">
        <v>18</v>
      </c>
      <c r="G451">
        <v>18</v>
      </c>
      <c r="H451" t="s">
        <v>1226</v>
      </c>
      <c r="I451">
        <v>38</v>
      </c>
      <c r="J451">
        <v>57.21</v>
      </c>
      <c r="K451" t="str">
        <f>"ARCN1"</f>
        <v>ARCN1</v>
      </c>
      <c r="L451" t="str">
        <f>"ARCN1"</f>
        <v>ARCN1</v>
      </c>
      <c r="M451">
        <v>2.4207785504337198</v>
      </c>
      <c r="N451">
        <v>6.2615120529801302</v>
      </c>
      <c r="O451">
        <v>5.4716603651290896</v>
      </c>
      <c r="P451">
        <v>6.3913135646687698</v>
      </c>
      <c r="Q451">
        <v>6.2788099665303099</v>
      </c>
      <c r="R451">
        <v>5.4004861925578398</v>
      </c>
      <c r="S451">
        <v>9.0650845637583899</v>
      </c>
      <c r="T451">
        <v>1.18448996772836</v>
      </c>
      <c r="U451">
        <v>5.5117915904936003</v>
      </c>
      <c r="V451">
        <v>5.2531798382078403</v>
      </c>
      <c r="W451">
        <v>3.82619428916755</v>
      </c>
      <c r="X451">
        <v>9.84645710619934</v>
      </c>
    </row>
    <row r="452" spans="1:24">
      <c r="A452">
        <v>1333</v>
      </c>
      <c r="B452" t="s">
        <v>1227</v>
      </c>
      <c r="C452">
        <v>2</v>
      </c>
      <c r="D452" t="s">
        <v>1228</v>
      </c>
      <c r="E452">
        <v>15</v>
      </c>
      <c r="F452">
        <v>15</v>
      </c>
      <c r="G452">
        <v>15</v>
      </c>
      <c r="H452" t="s">
        <v>1229</v>
      </c>
      <c r="I452">
        <v>36.6</v>
      </c>
      <c r="J452">
        <v>39.957999999999998</v>
      </c>
      <c r="K452" t="str">
        <f>"SLC25A3"</f>
        <v>SLC25A3</v>
      </c>
      <c r="L452" t="str">
        <f>"SLC25A3"</f>
        <v>SLC25A3</v>
      </c>
      <c r="M452">
        <v>7.2623356513011696</v>
      </c>
      <c r="N452">
        <v>4.4725086092715198</v>
      </c>
      <c r="O452">
        <v>2.7358301825645501</v>
      </c>
      <c r="P452">
        <v>5.3260946372239797</v>
      </c>
      <c r="Q452">
        <v>5.0230479732242497</v>
      </c>
      <c r="R452">
        <v>4.5004051604648696</v>
      </c>
      <c r="S452">
        <v>6.7988134228187898</v>
      </c>
      <c r="T452">
        <v>4.7379598709134303</v>
      </c>
      <c r="U452">
        <v>7.7165082266910403</v>
      </c>
      <c r="V452">
        <v>4.2025438705662701</v>
      </c>
      <c r="W452">
        <v>8.9277866747242793</v>
      </c>
      <c r="X452">
        <v>3.9385828424797298</v>
      </c>
    </row>
    <row r="453" spans="1:24">
      <c r="A453">
        <v>1909</v>
      </c>
      <c r="B453" t="s">
        <v>1230</v>
      </c>
      <c r="C453">
        <v>1</v>
      </c>
      <c r="D453" t="s">
        <v>1231</v>
      </c>
      <c r="E453">
        <v>8</v>
      </c>
      <c r="F453">
        <v>8</v>
      </c>
      <c r="G453">
        <v>8</v>
      </c>
      <c r="H453" t="s">
        <v>1230</v>
      </c>
      <c r="I453">
        <v>35.4</v>
      </c>
      <c r="J453">
        <v>41.176000000000002</v>
      </c>
      <c r="K453" t="str">
        <f>"ESAM"</f>
        <v>ESAM</v>
      </c>
      <c r="L453" t="str">
        <f>"ESAM"</f>
        <v>ESAM</v>
      </c>
      <c r="M453">
        <v>3.6311678256505799</v>
      </c>
      <c r="N453">
        <v>4.4725086092715198</v>
      </c>
      <c r="O453">
        <v>7.2955471535054599</v>
      </c>
      <c r="P453">
        <v>8.5217514195583597</v>
      </c>
      <c r="Q453">
        <v>5.0230479732242497</v>
      </c>
      <c r="R453">
        <v>7.2006482567437899</v>
      </c>
      <c r="S453">
        <v>7.9319489932885903</v>
      </c>
      <c r="T453">
        <v>4.7379598709134303</v>
      </c>
      <c r="U453">
        <v>8.8188665447897598</v>
      </c>
      <c r="V453">
        <v>5.2531798382078403</v>
      </c>
      <c r="W453">
        <v>7.6523885783351</v>
      </c>
      <c r="X453">
        <v>5.9078742637195996</v>
      </c>
    </row>
    <row r="454" spans="1:24">
      <c r="A454">
        <v>2150</v>
      </c>
      <c r="B454" t="s">
        <v>1232</v>
      </c>
      <c r="C454">
        <v>3</v>
      </c>
      <c r="D454" t="s">
        <v>1233</v>
      </c>
      <c r="E454">
        <v>15</v>
      </c>
      <c r="F454">
        <v>15</v>
      </c>
      <c r="G454">
        <v>15</v>
      </c>
      <c r="H454" t="s">
        <v>1234</v>
      </c>
      <c r="I454">
        <v>57.1</v>
      </c>
      <c r="J454">
        <v>22.367000000000001</v>
      </c>
      <c r="K454" t="str">
        <f>"SAR1A;SAR1B"</f>
        <v>SAR1A;SAR1B</v>
      </c>
      <c r="L454" t="str">
        <f>"SAR1A;SAR1B"</f>
        <v>SAR1A;SAR1B</v>
      </c>
      <c r="M454">
        <v>6.0519463760843104</v>
      </c>
      <c r="N454">
        <v>2.6835051655629099</v>
      </c>
      <c r="O454">
        <v>2.7358301825645501</v>
      </c>
      <c r="P454">
        <v>6.3913135646687698</v>
      </c>
      <c r="Q454">
        <v>1.25576199330606</v>
      </c>
      <c r="R454">
        <v>7.2006482567437899</v>
      </c>
      <c r="S454">
        <v>6.7988134228187898</v>
      </c>
      <c r="T454">
        <v>5.9224498386417803</v>
      </c>
      <c r="U454">
        <v>5.5117915904936003</v>
      </c>
      <c r="V454">
        <v>8.4050877411325509</v>
      </c>
      <c r="W454">
        <v>7.6523885783351</v>
      </c>
      <c r="X454">
        <v>6.8925199743395398</v>
      </c>
    </row>
    <row r="455" spans="1:24">
      <c r="A455">
        <v>1013</v>
      </c>
      <c r="B455" t="s">
        <v>1235</v>
      </c>
      <c r="C455">
        <v>1</v>
      </c>
      <c r="D455" t="s">
        <v>1236</v>
      </c>
      <c r="E455">
        <v>20</v>
      </c>
      <c r="F455">
        <v>20</v>
      </c>
      <c r="G455">
        <v>20</v>
      </c>
      <c r="H455" t="s">
        <v>1235</v>
      </c>
      <c r="I455">
        <v>31.7</v>
      </c>
      <c r="J455">
        <v>83.165000000000006</v>
      </c>
      <c r="K455" t="str">
        <f>"GARS"</f>
        <v>GARS</v>
      </c>
      <c r="L455" t="str">
        <f>"GARS"</f>
        <v>GARS</v>
      </c>
      <c r="M455">
        <v>3.6311678256505799</v>
      </c>
      <c r="N455">
        <v>7.1560137748344399</v>
      </c>
      <c r="O455">
        <v>6.3836037593172703</v>
      </c>
      <c r="P455">
        <v>3.19565678233438</v>
      </c>
      <c r="Q455">
        <v>3.7672859799181899</v>
      </c>
      <c r="R455">
        <v>5.4004861925578398</v>
      </c>
      <c r="S455">
        <v>4.5325422818791896</v>
      </c>
      <c r="T455">
        <v>4.7379598709134303</v>
      </c>
      <c r="U455">
        <v>2.20471663619744</v>
      </c>
      <c r="V455">
        <v>3.1519079029246999</v>
      </c>
      <c r="W455">
        <v>8.9277866747242793</v>
      </c>
      <c r="X455">
        <v>7.8771656849594702</v>
      </c>
    </row>
    <row r="456" spans="1:24">
      <c r="A456">
        <v>878</v>
      </c>
      <c r="B456" t="s">
        <v>1237</v>
      </c>
      <c r="C456">
        <v>2</v>
      </c>
      <c r="D456" t="s">
        <v>1238</v>
      </c>
      <c r="E456">
        <v>9</v>
      </c>
      <c r="F456">
        <v>9</v>
      </c>
      <c r="G456">
        <v>9</v>
      </c>
      <c r="H456" t="s">
        <v>1239</v>
      </c>
      <c r="I456">
        <v>34.5</v>
      </c>
      <c r="J456">
        <v>28.992999999999999</v>
      </c>
      <c r="K456" t="str">
        <f>"ERP29"</f>
        <v>ERP29</v>
      </c>
      <c r="L456" t="str">
        <f>"ERP29"</f>
        <v>ERP29</v>
      </c>
      <c r="M456">
        <v>3.6311678256505799</v>
      </c>
      <c r="N456">
        <v>3.57800688741722</v>
      </c>
      <c r="O456">
        <v>3.64777357675273</v>
      </c>
      <c r="P456">
        <v>6.3913135646687698</v>
      </c>
      <c r="Q456">
        <v>5.0230479732242497</v>
      </c>
      <c r="R456">
        <v>5.4004861925578398</v>
      </c>
      <c r="S456">
        <v>9.0650845637583899</v>
      </c>
      <c r="T456">
        <v>4.7379598709134303</v>
      </c>
      <c r="U456">
        <v>7.7165082266910403</v>
      </c>
      <c r="V456">
        <v>8.4050877411325509</v>
      </c>
      <c r="W456">
        <v>6.37699048194591</v>
      </c>
      <c r="X456">
        <v>9.84645710619934</v>
      </c>
    </row>
    <row r="457" spans="1:24">
      <c r="A457">
        <v>929</v>
      </c>
      <c r="B457" t="s">
        <v>1240</v>
      </c>
      <c r="C457">
        <v>2</v>
      </c>
      <c r="D457" t="s">
        <v>1241</v>
      </c>
      <c r="E457">
        <v>19</v>
      </c>
      <c r="F457">
        <v>19</v>
      </c>
      <c r="G457">
        <v>19</v>
      </c>
      <c r="H457" t="s">
        <v>1242</v>
      </c>
      <c r="I457">
        <v>39.9</v>
      </c>
      <c r="J457">
        <v>64.522999999999996</v>
      </c>
      <c r="K457" t="str">
        <f>"ATIC"</f>
        <v>ATIC</v>
      </c>
      <c r="L457" t="str">
        <f>"ATIC"</f>
        <v>ATIC</v>
      </c>
      <c r="M457">
        <v>2.4207785504337198</v>
      </c>
      <c r="N457">
        <v>5.3670103311258304</v>
      </c>
      <c r="O457">
        <v>5.4716603651290896</v>
      </c>
      <c r="P457">
        <v>4.2608757097791798</v>
      </c>
      <c r="Q457">
        <v>8.7903339531424294</v>
      </c>
      <c r="R457">
        <v>6.3005672246508198</v>
      </c>
      <c r="S457">
        <v>6.7988134228187898</v>
      </c>
      <c r="T457">
        <v>2.3689799354567098</v>
      </c>
      <c r="U457">
        <v>5.5117915904936003</v>
      </c>
      <c r="V457">
        <v>7.3544517734909798</v>
      </c>
      <c r="W457">
        <v>3.82619428916755</v>
      </c>
      <c r="X457">
        <v>5.9078742637195996</v>
      </c>
    </row>
    <row r="458" spans="1:24">
      <c r="A458">
        <v>296</v>
      </c>
      <c r="B458" t="s">
        <v>1243</v>
      </c>
      <c r="C458">
        <v>5</v>
      </c>
      <c r="D458" t="s">
        <v>1244</v>
      </c>
      <c r="E458">
        <v>14</v>
      </c>
      <c r="F458">
        <v>14</v>
      </c>
      <c r="G458">
        <v>14</v>
      </c>
      <c r="H458" t="s">
        <v>1245</v>
      </c>
      <c r="I458">
        <v>36.5</v>
      </c>
      <c r="J458">
        <v>51.7</v>
      </c>
      <c r="K458" t="str">
        <f>"GSR"</f>
        <v>GSR</v>
      </c>
      <c r="L458" t="str">
        <f>"GSR"</f>
        <v>GSR</v>
      </c>
      <c r="M458">
        <v>3.6311678256505799</v>
      </c>
      <c r="N458">
        <v>7.1560137748344399</v>
      </c>
      <c r="O458">
        <v>4.5597169709409098</v>
      </c>
      <c r="P458">
        <v>8.5217514195583597</v>
      </c>
      <c r="Q458">
        <v>1.25576199330606</v>
      </c>
      <c r="R458">
        <v>8.1007292888367601</v>
      </c>
      <c r="S458">
        <v>6.7988134228187898</v>
      </c>
      <c r="T458">
        <v>4.7379598709134303</v>
      </c>
      <c r="U458">
        <v>6.6141499085923199</v>
      </c>
      <c r="V458">
        <v>6.3038158058494096</v>
      </c>
      <c r="W458">
        <v>7.6523885783351</v>
      </c>
      <c r="X458">
        <v>8.8618113955793998</v>
      </c>
    </row>
    <row r="459" spans="1:24">
      <c r="A459">
        <v>743</v>
      </c>
      <c r="B459" t="s">
        <v>1246</v>
      </c>
      <c r="C459">
        <v>3</v>
      </c>
      <c r="D459" t="s">
        <v>1247</v>
      </c>
      <c r="E459">
        <v>13</v>
      </c>
      <c r="F459">
        <v>13</v>
      </c>
      <c r="G459">
        <v>13</v>
      </c>
      <c r="H459" t="s">
        <v>1248</v>
      </c>
      <c r="I459">
        <v>54.3</v>
      </c>
      <c r="J459">
        <v>28.803999999999998</v>
      </c>
      <c r="K459" t="str">
        <f>"PGAM1;PGAM2;PGAM4"</f>
        <v>PGAM1;PGAM2;PGAM4</v>
      </c>
      <c r="L459" t="str">
        <f>"PGAM1;PGAM2;PGAM4"</f>
        <v>PGAM1;PGAM2;PGAM4</v>
      </c>
      <c r="M459">
        <v>6.0519463760843104</v>
      </c>
      <c r="N459">
        <v>3.57800688741722</v>
      </c>
      <c r="O459">
        <v>5.4716603651290896</v>
      </c>
      <c r="P459">
        <v>8.5217514195583597</v>
      </c>
      <c r="Q459">
        <v>7.5345719598363701</v>
      </c>
      <c r="R459">
        <v>8.1007292888367601</v>
      </c>
      <c r="S459">
        <v>5.6656778523489901</v>
      </c>
      <c r="T459">
        <v>4.7379598709134303</v>
      </c>
      <c r="U459">
        <v>5.5117915904936003</v>
      </c>
      <c r="V459">
        <v>4.2025438705662701</v>
      </c>
      <c r="W459">
        <v>7.6523885783351</v>
      </c>
      <c r="X459">
        <v>5.9078742637195996</v>
      </c>
    </row>
    <row r="460" spans="1:24">
      <c r="A460">
        <v>1006</v>
      </c>
      <c r="B460" t="s">
        <v>1249</v>
      </c>
      <c r="C460">
        <v>3</v>
      </c>
      <c r="D460" t="s">
        <v>1250</v>
      </c>
      <c r="E460">
        <v>12</v>
      </c>
      <c r="F460">
        <v>12</v>
      </c>
      <c r="G460">
        <v>12</v>
      </c>
      <c r="H460" t="s">
        <v>1251</v>
      </c>
      <c r="I460">
        <v>44.3</v>
      </c>
      <c r="J460">
        <v>36.426000000000002</v>
      </c>
      <c r="K460" t="str">
        <f>"MDH1"</f>
        <v>MDH1</v>
      </c>
      <c r="L460" t="str">
        <f>"MDH1"</f>
        <v>MDH1</v>
      </c>
      <c r="M460">
        <v>7.2623356513011696</v>
      </c>
      <c r="N460">
        <v>3.57800688741722</v>
      </c>
      <c r="O460">
        <v>4.5597169709409098</v>
      </c>
      <c r="P460">
        <v>8.5217514195583597</v>
      </c>
      <c r="Q460">
        <v>6.2788099665303099</v>
      </c>
      <c r="R460">
        <v>8.1007292888367601</v>
      </c>
      <c r="S460">
        <v>9.0650845637583899</v>
      </c>
      <c r="T460">
        <v>5.9224498386417803</v>
      </c>
      <c r="U460">
        <v>8.8188665447897598</v>
      </c>
      <c r="V460">
        <v>5.2531798382078403</v>
      </c>
      <c r="W460">
        <v>10.2031847711135</v>
      </c>
      <c r="X460">
        <v>3.9385828424797298</v>
      </c>
    </row>
    <row r="461" spans="1:24">
      <c r="A461">
        <v>1273</v>
      </c>
      <c r="B461" t="s">
        <v>1252</v>
      </c>
      <c r="C461">
        <v>1</v>
      </c>
      <c r="D461" t="s">
        <v>1253</v>
      </c>
      <c r="E461">
        <v>12</v>
      </c>
      <c r="F461">
        <v>12</v>
      </c>
      <c r="G461">
        <v>12</v>
      </c>
      <c r="H461" t="s">
        <v>1252</v>
      </c>
      <c r="I461">
        <v>48.6</v>
      </c>
      <c r="J461">
        <v>24.422999999999998</v>
      </c>
      <c r="K461" t="str">
        <f>"RAN"</f>
        <v>RAN</v>
      </c>
      <c r="L461" t="str">
        <f>"RAN"</f>
        <v>RAN</v>
      </c>
      <c r="M461">
        <v>7.2623356513011696</v>
      </c>
      <c r="N461">
        <v>4.4725086092715198</v>
      </c>
      <c r="O461">
        <v>4.5597169709409098</v>
      </c>
      <c r="P461">
        <v>5.3260946372239797</v>
      </c>
      <c r="Q461">
        <v>3.7672859799181899</v>
      </c>
      <c r="R461">
        <v>7.2006482567437899</v>
      </c>
      <c r="S461">
        <v>2.2662711409396001</v>
      </c>
      <c r="T461">
        <v>3.5534699031850701</v>
      </c>
      <c r="U461">
        <v>8.8188665447897598</v>
      </c>
      <c r="V461">
        <v>5.2531798382078403</v>
      </c>
      <c r="W461">
        <v>3.82619428916755</v>
      </c>
      <c r="X461">
        <v>8.8618113955793998</v>
      </c>
    </row>
    <row r="462" spans="1:24">
      <c r="A462">
        <v>1392</v>
      </c>
      <c r="B462" t="s">
        <v>1254</v>
      </c>
      <c r="C462">
        <v>1</v>
      </c>
      <c r="D462" t="s">
        <v>1255</v>
      </c>
      <c r="E462">
        <v>19</v>
      </c>
      <c r="F462">
        <v>19</v>
      </c>
      <c r="G462">
        <v>19</v>
      </c>
      <c r="H462" t="s">
        <v>1254</v>
      </c>
      <c r="I462">
        <v>38.799999999999997</v>
      </c>
      <c r="J462">
        <v>65.33</v>
      </c>
      <c r="K462" t="str">
        <f>"LGALS3BP"</f>
        <v>LGALS3BP</v>
      </c>
      <c r="L462" t="str">
        <f>"LGALS3BP"</f>
        <v>LGALS3BP</v>
      </c>
      <c r="M462">
        <v>4.8415571008674503</v>
      </c>
      <c r="N462">
        <v>0.89450172185430499</v>
      </c>
      <c r="O462">
        <v>1.8238867883763601</v>
      </c>
      <c r="P462">
        <v>3.19565678233438</v>
      </c>
      <c r="Q462">
        <v>3.7672859799181899</v>
      </c>
      <c r="R462">
        <v>11.7010534172087</v>
      </c>
      <c r="S462">
        <v>15.8638979865772</v>
      </c>
      <c r="T462">
        <v>9.4759197418268606</v>
      </c>
      <c r="U462">
        <v>4.4094332723948799</v>
      </c>
      <c r="V462">
        <v>3.1519079029246999</v>
      </c>
      <c r="W462">
        <v>3.82619428916755</v>
      </c>
      <c r="X462">
        <v>5.9078742637195996</v>
      </c>
    </row>
    <row r="463" spans="1:24">
      <c r="A463">
        <v>395</v>
      </c>
      <c r="B463" t="s">
        <v>1256</v>
      </c>
      <c r="C463">
        <v>1</v>
      </c>
      <c r="D463" t="s">
        <v>1257</v>
      </c>
      <c r="E463">
        <v>15</v>
      </c>
      <c r="F463">
        <v>8</v>
      </c>
      <c r="G463">
        <v>8</v>
      </c>
      <c r="H463" t="s">
        <v>1256</v>
      </c>
      <c r="I463">
        <v>95.2</v>
      </c>
      <c r="J463">
        <v>16.055</v>
      </c>
      <c r="K463" t="str">
        <f>"HBD"</f>
        <v>HBD</v>
      </c>
      <c r="L463" t="str">
        <f>"HBD"</f>
        <v>HBD</v>
      </c>
      <c r="M463">
        <v>3.6311678256505799</v>
      </c>
      <c r="N463">
        <v>2.6835051655629099</v>
      </c>
      <c r="O463">
        <v>0.91194339418818204</v>
      </c>
      <c r="P463">
        <v>15.9782839116719</v>
      </c>
      <c r="Q463">
        <v>7.5345719598363701</v>
      </c>
      <c r="R463">
        <v>13.501215481394601</v>
      </c>
      <c r="S463">
        <v>12.4644912751678</v>
      </c>
      <c r="T463">
        <v>8.2914297740984999</v>
      </c>
      <c r="U463">
        <v>7.7165082266910403</v>
      </c>
      <c r="V463">
        <v>4.2025438705662701</v>
      </c>
      <c r="W463">
        <v>2.5507961927783702</v>
      </c>
      <c r="X463">
        <v>0</v>
      </c>
    </row>
    <row r="464" spans="1:24">
      <c r="A464">
        <v>489</v>
      </c>
      <c r="B464" t="s">
        <v>1258</v>
      </c>
      <c r="C464">
        <v>2</v>
      </c>
      <c r="D464" t="s">
        <v>1259</v>
      </c>
      <c r="E464">
        <v>11</v>
      </c>
      <c r="F464">
        <v>11</v>
      </c>
      <c r="G464">
        <v>11</v>
      </c>
      <c r="H464" t="s">
        <v>1260</v>
      </c>
      <c r="I464">
        <v>33.299999999999997</v>
      </c>
      <c r="J464">
        <v>46.323999999999998</v>
      </c>
      <c r="K464" t="str">
        <f>"SERPINA7"</f>
        <v>SERPINA7</v>
      </c>
      <c r="L464" t="str">
        <f>"SERPINA7"</f>
        <v>SERPINA7</v>
      </c>
      <c r="M464">
        <v>4.8415571008674503</v>
      </c>
      <c r="N464">
        <v>2.6835051655629099</v>
      </c>
      <c r="O464">
        <v>8.2074905476936397</v>
      </c>
      <c r="P464">
        <v>8.5217514195583597</v>
      </c>
      <c r="Q464">
        <v>10.046095946448499</v>
      </c>
      <c r="R464">
        <v>3.6003241283718901</v>
      </c>
      <c r="S464">
        <v>5.6656778523489901</v>
      </c>
      <c r="T464">
        <v>7.1069398063701401</v>
      </c>
      <c r="U464">
        <v>2.20471663619744</v>
      </c>
      <c r="V464">
        <v>6.3038158058494096</v>
      </c>
      <c r="W464">
        <v>6.37699048194591</v>
      </c>
      <c r="X464">
        <v>8.8618113955793998</v>
      </c>
    </row>
    <row r="465" spans="1:24">
      <c r="A465">
        <v>616</v>
      </c>
      <c r="B465" t="s">
        <v>1261</v>
      </c>
      <c r="C465">
        <v>2</v>
      </c>
      <c r="D465" t="s">
        <v>1262</v>
      </c>
      <c r="E465">
        <v>12</v>
      </c>
      <c r="F465">
        <v>12</v>
      </c>
      <c r="G465">
        <v>12</v>
      </c>
      <c r="H465" t="s">
        <v>1263</v>
      </c>
      <c r="I465">
        <v>31.7</v>
      </c>
      <c r="J465">
        <v>52.488</v>
      </c>
      <c r="K465" t="str">
        <f>"CTSA"</f>
        <v>CTSA</v>
      </c>
      <c r="L465" t="str">
        <f>"CTSA"</f>
        <v>CTSA</v>
      </c>
      <c r="M465">
        <v>4.8415571008674503</v>
      </c>
      <c r="N465">
        <v>7.1560137748344399</v>
      </c>
      <c r="O465">
        <v>3.64777357675273</v>
      </c>
      <c r="P465">
        <v>3.19565678233438</v>
      </c>
      <c r="Q465">
        <v>1.25576199330606</v>
      </c>
      <c r="R465">
        <v>5.4004861925578398</v>
      </c>
      <c r="S465">
        <v>4.5325422818791896</v>
      </c>
      <c r="T465">
        <v>7.1069398063701401</v>
      </c>
      <c r="U465">
        <v>3.3070749542961599</v>
      </c>
      <c r="V465">
        <v>4.2025438705662701</v>
      </c>
      <c r="W465">
        <v>5.1015923855567298</v>
      </c>
      <c r="X465">
        <v>11.815748527439199</v>
      </c>
    </row>
    <row r="466" spans="1:24">
      <c r="A466">
        <v>1930</v>
      </c>
      <c r="B466" t="s">
        <v>1264</v>
      </c>
      <c r="C466">
        <v>2</v>
      </c>
      <c r="D466" t="s">
        <v>1265</v>
      </c>
      <c r="E466">
        <v>13</v>
      </c>
      <c r="F466">
        <v>13</v>
      </c>
      <c r="G466">
        <v>13</v>
      </c>
      <c r="H466" t="s">
        <v>1266</v>
      </c>
      <c r="I466">
        <v>50.6</v>
      </c>
      <c r="J466">
        <v>31.283999999999999</v>
      </c>
      <c r="K466" t="str">
        <f>"OTUB1"</f>
        <v>OTUB1</v>
      </c>
      <c r="L466" t="str">
        <f>"OTUB1"</f>
        <v>OTUB1</v>
      </c>
      <c r="M466">
        <v>3.6311678256505799</v>
      </c>
      <c r="N466">
        <v>4.4725086092715198</v>
      </c>
      <c r="O466">
        <v>7.2955471535054599</v>
      </c>
      <c r="P466">
        <v>6.3913135646687698</v>
      </c>
      <c r="Q466">
        <v>3.7672859799181899</v>
      </c>
      <c r="R466">
        <v>6.3005672246508198</v>
      </c>
      <c r="S466">
        <v>5.6656778523489901</v>
      </c>
      <c r="T466">
        <v>5.9224498386417803</v>
      </c>
      <c r="U466">
        <v>5.5117915904936003</v>
      </c>
      <c r="V466">
        <v>4.2025438705662701</v>
      </c>
      <c r="W466">
        <v>3.82619428916755</v>
      </c>
      <c r="X466">
        <v>5.9078742637195996</v>
      </c>
    </row>
    <row r="467" spans="1:24">
      <c r="A467">
        <v>413</v>
      </c>
      <c r="B467" t="s">
        <v>1267</v>
      </c>
      <c r="C467">
        <v>1</v>
      </c>
      <c r="D467" t="s">
        <v>1268</v>
      </c>
      <c r="E467">
        <v>6</v>
      </c>
      <c r="F467">
        <v>6</v>
      </c>
      <c r="G467">
        <v>6</v>
      </c>
      <c r="H467" t="s">
        <v>1267</v>
      </c>
      <c r="I467">
        <v>26.1</v>
      </c>
      <c r="J467">
        <v>25.773</v>
      </c>
      <c r="K467" t="str">
        <f>"C1QC"</f>
        <v>C1QC</v>
      </c>
      <c r="L467" t="str">
        <f>"C1QC"</f>
        <v>C1QC</v>
      </c>
      <c r="M467">
        <v>4.8415571008674503</v>
      </c>
      <c r="N467">
        <v>5.3670103311258304</v>
      </c>
      <c r="O467">
        <v>6.3836037593172703</v>
      </c>
      <c r="P467">
        <v>6.3913135646687698</v>
      </c>
      <c r="Q467">
        <v>8.7903339531424294</v>
      </c>
      <c r="R467">
        <v>4.5004051604648696</v>
      </c>
      <c r="S467">
        <v>3.3994067114094002</v>
      </c>
      <c r="T467">
        <v>7.1069398063701401</v>
      </c>
      <c r="U467">
        <v>2.20471663619744</v>
      </c>
      <c r="V467">
        <v>5.2531798382078403</v>
      </c>
      <c r="W467">
        <v>7.6523885783351</v>
      </c>
      <c r="X467">
        <v>3.9385828424797298</v>
      </c>
    </row>
    <row r="468" spans="1:24">
      <c r="A468">
        <v>1088</v>
      </c>
      <c r="B468" t="s">
        <v>1269</v>
      </c>
      <c r="C468">
        <v>1</v>
      </c>
      <c r="D468" t="s">
        <v>1270</v>
      </c>
      <c r="E468">
        <v>16</v>
      </c>
      <c r="F468">
        <v>16</v>
      </c>
      <c r="G468">
        <v>16</v>
      </c>
      <c r="H468" t="s">
        <v>1269</v>
      </c>
      <c r="I468">
        <v>39.4</v>
      </c>
      <c r="J468">
        <v>49.540999999999997</v>
      </c>
      <c r="K468" t="str">
        <f>"TUFM"</f>
        <v>TUFM</v>
      </c>
      <c r="L468" t="str">
        <f>"TUFM"</f>
        <v>TUFM</v>
      </c>
      <c r="M468">
        <v>3.6311678256505799</v>
      </c>
      <c r="N468">
        <v>4.4725086092715198</v>
      </c>
      <c r="O468">
        <v>6.3836037593172703</v>
      </c>
      <c r="P468">
        <v>4.2608757097791798</v>
      </c>
      <c r="Q468">
        <v>2.51152398661212</v>
      </c>
      <c r="R468">
        <v>6.3005672246508198</v>
      </c>
      <c r="S468">
        <v>3.3994067114094002</v>
      </c>
      <c r="T468">
        <v>1.18448996772836</v>
      </c>
      <c r="U468">
        <v>2.20471663619744</v>
      </c>
      <c r="V468">
        <v>8.4050877411325509</v>
      </c>
      <c r="W468">
        <v>3.82619428916755</v>
      </c>
      <c r="X468">
        <v>4.92322855309967</v>
      </c>
    </row>
    <row r="469" spans="1:24">
      <c r="A469">
        <v>1811</v>
      </c>
      <c r="B469" t="s">
        <v>1271</v>
      </c>
      <c r="C469">
        <v>3</v>
      </c>
      <c r="D469" t="s">
        <v>1272</v>
      </c>
      <c r="E469">
        <v>26</v>
      </c>
      <c r="F469">
        <v>26</v>
      </c>
      <c r="G469">
        <v>25</v>
      </c>
      <c r="H469" t="s">
        <v>1273</v>
      </c>
      <c r="I469">
        <v>49.5</v>
      </c>
      <c r="J469">
        <v>74.492999999999995</v>
      </c>
      <c r="K469" t="str">
        <f>"APPL2"</f>
        <v>APPL2</v>
      </c>
      <c r="L469" t="str">
        <f>"APPL2"</f>
        <v>APPL2</v>
      </c>
      <c r="M469">
        <v>2.4207785504337198</v>
      </c>
      <c r="N469">
        <v>7.1560137748344399</v>
      </c>
      <c r="O469">
        <v>11.8552641244464</v>
      </c>
      <c r="P469">
        <v>6.3913135646687698</v>
      </c>
      <c r="Q469">
        <v>1.25576199330606</v>
      </c>
      <c r="R469">
        <v>7.2006482567437899</v>
      </c>
      <c r="S469">
        <v>3.3994067114094002</v>
      </c>
      <c r="T469">
        <v>2.3689799354567098</v>
      </c>
      <c r="U469">
        <v>2.20471663619744</v>
      </c>
      <c r="V469">
        <v>4.2025438705662701</v>
      </c>
      <c r="W469">
        <v>3.82619428916755</v>
      </c>
      <c r="X469">
        <v>4.92322855309967</v>
      </c>
    </row>
    <row r="470" spans="1:24">
      <c r="A470">
        <v>160</v>
      </c>
      <c r="B470" t="s">
        <v>1274</v>
      </c>
      <c r="C470">
        <v>3</v>
      </c>
      <c r="D470" t="s">
        <v>1275</v>
      </c>
      <c r="E470">
        <v>9</v>
      </c>
      <c r="F470">
        <v>9</v>
      </c>
      <c r="G470">
        <v>9</v>
      </c>
      <c r="H470" t="s">
        <v>1276</v>
      </c>
      <c r="I470">
        <v>61.3</v>
      </c>
      <c r="J470">
        <v>21.21</v>
      </c>
      <c r="K470" t="str">
        <f>"RGS10"</f>
        <v>RGS10</v>
      </c>
      <c r="L470" t="str">
        <f>"RGS10"</f>
        <v>RGS10</v>
      </c>
      <c r="M470">
        <v>4.8415571008674503</v>
      </c>
      <c r="N470">
        <v>7.1560137748344399</v>
      </c>
      <c r="O470">
        <v>6.3836037593172703</v>
      </c>
      <c r="P470">
        <v>5.3260946372239797</v>
      </c>
      <c r="Q470">
        <v>3.7672859799181899</v>
      </c>
      <c r="R470">
        <v>9.0008103209297392</v>
      </c>
      <c r="S470">
        <v>4.5325422818791896</v>
      </c>
      <c r="T470">
        <v>8.2914297740984999</v>
      </c>
      <c r="U470">
        <v>3.3070749542961599</v>
      </c>
      <c r="V470">
        <v>4.2025438705662701</v>
      </c>
      <c r="W470">
        <v>6.37699048194591</v>
      </c>
      <c r="X470">
        <v>5.9078742637195996</v>
      </c>
    </row>
    <row r="471" spans="1:24">
      <c r="A471">
        <v>1824</v>
      </c>
      <c r="B471" t="s">
        <v>1277</v>
      </c>
      <c r="C471">
        <v>4</v>
      </c>
      <c r="D471" t="s">
        <v>1278</v>
      </c>
      <c r="E471">
        <v>14</v>
      </c>
      <c r="F471">
        <v>14</v>
      </c>
      <c r="G471">
        <v>14</v>
      </c>
      <c r="H471" t="s">
        <v>1279</v>
      </c>
      <c r="I471">
        <v>51.6</v>
      </c>
      <c r="J471">
        <v>35.386000000000003</v>
      </c>
      <c r="K471" t="str">
        <f>"RDH11;RDH12"</f>
        <v>RDH11;RDH12</v>
      </c>
      <c r="L471" t="str">
        <f>"RDH11;RDH12"</f>
        <v>RDH11;RDH12</v>
      </c>
      <c r="M471">
        <v>6.0519463760843104</v>
      </c>
      <c r="N471">
        <v>2.6835051655629099</v>
      </c>
      <c r="O471">
        <v>5.4716603651290896</v>
      </c>
      <c r="P471">
        <v>7.4565324921135696</v>
      </c>
      <c r="Q471">
        <v>2.51152398661212</v>
      </c>
      <c r="R471">
        <v>3.6003241283718901</v>
      </c>
      <c r="S471">
        <v>4.5325422818791896</v>
      </c>
      <c r="T471">
        <v>4.7379598709134303</v>
      </c>
      <c r="U471">
        <v>3.3070749542961599</v>
      </c>
      <c r="V471">
        <v>7.3544517734909798</v>
      </c>
      <c r="W471">
        <v>5.1015923855567298</v>
      </c>
      <c r="X471">
        <v>5.9078742637195996</v>
      </c>
    </row>
    <row r="472" spans="1:24">
      <c r="A472">
        <v>482</v>
      </c>
      <c r="B472" t="s">
        <v>1280</v>
      </c>
      <c r="C472">
        <v>2</v>
      </c>
      <c r="D472" t="s">
        <v>1281</v>
      </c>
      <c r="E472">
        <v>17</v>
      </c>
      <c r="F472">
        <v>17</v>
      </c>
      <c r="G472">
        <v>17</v>
      </c>
      <c r="H472" t="s">
        <v>1282</v>
      </c>
      <c r="I472">
        <v>34</v>
      </c>
      <c r="J472">
        <v>75.510000000000005</v>
      </c>
      <c r="K472" t="str">
        <f>"F13B"</f>
        <v>F13B</v>
      </c>
      <c r="L472" t="str">
        <f>"F13B"</f>
        <v>F13B</v>
      </c>
      <c r="M472">
        <v>10.8935034769518</v>
      </c>
      <c r="N472">
        <v>5.3670103311258304</v>
      </c>
      <c r="O472">
        <v>5.4716603651290896</v>
      </c>
      <c r="P472">
        <v>5.3260946372239797</v>
      </c>
      <c r="Q472">
        <v>13.8133819263667</v>
      </c>
      <c r="R472">
        <v>3.6003241283718901</v>
      </c>
      <c r="S472">
        <v>4.5325422818791896</v>
      </c>
      <c r="T472">
        <v>4.7379598709134303</v>
      </c>
      <c r="U472">
        <v>2.20471663619744</v>
      </c>
      <c r="V472">
        <v>7.3544517734909798</v>
      </c>
      <c r="W472">
        <v>8.9277866747242793</v>
      </c>
      <c r="X472">
        <v>2.9539371318597998</v>
      </c>
    </row>
    <row r="473" spans="1:24">
      <c r="A473">
        <v>731</v>
      </c>
      <c r="B473" t="s">
        <v>1283</v>
      </c>
      <c r="C473">
        <v>2</v>
      </c>
      <c r="D473" t="s">
        <v>1284</v>
      </c>
      <c r="E473">
        <v>20</v>
      </c>
      <c r="F473">
        <v>16</v>
      </c>
      <c r="G473">
        <v>16</v>
      </c>
      <c r="H473" t="s">
        <v>1285</v>
      </c>
      <c r="I473">
        <v>34.9</v>
      </c>
      <c r="J473">
        <v>85.018000000000001</v>
      </c>
      <c r="K473" t="str">
        <f>"PFKL"</f>
        <v>PFKL</v>
      </c>
      <c r="L473" t="str">
        <f>"PFKL"</f>
        <v>PFKL</v>
      </c>
      <c r="M473">
        <v>2.4207785504337198</v>
      </c>
      <c r="N473">
        <v>4.4725086092715198</v>
      </c>
      <c r="O473">
        <v>3.64777357675273</v>
      </c>
      <c r="P473">
        <v>6.3913135646687698</v>
      </c>
      <c r="Q473">
        <v>3.7672859799181899</v>
      </c>
      <c r="R473">
        <v>7.2006482567437899</v>
      </c>
      <c r="S473">
        <v>7.9319489932885903</v>
      </c>
      <c r="T473">
        <v>3.5534699031850701</v>
      </c>
      <c r="U473">
        <v>4.4094332723948799</v>
      </c>
      <c r="V473">
        <v>4.2025438705662701</v>
      </c>
      <c r="W473">
        <v>6.37699048194591</v>
      </c>
      <c r="X473">
        <v>5.9078742637195996</v>
      </c>
    </row>
    <row r="474" spans="1:24">
      <c r="A474">
        <v>711</v>
      </c>
      <c r="B474" t="s">
        <v>1286</v>
      </c>
      <c r="C474">
        <v>2</v>
      </c>
      <c r="D474" t="s">
        <v>1287</v>
      </c>
      <c r="E474">
        <v>15</v>
      </c>
      <c r="F474">
        <v>15</v>
      </c>
      <c r="G474">
        <v>13</v>
      </c>
      <c r="H474" t="s">
        <v>1288</v>
      </c>
      <c r="I474">
        <v>75.099999999999994</v>
      </c>
      <c r="J474">
        <v>30.375</v>
      </c>
      <c r="K474" t="str">
        <f>"CBR1"</f>
        <v>CBR1</v>
      </c>
      <c r="L474" t="str">
        <f>"CBR1"</f>
        <v>CBR1</v>
      </c>
      <c r="M474">
        <v>3.6311678256505799</v>
      </c>
      <c r="N474">
        <v>3.57800688741722</v>
      </c>
      <c r="O474">
        <v>6.3836037593172703</v>
      </c>
      <c r="P474">
        <v>5.3260946372239797</v>
      </c>
      <c r="Q474">
        <v>2.51152398661212</v>
      </c>
      <c r="R474">
        <v>9.9008913530227094</v>
      </c>
      <c r="S474">
        <v>0</v>
      </c>
      <c r="T474">
        <v>5.9224498386417803</v>
      </c>
      <c r="U474">
        <v>3.3070749542961599</v>
      </c>
      <c r="V474">
        <v>5.2531798382078403</v>
      </c>
      <c r="W474">
        <v>5.1015923855567298</v>
      </c>
      <c r="X474">
        <v>5.9078742637195996</v>
      </c>
    </row>
    <row r="475" spans="1:24">
      <c r="A475">
        <v>744</v>
      </c>
      <c r="B475" t="s">
        <v>1289</v>
      </c>
      <c r="C475">
        <v>4</v>
      </c>
      <c r="D475" t="s">
        <v>1290</v>
      </c>
      <c r="E475">
        <v>14</v>
      </c>
      <c r="F475">
        <v>13</v>
      </c>
      <c r="G475">
        <v>13</v>
      </c>
      <c r="H475" t="s">
        <v>1291</v>
      </c>
      <c r="I475">
        <v>45.1</v>
      </c>
      <c r="J475">
        <v>40.923000000000002</v>
      </c>
      <c r="K475" t="str">
        <f>"GNAZ;GNA12"</f>
        <v>GNAZ;GNA12</v>
      </c>
      <c r="L475" t="str">
        <f>"GNAZ;GNA12"</f>
        <v>GNAZ;GNA12</v>
      </c>
      <c r="M475">
        <v>2.4207785504337198</v>
      </c>
      <c r="N475">
        <v>5.3670103311258304</v>
      </c>
      <c r="O475">
        <v>4.5597169709409098</v>
      </c>
      <c r="P475">
        <v>5.3260946372239797</v>
      </c>
      <c r="Q475">
        <v>3.7672859799181899</v>
      </c>
      <c r="R475">
        <v>7.2006482567437899</v>
      </c>
      <c r="S475">
        <v>1.1331355704698001</v>
      </c>
      <c r="T475">
        <v>7.1069398063701401</v>
      </c>
      <c r="U475">
        <v>2.20471663619744</v>
      </c>
      <c r="V475">
        <v>7.3544517734909798</v>
      </c>
      <c r="W475">
        <v>6.37699048194591</v>
      </c>
      <c r="X475">
        <v>5.9078742637195996</v>
      </c>
    </row>
    <row r="476" spans="1:24">
      <c r="A476">
        <v>1932</v>
      </c>
      <c r="B476" t="s">
        <v>1292</v>
      </c>
      <c r="C476">
        <v>2</v>
      </c>
      <c r="D476" t="s">
        <v>1293</v>
      </c>
      <c r="E476">
        <v>18</v>
      </c>
      <c r="F476">
        <v>18</v>
      </c>
      <c r="G476">
        <v>18</v>
      </c>
      <c r="H476" t="s">
        <v>1294</v>
      </c>
      <c r="I476">
        <v>38.1</v>
      </c>
      <c r="J476">
        <v>68.283000000000001</v>
      </c>
      <c r="K476" t="str">
        <f>"PGM2"</f>
        <v>PGM2</v>
      </c>
      <c r="L476" t="str">
        <f>"PGM2"</f>
        <v>PGM2</v>
      </c>
      <c r="M476">
        <v>1.2103892752168599</v>
      </c>
      <c r="N476">
        <v>9.8395189403973493</v>
      </c>
      <c r="O476">
        <v>9.1194339418818195</v>
      </c>
      <c r="P476">
        <v>4.2608757097791798</v>
      </c>
      <c r="Q476">
        <v>2.51152398661212</v>
      </c>
      <c r="R476">
        <v>7.2006482567437899</v>
      </c>
      <c r="S476">
        <v>4.5325422818791896</v>
      </c>
      <c r="T476">
        <v>3.5534699031850701</v>
      </c>
      <c r="U476">
        <v>5.5117915904936003</v>
      </c>
      <c r="V476">
        <v>5.2531798382078403</v>
      </c>
      <c r="W476">
        <v>3.82619428916755</v>
      </c>
      <c r="X476">
        <v>6.8925199743395398</v>
      </c>
    </row>
    <row r="477" spans="1:24">
      <c r="A477">
        <v>139</v>
      </c>
      <c r="B477" t="s">
        <v>1295</v>
      </c>
      <c r="C477">
        <v>2</v>
      </c>
      <c r="D477" t="s">
        <v>1296</v>
      </c>
      <c r="E477">
        <v>25</v>
      </c>
      <c r="F477">
        <v>25</v>
      </c>
      <c r="G477">
        <v>21</v>
      </c>
      <c r="H477" t="s">
        <v>1297</v>
      </c>
      <c r="I477">
        <v>31.3</v>
      </c>
      <c r="J477">
        <v>111.65</v>
      </c>
      <c r="K477" t="str">
        <f>"ASAP2"</f>
        <v>ASAP2</v>
      </c>
      <c r="L477" t="str">
        <f>"ASAP2"</f>
        <v>ASAP2</v>
      </c>
      <c r="M477">
        <v>3.6311678256505799</v>
      </c>
      <c r="N477">
        <v>8.9450172185430503</v>
      </c>
      <c r="O477">
        <v>5.4716603651290896</v>
      </c>
      <c r="P477">
        <v>6.3913135646687698</v>
      </c>
      <c r="Q477">
        <v>0</v>
      </c>
      <c r="R477">
        <v>5.4004861925578398</v>
      </c>
      <c r="S477">
        <v>3.3994067114094002</v>
      </c>
      <c r="T477">
        <v>2.3689799354567098</v>
      </c>
      <c r="U477">
        <v>8.8188665447897598</v>
      </c>
      <c r="V477">
        <v>4.2025438705662701</v>
      </c>
      <c r="W477">
        <v>3.82619428916755</v>
      </c>
      <c r="X477">
        <v>9.84645710619934</v>
      </c>
    </row>
    <row r="478" spans="1:24">
      <c r="A478">
        <v>351</v>
      </c>
      <c r="B478" t="s">
        <v>1298</v>
      </c>
      <c r="C478">
        <v>3</v>
      </c>
      <c r="D478" t="s">
        <v>1299</v>
      </c>
      <c r="E478">
        <v>4</v>
      </c>
      <c r="F478">
        <v>3</v>
      </c>
      <c r="G478">
        <v>3</v>
      </c>
      <c r="H478" t="s">
        <v>1300</v>
      </c>
      <c r="I478">
        <v>38.9</v>
      </c>
      <c r="J478">
        <v>12.058999999999999</v>
      </c>
      <c r="K478" t="s">
        <v>1301</v>
      </c>
      <c r="L478" t="s">
        <v>1301</v>
      </c>
      <c r="M478">
        <v>8.4727249265180298</v>
      </c>
      <c r="N478">
        <v>4.4725086092715198</v>
      </c>
      <c r="O478">
        <v>5.4716603651290896</v>
      </c>
      <c r="P478">
        <v>7.4565324921135696</v>
      </c>
      <c r="Q478">
        <v>7.5345719598363701</v>
      </c>
      <c r="R478">
        <v>4.5004051604648696</v>
      </c>
      <c r="S478">
        <v>6.7988134228187898</v>
      </c>
      <c r="T478">
        <v>8.2914297740984999</v>
      </c>
      <c r="U478">
        <v>2.20471663619744</v>
      </c>
      <c r="V478">
        <v>6.3038158058494096</v>
      </c>
      <c r="W478">
        <v>7.6523885783351</v>
      </c>
      <c r="X478">
        <v>5.9078742637195996</v>
      </c>
    </row>
    <row r="479" spans="1:24">
      <c r="A479">
        <v>750</v>
      </c>
      <c r="B479" t="s">
        <v>1302</v>
      </c>
      <c r="C479">
        <v>1</v>
      </c>
      <c r="D479" t="s">
        <v>1303</v>
      </c>
      <c r="E479">
        <v>10</v>
      </c>
      <c r="F479">
        <v>10</v>
      </c>
      <c r="G479">
        <v>7</v>
      </c>
      <c r="H479" t="s">
        <v>1302</v>
      </c>
      <c r="I479">
        <v>40.299999999999997</v>
      </c>
      <c r="J479">
        <v>23.602</v>
      </c>
      <c r="K479" t="str">
        <f>"ORM2"</f>
        <v>ORM2</v>
      </c>
      <c r="L479" t="str">
        <f>"ORM2"</f>
        <v>ORM2</v>
      </c>
      <c r="M479">
        <v>2.4207785504337198</v>
      </c>
      <c r="N479">
        <v>2.6835051655629099</v>
      </c>
      <c r="O479">
        <v>0.91194339418818204</v>
      </c>
      <c r="P479">
        <v>9.5869703470031506</v>
      </c>
      <c r="Q479">
        <v>18.8364298995909</v>
      </c>
      <c r="R479">
        <v>7.2006482567437899</v>
      </c>
      <c r="S479">
        <v>10.198220134228199</v>
      </c>
      <c r="T479">
        <v>16.582859548197</v>
      </c>
      <c r="U479">
        <v>4.4094332723948799</v>
      </c>
      <c r="V479">
        <v>13.6582675793404</v>
      </c>
      <c r="W479">
        <v>1.27539809638918</v>
      </c>
      <c r="X479">
        <v>1.96929142123987</v>
      </c>
    </row>
    <row r="480" spans="1:24">
      <c r="A480">
        <v>367</v>
      </c>
      <c r="B480" t="s">
        <v>1304</v>
      </c>
      <c r="C480">
        <v>2</v>
      </c>
      <c r="D480" t="s">
        <v>1305</v>
      </c>
      <c r="E480">
        <v>4</v>
      </c>
      <c r="F480">
        <v>2</v>
      </c>
      <c r="G480">
        <v>1</v>
      </c>
      <c r="H480" t="s">
        <v>1306</v>
      </c>
      <c r="I480">
        <v>35.700000000000003</v>
      </c>
      <c r="J480">
        <v>11.612</v>
      </c>
      <c r="K480" t="s">
        <v>1307</v>
      </c>
      <c r="L480" t="s">
        <v>1307</v>
      </c>
      <c r="M480">
        <v>6.0519463760843104</v>
      </c>
      <c r="N480">
        <v>4.4725086092715198</v>
      </c>
      <c r="O480">
        <v>6.3836037593172703</v>
      </c>
      <c r="P480">
        <v>8.5217514195583597</v>
      </c>
      <c r="Q480">
        <v>6.2788099665303099</v>
      </c>
      <c r="R480">
        <v>3.6003241283718901</v>
      </c>
      <c r="S480">
        <v>3.3994067114094002</v>
      </c>
      <c r="T480">
        <v>4.7379598709134303</v>
      </c>
      <c r="U480">
        <v>2.20471663619744</v>
      </c>
      <c r="V480">
        <v>5.2531798382078403</v>
      </c>
      <c r="W480">
        <v>8.9277866747242793</v>
      </c>
      <c r="X480">
        <v>1.96929142123987</v>
      </c>
    </row>
    <row r="481" spans="1:24">
      <c r="A481">
        <v>454</v>
      </c>
      <c r="B481" t="s">
        <v>1308</v>
      </c>
      <c r="C481">
        <v>1</v>
      </c>
      <c r="D481" t="s">
        <v>1309</v>
      </c>
      <c r="E481">
        <v>20</v>
      </c>
      <c r="F481">
        <v>2</v>
      </c>
      <c r="G481">
        <v>2</v>
      </c>
      <c r="H481" t="s">
        <v>1308</v>
      </c>
      <c r="I481">
        <v>61.4</v>
      </c>
      <c r="J481">
        <v>43.057000000000002</v>
      </c>
      <c r="K481" t="s">
        <v>1310</v>
      </c>
      <c r="L481" t="s">
        <v>1310</v>
      </c>
      <c r="M481">
        <v>8.4727249265180298</v>
      </c>
      <c r="N481">
        <v>8.9450172185430503</v>
      </c>
      <c r="O481">
        <v>5.4716603651290896</v>
      </c>
      <c r="P481">
        <v>2.1304378548895899</v>
      </c>
      <c r="Q481">
        <v>7.5345719598363701</v>
      </c>
      <c r="R481">
        <v>3.6003241283718901</v>
      </c>
      <c r="S481">
        <v>4.5325422818791896</v>
      </c>
      <c r="T481">
        <v>7.1069398063701401</v>
      </c>
      <c r="U481">
        <v>3.3070749542961599</v>
      </c>
      <c r="V481">
        <v>5.2531798382078403</v>
      </c>
      <c r="W481">
        <v>6.37699048194591</v>
      </c>
      <c r="X481">
        <v>1.96929142123987</v>
      </c>
    </row>
    <row r="482" spans="1:24">
      <c r="A482">
        <v>999</v>
      </c>
      <c r="B482" t="s">
        <v>1311</v>
      </c>
      <c r="C482">
        <v>3</v>
      </c>
      <c r="D482" t="s">
        <v>1312</v>
      </c>
      <c r="E482">
        <v>10</v>
      </c>
      <c r="F482">
        <v>10</v>
      </c>
      <c r="G482">
        <v>10</v>
      </c>
      <c r="H482" t="s">
        <v>1313</v>
      </c>
      <c r="I482">
        <v>29.9</v>
      </c>
      <c r="J482">
        <v>49.018999999999998</v>
      </c>
      <c r="K482" t="str">
        <f>"DDOST"</f>
        <v>DDOST</v>
      </c>
      <c r="L482" t="str">
        <f>"DDOST"</f>
        <v>DDOST</v>
      </c>
      <c r="M482">
        <v>7.2623356513011696</v>
      </c>
      <c r="N482">
        <v>5.3670103311258304</v>
      </c>
      <c r="O482">
        <v>6.3836037593172703</v>
      </c>
      <c r="P482">
        <v>4.2608757097791798</v>
      </c>
      <c r="Q482">
        <v>5.0230479732242497</v>
      </c>
      <c r="R482">
        <v>6.3005672246508198</v>
      </c>
      <c r="S482">
        <v>6.7988134228187898</v>
      </c>
      <c r="T482">
        <v>3.5534699031850701</v>
      </c>
      <c r="U482">
        <v>5.5117915904936003</v>
      </c>
      <c r="V482">
        <v>4.2025438705662701</v>
      </c>
      <c r="W482">
        <v>5.1015923855567298</v>
      </c>
      <c r="X482">
        <v>4.92322855309967</v>
      </c>
    </row>
    <row r="483" spans="1:24">
      <c r="A483">
        <v>1190</v>
      </c>
      <c r="B483" t="s">
        <v>1314</v>
      </c>
      <c r="C483">
        <v>1</v>
      </c>
      <c r="D483" t="s">
        <v>1315</v>
      </c>
      <c r="E483">
        <v>12</v>
      </c>
      <c r="F483">
        <v>12</v>
      </c>
      <c r="G483">
        <v>12</v>
      </c>
      <c r="H483" t="s">
        <v>1314</v>
      </c>
      <c r="I483">
        <v>52.2</v>
      </c>
      <c r="J483">
        <v>20.7</v>
      </c>
      <c r="K483" t="str">
        <f>"MANF"</f>
        <v>MANF</v>
      </c>
      <c r="L483" t="str">
        <f>"MANF"</f>
        <v>MANF</v>
      </c>
      <c r="M483">
        <v>4.8415571008674503</v>
      </c>
      <c r="N483">
        <v>4.4725086092715198</v>
      </c>
      <c r="O483">
        <v>7.2955471535054599</v>
      </c>
      <c r="P483">
        <v>2.1304378548895899</v>
      </c>
      <c r="Q483">
        <v>5.0230479732242497</v>
      </c>
      <c r="R483">
        <v>8.1007292888367601</v>
      </c>
      <c r="S483">
        <v>5.6656778523489901</v>
      </c>
      <c r="T483">
        <v>5.9224498386417803</v>
      </c>
      <c r="U483">
        <v>3.3070749542961599</v>
      </c>
      <c r="V483">
        <v>6.3038158058494096</v>
      </c>
      <c r="W483">
        <v>5.1015923855567298</v>
      </c>
      <c r="X483">
        <v>6.8925199743395398</v>
      </c>
    </row>
    <row r="484" spans="1:24">
      <c r="A484">
        <v>1499</v>
      </c>
      <c r="B484" t="s">
        <v>1316</v>
      </c>
      <c r="C484">
        <v>2</v>
      </c>
      <c r="D484" t="s">
        <v>1317</v>
      </c>
      <c r="E484">
        <v>14</v>
      </c>
      <c r="F484">
        <v>13</v>
      </c>
      <c r="G484">
        <v>13</v>
      </c>
      <c r="H484" t="s">
        <v>1318</v>
      </c>
      <c r="I484">
        <v>45.6</v>
      </c>
      <c r="J484">
        <v>44.048999999999999</v>
      </c>
      <c r="K484" t="str">
        <f>"GNA13"</f>
        <v>GNA13</v>
      </c>
      <c r="L484" t="str">
        <f>"GNA13"</f>
        <v>GNA13</v>
      </c>
      <c r="M484">
        <v>4.8415571008674503</v>
      </c>
      <c r="N484">
        <v>5.3670103311258304</v>
      </c>
      <c r="O484">
        <v>5.4716603651290896</v>
      </c>
      <c r="P484">
        <v>6.3913135646687698</v>
      </c>
      <c r="Q484">
        <v>2.51152398661212</v>
      </c>
      <c r="R484">
        <v>5.4004861925578398</v>
      </c>
      <c r="S484">
        <v>2.2662711409396001</v>
      </c>
      <c r="T484">
        <v>5.9224498386417803</v>
      </c>
      <c r="U484">
        <v>4.4094332723948799</v>
      </c>
      <c r="V484">
        <v>7.3544517734909798</v>
      </c>
      <c r="W484">
        <v>3.82619428916755</v>
      </c>
      <c r="X484">
        <v>7.8771656849594702</v>
      </c>
    </row>
    <row r="485" spans="1:24">
      <c r="A485">
        <v>1778</v>
      </c>
      <c r="B485" t="s">
        <v>1319</v>
      </c>
      <c r="C485">
        <v>16</v>
      </c>
      <c r="D485" t="s">
        <v>1320</v>
      </c>
      <c r="E485">
        <v>11</v>
      </c>
      <c r="F485">
        <v>11</v>
      </c>
      <c r="G485">
        <v>11</v>
      </c>
      <c r="H485" t="s">
        <v>1321</v>
      </c>
      <c r="I485">
        <v>31.7</v>
      </c>
      <c r="J485">
        <v>42.667000000000002</v>
      </c>
      <c r="K485" t="str">
        <f>"ABI1;ABI2"</f>
        <v>ABI1;ABI2</v>
      </c>
      <c r="L485" t="str">
        <f>"ABI1;ABI2"</f>
        <v>ABI1;ABI2</v>
      </c>
      <c r="M485">
        <v>1.2103892752168599</v>
      </c>
      <c r="N485">
        <v>5.3670103311258304</v>
      </c>
      <c r="O485">
        <v>5.4716603651290896</v>
      </c>
      <c r="P485">
        <v>8.5217514195583597</v>
      </c>
      <c r="Q485">
        <v>2.51152398661212</v>
      </c>
      <c r="R485">
        <v>7.2006482567437899</v>
      </c>
      <c r="S485">
        <v>6.7988134228187898</v>
      </c>
      <c r="T485">
        <v>5.9224498386417803</v>
      </c>
      <c r="U485">
        <v>7.7165082266910403</v>
      </c>
      <c r="V485">
        <v>7.3544517734909798</v>
      </c>
      <c r="W485">
        <v>5.1015923855567298</v>
      </c>
      <c r="X485">
        <v>3.9385828424797298</v>
      </c>
    </row>
    <row r="486" spans="1:24">
      <c r="A486">
        <v>303</v>
      </c>
      <c r="B486" t="s">
        <v>1322</v>
      </c>
      <c r="C486">
        <v>2</v>
      </c>
      <c r="D486" t="s">
        <v>1323</v>
      </c>
      <c r="E486">
        <v>18</v>
      </c>
      <c r="F486">
        <v>18</v>
      </c>
      <c r="G486">
        <v>18</v>
      </c>
      <c r="H486" t="s">
        <v>1324</v>
      </c>
      <c r="I486">
        <v>49.5</v>
      </c>
      <c r="J486">
        <v>47.517000000000003</v>
      </c>
      <c r="K486" t="str">
        <f>"GOT2"</f>
        <v>GOT2</v>
      </c>
      <c r="L486" t="str">
        <f>"GOT2"</f>
        <v>GOT2</v>
      </c>
      <c r="M486">
        <v>4.8415571008674503</v>
      </c>
      <c r="N486">
        <v>6.2615120529801302</v>
      </c>
      <c r="O486">
        <v>8.2074905476936397</v>
      </c>
      <c r="P486">
        <v>2.1304378548895899</v>
      </c>
      <c r="Q486">
        <v>5.0230479732242497</v>
      </c>
      <c r="R486">
        <v>3.6003241283718901</v>
      </c>
      <c r="S486">
        <v>1.1331355704698001</v>
      </c>
      <c r="T486">
        <v>5.9224498386417803</v>
      </c>
      <c r="U486">
        <v>3.3070749542961599</v>
      </c>
      <c r="V486">
        <v>5.2531798382078403</v>
      </c>
      <c r="W486">
        <v>5.1015923855567298</v>
      </c>
      <c r="X486">
        <v>7.8771656849594702</v>
      </c>
    </row>
    <row r="487" spans="1:24">
      <c r="A487">
        <v>1234</v>
      </c>
      <c r="B487" t="s">
        <v>1325</v>
      </c>
      <c r="C487">
        <v>2</v>
      </c>
      <c r="D487" t="s">
        <v>1326</v>
      </c>
      <c r="E487">
        <v>7</v>
      </c>
      <c r="F487">
        <v>7</v>
      </c>
      <c r="G487">
        <v>7</v>
      </c>
      <c r="H487" t="s">
        <v>1327</v>
      </c>
      <c r="I487">
        <v>48</v>
      </c>
      <c r="J487">
        <v>17.138000000000002</v>
      </c>
      <c r="K487" t="str">
        <f>"UBE2N;UBE2NL"</f>
        <v>UBE2N;UBE2NL</v>
      </c>
      <c r="L487" t="str">
        <f>"UBE2N;UBE2NL"</f>
        <v>UBE2N;UBE2NL</v>
      </c>
      <c r="M487">
        <v>6.0519463760843104</v>
      </c>
      <c r="N487">
        <v>5.3670103311258304</v>
      </c>
      <c r="O487">
        <v>3.64777357675273</v>
      </c>
      <c r="P487">
        <v>5.3260946372239797</v>
      </c>
      <c r="Q487">
        <v>3.7672859799181899</v>
      </c>
      <c r="R487">
        <v>7.2006482567437899</v>
      </c>
      <c r="S487">
        <v>4.5325422818791896</v>
      </c>
      <c r="T487">
        <v>8.2914297740984999</v>
      </c>
      <c r="U487">
        <v>4.4094332723948799</v>
      </c>
      <c r="V487">
        <v>5.2531798382078403</v>
      </c>
      <c r="W487">
        <v>3.82619428916755</v>
      </c>
      <c r="X487">
        <v>3.9385828424797298</v>
      </c>
    </row>
    <row r="488" spans="1:24">
      <c r="A488">
        <v>1810</v>
      </c>
      <c r="B488" t="s">
        <v>1328</v>
      </c>
      <c r="C488">
        <v>3</v>
      </c>
      <c r="D488" t="s">
        <v>1329</v>
      </c>
      <c r="E488">
        <v>15</v>
      </c>
      <c r="F488">
        <v>15</v>
      </c>
      <c r="G488">
        <v>15</v>
      </c>
      <c r="H488" t="s">
        <v>1330</v>
      </c>
      <c r="I488">
        <v>49</v>
      </c>
      <c r="J488">
        <v>35.158000000000001</v>
      </c>
      <c r="K488" t="str">
        <f>"MCU"</f>
        <v>MCU</v>
      </c>
      <c r="L488" t="str">
        <f>"MCU"</f>
        <v>MCU</v>
      </c>
      <c r="M488">
        <v>4.8415571008674503</v>
      </c>
      <c r="N488">
        <v>4.4725086092715198</v>
      </c>
      <c r="O488">
        <v>5.4716603651290896</v>
      </c>
      <c r="P488">
        <v>4.2608757097791798</v>
      </c>
      <c r="Q488">
        <v>5.0230479732242497</v>
      </c>
      <c r="R488">
        <v>4.5004051604648696</v>
      </c>
      <c r="S488">
        <v>5.6656778523489901</v>
      </c>
      <c r="T488">
        <v>3.5534699031850701</v>
      </c>
      <c r="U488">
        <v>7.7165082266910403</v>
      </c>
      <c r="V488">
        <v>5.2531798382078403</v>
      </c>
      <c r="W488">
        <v>5.1015923855567298</v>
      </c>
      <c r="X488">
        <v>5.9078742637195996</v>
      </c>
    </row>
    <row r="489" spans="1:24">
      <c r="A489">
        <v>2195</v>
      </c>
      <c r="B489" t="s">
        <v>1331</v>
      </c>
      <c r="C489">
        <v>1</v>
      </c>
      <c r="D489" t="s">
        <v>1332</v>
      </c>
      <c r="E489">
        <v>16</v>
      </c>
      <c r="F489">
        <v>16</v>
      </c>
      <c r="G489">
        <v>16</v>
      </c>
      <c r="H489" t="s">
        <v>1331</v>
      </c>
      <c r="I489">
        <v>47.8</v>
      </c>
      <c r="J489">
        <v>46.914000000000001</v>
      </c>
      <c r="K489" t="str">
        <f>"TOR4A"</f>
        <v>TOR4A</v>
      </c>
      <c r="L489" t="str">
        <f>"TOR4A"</f>
        <v>TOR4A</v>
      </c>
      <c r="M489">
        <v>3.6311678256505799</v>
      </c>
      <c r="N489">
        <v>7.1560137748344399</v>
      </c>
      <c r="O489">
        <v>3.64777357675273</v>
      </c>
      <c r="P489">
        <v>3.19565678233438</v>
      </c>
      <c r="Q489">
        <v>1.25576199330606</v>
      </c>
      <c r="R489">
        <v>7.2006482567437899</v>
      </c>
      <c r="S489">
        <v>4.5325422818791896</v>
      </c>
      <c r="T489">
        <v>5.9224498386417803</v>
      </c>
      <c r="U489">
        <v>2.20471663619744</v>
      </c>
      <c r="V489">
        <v>6.3038158058494096</v>
      </c>
      <c r="W489">
        <v>6.37699048194591</v>
      </c>
      <c r="X489">
        <v>5.9078742637195996</v>
      </c>
    </row>
    <row r="490" spans="1:24">
      <c r="A490">
        <v>52</v>
      </c>
      <c r="B490" t="s">
        <v>1333</v>
      </c>
      <c r="C490">
        <v>2</v>
      </c>
      <c r="D490" t="s">
        <v>1334</v>
      </c>
      <c r="E490">
        <v>12</v>
      </c>
      <c r="F490">
        <v>12</v>
      </c>
      <c r="G490">
        <v>12</v>
      </c>
      <c r="H490" t="s">
        <v>1335</v>
      </c>
      <c r="I490">
        <v>58.8</v>
      </c>
      <c r="J490">
        <v>23.353999999999999</v>
      </c>
      <c r="K490" t="str">
        <f>"SNAP23"</f>
        <v>SNAP23</v>
      </c>
      <c r="L490" t="str">
        <f>"SNAP23"</f>
        <v>SNAP23</v>
      </c>
      <c r="M490">
        <v>2.4207785504337198</v>
      </c>
      <c r="N490">
        <v>3.57800688741722</v>
      </c>
      <c r="O490">
        <v>4.5597169709409098</v>
      </c>
      <c r="P490">
        <v>6.3913135646687698</v>
      </c>
      <c r="Q490">
        <v>3.7672859799181899</v>
      </c>
      <c r="R490">
        <v>2.7002430962789199</v>
      </c>
      <c r="S490">
        <v>4.5325422818791896</v>
      </c>
      <c r="T490">
        <v>4.7379598709134303</v>
      </c>
      <c r="U490">
        <v>6.6141499085923199</v>
      </c>
      <c r="V490">
        <v>6.3038158058494096</v>
      </c>
      <c r="W490">
        <v>7.6523885783351</v>
      </c>
      <c r="X490">
        <v>7.8771656849594702</v>
      </c>
    </row>
    <row r="491" spans="1:24">
      <c r="A491">
        <v>700</v>
      </c>
      <c r="B491" t="s">
        <v>1336</v>
      </c>
      <c r="C491">
        <v>4</v>
      </c>
      <c r="D491" t="s">
        <v>1337</v>
      </c>
      <c r="E491">
        <v>14</v>
      </c>
      <c r="F491">
        <v>14</v>
      </c>
      <c r="G491">
        <v>14</v>
      </c>
      <c r="H491" t="s">
        <v>1338</v>
      </c>
      <c r="I491">
        <v>24.7</v>
      </c>
      <c r="J491">
        <v>68.599999999999994</v>
      </c>
      <c r="K491" t="str">
        <f>"GSPT1;GSPT2"</f>
        <v>GSPT1;GSPT2</v>
      </c>
      <c r="L491" t="str">
        <f>"GSPT1;GSPT2"</f>
        <v>GSPT1;GSPT2</v>
      </c>
      <c r="M491">
        <v>2.4207785504337198</v>
      </c>
      <c r="N491">
        <v>6.2615120529801302</v>
      </c>
      <c r="O491">
        <v>5.4716603651290896</v>
      </c>
      <c r="P491">
        <v>6.3913135646687698</v>
      </c>
      <c r="Q491">
        <v>0</v>
      </c>
      <c r="R491">
        <v>3.6003241283718901</v>
      </c>
      <c r="S491">
        <v>4.5325422818791896</v>
      </c>
      <c r="T491">
        <v>2.3689799354567098</v>
      </c>
      <c r="U491">
        <v>7.7165082266910403</v>
      </c>
      <c r="V491">
        <v>5.2531798382078403</v>
      </c>
      <c r="W491">
        <v>5.1015923855567298</v>
      </c>
      <c r="X491">
        <v>7.8771656849594702</v>
      </c>
    </row>
    <row r="492" spans="1:24">
      <c r="A492">
        <v>388</v>
      </c>
      <c r="B492" t="s">
        <v>1339</v>
      </c>
      <c r="C492">
        <v>1</v>
      </c>
      <c r="D492" t="s">
        <v>1340</v>
      </c>
      <c r="E492">
        <v>20</v>
      </c>
      <c r="F492">
        <v>4</v>
      </c>
      <c r="G492">
        <v>4</v>
      </c>
      <c r="H492" t="s">
        <v>1339</v>
      </c>
      <c r="I492">
        <v>67.900000000000006</v>
      </c>
      <c r="J492">
        <v>36.526000000000003</v>
      </c>
      <c r="K492" t="str">
        <f>"IGHA2"</f>
        <v>IGHA2</v>
      </c>
      <c r="L492" t="str">
        <f>"IGHA2"</f>
        <v>IGHA2</v>
      </c>
      <c r="M492">
        <v>9.6831142017348899</v>
      </c>
      <c r="N492">
        <v>1.78900344370861</v>
      </c>
      <c r="O492">
        <v>5.4716603651290896</v>
      </c>
      <c r="P492">
        <v>8.5217514195583597</v>
      </c>
      <c r="Q492">
        <v>5.0230479732242497</v>
      </c>
      <c r="R492">
        <v>0.90008103209297396</v>
      </c>
      <c r="S492">
        <v>2.2662711409396001</v>
      </c>
      <c r="T492">
        <v>10.6604097095552</v>
      </c>
      <c r="U492">
        <v>2.20471663619744</v>
      </c>
      <c r="V492">
        <v>4.2025438705662701</v>
      </c>
      <c r="W492">
        <v>3.82619428916755</v>
      </c>
      <c r="X492">
        <v>3.9385828424797298</v>
      </c>
    </row>
    <row r="493" spans="1:24">
      <c r="A493">
        <v>589</v>
      </c>
      <c r="B493" t="s">
        <v>1341</v>
      </c>
      <c r="C493">
        <v>3</v>
      </c>
      <c r="D493" t="s">
        <v>1342</v>
      </c>
      <c r="E493">
        <v>13</v>
      </c>
      <c r="F493">
        <v>13</v>
      </c>
      <c r="G493">
        <v>13</v>
      </c>
      <c r="H493" t="s">
        <v>1343</v>
      </c>
      <c r="I493">
        <v>29.1</v>
      </c>
      <c r="J493">
        <v>54.177</v>
      </c>
      <c r="K493" t="str">
        <f>"DLD"</f>
        <v>DLD</v>
      </c>
      <c r="L493" t="str">
        <f>"DLD"</f>
        <v>DLD</v>
      </c>
      <c r="M493">
        <v>3.6311678256505799</v>
      </c>
      <c r="N493">
        <v>8.0505154966887407</v>
      </c>
      <c r="O493">
        <v>7.2955471535054599</v>
      </c>
      <c r="P493">
        <v>4.2608757097791798</v>
      </c>
      <c r="Q493">
        <v>3.7672859799181899</v>
      </c>
      <c r="R493">
        <v>5.4004861925578398</v>
      </c>
      <c r="S493">
        <v>2.2662711409396001</v>
      </c>
      <c r="T493">
        <v>4.7379598709134303</v>
      </c>
      <c r="U493">
        <v>3.3070749542961599</v>
      </c>
      <c r="V493">
        <v>3.1519079029246999</v>
      </c>
      <c r="W493">
        <v>5.1015923855567298</v>
      </c>
      <c r="X493">
        <v>6.8925199743395398</v>
      </c>
    </row>
    <row r="494" spans="1:24">
      <c r="A494">
        <v>1596</v>
      </c>
      <c r="B494" t="s">
        <v>1344</v>
      </c>
      <c r="C494">
        <v>1</v>
      </c>
      <c r="D494" t="s">
        <v>1345</v>
      </c>
      <c r="E494">
        <v>13</v>
      </c>
      <c r="F494">
        <v>13</v>
      </c>
      <c r="G494">
        <v>13</v>
      </c>
      <c r="H494" t="s">
        <v>1344</v>
      </c>
      <c r="I494">
        <v>51.5</v>
      </c>
      <c r="J494">
        <v>33.429000000000002</v>
      </c>
      <c r="K494" t="str">
        <f>"TST"</f>
        <v>TST</v>
      </c>
      <c r="L494" t="str">
        <f>"TST"</f>
        <v>TST</v>
      </c>
      <c r="M494">
        <v>2.4207785504337198</v>
      </c>
      <c r="N494">
        <v>6.2615120529801302</v>
      </c>
      <c r="O494">
        <v>5.4716603651290896</v>
      </c>
      <c r="P494">
        <v>5.3260946372239797</v>
      </c>
      <c r="Q494">
        <v>2.51152398661212</v>
      </c>
      <c r="R494">
        <v>5.4004861925578398</v>
      </c>
      <c r="S494">
        <v>4.5325422818791896</v>
      </c>
      <c r="T494">
        <v>3.5534699031850701</v>
      </c>
      <c r="U494">
        <v>3.3070749542961599</v>
      </c>
      <c r="V494">
        <v>5.2531798382078403</v>
      </c>
      <c r="W494">
        <v>7.6523885783351</v>
      </c>
      <c r="X494">
        <v>5.9078742637195996</v>
      </c>
    </row>
    <row r="495" spans="1:24">
      <c r="A495">
        <v>1606</v>
      </c>
      <c r="B495" t="s">
        <v>1346</v>
      </c>
      <c r="C495">
        <v>4</v>
      </c>
      <c r="D495" t="s">
        <v>1347</v>
      </c>
      <c r="E495">
        <v>24</v>
      </c>
      <c r="F495">
        <v>24</v>
      </c>
      <c r="G495">
        <v>24</v>
      </c>
      <c r="H495" t="s">
        <v>1348</v>
      </c>
      <c r="I495">
        <v>36.1</v>
      </c>
      <c r="J495">
        <v>80.025999999999996</v>
      </c>
      <c r="K495" t="str">
        <f>"IMMT"</f>
        <v>IMMT</v>
      </c>
      <c r="L495" t="str">
        <f>"IMMT"</f>
        <v>IMMT</v>
      </c>
      <c r="M495">
        <v>7.2623356513011696</v>
      </c>
      <c r="N495">
        <v>5.3670103311258304</v>
      </c>
      <c r="O495">
        <v>3.64777357675273</v>
      </c>
      <c r="P495">
        <v>5.3260946372239797</v>
      </c>
      <c r="Q495">
        <v>3.7672859799181899</v>
      </c>
      <c r="R495">
        <v>6.3005672246508198</v>
      </c>
      <c r="S495">
        <v>2.2662711409396001</v>
      </c>
      <c r="T495">
        <v>4.7379598709134303</v>
      </c>
      <c r="U495">
        <v>4.4094332723948799</v>
      </c>
      <c r="V495">
        <v>6.3038158058494096</v>
      </c>
      <c r="W495">
        <v>3.82619428916755</v>
      </c>
      <c r="X495">
        <v>6.8925199743395398</v>
      </c>
    </row>
    <row r="496" spans="1:24">
      <c r="A496">
        <v>1908</v>
      </c>
      <c r="B496" t="s">
        <v>1349</v>
      </c>
      <c r="C496">
        <v>1</v>
      </c>
      <c r="D496" t="s">
        <v>1350</v>
      </c>
      <c r="E496">
        <v>8</v>
      </c>
      <c r="F496">
        <v>8</v>
      </c>
      <c r="G496">
        <v>8</v>
      </c>
      <c r="H496" t="s">
        <v>1349</v>
      </c>
      <c r="I496">
        <v>32.6</v>
      </c>
      <c r="J496">
        <v>34.93</v>
      </c>
      <c r="K496" t="str">
        <f>"LRRC59"</f>
        <v>LRRC59</v>
      </c>
      <c r="L496" t="str">
        <f>"LRRC59"</f>
        <v>LRRC59</v>
      </c>
      <c r="M496">
        <v>7.2623356513011696</v>
      </c>
      <c r="N496">
        <v>0.89450172185430499</v>
      </c>
      <c r="O496">
        <v>1.8238867883763601</v>
      </c>
      <c r="P496">
        <v>5.3260946372239797</v>
      </c>
      <c r="Q496">
        <v>3.7672859799181899</v>
      </c>
      <c r="R496">
        <v>5.4004861925578398</v>
      </c>
      <c r="S496">
        <v>6.7988134228187898</v>
      </c>
      <c r="T496">
        <v>4.7379598709134303</v>
      </c>
      <c r="U496">
        <v>5.5117915904936003</v>
      </c>
      <c r="V496">
        <v>4.2025438705662701</v>
      </c>
      <c r="W496">
        <v>8.9277866747242793</v>
      </c>
      <c r="X496">
        <v>5.9078742637195996</v>
      </c>
    </row>
    <row r="497" spans="1:24">
      <c r="A497">
        <v>92</v>
      </c>
      <c r="B497" t="s">
        <v>1351</v>
      </c>
      <c r="C497">
        <v>2</v>
      </c>
      <c r="D497" t="s">
        <v>1352</v>
      </c>
      <c r="E497">
        <v>11</v>
      </c>
      <c r="F497">
        <v>11</v>
      </c>
      <c r="G497">
        <v>11</v>
      </c>
      <c r="H497" t="s">
        <v>1353</v>
      </c>
      <c r="I497">
        <v>34.4</v>
      </c>
      <c r="J497">
        <v>38.868000000000002</v>
      </c>
      <c r="K497" t="str">
        <f>"SLC9A3R1"</f>
        <v>SLC9A3R1</v>
      </c>
      <c r="L497" t="str">
        <f>"SLC9A3R1"</f>
        <v>SLC9A3R1</v>
      </c>
      <c r="M497">
        <v>2.4207785504337198</v>
      </c>
      <c r="N497">
        <v>4.4725086092715198</v>
      </c>
      <c r="O497">
        <v>4.5597169709409098</v>
      </c>
      <c r="P497">
        <v>6.3913135646687698</v>
      </c>
      <c r="Q497">
        <v>2.51152398661212</v>
      </c>
      <c r="R497">
        <v>4.5004051604648696</v>
      </c>
      <c r="S497">
        <v>5.6656778523489901</v>
      </c>
      <c r="T497">
        <v>4.7379598709134303</v>
      </c>
      <c r="U497">
        <v>8.8188665447897598</v>
      </c>
      <c r="V497">
        <v>6.3038158058494096</v>
      </c>
      <c r="W497">
        <v>3.82619428916755</v>
      </c>
      <c r="X497">
        <v>5.9078742637195996</v>
      </c>
    </row>
    <row r="498" spans="1:24">
      <c r="A498">
        <v>2202</v>
      </c>
      <c r="B498" t="s">
        <v>1354</v>
      </c>
      <c r="C498">
        <v>2</v>
      </c>
      <c r="D498" t="s">
        <v>1355</v>
      </c>
      <c r="E498">
        <v>31</v>
      </c>
      <c r="F498">
        <v>31</v>
      </c>
      <c r="G498">
        <v>31</v>
      </c>
      <c r="H498" t="s">
        <v>1356</v>
      </c>
      <c r="I498">
        <v>36.1</v>
      </c>
      <c r="J498">
        <v>107.23</v>
      </c>
      <c r="K498" t="str">
        <f>"ERAP1"</f>
        <v>ERAP1</v>
      </c>
      <c r="L498" t="str">
        <f>"ERAP1"</f>
        <v>ERAP1</v>
      </c>
      <c r="M498">
        <v>1.2103892752168599</v>
      </c>
      <c r="N498">
        <v>4.4725086092715198</v>
      </c>
      <c r="O498">
        <v>8.2074905476936397</v>
      </c>
      <c r="P498">
        <v>2.1304378548895899</v>
      </c>
      <c r="Q498">
        <v>1.25576199330606</v>
      </c>
      <c r="R498">
        <v>0.90008103209297396</v>
      </c>
      <c r="S498">
        <v>11.331355704698</v>
      </c>
      <c r="T498">
        <v>1.18448996772836</v>
      </c>
      <c r="U498">
        <v>2.20471663619744</v>
      </c>
      <c r="V498">
        <v>1.05063596764157</v>
      </c>
      <c r="W498">
        <v>5.1015923855567298</v>
      </c>
      <c r="X498">
        <v>11.815748527439199</v>
      </c>
    </row>
    <row r="499" spans="1:24">
      <c r="A499">
        <v>96</v>
      </c>
      <c r="B499" t="s">
        <v>1357</v>
      </c>
      <c r="C499">
        <v>3</v>
      </c>
      <c r="D499" t="s">
        <v>1358</v>
      </c>
      <c r="E499">
        <v>14</v>
      </c>
      <c r="F499">
        <v>14</v>
      </c>
      <c r="G499">
        <v>14</v>
      </c>
      <c r="H499" t="s">
        <v>1359</v>
      </c>
      <c r="I499">
        <v>33.4</v>
      </c>
      <c r="J499">
        <v>42.158000000000001</v>
      </c>
      <c r="K499" t="str">
        <f>"APOL1"</f>
        <v>APOL1</v>
      </c>
      <c r="L499" t="str">
        <f>"APOL1"</f>
        <v>APOL1</v>
      </c>
      <c r="M499">
        <v>14.5246713026023</v>
      </c>
      <c r="N499">
        <v>4.4725086092715198</v>
      </c>
      <c r="O499">
        <v>5.4716603651290896</v>
      </c>
      <c r="P499">
        <v>8.5217514195583597</v>
      </c>
      <c r="Q499">
        <v>8.7903339531424294</v>
      </c>
      <c r="R499">
        <v>1.8001620641859499</v>
      </c>
      <c r="S499">
        <v>1.1331355704698001</v>
      </c>
      <c r="T499">
        <v>7.1069398063701401</v>
      </c>
      <c r="U499">
        <v>0</v>
      </c>
      <c r="V499">
        <v>8.4050877411325509</v>
      </c>
      <c r="W499">
        <v>8.9277866747242793</v>
      </c>
      <c r="X499">
        <v>5.9078742637195996</v>
      </c>
    </row>
    <row r="500" spans="1:24">
      <c r="A500">
        <v>159</v>
      </c>
      <c r="B500" t="s">
        <v>1360</v>
      </c>
      <c r="C500">
        <v>1</v>
      </c>
      <c r="D500" t="s">
        <v>1361</v>
      </c>
      <c r="E500">
        <v>17</v>
      </c>
      <c r="F500">
        <v>17</v>
      </c>
      <c r="G500">
        <v>15</v>
      </c>
      <c r="H500" t="s">
        <v>1360</v>
      </c>
      <c r="I500">
        <v>45.3</v>
      </c>
      <c r="J500">
        <v>42.914999999999999</v>
      </c>
      <c r="K500" t="str">
        <f>"NCK2"</f>
        <v>NCK2</v>
      </c>
      <c r="L500" t="str">
        <f>"NCK2"</f>
        <v>NCK2</v>
      </c>
      <c r="M500">
        <v>6.0519463760843104</v>
      </c>
      <c r="N500">
        <v>7.1560137748344399</v>
      </c>
      <c r="O500">
        <v>8.2074905476936397</v>
      </c>
      <c r="P500">
        <v>8.5217514195583597</v>
      </c>
      <c r="Q500">
        <v>3.7672859799181899</v>
      </c>
      <c r="R500">
        <v>6.3005672246508198</v>
      </c>
      <c r="S500">
        <v>5.6656778523489901</v>
      </c>
      <c r="T500">
        <v>2.3689799354567098</v>
      </c>
      <c r="U500">
        <v>3.3070749542961599</v>
      </c>
      <c r="V500">
        <v>6.3038158058494096</v>
      </c>
      <c r="W500">
        <v>1.27539809638918</v>
      </c>
      <c r="X500">
        <v>6.8925199743395398</v>
      </c>
    </row>
    <row r="501" spans="1:24">
      <c r="A501">
        <v>217</v>
      </c>
      <c r="B501" t="s">
        <v>1362</v>
      </c>
      <c r="C501">
        <v>1</v>
      </c>
      <c r="D501" t="s">
        <v>1363</v>
      </c>
      <c r="E501">
        <v>10</v>
      </c>
      <c r="F501">
        <v>10</v>
      </c>
      <c r="G501">
        <v>10</v>
      </c>
      <c r="H501" t="s">
        <v>1362</v>
      </c>
      <c r="I501">
        <v>51.6</v>
      </c>
      <c r="J501">
        <v>24.593</v>
      </c>
      <c r="K501" t="str">
        <f>"SEC22B"</f>
        <v>SEC22B</v>
      </c>
      <c r="L501" t="str">
        <f>"SEC22B"</f>
        <v>SEC22B</v>
      </c>
      <c r="M501">
        <v>3.6311678256505799</v>
      </c>
      <c r="N501">
        <v>5.3670103311258304</v>
      </c>
      <c r="O501">
        <v>6.3836037593172703</v>
      </c>
      <c r="P501">
        <v>3.19565678233438</v>
      </c>
      <c r="Q501">
        <v>1.25576199330606</v>
      </c>
      <c r="R501">
        <v>5.4004861925578398</v>
      </c>
      <c r="S501">
        <v>4.5325422818791896</v>
      </c>
      <c r="T501">
        <v>7.1069398063701401</v>
      </c>
      <c r="U501">
        <v>6.6141499085923199</v>
      </c>
      <c r="V501">
        <v>8.4050877411325509</v>
      </c>
      <c r="W501">
        <v>3.82619428916755</v>
      </c>
      <c r="X501">
        <v>2.9539371318597998</v>
      </c>
    </row>
    <row r="502" spans="1:24">
      <c r="A502">
        <v>309</v>
      </c>
      <c r="B502" t="s">
        <v>1364</v>
      </c>
      <c r="C502">
        <v>2</v>
      </c>
      <c r="D502" t="s">
        <v>1365</v>
      </c>
      <c r="E502">
        <v>26</v>
      </c>
      <c r="F502">
        <v>6</v>
      </c>
      <c r="G502">
        <v>6</v>
      </c>
      <c r="H502" t="s">
        <v>1366</v>
      </c>
      <c r="I502">
        <v>55.5</v>
      </c>
      <c r="J502">
        <v>39.029000000000003</v>
      </c>
      <c r="K502" t="str">
        <f>"HPR"</f>
        <v>HPR</v>
      </c>
      <c r="L502" t="str">
        <f>"HPR"</f>
        <v>HPR</v>
      </c>
      <c r="M502">
        <v>9.6831142017348899</v>
      </c>
      <c r="N502">
        <v>2.6835051655629099</v>
      </c>
      <c r="O502">
        <v>3.64777357675273</v>
      </c>
      <c r="P502">
        <v>6.3913135646687698</v>
      </c>
      <c r="Q502">
        <v>7.5345719598363701</v>
      </c>
      <c r="R502">
        <v>4.5004051604648696</v>
      </c>
      <c r="S502">
        <v>3.3994067114094002</v>
      </c>
      <c r="T502">
        <v>8.2914297740984999</v>
      </c>
      <c r="U502">
        <v>1.10235831809872</v>
      </c>
      <c r="V502">
        <v>9.4557237087741104</v>
      </c>
      <c r="W502">
        <v>10.2031847711135</v>
      </c>
      <c r="X502">
        <v>3.9385828424797298</v>
      </c>
    </row>
    <row r="503" spans="1:24">
      <c r="A503">
        <v>1481</v>
      </c>
      <c r="B503" t="s">
        <v>1367</v>
      </c>
      <c r="C503">
        <v>4</v>
      </c>
      <c r="D503" t="s">
        <v>1368</v>
      </c>
      <c r="E503">
        <v>20</v>
      </c>
      <c r="F503">
        <v>10</v>
      </c>
      <c r="G503">
        <v>10</v>
      </c>
      <c r="H503" t="s">
        <v>1369</v>
      </c>
      <c r="I503">
        <v>52</v>
      </c>
      <c r="J503">
        <v>48.872</v>
      </c>
      <c r="K503" t="str">
        <f>"SEPT6"</f>
        <v>SEPT6</v>
      </c>
      <c r="L503" t="str">
        <f>"SEPT6"</f>
        <v>SEPT6</v>
      </c>
      <c r="M503">
        <v>6.0519463760843104</v>
      </c>
      <c r="N503">
        <v>5.3670103311258304</v>
      </c>
      <c r="O503">
        <v>7.2955471535054599</v>
      </c>
      <c r="P503">
        <v>4.2608757097791798</v>
      </c>
      <c r="Q503">
        <v>5.0230479732242497</v>
      </c>
      <c r="R503">
        <v>5.4004861925578398</v>
      </c>
      <c r="S503">
        <v>4.5325422818791896</v>
      </c>
      <c r="T503">
        <v>3.5534699031850701</v>
      </c>
      <c r="U503">
        <v>6.6141499085923199</v>
      </c>
      <c r="V503">
        <v>5.2531798382078403</v>
      </c>
      <c r="W503">
        <v>2.5507961927783702</v>
      </c>
      <c r="X503">
        <v>5.9078742637195996</v>
      </c>
    </row>
    <row r="504" spans="1:24">
      <c r="A504">
        <v>793</v>
      </c>
      <c r="B504" t="s">
        <v>1370</v>
      </c>
      <c r="C504">
        <v>1</v>
      </c>
      <c r="D504" t="s">
        <v>1371</v>
      </c>
      <c r="E504">
        <v>12</v>
      </c>
      <c r="F504">
        <v>12</v>
      </c>
      <c r="G504">
        <v>12</v>
      </c>
      <c r="H504" t="s">
        <v>1370</v>
      </c>
      <c r="I504">
        <v>28.1</v>
      </c>
      <c r="J504">
        <v>60.555999999999997</v>
      </c>
      <c r="K504" t="str">
        <f>"CPN2"</f>
        <v>CPN2</v>
      </c>
      <c r="L504" t="str">
        <f>"CPN2"</f>
        <v>CPN2</v>
      </c>
      <c r="M504">
        <v>10.8935034769518</v>
      </c>
      <c r="N504">
        <v>6.2615120529801302</v>
      </c>
      <c r="O504">
        <v>0.91194339418818204</v>
      </c>
      <c r="P504">
        <v>2.1304378548895899</v>
      </c>
      <c r="Q504">
        <v>8.7903339531424294</v>
      </c>
      <c r="R504">
        <v>1.8001620641859499</v>
      </c>
      <c r="S504">
        <v>10.198220134228199</v>
      </c>
      <c r="T504">
        <v>5.9224498386417803</v>
      </c>
      <c r="U504">
        <v>5.5117915904936003</v>
      </c>
      <c r="V504">
        <v>4.2025438705662701</v>
      </c>
      <c r="W504">
        <v>6.37699048194591</v>
      </c>
      <c r="X504">
        <v>3.9385828424797298</v>
      </c>
    </row>
    <row r="505" spans="1:24">
      <c r="A505">
        <v>882</v>
      </c>
      <c r="B505" t="s">
        <v>1372</v>
      </c>
      <c r="C505">
        <v>4</v>
      </c>
      <c r="D505" t="s">
        <v>1373</v>
      </c>
      <c r="E505">
        <v>8</v>
      </c>
      <c r="F505">
        <v>8</v>
      </c>
      <c r="G505">
        <v>8</v>
      </c>
      <c r="H505" t="s">
        <v>1374</v>
      </c>
      <c r="I505">
        <v>49.4</v>
      </c>
      <c r="J505">
        <v>17.030999999999999</v>
      </c>
      <c r="K505" t="str">
        <f>"PRDX5"</f>
        <v>PRDX5</v>
      </c>
      <c r="L505" t="str">
        <f>"PRDX5"</f>
        <v>PRDX5</v>
      </c>
      <c r="M505">
        <v>6.0519463760843104</v>
      </c>
      <c r="N505">
        <v>5.3670103311258304</v>
      </c>
      <c r="O505">
        <v>5.4716603651290896</v>
      </c>
      <c r="P505">
        <v>7.4565324921135696</v>
      </c>
      <c r="Q505">
        <v>5.0230479732242497</v>
      </c>
      <c r="R505">
        <v>5.4004861925578398</v>
      </c>
      <c r="S505">
        <v>7.9319489932885903</v>
      </c>
      <c r="T505">
        <v>5.9224498386417803</v>
      </c>
      <c r="U505">
        <v>5.5117915904936003</v>
      </c>
      <c r="V505">
        <v>4.2025438705662701</v>
      </c>
      <c r="W505">
        <v>5.1015923855567298</v>
      </c>
      <c r="X505">
        <v>1.96929142123987</v>
      </c>
    </row>
    <row r="506" spans="1:24">
      <c r="A506">
        <v>1091</v>
      </c>
      <c r="B506" t="s">
        <v>1375</v>
      </c>
      <c r="C506">
        <v>1</v>
      </c>
      <c r="D506" t="s">
        <v>1376</v>
      </c>
      <c r="E506">
        <v>11</v>
      </c>
      <c r="F506">
        <v>11</v>
      </c>
      <c r="G506">
        <v>11</v>
      </c>
      <c r="H506" t="s">
        <v>1375</v>
      </c>
      <c r="I506">
        <v>28.4</v>
      </c>
      <c r="J506">
        <v>58.777000000000001</v>
      </c>
      <c r="K506" t="str">
        <f>"SARS"</f>
        <v>SARS</v>
      </c>
      <c r="L506" t="str">
        <f>"SARS"</f>
        <v>SARS</v>
      </c>
      <c r="M506">
        <v>1.2103892752168599</v>
      </c>
      <c r="N506">
        <v>6.2615120529801302</v>
      </c>
      <c r="O506">
        <v>5.4716603651290896</v>
      </c>
      <c r="P506">
        <v>5.3260946372239797</v>
      </c>
      <c r="Q506">
        <v>2.51152398661212</v>
      </c>
      <c r="R506">
        <v>5.4004861925578398</v>
      </c>
      <c r="S506">
        <v>6.7988134228187898</v>
      </c>
      <c r="T506">
        <v>4.7379598709134303</v>
      </c>
      <c r="U506">
        <v>5.5117915904936003</v>
      </c>
      <c r="V506">
        <v>8.4050877411325509</v>
      </c>
      <c r="W506">
        <v>6.37699048194591</v>
      </c>
      <c r="X506">
        <v>6.8925199743395398</v>
      </c>
    </row>
    <row r="507" spans="1:24">
      <c r="A507">
        <v>1736</v>
      </c>
      <c r="B507" t="s">
        <v>1377</v>
      </c>
      <c r="C507">
        <v>7</v>
      </c>
      <c r="D507" t="s">
        <v>1378</v>
      </c>
      <c r="E507">
        <v>13</v>
      </c>
      <c r="F507">
        <v>13</v>
      </c>
      <c r="G507">
        <v>13</v>
      </c>
      <c r="H507" t="s">
        <v>1379</v>
      </c>
      <c r="I507">
        <v>31.8</v>
      </c>
      <c r="J507">
        <v>50.198999999999998</v>
      </c>
      <c r="K507" t="str">
        <f>"PRUNE"</f>
        <v>PRUNE</v>
      </c>
      <c r="L507" t="str">
        <f>"PRUNE"</f>
        <v>PRUNE</v>
      </c>
      <c r="M507">
        <v>4.8415571008674503</v>
      </c>
      <c r="N507">
        <v>5.3670103311258304</v>
      </c>
      <c r="O507">
        <v>6.3836037593172703</v>
      </c>
      <c r="P507">
        <v>4.2608757097791798</v>
      </c>
      <c r="Q507">
        <v>3.7672859799181899</v>
      </c>
      <c r="R507">
        <v>4.5004051604648696</v>
      </c>
      <c r="S507">
        <v>4.5325422818791896</v>
      </c>
      <c r="T507">
        <v>8.2914297740984999</v>
      </c>
      <c r="U507">
        <v>4.4094332723948799</v>
      </c>
      <c r="V507">
        <v>7.3544517734909798</v>
      </c>
      <c r="W507">
        <v>7.6523885783351</v>
      </c>
      <c r="X507">
        <v>4.92322855309967</v>
      </c>
    </row>
    <row r="508" spans="1:24">
      <c r="A508">
        <v>286</v>
      </c>
      <c r="B508" t="s">
        <v>1380</v>
      </c>
      <c r="C508">
        <v>3</v>
      </c>
      <c r="D508" t="s">
        <v>1381</v>
      </c>
      <c r="E508">
        <v>9</v>
      </c>
      <c r="F508">
        <v>9</v>
      </c>
      <c r="G508">
        <v>3</v>
      </c>
      <c r="H508" t="s">
        <v>1382</v>
      </c>
      <c r="I508">
        <v>49.8</v>
      </c>
      <c r="J508">
        <v>25.003</v>
      </c>
      <c r="K508" t="str">
        <f>"G6B"</f>
        <v>G6B</v>
      </c>
      <c r="L508" t="str">
        <f>"C6orf25"</f>
        <v>C6orf25</v>
      </c>
      <c r="M508">
        <v>4.8415571008674503</v>
      </c>
      <c r="N508">
        <v>5.3670103311258304</v>
      </c>
      <c r="O508">
        <v>4.5597169709409098</v>
      </c>
      <c r="P508">
        <v>4.2608757097791798</v>
      </c>
      <c r="Q508">
        <v>3.7672859799181899</v>
      </c>
      <c r="R508">
        <v>5.4004861925578398</v>
      </c>
      <c r="S508">
        <v>4.5325422818791896</v>
      </c>
      <c r="T508">
        <v>4.7379598709134303</v>
      </c>
      <c r="U508">
        <v>7.7165082266910403</v>
      </c>
      <c r="V508">
        <v>4.2025438705662701</v>
      </c>
      <c r="W508">
        <v>6.37699048194591</v>
      </c>
      <c r="X508">
        <v>5.9078742637195996</v>
      </c>
    </row>
    <row r="509" spans="1:24">
      <c r="A509">
        <v>1158</v>
      </c>
      <c r="B509" t="s">
        <v>1383</v>
      </c>
      <c r="C509">
        <v>1</v>
      </c>
      <c r="D509" t="s">
        <v>1384</v>
      </c>
      <c r="E509">
        <v>14</v>
      </c>
      <c r="F509">
        <v>14</v>
      </c>
      <c r="G509">
        <v>14</v>
      </c>
      <c r="H509" t="s">
        <v>1383</v>
      </c>
      <c r="I509">
        <v>46.6</v>
      </c>
      <c r="J509">
        <v>33.427999999999997</v>
      </c>
      <c r="K509" t="str">
        <f>"BLVRA"</f>
        <v>BLVRA</v>
      </c>
      <c r="L509" t="str">
        <f>"BLVRA"</f>
        <v>BLVRA</v>
      </c>
      <c r="M509">
        <v>2.4207785504337198</v>
      </c>
      <c r="N509">
        <v>8.9450172185430503</v>
      </c>
      <c r="O509">
        <v>7.2955471535054599</v>
      </c>
      <c r="P509">
        <v>6.3913135646687698</v>
      </c>
      <c r="Q509">
        <v>1.25576199330606</v>
      </c>
      <c r="R509">
        <v>4.5004051604648696</v>
      </c>
      <c r="S509">
        <v>1.1331355704698001</v>
      </c>
      <c r="T509">
        <v>7.1069398063701401</v>
      </c>
      <c r="U509">
        <v>4.4094332723948799</v>
      </c>
      <c r="V509">
        <v>5.2531798382078403</v>
      </c>
      <c r="W509">
        <v>2.5507961927783702</v>
      </c>
      <c r="X509">
        <v>2.9539371318597998</v>
      </c>
    </row>
    <row r="510" spans="1:24">
      <c r="A510">
        <v>781</v>
      </c>
      <c r="B510" t="s">
        <v>1385</v>
      </c>
      <c r="C510">
        <v>2</v>
      </c>
      <c r="D510" t="s">
        <v>1386</v>
      </c>
      <c r="E510">
        <v>10</v>
      </c>
      <c r="F510">
        <v>10</v>
      </c>
      <c r="G510">
        <v>10</v>
      </c>
      <c r="H510" t="s">
        <v>1387</v>
      </c>
      <c r="I510">
        <v>65.599999999999994</v>
      </c>
      <c r="J510">
        <v>24.635999999999999</v>
      </c>
      <c r="K510" t="str">
        <f>"PCMT1"</f>
        <v>PCMT1</v>
      </c>
      <c r="L510" t="str">
        <f>"PCMT1"</f>
        <v>PCMT1</v>
      </c>
      <c r="M510">
        <v>3.6311678256505799</v>
      </c>
      <c r="N510">
        <v>5.3670103311258304</v>
      </c>
      <c r="O510">
        <v>4.5597169709409098</v>
      </c>
      <c r="P510">
        <v>2.1304378548895899</v>
      </c>
      <c r="Q510">
        <v>5.0230479732242497</v>
      </c>
      <c r="R510">
        <v>5.4004861925578398</v>
      </c>
      <c r="S510">
        <v>5.6656778523489901</v>
      </c>
      <c r="T510">
        <v>3.5534699031850701</v>
      </c>
      <c r="U510">
        <v>2.20471663619744</v>
      </c>
      <c r="V510">
        <v>6.3038158058494096</v>
      </c>
      <c r="W510">
        <v>2.5507961927783702</v>
      </c>
      <c r="X510">
        <v>3.9385828424797298</v>
      </c>
    </row>
    <row r="511" spans="1:24">
      <c r="A511">
        <v>907</v>
      </c>
      <c r="B511" t="s">
        <v>1388</v>
      </c>
      <c r="C511">
        <v>2</v>
      </c>
      <c r="D511" t="s">
        <v>1389</v>
      </c>
      <c r="E511">
        <v>19</v>
      </c>
      <c r="F511">
        <v>13</v>
      </c>
      <c r="G511">
        <v>1</v>
      </c>
      <c r="H511" t="s">
        <v>1390</v>
      </c>
      <c r="I511">
        <v>54.4</v>
      </c>
      <c r="J511">
        <v>40.362000000000002</v>
      </c>
      <c r="K511" t="str">
        <f>"HLA-B"</f>
        <v>HLA-B</v>
      </c>
      <c r="L511" t="str">
        <f>"HLA-B"</f>
        <v>HLA-B</v>
      </c>
      <c r="M511">
        <v>2.4207785504337198</v>
      </c>
      <c r="N511">
        <v>4.4725086092715198</v>
      </c>
      <c r="O511">
        <v>2.7358301825645501</v>
      </c>
      <c r="P511">
        <v>3.19565678233438</v>
      </c>
      <c r="Q511">
        <v>6.2788099665303099</v>
      </c>
      <c r="R511">
        <v>7.2006482567437899</v>
      </c>
      <c r="S511">
        <v>3.3994067114094002</v>
      </c>
      <c r="T511">
        <v>7.1069398063701401</v>
      </c>
      <c r="U511">
        <v>9.9212248628884794</v>
      </c>
      <c r="V511">
        <v>6.3038158058494096</v>
      </c>
      <c r="W511">
        <v>3.82619428916755</v>
      </c>
      <c r="X511">
        <v>4.92322855309967</v>
      </c>
    </row>
    <row r="512" spans="1:24">
      <c r="A512">
        <v>1996</v>
      </c>
      <c r="B512" t="s">
        <v>1391</v>
      </c>
      <c r="C512">
        <v>1</v>
      </c>
      <c r="D512" t="s">
        <v>1392</v>
      </c>
      <c r="E512">
        <v>16</v>
      </c>
      <c r="F512">
        <v>16</v>
      </c>
      <c r="G512">
        <v>5</v>
      </c>
      <c r="H512" t="s">
        <v>1391</v>
      </c>
      <c r="I512">
        <v>48.2</v>
      </c>
      <c r="J512">
        <v>42.777000000000001</v>
      </c>
      <c r="K512" t="str">
        <f>"SEPT5"</f>
        <v>SEPT5</v>
      </c>
      <c r="L512" t="str">
        <f>"SEPT5"</f>
        <v>SEPT5</v>
      </c>
      <c r="M512">
        <v>6.0519463760843104</v>
      </c>
      <c r="N512">
        <v>3.57800688741722</v>
      </c>
      <c r="O512">
        <v>7.2955471535054599</v>
      </c>
      <c r="P512">
        <v>6.3913135646687698</v>
      </c>
      <c r="Q512">
        <v>3.7672859799181899</v>
      </c>
      <c r="R512">
        <v>5.4004861925578398</v>
      </c>
      <c r="S512">
        <v>5.6656778523489901</v>
      </c>
      <c r="T512">
        <v>5.9224498386417803</v>
      </c>
      <c r="U512">
        <v>4.4094332723948799</v>
      </c>
      <c r="V512">
        <v>3.1519079029246999</v>
      </c>
      <c r="W512">
        <v>2.5507961927783702</v>
      </c>
      <c r="X512">
        <v>7.8771656849594702</v>
      </c>
    </row>
    <row r="513" spans="1:24">
      <c r="A513">
        <v>602</v>
      </c>
      <c r="B513" t="s">
        <v>1393</v>
      </c>
      <c r="C513">
        <v>4</v>
      </c>
      <c r="D513" t="s">
        <v>1394</v>
      </c>
      <c r="E513">
        <v>5</v>
      </c>
      <c r="F513">
        <v>5</v>
      </c>
      <c r="G513">
        <v>5</v>
      </c>
      <c r="H513" t="s">
        <v>1395</v>
      </c>
      <c r="I513">
        <v>36.700000000000003</v>
      </c>
      <c r="J513">
        <v>14.728</v>
      </c>
      <c r="K513" t="str">
        <f>"UBA52;RPS27A;UBB;UBC"</f>
        <v>UBA52;RPS27A;UBB;UBC</v>
      </c>
      <c r="L513" t="str">
        <f>"UBA52;RPS27A;UBB;UBC"</f>
        <v>UBA52;RPS27A;UBB;UBC</v>
      </c>
      <c r="M513">
        <v>4.8415571008674503</v>
      </c>
      <c r="N513">
        <v>4.4725086092715198</v>
      </c>
      <c r="O513">
        <v>5.4716603651290896</v>
      </c>
      <c r="P513">
        <v>7.4565324921135696</v>
      </c>
      <c r="Q513">
        <v>2.51152398661212</v>
      </c>
      <c r="R513">
        <v>5.4004861925578398</v>
      </c>
      <c r="S513">
        <v>2.2662711409396001</v>
      </c>
      <c r="T513">
        <v>5.9224498386417803</v>
      </c>
      <c r="U513">
        <v>6.6141499085923199</v>
      </c>
      <c r="V513">
        <v>4.2025438705662701</v>
      </c>
      <c r="W513">
        <v>6.37699048194591</v>
      </c>
      <c r="X513">
        <v>3.9385828424797298</v>
      </c>
    </row>
    <row r="514" spans="1:24">
      <c r="A514">
        <v>643</v>
      </c>
      <c r="B514" t="s">
        <v>1396</v>
      </c>
      <c r="C514">
        <v>1</v>
      </c>
      <c r="D514" t="s">
        <v>1397</v>
      </c>
      <c r="E514">
        <v>13</v>
      </c>
      <c r="F514">
        <v>13</v>
      </c>
      <c r="G514">
        <v>13</v>
      </c>
      <c r="H514" t="s">
        <v>1396</v>
      </c>
      <c r="I514">
        <v>43</v>
      </c>
      <c r="J514">
        <v>39.723999999999997</v>
      </c>
      <c r="K514" t="str">
        <f>"ADH5"</f>
        <v>ADH5</v>
      </c>
      <c r="L514" t="str">
        <f>"ADH5"</f>
        <v>ADH5</v>
      </c>
      <c r="M514">
        <v>2.4207785504337198</v>
      </c>
      <c r="N514">
        <v>6.2615120529801302</v>
      </c>
      <c r="O514">
        <v>4.5597169709409098</v>
      </c>
      <c r="P514">
        <v>5.3260946372239797</v>
      </c>
      <c r="Q514">
        <v>1.25576199330606</v>
      </c>
      <c r="R514">
        <v>8.1007292888367601</v>
      </c>
      <c r="S514">
        <v>2.2662711409396001</v>
      </c>
      <c r="T514">
        <v>3.5534699031850701</v>
      </c>
      <c r="U514">
        <v>7.7165082266910403</v>
      </c>
      <c r="V514">
        <v>2.1012719352831399</v>
      </c>
      <c r="W514">
        <v>8.9277866747242793</v>
      </c>
      <c r="X514">
        <v>9.84645710619934</v>
      </c>
    </row>
    <row r="515" spans="1:24">
      <c r="A515">
        <v>805</v>
      </c>
      <c r="B515" t="s">
        <v>1398</v>
      </c>
      <c r="C515">
        <v>2</v>
      </c>
      <c r="D515" t="s">
        <v>1399</v>
      </c>
      <c r="E515">
        <v>15</v>
      </c>
      <c r="F515">
        <v>15</v>
      </c>
      <c r="G515">
        <v>15</v>
      </c>
      <c r="H515" t="s">
        <v>1400</v>
      </c>
      <c r="I515">
        <v>40.799999999999997</v>
      </c>
      <c r="J515">
        <v>53.164999999999999</v>
      </c>
      <c r="K515" t="str">
        <f>"WARS"</f>
        <v>WARS</v>
      </c>
      <c r="L515" t="str">
        <f>"WARS"</f>
        <v>WARS</v>
      </c>
      <c r="M515">
        <v>3.6311678256505799</v>
      </c>
      <c r="N515">
        <v>6.2615120529801302</v>
      </c>
      <c r="O515">
        <v>8.2074905476936397</v>
      </c>
      <c r="P515">
        <v>2.1304378548895899</v>
      </c>
      <c r="Q515">
        <v>2.51152398661212</v>
      </c>
      <c r="R515">
        <v>5.4004861925578398</v>
      </c>
      <c r="S515">
        <v>6.7988134228187898</v>
      </c>
      <c r="T515">
        <v>5.9224498386417803</v>
      </c>
      <c r="U515">
        <v>8.8188665447897598</v>
      </c>
      <c r="V515">
        <v>3.1519079029246999</v>
      </c>
      <c r="W515">
        <v>6.37699048194591</v>
      </c>
      <c r="X515">
        <v>4.92322855309967</v>
      </c>
    </row>
    <row r="516" spans="1:24">
      <c r="A516">
        <v>1603</v>
      </c>
      <c r="B516" t="s">
        <v>1401</v>
      </c>
      <c r="C516">
        <v>3</v>
      </c>
      <c r="D516" t="s">
        <v>1402</v>
      </c>
      <c r="E516">
        <v>8</v>
      </c>
      <c r="F516">
        <v>8</v>
      </c>
      <c r="G516">
        <v>8</v>
      </c>
      <c r="H516" t="s">
        <v>1403</v>
      </c>
      <c r="I516">
        <v>30.6</v>
      </c>
      <c r="J516">
        <v>34.292999999999999</v>
      </c>
      <c r="K516" t="str">
        <f>"HADH"</f>
        <v>HADH</v>
      </c>
      <c r="L516" t="str">
        <f>"HADH"</f>
        <v>HADH</v>
      </c>
      <c r="M516">
        <v>3.6311678256505799</v>
      </c>
      <c r="N516">
        <v>1.78900344370861</v>
      </c>
      <c r="O516">
        <v>5.4716603651290896</v>
      </c>
      <c r="P516">
        <v>4.2608757097791798</v>
      </c>
      <c r="Q516">
        <v>5.0230479732242497</v>
      </c>
      <c r="R516">
        <v>9.0008103209297392</v>
      </c>
      <c r="S516">
        <v>3.3994067114094002</v>
      </c>
      <c r="T516">
        <v>5.9224498386417803</v>
      </c>
      <c r="U516">
        <v>4.4094332723948799</v>
      </c>
      <c r="V516">
        <v>4.2025438705662701</v>
      </c>
      <c r="W516">
        <v>5.1015923855567298</v>
      </c>
      <c r="X516">
        <v>4.92322855309967</v>
      </c>
    </row>
    <row r="517" spans="1:24">
      <c r="A517">
        <v>1847</v>
      </c>
      <c r="B517" t="s">
        <v>1404</v>
      </c>
      <c r="C517">
        <v>3</v>
      </c>
      <c r="D517" t="s">
        <v>1405</v>
      </c>
      <c r="E517">
        <v>8</v>
      </c>
      <c r="F517">
        <v>8</v>
      </c>
      <c r="G517">
        <v>8</v>
      </c>
      <c r="H517" t="s">
        <v>1406</v>
      </c>
      <c r="I517">
        <v>52.8</v>
      </c>
      <c r="J517">
        <v>25.495000000000001</v>
      </c>
      <c r="K517" t="str">
        <f>"TMEM40"</f>
        <v>TMEM40</v>
      </c>
      <c r="L517" t="str">
        <f>"TMEM40"</f>
        <v>TMEM40</v>
      </c>
      <c r="M517">
        <v>4.8415571008674503</v>
      </c>
      <c r="N517">
        <v>4.4725086092715198</v>
      </c>
      <c r="O517">
        <v>4.5597169709409098</v>
      </c>
      <c r="P517">
        <v>8.5217514195583597</v>
      </c>
      <c r="Q517">
        <v>3.7672859799181899</v>
      </c>
      <c r="R517">
        <v>4.5004051604648696</v>
      </c>
      <c r="S517">
        <v>7.9319489932885903</v>
      </c>
      <c r="T517">
        <v>3.5534699031850701</v>
      </c>
      <c r="U517">
        <v>3.3070749542961599</v>
      </c>
      <c r="V517">
        <v>4.2025438705662701</v>
      </c>
      <c r="W517">
        <v>6.37699048194591</v>
      </c>
      <c r="X517">
        <v>3.9385828424797298</v>
      </c>
    </row>
    <row r="518" spans="1:24">
      <c r="A518">
        <v>1998</v>
      </c>
      <c r="B518" t="s">
        <v>1407</v>
      </c>
      <c r="C518">
        <v>2</v>
      </c>
      <c r="D518" t="s">
        <v>1408</v>
      </c>
      <c r="E518">
        <v>12</v>
      </c>
      <c r="F518">
        <v>12</v>
      </c>
      <c r="G518">
        <v>10</v>
      </c>
      <c r="H518" t="s">
        <v>1409</v>
      </c>
      <c r="I518">
        <v>26.1</v>
      </c>
      <c r="J518">
        <v>42.823</v>
      </c>
      <c r="K518" t="str">
        <f>"NAP1L4"</f>
        <v>NAP1L4</v>
      </c>
      <c r="L518" t="str">
        <f>"NAP1L4"</f>
        <v>NAP1L4</v>
      </c>
      <c r="M518">
        <v>1.2103892752168599</v>
      </c>
      <c r="N518">
        <v>4.4725086092715198</v>
      </c>
      <c r="O518">
        <v>5.4716603651290896</v>
      </c>
      <c r="P518">
        <v>5.3260946372239797</v>
      </c>
      <c r="Q518">
        <v>5.0230479732242497</v>
      </c>
      <c r="R518">
        <v>7.2006482567437899</v>
      </c>
      <c r="S518">
        <v>5.6656778523489901</v>
      </c>
      <c r="T518">
        <v>4.7379598709134303</v>
      </c>
      <c r="U518">
        <v>5.5117915904936003</v>
      </c>
      <c r="V518">
        <v>5.2531798382078403</v>
      </c>
      <c r="W518">
        <v>6.37699048194591</v>
      </c>
      <c r="X518">
        <v>3.9385828424797298</v>
      </c>
    </row>
    <row r="519" spans="1:24">
      <c r="A519">
        <v>757</v>
      </c>
      <c r="B519" t="s">
        <v>1410</v>
      </c>
      <c r="C519">
        <v>2</v>
      </c>
      <c r="D519" t="s">
        <v>1411</v>
      </c>
      <c r="E519">
        <v>20</v>
      </c>
      <c r="F519">
        <v>20</v>
      </c>
      <c r="G519">
        <v>20</v>
      </c>
      <c r="H519" t="s">
        <v>1412</v>
      </c>
      <c r="I519">
        <v>46.4</v>
      </c>
      <c r="J519">
        <v>50.314999999999998</v>
      </c>
      <c r="K519" t="str">
        <f>"ANXA7"</f>
        <v>ANXA7</v>
      </c>
      <c r="L519" t="str">
        <f>"ANXA7"</f>
        <v>ANXA7</v>
      </c>
      <c r="M519">
        <v>7.2623356513011696</v>
      </c>
      <c r="N519">
        <v>6.2615120529801302</v>
      </c>
      <c r="O519">
        <v>4.5597169709409098</v>
      </c>
      <c r="P519">
        <v>2.1304378548895899</v>
      </c>
      <c r="Q519">
        <v>1.25576199330606</v>
      </c>
      <c r="R519">
        <v>4.5004051604648696</v>
      </c>
      <c r="S519">
        <v>3.3994067114094002</v>
      </c>
      <c r="T519">
        <v>1.18448996772836</v>
      </c>
      <c r="U519">
        <v>6.6141499085923199</v>
      </c>
      <c r="V519">
        <v>5.2531798382078403</v>
      </c>
      <c r="W519">
        <v>5.1015923855567298</v>
      </c>
      <c r="X519">
        <v>7.8771656849594702</v>
      </c>
    </row>
    <row r="520" spans="1:24">
      <c r="A520">
        <v>2376</v>
      </c>
      <c r="B520" t="s">
        <v>1413</v>
      </c>
      <c r="C520">
        <v>1</v>
      </c>
      <c r="D520" t="s">
        <v>1414</v>
      </c>
      <c r="E520">
        <v>22</v>
      </c>
      <c r="F520">
        <v>22</v>
      </c>
      <c r="G520">
        <v>20</v>
      </c>
      <c r="H520" t="s">
        <v>1413</v>
      </c>
      <c r="I520">
        <v>33.299999999999997</v>
      </c>
      <c r="J520">
        <v>97.716999999999999</v>
      </c>
      <c r="K520" t="str">
        <f>"COPG1"</f>
        <v>COPG1</v>
      </c>
      <c r="L520" t="str">
        <f>"COPG1"</f>
        <v>COPG1</v>
      </c>
      <c r="M520">
        <v>2.4207785504337198</v>
      </c>
      <c r="N520">
        <v>5.3670103311258304</v>
      </c>
      <c r="O520">
        <v>10.031377336069999</v>
      </c>
      <c r="P520">
        <v>0</v>
      </c>
      <c r="Q520">
        <v>0</v>
      </c>
      <c r="R520">
        <v>8.1007292888367601</v>
      </c>
      <c r="S520">
        <v>3.3994067114094002</v>
      </c>
      <c r="T520">
        <v>3.5534699031850701</v>
      </c>
      <c r="U520">
        <v>3.3070749542961599</v>
      </c>
      <c r="V520">
        <v>5.2531798382078403</v>
      </c>
      <c r="W520">
        <v>2.5507961927783702</v>
      </c>
      <c r="X520">
        <v>8.8618113955793998</v>
      </c>
    </row>
    <row r="521" spans="1:24">
      <c r="A521">
        <v>1099</v>
      </c>
      <c r="B521" t="s">
        <v>1415</v>
      </c>
      <c r="C521">
        <v>1</v>
      </c>
      <c r="D521" t="s">
        <v>1416</v>
      </c>
      <c r="E521">
        <v>8</v>
      </c>
      <c r="F521">
        <v>8</v>
      </c>
      <c r="G521">
        <v>8</v>
      </c>
      <c r="H521" t="s">
        <v>1415</v>
      </c>
      <c r="I521">
        <v>35.6</v>
      </c>
      <c r="J521">
        <v>24.975999999999999</v>
      </c>
      <c r="K521" t="str">
        <f>"TMED10"</f>
        <v>TMED10</v>
      </c>
      <c r="L521" t="str">
        <f>"TMED10"</f>
        <v>TMED10</v>
      </c>
      <c r="M521">
        <v>4.8415571008674503</v>
      </c>
      <c r="N521">
        <v>2.6835051655629099</v>
      </c>
      <c r="O521">
        <v>5.4716603651290896</v>
      </c>
      <c r="P521">
        <v>4.2608757097791798</v>
      </c>
      <c r="Q521">
        <v>5.0230479732242497</v>
      </c>
      <c r="R521">
        <v>6.3005672246508198</v>
      </c>
      <c r="S521">
        <v>3.3994067114094002</v>
      </c>
      <c r="T521">
        <v>3.5534699031850701</v>
      </c>
      <c r="U521">
        <v>6.6141499085923199</v>
      </c>
      <c r="V521">
        <v>2.1012719352831399</v>
      </c>
      <c r="W521">
        <v>7.6523885783351</v>
      </c>
      <c r="X521">
        <v>7.8771656849594702</v>
      </c>
    </row>
    <row r="522" spans="1:24">
      <c r="A522">
        <v>1124</v>
      </c>
      <c r="B522" t="s">
        <v>1417</v>
      </c>
      <c r="C522">
        <v>2</v>
      </c>
      <c r="D522" t="s">
        <v>1418</v>
      </c>
      <c r="E522">
        <v>16</v>
      </c>
      <c r="F522">
        <v>16</v>
      </c>
      <c r="G522">
        <v>16</v>
      </c>
      <c r="H522" t="s">
        <v>1419</v>
      </c>
      <c r="I522">
        <v>33.299999999999997</v>
      </c>
      <c r="J522">
        <v>51.241999999999997</v>
      </c>
      <c r="K522" t="str">
        <f>"ANXA11"</f>
        <v>ANXA11</v>
      </c>
      <c r="L522" t="str">
        <f>"ANXA11"</f>
        <v>ANXA11</v>
      </c>
      <c r="M522">
        <v>0</v>
      </c>
      <c r="N522">
        <v>7.1560137748344399</v>
      </c>
      <c r="O522">
        <v>8.2074905476936397</v>
      </c>
      <c r="P522">
        <v>2.1304378548895899</v>
      </c>
      <c r="Q522">
        <v>1.25576199330606</v>
      </c>
      <c r="R522">
        <v>5.4004861925578398</v>
      </c>
      <c r="S522">
        <v>5.6656778523489901</v>
      </c>
      <c r="T522">
        <v>3.5534699031850701</v>
      </c>
      <c r="U522">
        <v>4.4094332723948799</v>
      </c>
      <c r="V522">
        <v>4.2025438705662701</v>
      </c>
      <c r="W522">
        <v>3.82619428916755</v>
      </c>
      <c r="X522">
        <v>6.8925199743395398</v>
      </c>
    </row>
    <row r="523" spans="1:24">
      <c r="A523">
        <v>1125</v>
      </c>
      <c r="B523" t="s">
        <v>1420</v>
      </c>
      <c r="C523">
        <v>2</v>
      </c>
      <c r="D523" t="s">
        <v>1421</v>
      </c>
      <c r="E523">
        <v>7</v>
      </c>
      <c r="F523">
        <v>7</v>
      </c>
      <c r="G523">
        <v>4</v>
      </c>
      <c r="H523" t="s">
        <v>1422</v>
      </c>
      <c r="I523">
        <v>38.9</v>
      </c>
      <c r="J523">
        <v>23.481999999999999</v>
      </c>
      <c r="K523" t="str">
        <f>"RAB5C"</f>
        <v>RAB5C</v>
      </c>
      <c r="L523" t="str">
        <f>"RAB5C"</f>
        <v>RAB5C</v>
      </c>
      <c r="M523">
        <v>3.6311678256505799</v>
      </c>
      <c r="N523">
        <v>1.78900344370861</v>
      </c>
      <c r="O523">
        <v>6.3836037593172703</v>
      </c>
      <c r="P523">
        <v>4.2608757097791798</v>
      </c>
      <c r="Q523">
        <v>6.2788099665303099</v>
      </c>
      <c r="R523">
        <v>5.4004861925578398</v>
      </c>
      <c r="S523">
        <v>6.7988134228187898</v>
      </c>
      <c r="T523">
        <v>4.7379598709134303</v>
      </c>
      <c r="U523">
        <v>5.5117915904936003</v>
      </c>
      <c r="V523">
        <v>6.3038158058494096</v>
      </c>
      <c r="W523">
        <v>5.1015923855567298</v>
      </c>
      <c r="X523">
        <v>4.92322855309967</v>
      </c>
    </row>
    <row r="524" spans="1:24">
      <c r="A524">
        <v>1585</v>
      </c>
      <c r="B524" t="s">
        <v>1423</v>
      </c>
      <c r="C524">
        <v>2</v>
      </c>
      <c r="D524" t="s">
        <v>1424</v>
      </c>
      <c r="E524">
        <v>19</v>
      </c>
      <c r="F524">
        <v>19</v>
      </c>
      <c r="G524">
        <v>19</v>
      </c>
      <c r="H524" t="s">
        <v>1425</v>
      </c>
      <c r="I524">
        <v>20.8</v>
      </c>
      <c r="J524">
        <v>126.97</v>
      </c>
      <c r="K524" t="str">
        <f>"DDB1"</f>
        <v>DDB1</v>
      </c>
      <c r="L524" t="str">
        <f>"DDB1"</f>
        <v>DDB1</v>
      </c>
      <c r="M524">
        <v>3.6311678256505799</v>
      </c>
      <c r="N524">
        <v>7.1560137748344399</v>
      </c>
      <c r="O524">
        <v>7.2955471535054599</v>
      </c>
      <c r="P524">
        <v>4.2608757097791798</v>
      </c>
      <c r="Q524">
        <v>3.7672859799181899</v>
      </c>
      <c r="R524">
        <v>4.5004051604648696</v>
      </c>
      <c r="S524">
        <v>4.5325422818791896</v>
      </c>
      <c r="T524">
        <v>3.5534699031850701</v>
      </c>
      <c r="U524">
        <v>8.8188665447897598</v>
      </c>
      <c r="V524">
        <v>5.2531798382078403</v>
      </c>
      <c r="W524">
        <v>3.82619428916755</v>
      </c>
      <c r="X524">
        <v>5.9078742637195996</v>
      </c>
    </row>
    <row r="525" spans="1:24">
      <c r="A525">
        <v>2293</v>
      </c>
      <c r="B525" t="s">
        <v>1426</v>
      </c>
      <c r="C525">
        <v>2</v>
      </c>
      <c r="D525" t="s">
        <v>1427</v>
      </c>
      <c r="E525">
        <v>15</v>
      </c>
      <c r="F525">
        <v>15</v>
      </c>
      <c r="G525">
        <v>15</v>
      </c>
      <c r="H525" t="s">
        <v>1428</v>
      </c>
      <c r="I525">
        <v>33.5</v>
      </c>
      <c r="J525">
        <v>55.738</v>
      </c>
      <c r="K525" t="str">
        <f>"PACSIN2"</f>
        <v>PACSIN2</v>
      </c>
      <c r="L525" t="str">
        <f>"PACSIN2"</f>
        <v>PACSIN2</v>
      </c>
      <c r="M525">
        <v>1.2103892752168599</v>
      </c>
      <c r="N525">
        <v>8.9450172185430503</v>
      </c>
      <c r="O525">
        <v>6.3836037593172703</v>
      </c>
      <c r="P525">
        <v>4.2608757097791798</v>
      </c>
      <c r="Q525">
        <v>1.25576199330606</v>
      </c>
      <c r="R525">
        <v>3.6003241283718901</v>
      </c>
      <c r="S525">
        <v>4.5325422818791896</v>
      </c>
      <c r="T525">
        <v>1.18448996772836</v>
      </c>
      <c r="U525">
        <v>5.5117915904936003</v>
      </c>
      <c r="V525">
        <v>4.2025438705662701</v>
      </c>
      <c r="W525">
        <v>6.37699048194591</v>
      </c>
      <c r="X525">
        <v>8.8618113955793998</v>
      </c>
    </row>
    <row r="526" spans="1:24">
      <c r="A526">
        <v>97</v>
      </c>
      <c r="B526" t="s">
        <v>1429</v>
      </c>
      <c r="C526">
        <v>6</v>
      </c>
      <c r="D526" t="s">
        <v>1430</v>
      </c>
      <c r="E526">
        <v>9</v>
      </c>
      <c r="F526">
        <v>9</v>
      </c>
      <c r="G526">
        <v>9</v>
      </c>
      <c r="H526" t="s">
        <v>1431</v>
      </c>
      <c r="I526">
        <v>42.7</v>
      </c>
      <c r="J526">
        <v>27.887</v>
      </c>
      <c r="K526" t="str">
        <f>"PSMA7;PSMA8"</f>
        <v>PSMA7;PSMA8</v>
      </c>
      <c r="L526" t="str">
        <f>"PSMA7;PSMA8"</f>
        <v>PSMA7;PSMA8</v>
      </c>
      <c r="M526">
        <v>3.6311678256505799</v>
      </c>
      <c r="N526">
        <v>3.57800688741722</v>
      </c>
      <c r="O526">
        <v>3.64777357675273</v>
      </c>
      <c r="P526">
        <v>3.19565678233438</v>
      </c>
      <c r="Q526">
        <v>2.51152398661212</v>
      </c>
      <c r="R526">
        <v>7.2006482567437899</v>
      </c>
      <c r="S526">
        <v>5.6656778523489901</v>
      </c>
      <c r="T526">
        <v>2.3689799354567098</v>
      </c>
      <c r="U526">
        <v>7.7165082266910403</v>
      </c>
      <c r="V526">
        <v>4.2025438705662701</v>
      </c>
      <c r="W526">
        <v>5.1015923855567298</v>
      </c>
      <c r="X526">
        <v>6.8925199743395398</v>
      </c>
    </row>
    <row r="527" spans="1:24">
      <c r="A527">
        <v>68</v>
      </c>
      <c r="B527" t="s">
        <v>1432</v>
      </c>
      <c r="C527">
        <v>4</v>
      </c>
      <c r="D527" t="s">
        <v>1433</v>
      </c>
      <c r="E527">
        <v>14</v>
      </c>
      <c r="F527">
        <v>14</v>
      </c>
      <c r="G527">
        <v>14</v>
      </c>
      <c r="H527" t="s">
        <v>1434</v>
      </c>
      <c r="I527">
        <v>16.8</v>
      </c>
      <c r="J527">
        <v>123.63</v>
      </c>
      <c r="K527" t="str">
        <f>"IPO5;RANBP6"</f>
        <v>IPO5;RANBP6</v>
      </c>
      <c r="L527" t="str">
        <f>"IPO5;RANBP6"</f>
        <v>IPO5;RANBP6</v>
      </c>
      <c r="M527">
        <v>3.6311678256505799</v>
      </c>
      <c r="N527">
        <v>8.0505154966887407</v>
      </c>
      <c r="O527">
        <v>7.2955471535054599</v>
      </c>
      <c r="P527">
        <v>3.19565678233438</v>
      </c>
      <c r="Q527">
        <v>2.51152398661212</v>
      </c>
      <c r="R527">
        <v>7.2006482567437899</v>
      </c>
      <c r="S527">
        <v>2.2662711409396001</v>
      </c>
      <c r="T527">
        <v>2.3689799354567098</v>
      </c>
      <c r="U527">
        <v>5.5117915904936003</v>
      </c>
      <c r="V527">
        <v>4.2025438705662701</v>
      </c>
      <c r="W527">
        <v>3.82619428916755</v>
      </c>
      <c r="X527">
        <v>3.9385828424797298</v>
      </c>
    </row>
    <row r="528" spans="1:24">
      <c r="A528">
        <v>1176</v>
      </c>
      <c r="B528" t="s">
        <v>1435</v>
      </c>
      <c r="C528">
        <v>3</v>
      </c>
      <c r="D528" t="s">
        <v>1436</v>
      </c>
      <c r="E528">
        <v>12</v>
      </c>
      <c r="F528">
        <v>12</v>
      </c>
      <c r="G528">
        <v>12</v>
      </c>
      <c r="H528" t="s">
        <v>1437</v>
      </c>
      <c r="I528">
        <v>29.8</v>
      </c>
      <c r="J528">
        <v>52.384999999999998</v>
      </c>
      <c r="K528" t="str">
        <f>"USP14"</f>
        <v>USP14</v>
      </c>
      <c r="L528" t="str">
        <f>"USP14"</f>
        <v>USP14</v>
      </c>
      <c r="M528">
        <v>2.4207785504337198</v>
      </c>
      <c r="N528">
        <v>3.57800688741722</v>
      </c>
      <c r="O528">
        <v>5.4716603651290896</v>
      </c>
      <c r="P528">
        <v>2.1304378548895899</v>
      </c>
      <c r="Q528">
        <v>5.0230479732242497</v>
      </c>
      <c r="R528">
        <v>4.5004051604648696</v>
      </c>
      <c r="S528">
        <v>6.7988134228187898</v>
      </c>
      <c r="T528">
        <v>3.5534699031850701</v>
      </c>
      <c r="U528">
        <v>3.3070749542961599</v>
      </c>
      <c r="V528">
        <v>4.2025438705662701</v>
      </c>
      <c r="W528">
        <v>2.5507961927783702</v>
      </c>
      <c r="X528">
        <v>6.8925199743395398</v>
      </c>
    </row>
    <row r="529" spans="1:24">
      <c r="A529">
        <v>1989</v>
      </c>
      <c r="B529" t="s">
        <v>1438</v>
      </c>
      <c r="C529">
        <v>2</v>
      </c>
      <c r="D529" t="s">
        <v>1439</v>
      </c>
      <c r="E529">
        <v>12</v>
      </c>
      <c r="F529">
        <v>12</v>
      </c>
      <c r="G529">
        <v>12</v>
      </c>
      <c r="H529" t="s">
        <v>1440</v>
      </c>
      <c r="I529">
        <v>44.1</v>
      </c>
      <c r="J529">
        <v>33.295999999999999</v>
      </c>
      <c r="K529" t="str">
        <f>"PHB2"</f>
        <v>PHB2</v>
      </c>
      <c r="L529" t="str">
        <f>"PHB2"</f>
        <v>PHB2</v>
      </c>
      <c r="M529">
        <v>6.0519463760843104</v>
      </c>
      <c r="N529">
        <v>3.57800688741722</v>
      </c>
      <c r="O529">
        <v>4.5597169709409098</v>
      </c>
      <c r="P529">
        <v>4.2608757097791798</v>
      </c>
      <c r="Q529">
        <v>6.2788099665303099</v>
      </c>
      <c r="R529">
        <v>5.4004861925578398</v>
      </c>
      <c r="S529">
        <v>2.2662711409396001</v>
      </c>
      <c r="T529">
        <v>3.5534699031850701</v>
      </c>
      <c r="U529">
        <v>5.5117915904936003</v>
      </c>
      <c r="V529">
        <v>5.2531798382078403</v>
      </c>
      <c r="W529">
        <v>6.37699048194591</v>
      </c>
      <c r="X529">
        <v>2.9539371318597998</v>
      </c>
    </row>
    <row r="530" spans="1:24">
      <c r="A530">
        <v>2329</v>
      </c>
      <c r="B530" t="s">
        <v>1441</v>
      </c>
      <c r="C530">
        <v>4</v>
      </c>
      <c r="D530" t="s">
        <v>1442</v>
      </c>
      <c r="E530">
        <v>10</v>
      </c>
      <c r="F530">
        <v>10</v>
      </c>
      <c r="G530">
        <v>10</v>
      </c>
      <c r="H530" t="s">
        <v>1443</v>
      </c>
      <c r="I530">
        <v>63.7</v>
      </c>
      <c r="J530">
        <v>25.497</v>
      </c>
      <c r="K530" t="str">
        <f>"GSTK1"</f>
        <v>GSTK1</v>
      </c>
      <c r="L530" t="str">
        <f>"GSTK1"</f>
        <v>GSTK1</v>
      </c>
      <c r="M530">
        <v>3.6311678256505799</v>
      </c>
      <c r="N530">
        <v>2.6835051655629099</v>
      </c>
      <c r="O530">
        <v>2.7358301825645501</v>
      </c>
      <c r="P530">
        <v>3.19565678233438</v>
      </c>
      <c r="Q530">
        <v>3.7672859799181899</v>
      </c>
      <c r="R530">
        <v>3.6003241283718901</v>
      </c>
      <c r="S530">
        <v>5.6656778523489901</v>
      </c>
      <c r="T530">
        <v>2.3689799354567098</v>
      </c>
      <c r="U530">
        <v>5.5117915904936003</v>
      </c>
      <c r="V530">
        <v>3.1519079029246999</v>
      </c>
      <c r="W530">
        <v>6.37699048194591</v>
      </c>
      <c r="X530">
        <v>8.8618113955793998</v>
      </c>
    </row>
    <row r="531" spans="1:24">
      <c r="A531">
        <v>135</v>
      </c>
      <c r="B531" t="s">
        <v>1444</v>
      </c>
      <c r="C531">
        <v>3</v>
      </c>
      <c r="D531" t="s">
        <v>1445</v>
      </c>
      <c r="E531">
        <v>7</v>
      </c>
      <c r="F531">
        <v>7</v>
      </c>
      <c r="G531">
        <v>7</v>
      </c>
      <c r="H531" t="s">
        <v>1446</v>
      </c>
      <c r="I531">
        <v>62.3</v>
      </c>
      <c r="J531">
        <v>16.32</v>
      </c>
      <c r="K531" t="str">
        <f>"ARPC5;ARPC5L"</f>
        <v>ARPC5;ARPC5L</v>
      </c>
      <c r="L531" t="str">
        <f>"ARPC5;ARPC5L"</f>
        <v>ARPC5;ARPC5L</v>
      </c>
      <c r="M531">
        <v>4.8415571008674503</v>
      </c>
      <c r="N531">
        <v>3.57800688741722</v>
      </c>
      <c r="O531">
        <v>2.7358301825645501</v>
      </c>
      <c r="P531">
        <v>4.2608757097791798</v>
      </c>
      <c r="Q531">
        <v>1.25576199330606</v>
      </c>
      <c r="R531">
        <v>4.5004051604648696</v>
      </c>
      <c r="S531">
        <v>1.1331355704698001</v>
      </c>
      <c r="T531">
        <v>4.7379598709134303</v>
      </c>
      <c r="U531">
        <v>7.7165082266910403</v>
      </c>
      <c r="V531">
        <v>7.3544517734909798</v>
      </c>
      <c r="W531">
        <v>7.6523885783351</v>
      </c>
      <c r="X531">
        <v>7.8771656849594702</v>
      </c>
    </row>
    <row r="532" spans="1:24">
      <c r="A532">
        <v>333</v>
      </c>
      <c r="B532" t="s">
        <v>1447</v>
      </c>
      <c r="C532">
        <v>1</v>
      </c>
      <c r="D532" t="s">
        <v>1448</v>
      </c>
      <c r="E532">
        <v>7</v>
      </c>
      <c r="F532">
        <v>7</v>
      </c>
      <c r="G532">
        <v>7</v>
      </c>
      <c r="H532" t="s">
        <v>1447</v>
      </c>
      <c r="I532">
        <v>34</v>
      </c>
      <c r="J532">
        <v>18.097999999999999</v>
      </c>
      <c r="K532" t="str">
        <f>"IGJ"</f>
        <v>IGJ</v>
      </c>
      <c r="L532" t="str">
        <f>"JCHAIN"</f>
        <v>JCHAIN</v>
      </c>
      <c r="M532">
        <v>3.6311678256505799</v>
      </c>
      <c r="N532">
        <v>3.57800688741722</v>
      </c>
      <c r="O532">
        <v>4.5597169709409098</v>
      </c>
      <c r="P532">
        <v>4.2608757097791798</v>
      </c>
      <c r="Q532">
        <v>6.2788099665303099</v>
      </c>
      <c r="R532">
        <v>4.5004051604648696</v>
      </c>
      <c r="S532">
        <v>2.2662711409396001</v>
      </c>
      <c r="T532">
        <v>3.5534699031850701</v>
      </c>
      <c r="U532">
        <v>3.3070749542961599</v>
      </c>
      <c r="V532">
        <v>4.2025438705662701</v>
      </c>
      <c r="W532">
        <v>5.1015923855567298</v>
      </c>
      <c r="X532">
        <v>1.96929142123987</v>
      </c>
    </row>
    <row r="533" spans="1:24">
      <c r="A533">
        <v>2213</v>
      </c>
      <c r="B533" t="s">
        <v>1449</v>
      </c>
      <c r="C533">
        <v>2</v>
      </c>
      <c r="D533" t="s">
        <v>1450</v>
      </c>
      <c r="E533">
        <v>8</v>
      </c>
      <c r="F533">
        <v>8</v>
      </c>
      <c r="G533">
        <v>8</v>
      </c>
      <c r="H533" t="s">
        <v>1451</v>
      </c>
      <c r="I533">
        <v>36.5</v>
      </c>
      <c r="J533">
        <v>27.893000000000001</v>
      </c>
      <c r="K533" t="str">
        <f>"VAPA"</f>
        <v>VAPA</v>
      </c>
      <c r="L533" t="str">
        <f>"VAPA"</f>
        <v>VAPA</v>
      </c>
      <c r="M533">
        <v>2.4207785504337198</v>
      </c>
      <c r="N533">
        <v>3.57800688741722</v>
      </c>
      <c r="O533">
        <v>8.2074905476936397</v>
      </c>
      <c r="P533">
        <v>6.3913135646687698</v>
      </c>
      <c r="Q533">
        <v>5.0230479732242497</v>
      </c>
      <c r="R533">
        <v>8.1007292888367601</v>
      </c>
      <c r="S533">
        <v>3.3994067114094002</v>
      </c>
      <c r="T533">
        <v>3.5534699031850701</v>
      </c>
      <c r="U533">
        <v>4.4094332723948799</v>
      </c>
      <c r="V533">
        <v>3.1519079029246999</v>
      </c>
      <c r="W533">
        <v>5.1015923855567298</v>
      </c>
      <c r="X533">
        <v>3.9385828424797298</v>
      </c>
    </row>
    <row r="534" spans="1:24">
      <c r="A534">
        <v>722</v>
      </c>
      <c r="B534" t="s">
        <v>1452</v>
      </c>
      <c r="C534">
        <v>2</v>
      </c>
      <c r="D534" t="s">
        <v>1453</v>
      </c>
      <c r="E534">
        <v>12</v>
      </c>
      <c r="F534">
        <v>12</v>
      </c>
      <c r="G534">
        <v>12</v>
      </c>
      <c r="H534" t="s">
        <v>1454</v>
      </c>
      <c r="I534">
        <v>33.200000000000003</v>
      </c>
      <c r="J534">
        <v>46.374000000000002</v>
      </c>
      <c r="K534" t="str">
        <f>"FAH"</f>
        <v>FAH</v>
      </c>
      <c r="L534" t="str">
        <f>"FAH"</f>
        <v>FAH</v>
      </c>
      <c r="M534">
        <v>4.8415571008674503</v>
      </c>
      <c r="N534">
        <v>4.4725086092715198</v>
      </c>
      <c r="O534">
        <v>6.3836037593172703</v>
      </c>
      <c r="P534">
        <v>4.2608757097791798</v>
      </c>
      <c r="Q534">
        <v>2.51152398661212</v>
      </c>
      <c r="R534">
        <v>6.3005672246508198</v>
      </c>
      <c r="S534">
        <v>4.5325422818791896</v>
      </c>
      <c r="T534">
        <v>4.7379598709134303</v>
      </c>
      <c r="U534">
        <v>4.4094332723948799</v>
      </c>
      <c r="V534">
        <v>4.2025438705662701</v>
      </c>
      <c r="W534">
        <v>1.27539809638918</v>
      </c>
      <c r="X534">
        <v>4.92322855309967</v>
      </c>
    </row>
    <row r="535" spans="1:24">
      <c r="A535">
        <v>1224</v>
      </c>
      <c r="B535" t="s">
        <v>1455</v>
      </c>
      <c r="C535">
        <v>2</v>
      </c>
      <c r="D535" t="s">
        <v>1456</v>
      </c>
      <c r="E535">
        <v>12</v>
      </c>
      <c r="F535">
        <v>10</v>
      </c>
      <c r="G535">
        <v>10</v>
      </c>
      <c r="H535" t="s">
        <v>1457</v>
      </c>
      <c r="I535">
        <v>57</v>
      </c>
      <c r="J535">
        <v>18.506</v>
      </c>
      <c r="K535" t="str">
        <f>"DSTN"</f>
        <v>DSTN</v>
      </c>
      <c r="L535" t="str">
        <f>"DSTN"</f>
        <v>DSTN</v>
      </c>
      <c r="M535">
        <v>7.2623356513011696</v>
      </c>
      <c r="N535">
        <v>5.3670103311258304</v>
      </c>
      <c r="O535">
        <v>4.5597169709409098</v>
      </c>
      <c r="P535">
        <v>4.2608757097791798</v>
      </c>
      <c r="Q535">
        <v>3.7672859799181899</v>
      </c>
      <c r="R535">
        <v>3.6003241283718901</v>
      </c>
      <c r="S535">
        <v>2.2662711409396001</v>
      </c>
      <c r="T535">
        <v>3.5534699031850701</v>
      </c>
      <c r="U535">
        <v>2.20471663619744</v>
      </c>
      <c r="V535">
        <v>2.1012719352831399</v>
      </c>
      <c r="W535">
        <v>3.82619428916755</v>
      </c>
      <c r="X535">
        <v>6.8925199743395398</v>
      </c>
    </row>
    <row r="536" spans="1:24">
      <c r="A536">
        <v>1330</v>
      </c>
      <c r="B536" t="s">
        <v>1458</v>
      </c>
      <c r="C536">
        <v>2</v>
      </c>
      <c r="D536" t="s">
        <v>1459</v>
      </c>
      <c r="E536">
        <v>7</v>
      </c>
      <c r="F536">
        <v>7</v>
      </c>
      <c r="G536">
        <v>7</v>
      </c>
      <c r="H536" t="s">
        <v>1460</v>
      </c>
      <c r="I536">
        <v>58.1</v>
      </c>
      <c r="J536">
        <v>11.749000000000001</v>
      </c>
      <c r="K536" t="str">
        <f>"CYCS"</f>
        <v>CYCS</v>
      </c>
      <c r="L536" t="str">
        <f>"CYCS"</f>
        <v>CYCS</v>
      </c>
      <c r="M536">
        <v>3.6311678256505799</v>
      </c>
      <c r="N536">
        <v>3.57800688741722</v>
      </c>
      <c r="O536">
        <v>6.3836037593172703</v>
      </c>
      <c r="P536">
        <v>5.3260946372239797</v>
      </c>
      <c r="Q536">
        <v>5.0230479732242497</v>
      </c>
      <c r="R536">
        <v>6.3005672246508198</v>
      </c>
      <c r="S536">
        <v>4.5325422818791896</v>
      </c>
      <c r="T536">
        <v>1.18448996772836</v>
      </c>
      <c r="U536">
        <v>3.3070749542961599</v>
      </c>
      <c r="V536">
        <v>5.2531798382078403</v>
      </c>
      <c r="W536">
        <v>1.27539809638918</v>
      </c>
      <c r="X536">
        <v>2.9539371318597998</v>
      </c>
    </row>
    <row r="537" spans="1:24">
      <c r="A537">
        <v>147</v>
      </c>
      <c r="B537" t="s">
        <v>1461</v>
      </c>
      <c r="C537">
        <v>1</v>
      </c>
      <c r="D537" t="s">
        <v>1462</v>
      </c>
      <c r="E537">
        <v>12</v>
      </c>
      <c r="F537">
        <v>12</v>
      </c>
      <c r="G537">
        <v>12</v>
      </c>
      <c r="H537" t="s">
        <v>1461</v>
      </c>
      <c r="I537">
        <v>55</v>
      </c>
      <c r="J537">
        <v>32.250999999999998</v>
      </c>
      <c r="K537" t="str">
        <f>"TXNL1"</f>
        <v>TXNL1</v>
      </c>
      <c r="L537" t="str">
        <f>"TXNL1"</f>
        <v>TXNL1</v>
      </c>
      <c r="M537">
        <v>1.2103892752168599</v>
      </c>
      <c r="N537">
        <v>4.4725086092715198</v>
      </c>
      <c r="O537">
        <v>6.3836037593172703</v>
      </c>
      <c r="P537">
        <v>6.3913135646687698</v>
      </c>
      <c r="Q537">
        <v>5.0230479732242497</v>
      </c>
      <c r="R537">
        <v>4.5004051604648696</v>
      </c>
      <c r="S537">
        <v>3.3994067114094002</v>
      </c>
      <c r="T537">
        <v>3.5534699031850701</v>
      </c>
      <c r="U537">
        <v>5.5117915904936003</v>
      </c>
      <c r="V537">
        <v>3.1519079029246999</v>
      </c>
      <c r="W537">
        <v>2.5507961927783702</v>
      </c>
      <c r="X537">
        <v>6.8925199743395398</v>
      </c>
    </row>
    <row r="538" spans="1:24">
      <c r="A538">
        <v>242</v>
      </c>
      <c r="B538" t="s">
        <v>1463</v>
      </c>
      <c r="C538">
        <v>2</v>
      </c>
      <c r="D538" t="s">
        <v>1464</v>
      </c>
      <c r="E538">
        <v>15</v>
      </c>
      <c r="F538">
        <v>15</v>
      </c>
      <c r="G538">
        <v>15</v>
      </c>
      <c r="H538" t="s">
        <v>1465</v>
      </c>
      <c r="I538">
        <v>41.7</v>
      </c>
      <c r="J538">
        <v>47.354999999999997</v>
      </c>
      <c r="K538" t="str">
        <f>"FLOT1"</f>
        <v>FLOT1</v>
      </c>
      <c r="L538" t="str">
        <f>"FLOT1"</f>
        <v>FLOT1</v>
      </c>
      <c r="M538">
        <v>1.2103892752168599</v>
      </c>
      <c r="N538">
        <v>4.4725086092715198</v>
      </c>
      <c r="O538">
        <v>4.5597169709409098</v>
      </c>
      <c r="P538">
        <v>1.0652189274447901</v>
      </c>
      <c r="Q538">
        <v>2.51152398661212</v>
      </c>
      <c r="R538">
        <v>5.4004861925578398</v>
      </c>
      <c r="S538">
        <v>2.2662711409396001</v>
      </c>
      <c r="T538">
        <v>3.5534699031850701</v>
      </c>
      <c r="U538">
        <v>5.5117915904936003</v>
      </c>
      <c r="V538">
        <v>3.1519079029246999</v>
      </c>
      <c r="W538">
        <v>3.82619428916755</v>
      </c>
      <c r="X538">
        <v>6.8925199743395398</v>
      </c>
    </row>
    <row r="539" spans="1:24">
      <c r="A539">
        <v>180</v>
      </c>
      <c r="B539" t="s">
        <v>1466</v>
      </c>
      <c r="C539">
        <v>3</v>
      </c>
      <c r="D539" t="s">
        <v>1467</v>
      </c>
      <c r="E539">
        <v>15</v>
      </c>
      <c r="F539">
        <v>15</v>
      </c>
      <c r="G539">
        <v>15</v>
      </c>
      <c r="H539" t="s">
        <v>1468</v>
      </c>
      <c r="I539">
        <v>33.4</v>
      </c>
      <c r="J539">
        <v>45.536999999999999</v>
      </c>
      <c r="K539" t="str">
        <f>"KIAA0513"</f>
        <v>KIAA0513</v>
      </c>
      <c r="L539" t="str">
        <f>"KIAA0513"</f>
        <v>KIAA0513</v>
      </c>
      <c r="M539">
        <v>2.4207785504337198</v>
      </c>
      <c r="N539">
        <v>7.1560137748344399</v>
      </c>
      <c r="O539">
        <v>7.2955471535054599</v>
      </c>
      <c r="P539">
        <v>3.19565678233438</v>
      </c>
      <c r="Q539">
        <v>0</v>
      </c>
      <c r="R539">
        <v>3.6003241283718901</v>
      </c>
      <c r="S539">
        <v>3.3994067114094002</v>
      </c>
      <c r="T539">
        <v>2.3689799354567098</v>
      </c>
      <c r="U539">
        <v>7.7165082266910403</v>
      </c>
      <c r="V539">
        <v>6.3038158058494096</v>
      </c>
      <c r="W539">
        <v>3.82619428916755</v>
      </c>
      <c r="X539">
        <v>5.9078742637195996</v>
      </c>
    </row>
    <row r="540" spans="1:24">
      <c r="A540">
        <v>503</v>
      </c>
      <c r="B540" t="s">
        <v>1469</v>
      </c>
      <c r="C540">
        <v>5</v>
      </c>
      <c r="D540" t="s">
        <v>1470</v>
      </c>
      <c r="E540">
        <v>51</v>
      </c>
      <c r="F540">
        <v>1</v>
      </c>
      <c r="G540">
        <v>1</v>
      </c>
      <c r="H540" t="s">
        <v>1471</v>
      </c>
      <c r="I540">
        <v>57</v>
      </c>
      <c r="J540">
        <v>80.64</v>
      </c>
      <c r="K540" t="str">
        <f>"GSN"</f>
        <v>GSN</v>
      </c>
      <c r="L540" t="str">
        <f>"GSN"</f>
        <v>GSN</v>
      </c>
      <c r="M540">
        <v>4.8415571008674503</v>
      </c>
      <c r="N540">
        <v>3.57800688741722</v>
      </c>
      <c r="O540">
        <v>4.5597169709409098</v>
      </c>
      <c r="P540">
        <v>6.3913135646687698</v>
      </c>
      <c r="Q540">
        <v>6.2788099665303099</v>
      </c>
      <c r="R540">
        <v>3.6003241283718901</v>
      </c>
      <c r="S540">
        <v>3.3994067114094002</v>
      </c>
      <c r="T540">
        <v>5.9224498386417803</v>
      </c>
      <c r="U540">
        <v>3.3070749542961599</v>
      </c>
      <c r="V540">
        <v>5.2531798382078403</v>
      </c>
      <c r="W540">
        <v>5.1015923855567298</v>
      </c>
      <c r="X540">
        <v>3.9385828424797298</v>
      </c>
    </row>
    <row r="541" spans="1:24">
      <c r="A541">
        <v>765</v>
      </c>
      <c r="B541" t="s">
        <v>1472</v>
      </c>
      <c r="C541">
        <v>2</v>
      </c>
      <c r="D541" t="s">
        <v>1473</v>
      </c>
      <c r="E541">
        <v>43</v>
      </c>
      <c r="F541">
        <v>34</v>
      </c>
      <c r="G541">
        <v>33</v>
      </c>
      <c r="H541" t="s">
        <v>1474</v>
      </c>
      <c r="I541">
        <v>40.4</v>
      </c>
      <c r="J541">
        <v>163.86</v>
      </c>
      <c r="K541" t="str">
        <f>"PZP"</f>
        <v>PZP</v>
      </c>
      <c r="L541" t="str">
        <f>"PZP"</f>
        <v>PZP</v>
      </c>
      <c r="M541">
        <v>1.2103892752168599</v>
      </c>
      <c r="N541">
        <v>0</v>
      </c>
      <c r="O541">
        <v>10.031377336069999</v>
      </c>
      <c r="P541">
        <v>0</v>
      </c>
      <c r="Q541">
        <v>3.7672859799181899</v>
      </c>
      <c r="R541">
        <v>0.90008103209297396</v>
      </c>
      <c r="S541">
        <v>0</v>
      </c>
      <c r="T541">
        <v>5.9224498386417803</v>
      </c>
      <c r="U541">
        <v>0</v>
      </c>
      <c r="V541">
        <v>1.05063596764157</v>
      </c>
      <c r="W541">
        <v>6.37699048194591</v>
      </c>
      <c r="X541">
        <v>49.232285530996698</v>
      </c>
    </row>
    <row r="542" spans="1:24">
      <c r="A542">
        <v>783</v>
      </c>
      <c r="B542" t="s">
        <v>1475</v>
      </c>
      <c r="C542">
        <v>2</v>
      </c>
      <c r="D542" t="s">
        <v>1476</v>
      </c>
      <c r="E542">
        <v>18</v>
      </c>
      <c r="F542">
        <v>18</v>
      </c>
      <c r="G542">
        <v>18</v>
      </c>
      <c r="H542" t="s">
        <v>1477</v>
      </c>
      <c r="I542">
        <v>43.8</v>
      </c>
      <c r="J542">
        <v>47.079000000000001</v>
      </c>
      <c r="K542" t="str">
        <f>"PAICS"</f>
        <v>PAICS</v>
      </c>
      <c r="L542" t="str">
        <f>"PAICS"</f>
        <v>PAICS</v>
      </c>
      <c r="M542">
        <v>2.4207785504337198</v>
      </c>
      <c r="N542">
        <v>4.4725086092715198</v>
      </c>
      <c r="O542">
        <v>8.2074905476936397</v>
      </c>
      <c r="P542">
        <v>6.3913135646687698</v>
      </c>
      <c r="Q542">
        <v>2.51152398661212</v>
      </c>
      <c r="R542">
        <v>9.9008913530227094</v>
      </c>
      <c r="S542">
        <v>4.5325422818791896</v>
      </c>
      <c r="T542">
        <v>1.18448996772836</v>
      </c>
      <c r="U542">
        <v>2.20471663619744</v>
      </c>
      <c r="V542">
        <v>4.2025438705662701</v>
      </c>
      <c r="W542">
        <v>1.27539809638918</v>
      </c>
      <c r="X542">
        <v>3.9385828424797298</v>
      </c>
    </row>
    <row r="543" spans="1:24">
      <c r="A543">
        <v>2260</v>
      </c>
      <c r="B543" t="s">
        <v>1478</v>
      </c>
      <c r="C543">
        <v>7</v>
      </c>
      <c r="D543" t="s">
        <v>1479</v>
      </c>
      <c r="E543">
        <v>9</v>
      </c>
      <c r="F543">
        <v>9</v>
      </c>
      <c r="G543">
        <v>9</v>
      </c>
      <c r="H543" t="s">
        <v>1480</v>
      </c>
      <c r="I543">
        <v>38.4</v>
      </c>
      <c r="J543">
        <v>36.869999999999997</v>
      </c>
      <c r="K543" t="str">
        <f>"CD84"</f>
        <v>CD84</v>
      </c>
      <c r="L543" t="str">
        <f>"CD84"</f>
        <v>CD84</v>
      </c>
      <c r="M543">
        <v>3.6311678256505799</v>
      </c>
      <c r="N543">
        <v>4.4725086092715198</v>
      </c>
      <c r="O543">
        <v>3.64777357675273</v>
      </c>
      <c r="P543">
        <v>4.2608757097791798</v>
      </c>
      <c r="Q543">
        <v>2.51152398661212</v>
      </c>
      <c r="R543">
        <v>6.3005672246508198</v>
      </c>
      <c r="S543">
        <v>7.9319489932885903</v>
      </c>
      <c r="T543">
        <v>4.7379598709134303</v>
      </c>
      <c r="U543">
        <v>9.9212248628884794</v>
      </c>
      <c r="V543">
        <v>3.1519079029246999</v>
      </c>
      <c r="W543">
        <v>1.27539809638918</v>
      </c>
      <c r="X543">
        <v>5.9078742637195996</v>
      </c>
    </row>
    <row r="544" spans="1:24">
      <c r="A544">
        <v>238</v>
      </c>
      <c r="B544" t="s">
        <v>1481</v>
      </c>
      <c r="C544">
        <v>1</v>
      </c>
      <c r="D544" t="s">
        <v>1482</v>
      </c>
      <c r="E544">
        <v>7</v>
      </c>
      <c r="F544">
        <v>7</v>
      </c>
      <c r="G544">
        <v>7</v>
      </c>
      <c r="H544" t="s">
        <v>1481</v>
      </c>
      <c r="I544">
        <v>32.4</v>
      </c>
      <c r="J544">
        <v>21.614000000000001</v>
      </c>
      <c r="K544" t="str">
        <f>"ARL6IP5"</f>
        <v>ARL6IP5</v>
      </c>
      <c r="L544" t="str">
        <f>"ARL6IP5"</f>
        <v>ARL6IP5</v>
      </c>
      <c r="M544">
        <v>3.6311678256505799</v>
      </c>
      <c r="N544">
        <v>1.78900344370861</v>
      </c>
      <c r="O544">
        <v>3.64777357675273</v>
      </c>
      <c r="P544">
        <v>7.4565324921135696</v>
      </c>
      <c r="Q544">
        <v>1.25576199330606</v>
      </c>
      <c r="R544">
        <v>4.5004051604648696</v>
      </c>
      <c r="S544">
        <v>7.9319489932885903</v>
      </c>
      <c r="T544">
        <v>3.5534699031850701</v>
      </c>
      <c r="U544">
        <v>7.7165082266910403</v>
      </c>
      <c r="V544">
        <v>7.3544517734909798</v>
      </c>
      <c r="W544">
        <v>3.82619428916755</v>
      </c>
      <c r="X544">
        <v>6.8925199743395398</v>
      </c>
    </row>
    <row r="545" spans="1:24">
      <c r="A545">
        <v>922</v>
      </c>
      <c r="B545" t="s">
        <v>1483</v>
      </c>
      <c r="C545">
        <v>1</v>
      </c>
      <c r="D545" t="s">
        <v>1484</v>
      </c>
      <c r="E545">
        <v>14</v>
      </c>
      <c r="F545">
        <v>14</v>
      </c>
      <c r="G545">
        <v>12</v>
      </c>
      <c r="H545" t="s">
        <v>1483</v>
      </c>
      <c r="I545">
        <v>37.799999999999997</v>
      </c>
      <c r="J545">
        <v>46.302</v>
      </c>
      <c r="K545" t="str">
        <f>"PRKAR2B"</f>
        <v>PRKAR2B</v>
      </c>
      <c r="L545" t="str">
        <f>"PRKAR2B"</f>
        <v>PRKAR2B</v>
      </c>
      <c r="M545">
        <v>4.8415571008674503</v>
      </c>
      <c r="N545">
        <v>4.4725086092715198</v>
      </c>
      <c r="O545">
        <v>8.2074905476936397</v>
      </c>
      <c r="P545">
        <v>3.19565678233438</v>
      </c>
      <c r="Q545">
        <v>1.25576199330606</v>
      </c>
      <c r="R545">
        <v>4.5004051604648696</v>
      </c>
      <c r="S545">
        <v>2.2662711409396001</v>
      </c>
      <c r="T545">
        <v>2.3689799354567098</v>
      </c>
      <c r="U545">
        <v>2.20471663619744</v>
      </c>
      <c r="V545">
        <v>4.2025438705662701</v>
      </c>
      <c r="W545">
        <v>6.37699048194591</v>
      </c>
      <c r="X545">
        <v>1.96929142123987</v>
      </c>
    </row>
    <row r="546" spans="1:24">
      <c r="A546">
        <v>1799</v>
      </c>
      <c r="B546" t="s">
        <v>1485</v>
      </c>
      <c r="C546">
        <v>1</v>
      </c>
      <c r="D546" t="s">
        <v>1486</v>
      </c>
      <c r="E546">
        <v>13</v>
      </c>
      <c r="F546">
        <v>13</v>
      </c>
      <c r="G546">
        <v>13</v>
      </c>
      <c r="H546" t="s">
        <v>1485</v>
      </c>
      <c r="I546">
        <v>31.6</v>
      </c>
      <c r="J546">
        <v>54.646000000000001</v>
      </c>
      <c r="K546" t="str">
        <f>"PCYOX1L"</f>
        <v>PCYOX1L</v>
      </c>
      <c r="L546" t="str">
        <f>"PCYOX1L"</f>
        <v>PCYOX1L</v>
      </c>
      <c r="M546">
        <v>3.6311678256505799</v>
      </c>
      <c r="N546">
        <v>2.6835051655629099</v>
      </c>
      <c r="O546">
        <v>4.5597169709409098</v>
      </c>
      <c r="P546">
        <v>4.2608757097791798</v>
      </c>
      <c r="Q546">
        <v>1.25576199330606</v>
      </c>
      <c r="R546">
        <v>8.1007292888367601</v>
      </c>
      <c r="S546">
        <v>1.1331355704698001</v>
      </c>
      <c r="T546">
        <v>5.9224498386417803</v>
      </c>
      <c r="U546">
        <v>2.20471663619744</v>
      </c>
      <c r="V546">
        <v>3.1519079029246999</v>
      </c>
      <c r="W546">
        <v>2.5507961927783702</v>
      </c>
      <c r="X546">
        <v>5.9078742637195996</v>
      </c>
    </row>
    <row r="547" spans="1:24">
      <c r="A547">
        <v>1113</v>
      </c>
      <c r="B547" t="s">
        <v>1487</v>
      </c>
      <c r="C547">
        <v>2</v>
      </c>
      <c r="D547" t="s">
        <v>1488</v>
      </c>
      <c r="E547">
        <v>16</v>
      </c>
      <c r="F547">
        <v>16</v>
      </c>
      <c r="G547">
        <v>16</v>
      </c>
      <c r="H547" t="s">
        <v>1489</v>
      </c>
      <c r="I547">
        <v>24.9</v>
      </c>
      <c r="J547">
        <v>86.238</v>
      </c>
      <c r="K547" t="str">
        <f>"CPT1A"</f>
        <v>CPT1A</v>
      </c>
      <c r="L547" t="str">
        <f>"CPT1A"</f>
        <v>CPT1A</v>
      </c>
      <c r="M547">
        <v>3.6311678256505799</v>
      </c>
      <c r="N547">
        <v>5.3670103311258304</v>
      </c>
      <c r="O547">
        <v>8.2074905476936397</v>
      </c>
      <c r="P547">
        <v>3.19565678233438</v>
      </c>
      <c r="Q547">
        <v>1.25576199330606</v>
      </c>
      <c r="R547">
        <v>5.4004861925578398</v>
      </c>
      <c r="S547">
        <v>4.5325422818791896</v>
      </c>
      <c r="T547">
        <v>2.3689799354567098</v>
      </c>
      <c r="U547">
        <v>3.3070749542961599</v>
      </c>
      <c r="V547">
        <v>3.1519079029246999</v>
      </c>
      <c r="W547">
        <v>0</v>
      </c>
      <c r="X547">
        <v>4.92322855309967</v>
      </c>
    </row>
    <row r="548" spans="1:24">
      <c r="A548">
        <v>1491</v>
      </c>
      <c r="B548" t="s">
        <v>1490</v>
      </c>
      <c r="C548">
        <v>1</v>
      </c>
      <c r="D548" t="s">
        <v>1491</v>
      </c>
      <c r="E548">
        <v>43</v>
      </c>
      <c r="F548">
        <v>43</v>
      </c>
      <c r="G548">
        <v>43</v>
      </c>
      <c r="H548" t="s">
        <v>1490</v>
      </c>
      <c r="I548">
        <v>11.6</v>
      </c>
      <c r="J548">
        <v>532.4</v>
      </c>
      <c r="K548" t="str">
        <f>"DYNC1H1"</f>
        <v>DYNC1H1</v>
      </c>
      <c r="L548" t="str">
        <f>"DYNC1H1"</f>
        <v>DYNC1H1</v>
      </c>
      <c r="M548">
        <v>0</v>
      </c>
      <c r="N548">
        <v>12.5230241059603</v>
      </c>
      <c r="O548">
        <v>3.64777357675273</v>
      </c>
      <c r="P548">
        <v>0</v>
      </c>
      <c r="Q548">
        <v>7.5345719598363701</v>
      </c>
      <c r="R548">
        <v>1.8001620641859499</v>
      </c>
      <c r="S548">
        <v>0</v>
      </c>
      <c r="T548">
        <v>0</v>
      </c>
      <c r="U548">
        <v>7.7165082266910403</v>
      </c>
      <c r="V548">
        <v>0</v>
      </c>
      <c r="W548">
        <v>3.82619428916755</v>
      </c>
      <c r="X548">
        <v>1.96929142123987</v>
      </c>
    </row>
    <row r="549" spans="1:24">
      <c r="A549">
        <v>2172</v>
      </c>
      <c r="B549" t="s">
        <v>1492</v>
      </c>
      <c r="C549">
        <v>3</v>
      </c>
      <c r="D549" t="s">
        <v>1493</v>
      </c>
      <c r="E549">
        <v>14</v>
      </c>
      <c r="F549">
        <v>14</v>
      </c>
      <c r="G549">
        <v>14</v>
      </c>
      <c r="H549" t="s">
        <v>1494</v>
      </c>
      <c r="I549">
        <v>42.7</v>
      </c>
      <c r="J549">
        <v>44.743000000000002</v>
      </c>
      <c r="K549" t="str">
        <f>"OLA1"</f>
        <v>OLA1</v>
      </c>
      <c r="L549" t="str">
        <f>"OLA1"</f>
        <v>OLA1</v>
      </c>
      <c r="M549">
        <v>3.6311678256505799</v>
      </c>
      <c r="N549">
        <v>3.57800688741722</v>
      </c>
      <c r="O549">
        <v>2.7358301825645501</v>
      </c>
      <c r="P549">
        <v>2.1304378548895899</v>
      </c>
      <c r="Q549">
        <v>2.51152398661212</v>
      </c>
      <c r="R549">
        <v>5.4004861925578398</v>
      </c>
      <c r="S549">
        <v>6.7988134228187898</v>
      </c>
      <c r="T549">
        <v>3.5534699031850701</v>
      </c>
      <c r="U549">
        <v>5.5117915904936003</v>
      </c>
      <c r="V549">
        <v>3.1519079029246999</v>
      </c>
      <c r="W549">
        <v>8.9277866747242793</v>
      </c>
      <c r="X549">
        <v>6.8925199743395398</v>
      </c>
    </row>
    <row r="550" spans="1:24">
      <c r="A550">
        <v>797</v>
      </c>
      <c r="B550" t="s">
        <v>1495</v>
      </c>
      <c r="C550">
        <v>4</v>
      </c>
      <c r="D550" t="s">
        <v>1496</v>
      </c>
      <c r="E550">
        <v>11</v>
      </c>
      <c r="F550">
        <v>11</v>
      </c>
      <c r="G550">
        <v>6</v>
      </c>
      <c r="H550" t="s">
        <v>1497</v>
      </c>
      <c r="I550">
        <v>21.3</v>
      </c>
      <c r="J550">
        <v>77.212999999999994</v>
      </c>
      <c r="K550" t="str">
        <f>"FBLN1"</f>
        <v>FBLN1</v>
      </c>
      <c r="L550" t="str">
        <f>"FBLN1"</f>
        <v>FBLN1</v>
      </c>
      <c r="M550">
        <v>8.4727249265180298</v>
      </c>
      <c r="N550">
        <v>3.57800688741722</v>
      </c>
      <c r="O550">
        <v>3.64777357675273</v>
      </c>
      <c r="P550">
        <v>7.4565324921135696</v>
      </c>
      <c r="Q550">
        <v>5.0230479732242497</v>
      </c>
      <c r="R550">
        <v>3.6003241283718901</v>
      </c>
      <c r="S550">
        <v>6.7988134228187898</v>
      </c>
      <c r="T550">
        <v>5.9224498386417803</v>
      </c>
      <c r="U550">
        <v>1.10235831809872</v>
      </c>
      <c r="V550">
        <v>7.3544517734909798</v>
      </c>
      <c r="W550">
        <v>7.6523885783351</v>
      </c>
      <c r="X550">
        <v>1.96929142123987</v>
      </c>
    </row>
    <row r="551" spans="1:24">
      <c r="A551">
        <v>2041</v>
      </c>
      <c r="B551" t="s">
        <v>1498</v>
      </c>
      <c r="C551">
        <v>4</v>
      </c>
      <c r="D551" t="s">
        <v>1499</v>
      </c>
      <c r="E551">
        <v>16</v>
      </c>
      <c r="F551">
        <v>16</v>
      </c>
      <c r="G551">
        <v>16</v>
      </c>
      <c r="H551" t="s">
        <v>1500</v>
      </c>
      <c r="I551">
        <v>27.9</v>
      </c>
      <c r="J551">
        <v>65.768000000000001</v>
      </c>
      <c r="K551" t="str">
        <f>"GTPBP2"</f>
        <v>GTPBP2</v>
      </c>
      <c r="L551" t="str">
        <f>"GTPBP2"</f>
        <v>GTPBP2</v>
      </c>
      <c r="M551">
        <v>1.2103892752168599</v>
      </c>
      <c r="N551">
        <v>7.1560137748344399</v>
      </c>
      <c r="O551">
        <v>3.64777357675273</v>
      </c>
      <c r="P551">
        <v>2.1304378548895899</v>
      </c>
      <c r="Q551">
        <v>0</v>
      </c>
      <c r="R551">
        <v>2.7002430962789199</v>
      </c>
      <c r="S551">
        <v>3.3994067114094002</v>
      </c>
      <c r="T551">
        <v>3.5534699031850701</v>
      </c>
      <c r="U551">
        <v>4.4094332723948799</v>
      </c>
      <c r="V551">
        <v>4.2025438705662701</v>
      </c>
      <c r="W551">
        <v>2.5507961927783702</v>
      </c>
      <c r="X551">
        <v>6.8925199743395398</v>
      </c>
    </row>
    <row r="552" spans="1:24">
      <c r="A552">
        <v>469</v>
      </c>
      <c r="B552" t="s">
        <v>1501</v>
      </c>
      <c r="C552">
        <v>2</v>
      </c>
      <c r="D552" t="s">
        <v>1502</v>
      </c>
      <c r="E552">
        <v>12</v>
      </c>
      <c r="F552">
        <v>12</v>
      </c>
      <c r="G552">
        <v>12</v>
      </c>
      <c r="H552" t="s">
        <v>1503</v>
      </c>
      <c r="I552">
        <v>27.3</v>
      </c>
      <c r="J552">
        <v>67.722999999999999</v>
      </c>
      <c r="K552" t="str">
        <f>"RPN2"</f>
        <v>RPN2</v>
      </c>
      <c r="L552" t="str">
        <f>"RPN2"</f>
        <v>RPN2</v>
      </c>
      <c r="M552">
        <v>1.2103892752168599</v>
      </c>
      <c r="N552">
        <v>2.6835051655629099</v>
      </c>
      <c r="O552">
        <v>4.5597169709409098</v>
      </c>
      <c r="P552">
        <v>3.19565678233438</v>
      </c>
      <c r="Q552">
        <v>2.51152398661212</v>
      </c>
      <c r="R552">
        <v>5.4004861925578398</v>
      </c>
      <c r="S552">
        <v>5.6656778523489901</v>
      </c>
      <c r="T552">
        <v>2.3689799354567098</v>
      </c>
      <c r="U552">
        <v>5.5117915904936003</v>
      </c>
      <c r="V552">
        <v>3.1519079029246999</v>
      </c>
      <c r="W552">
        <v>7.6523885783351</v>
      </c>
      <c r="X552">
        <v>5.9078742637195996</v>
      </c>
    </row>
    <row r="553" spans="1:24">
      <c r="A553">
        <v>1188</v>
      </c>
      <c r="B553" t="s">
        <v>1504</v>
      </c>
      <c r="C553">
        <v>2</v>
      </c>
      <c r="D553" t="s">
        <v>1505</v>
      </c>
      <c r="E553">
        <v>20</v>
      </c>
      <c r="F553">
        <v>20</v>
      </c>
      <c r="G553">
        <v>20</v>
      </c>
      <c r="H553" t="s">
        <v>1506</v>
      </c>
      <c r="I553">
        <v>48.7</v>
      </c>
      <c r="J553">
        <v>48.878999999999998</v>
      </c>
      <c r="K553" t="str">
        <f>"HADHB"</f>
        <v>HADHB</v>
      </c>
      <c r="L553" t="str">
        <f>"HADHB"</f>
        <v>HADHB</v>
      </c>
      <c r="M553">
        <v>3.6311678256505799</v>
      </c>
      <c r="N553">
        <v>1.78900344370861</v>
      </c>
      <c r="O553">
        <v>4.5597169709409098</v>
      </c>
      <c r="P553">
        <v>4.2608757097791798</v>
      </c>
      <c r="Q553">
        <v>5.0230479732242497</v>
      </c>
      <c r="R553">
        <v>5.4004861925578398</v>
      </c>
      <c r="S553">
        <v>4.5325422818791896</v>
      </c>
      <c r="T553">
        <v>0</v>
      </c>
      <c r="U553">
        <v>6.6141499085923199</v>
      </c>
      <c r="V553">
        <v>4.2025438705662701</v>
      </c>
      <c r="W553">
        <v>7.6523885783351</v>
      </c>
      <c r="X553">
        <v>3.9385828424797298</v>
      </c>
    </row>
    <row r="554" spans="1:24">
      <c r="A554">
        <v>1508</v>
      </c>
      <c r="B554" t="s">
        <v>1507</v>
      </c>
      <c r="C554">
        <v>8</v>
      </c>
      <c r="D554" t="s">
        <v>1508</v>
      </c>
      <c r="E554">
        <v>28</v>
      </c>
      <c r="F554">
        <v>28</v>
      </c>
      <c r="G554">
        <v>22</v>
      </c>
      <c r="H554" t="s">
        <v>1509</v>
      </c>
      <c r="I554">
        <v>14.1</v>
      </c>
      <c r="J554">
        <v>306.77</v>
      </c>
      <c r="K554" t="str">
        <f>"ITPR1"</f>
        <v>ITPR1</v>
      </c>
      <c r="L554" t="str">
        <f>"ITPR1"</f>
        <v>ITPR1</v>
      </c>
      <c r="M554">
        <v>0</v>
      </c>
      <c r="N554">
        <v>6.2615120529801302</v>
      </c>
      <c r="O554">
        <v>4.5597169709409098</v>
      </c>
      <c r="P554">
        <v>3.19565678233438</v>
      </c>
      <c r="Q554">
        <v>0</v>
      </c>
      <c r="R554">
        <v>8.1007292888367601</v>
      </c>
      <c r="S554">
        <v>3.3994067114094002</v>
      </c>
      <c r="T554">
        <v>1.18448996772836</v>
      </c>
      <c r="U554">
        <v>2.20471663619744</v>
      </c>
      <c r="V554">
        <v>2.1012719352831399</v>
      </c>
      <c r="W554">
        <v>1.27539809638918</v>
      </c>
      <c r="X554">
        <v>1.96929142123987</v>
      </c>
    </row>
    <row r="555" spans="1:24">
      <c r="A555">
        <v>1604</v>
      </c>
      <c r="B555" t="s">
        <v>1510</v>
      </c>
      <c r="C555">
        <v>2</v>
      </c>
      <c r="D555" t="s">
        <v>1511</v>
      </c>
      <c r="E555">
        <v>17</v>
      </c>
      <c r="F555">
        <v>17</v>
      </c>
      <c r="G555">
        <v>17</v>
      </c>
      <c r="H555" t="s">
        <v>1512</v>
      </c>
      <c r="I555">
        <v>36.799999999999997</v>
      </c>
      <c r="J555">
        <v>56.94</v>
      </c>
      <c r="K555" t="str">
        <f>"UGP2"</f>
        <v>UGP2</v>
      </c>
      <c r="L555" t="str">
        <f>"UGP2"</f>
        <v>UGP2</v>
      </c>
      <c r="M555">
        <v>4.8415571008674503</v>
      </c>
      <c r="N555">
        <v>3.57800688741722</v>
      </c>
      <c r="O555">
        <v>2.7358301825645501</v>
      </c>
      <c r="P555">
        <v>3.19565678233438</v>
      </c>
      <c r="Q555">
        <v>2.51152398661212</v>
      </c>
      <c r="R555">
        <v>6.3005672246508198</v>
      </c>
      <c r="S555">
        <v>3.3994067114094002</v>
      </c>
      <c r="T555">
        <v>3.5534699031850701</v>
      </c>
      <c r="U555">
        <v>4.4094332723948799</v>
      </c>
      <c r="V555">
        <v>4.2025438705662701</v>
      </c>
      <c r="W555">
        <v>2.5507961927783702</v>
      </c>
      <c r="X555">
        <v>6.8925199743395398</v>
      </c>
    </row>
    <row r="556" spans="1:24">
      <c r="A556">
        <v>1801</v>
      </c>
      <c r="B556" t="s">
        <v>1513</v>
      </c>
      <c r="C556">
        <v>2</v>
      </c>
      <c r="D556" t="s">
        <v>1514</v>
      </c>
      <c r="E556">
        <v>12</v>
      </c>
      <c r="F556">
        <v>12</v>
      </c>
      <c r="G556">
        <v>12</v>
      </c>
      <c r="H556" t="s">
        <v>1515</v>
      </c>
      <c r="I556">
        <v>35.9</v>
      </c>
      <c r="J556">
        <v>47.628</v>
      </c>
      <c r="K556" t="str">
        <f>"TXNDC5"</f>
        <v>TXNDC5</v>
      </c>
      <c r="L556" t="str">
        <f>"TXNDC5"</f>
        <v>TXNDC5</v>
      </c>
      <c r="M556">
        <v>4.8415571008674503</v>
      </c>
      <c r="N556">
        <v>2.6835051655629099</v>
      </c>
      <c r="O556">
        <v>6.3836037593172703</v>
      </c>
      <c r="P556">
        <v>5.3260946372239797</v>
      </c>
      <c r="Q556">
        <v>3.7672859799181899</v>
      </c>
      <c r="R556">
        <v>7.2006482567437899</v>
      </c>
      <c r="S556">
        <v>3.3994067114094002</v>
      </c>
      <c r="T556">
        <v>4.7379598709134303</v>
      </c>
      <c r="U556">
        <v>2.20471663619744</v>
      </c>
      <c r="V556">
        <v>3.1519079029246999</v>
      </c>
      <c r="W556">
        <v>3.82619428916755</v>
      </c>
      <c r="X556">
        <v>5.9078742637195996</v>
      </c>
    </row>
    <row r="557" spans="1:24">
      <c r="A557">
        <v>1044</v>
      </c>
      <c r="B557" t="s">
        <v>1516</v>
      </c>
      <c r="C557">
        <v>4</v>
      </c>
      <c r="D557" t="s">
        <v>1517</v>
      </c>
      <c r="E557">
        <v>15</v>
      </c>
      <c r="F557">
        <v>15</v>
      </c>
      <c r="G557">
        <v>15</v>
      </c>
      <c r="H557" t="s">
        <v>1518</v>
      </c>
      <c r="I557">
        <v>22</v>
      </c>
      <c r="J557">
        <v>93.307000000000002</v>
      </c>
      <c r="K557" t="str">
        <f>"USP5;USP13"</f>
        <v>USP5;USP13</v>
      </c>
      <c r="L557" t="str">
        <f>"USP5;USP13"</f>
        <v>USP5;USP13</v>
      </c>
      <c r="M557">
        <v>1.2103892752168599</v>
      </c>
      <c r="N557">
        <v>5.3670103311258304</v>
      </c>
      <c r="O557">
        <v>7.2955471535054599</v>
      </c>
      <c r="P557">
        <v>6.3913135646687698</v>
      </c>
      <c r="Q557">
        <v>2.51152398661212</v>
      </c>
      <c r="R557">
        <v>5.4004861925578398</v>
      </c>
      <c r="S557">
        <v>4.5325422818791896</v>
      </c>
      <c r="T557">
        <v>1.18448996772836</v>
      </c>
      <c r="U557">
        <v>5.5117915904936003</v>
      </c>
      <c r="V557">
        <v>4.2025438705662701</v>
      </c>
      <c r="W557">
        <v>3.82619428916755</v>
      </c>
      <c r="X557">
        <v>3.9385828424797298</v>
      </c>
    </row>
    <row r="558" spans="1:24">
      <c r="A558">
        <v>1361</v>
      </c>
      <c r="B558" t="s">
        <v>1519</v>
      </c>
      <c r="C558">
        <v>1</v>
      </c>
      <c r="D558" t="s">
        <v>1520</v>
      </c>
      <c r="E558">
        <v>15</v>
      </c>
      <c r="F558">
        <v>8</v>
      </c>
      <c r="G558">
        <v>3</v>
      </c>
      <c r="H558" t="s">
        <v>1519</v>
      </c>
      <c r="I558">
        <v>55.2</v>
      </c>
      <c r="J558">
        <v>37.65</v>
      </c>
      <c r="K558" t="str">
        <f>"CFHR1"</f>
        <v>CFHR1</v>
      </c>
      <c r="L558" t="str">
        <f>"CFHR1"</f>
        <v>CFHR1</v>
      </c>
      <c r="M558">
        <v>9.6831142017348899</v>
      </c>
      <c r="N558">
        <v>3.57800688741722</v>
      </c>
      <c r="O558">
        <v>6.3836037593172703</v>
      </c>
      <c r="P558">
        <v>3.19565678233438</v>
      </c>
      <c r="Q558">
        <v>5.0230479732242497</v>
      </c>
      <c r="R558">
        <v>3.6003241283718901</v>
      </c>
      <c r="S558">
        <v>3.3994067114094002</v>
      </c>
      <c r="T558">
        <v>4.7379598709134303</v>
      </c>
      <c r="U558">
        <v>2.20471663619744</v>
      </c>
      <c r="V558">
        <v>4.2025438705662701</v>
      </c>
      <c r="W558">
        <v>7.6523885783351</v>
      </c>
      <c r="X558">
        <v>1.96929142123987</v>
      </c>
    </row>
    <row r="559" spans="1:24">
      <c r="A559">
        <v>1116</v>
      </c>
      <c r="B559" t="s">
        <v>1521</v>
      </c>
      <c r="C559">
        <v>1</v>
      </c>
      <c r="D559" t="s">
        <v>1522</v>
      </c>
      <c r="E559">
        <v>12</v>
      </c>
      <c r="F559">
        <v>12</v>
      </c>
      <c r="G559">
        <v>12</v>
      </c>
      <c r="H559" t="s">
        <v>1521</v>
      </c>
      <c r="I559">
        <v>40.700000000000003</v>
      </c>
      <c r="J559">
        <v>46.44</v>
      </c>
      <c r="K559" t="str">
        <f>"SERPINH1"</f>
        <v>SERPINH1</v>
      </c>
      <c r="L559" t="str">
        <f>"SERPINH1"</f>
        <v>SERPINH1</v>
      </c>
      <c r="M559">
        <v>1.2103892752168599</v>
      </c>
      <c r="N559">
        <v>4.4725086092715198</v>
      </c>
      <c r="O559">
        <v>4.5597169709409098</v>
      </c>
      <c r="P559">
        <v>2.1304378548895899</v>
      </c>
      <c r="Q559">
        <v>1.25576199330606</v>
      </c>
      <c r="R559">
        <v>4.5004051604648696</v>
      </c>
      <c r="S559">
        <v>7.9319489932885903</v>
      </c>
      <c r="T559">
        <v>3.5534699031850701</v>
      </c>
      <c r="U559">
        <v>3.3070749542961599</v>
      </c>
      <c r="V559">
        <v>1.05063596764157</v>
      </c>
      <c r="W559">
        <v>10.2031847711135</v>
      </c>
      <c r="X559">
        <v>1.96929142123987</v>
      </c>
    </row>
    <row r="560" spans="1:24">
      <c r="A560">
        <v>1475</v>
      </c>
      <c r="B560" t="s">
        <v>1523</v>
      </c>
      <c r="C560">
        <v>3</v>
      </c>
      <c r="D560" t="s">
        <v>1524</v>
      </c>
      <c r="E560">
        <v>12</v>
      </c>
      <c r="F560">
        <v>12</v>
      </c>
      <c r="G560">
        <v>12</v>
      </c>
      <c r="H560" t="s">
        <v>1525</v>
      </c>
      <c r="I560">
        <v>47.6</v>
      </c>
      <c r="J560">
        <v>41.337000000000003</v>
      </c>
      <c r="K560" t="str">
        <f>"CAMK1;CAMK1D"</f>
        <v>CAMK1;CAMK1D</v>
      </c>
      <c r="L560" t="str">
        <f>"CAMK1;CAMK1D"</f>
        <v>CAMK1;CAMK1D</v>
      </c>
      <c r="M560">
        <v>3.6311678256505799</v>
      </c>
      <c r="N560">
        <v>6.2615120529801302</v>
      </c>
      <c r="O560">
        <v>5.4716603651290896</v>
      </c>
      <c r="P560">
        <v>3.19565678233438</v>
      </c>
      <c r="Q560">
        <v>2.51152398661212</v>
      </c>
      <c r="R560">
        <v>3.6003241283718901</v>
      </c>
      <c r="S560">
        <v>5.6656778523489901</v>
      </c>
      <c r="T560">
        <v>1.18448996772836</v>
      </c>
      <c r="U560">
        <v>5.5117915904936003</v>
      </c>
      <c r="V560">
        <v>5.2531798382078403</v>
      </c>
      <c r="W560">
        <v>5.1015923855567298</v>
      </c>
      <c r="X560">
        <v>4.92322855309967</v>
      </c>
    </row>
    <row r="561" spans="1:24">
      <c r="A561">
        <v>298</v>
      </c>
      <c r="B561" t="s">
        <v>1526</v>
      </c>
      <c r="C561">
        <v>1</v>
      </c>
      <c r="D561" t="s">
        <v>1527</v>
      </c>
      <c r="E561">
        <v>7</v>
      </c>
      <c r="F561">
        <v>7</v>
      </c>
      <c r="G561">
        <v>7</v>
      </c>
      <c r="H561" t="s">
        <v>1526</v>
      </c>
      <c r="I561">
        <v>77.3</v>
      </c>
      <c r="J561">
        <v>15.936</v>
      </c>
      <c r="K561" t="str">
        <f>"SOD1"</f>
        <v>SOD1</v>
      </c>
      <c r="L561" t="str">
        <f>"SOD1"</f>
        <v>SOD1</v>
      </c>
      <c r="M561">
        <v>1.2103892752168599</v>
      </c>
      <c r="N561">
        <v>5.3670103311258304</v>
      </c>
      <c r="O561">
        <v>3.64777357675273</v>
      </c>
      <c r="P561">
        <v>4.2608757097791798</v>
      </c>
      <c r="Q561">
        <v>1.25576199330606</v>
      </c>
      <c r="R561">
        <v>7.2006482567437899</v>
      </c>
      <c r="S561">
        <v>5.6656778523489901</v>
      </c>
      <c r="T561">
        <v>1.18448996772836</v>
      </c>
      <c r="U561">
        <v>5.5117915904936003</v>
      </c>
      <c r="V561">
        <v>5.2531798382078403</v>
      </c>
      <c r="W561">
        <v>5.1015923855567298</v>
      </c>
      <c r="X561">
        <v>2.9539371318597998</v>
      </c>
    </row>
    <row r="562" spans="1:24">
      <c r="A562">
        <v>1042</v>
      </c>
      <c r="B562" t="s">
        <v>1528</v>
      </c>
      <c r="C562">
        <v>3</v>
      </c>
      <c r="D562" t="s">
        <v>1529</v>
      </c>
      <c r="E562">
        <v>11</v>
      </c>
      <c r="F562">
        <v>11</v>
      </c>
      <c r="G562">
        <v>11</v>
      </c>
      <c r="H562" t="s">
        <v>1530</v>
      </c>
      <c r="I562">
        <v>36.4</v>
      </c>
      <c r="J562">
        <v>31.565999999999999</v>
      </c>
      <c r="K562" t="str">
        <f>"VDAC2"</f>
        <v>VDAC2</v>
      </c>
      <c r="L562" t="str">
        <f>"VDAC2"</f>
        <v>VDAC2</v>
      </c>
      <c r="M562">
        <v>1.2103892752168599</v>
      </c>
      <c r="N562">
        <v>4.4725086092715198</v>
      </c>
      <c r="O562">
        <v>3.64777357675273</v>
      </c>
      <c r="P562">
        <v>3.19565678233438</v>
      </c>
      <c r="Q562">
        <v>5.0230479732242497</v>
      </c>
      <c r="R562">
        <v>4.5004051604648696</v>
      </c>
      <c r="S562">
        <v>6.7988134228187898</v>
      </c>
      <c r="T562">
        <v>1.18448996772836</v>
      </c>
      <c r="U562">
        <v>9.9212248628884794</v>
      </c>
      <c r="V562">
        <v>1.05063596764157</v>
      </c>
      <c r="W562">
        <v>3.82619428916755</v>
      </c>
      <c r="X562">
        <v>6.8925199743395398</v>
      </c>
    </row>
    <row r="563" spans="1:24">
      <c r="A563">
        <v>2098</v>
      </c>
      <c r="B563" t="s">
        <v>1531</v>
      </c>
      <c r="C563">
        <v>1</v>
      </c>
      <c r="D563" t="s">
        <v>1532</v>
      </c>
      <c r="E563">
        <v>12</v>
      </c>
      <c r="F563">
        <v>12</v>
      </c>
      <c r="G563">
        <v>12</v>
      </c>
      <c r="H563" t="s">
        <v>1531</v>
      </c>
      <c r="I563">
        <v>40.799999999999997</v>
      </c>
      <c r="J563">
        <v>35.170999999999999</v>
      </c>
      <c r="K563" t="str">
        <f>"FN3K"</f>
        <v>FN3K</v>
      </c>
      <c r="L563" t="str">
        <f>"FN3K"</f>
        <v>FN3K</v>
      </c>
      <c r="M563">
        <v>1.2103892752168599</v>
      </c>
      <c r="N563">
        <v>3.57800688741722</v>
      </c>
      <c r="O563">
        <v>5.4716603651290896</v>
      </c>
      <c r="P563">
        <v>1.0652189274447901</v>
      </c>
      <c r="Q563">
        <v>0</v>
      </c>
      <c r="R563">
        <v>6.3005672246508198</v>
      </c>
      <c r="S563">
        <v>4.5325422818791896</v>
      </c>
      <c r="T563">
        <v>3.5534699031850701</v>
      </c>
      <c r="U563">
        <v>3.3070749542961599</v>
      </c>
      <c r="V563">
        <v>9.4557237087741104</v>
      </c>
      <c r="W563">
        <v>5.1015923855567298</v>
      </c>
      <c r="X563">
        <v>2.9539371318597998</v>
      </c>
    </row>
    <row r="564" spans="1:24">
      <c r="A564">
        <v>525</v>
      </c>
      <c r="B564" t="s">
        <v>1533</v>
      </c>
      <c r="C564">
        <v>1</v>
      </c>
      <c r="D564" t="s">
        <v>1534</v>
      </c>
      <c r="E564">
        <v>11</v>
      </c>
      <c r="F564">
        <v>11</v>
      </c>
      <c r="G564">
        <v>11</v>
      </c>
      <c r="H564" t="s">
        <v>1533</v>
      </c>
      <c r="I564">
        <v>31.6</v>
      </c>
      <c r="J564">
        <v>44.552</v>
      </c>
      <c r="K564" t="str">
        <f>"CTSD"</f>
        <v>CTSD</v>
      </c>
      <c r="L564" t="str">
        <f>"CTSD"</f>
        <v>CTSD</v>
      </c>
      <c r="M564">
        <v>2.4207785504337198</v>
      </c>
      <c r="N564">
        <v>3.57800688741722</v>
      </c>
      <c r="O564">
        <v>2.7358301825645501</v>
      </c>
      <c r="P564">
        <v>2.1304378548895899</v>
      </c>
      <c r="Q564">
        <v>2.51152398661212</v>
      </c>
      <c r="R564">
        <v>3.6003241283718901</v>
      </c>
      <c r="S564">
        <v>4.5325422818791896</v>
      </c>
      <c r="T564">
        <v>1.18448996772836</v>
      </c>
      <c r="U564">
        <v>4.4094332723948799</v>
      </c>
      <c r="V564">
        <v>4.2025438705662701</v>
      </c>
      <c r="W564">
        <v>5.1015923855567298</v>
      </c>
      <c r="X564">
        <v>5.9078742637195996</v>
      </c>
    </row>
    <row r="565" spans="1:24">
      <c r="A565">
        <v>1470</v>
      </c>
      <c r="B565" t="s">
        <v>1535</v>
      </c>
      <c r="C565">
        <v>2</v>
      </c>
      <c r="D565" t="s">
        <v>1536</v>
      </c>
      <c r="E565">
        <v>13</v>
      </c>
      <c r="F565">
        <v>13</v>
      </c>
      <c r="G565">
        <v>13</v>
      </c>
      <c r="H565" t="s">
        <v>1537</v>
      </c>
      <c r="I565">
        <v>32.299999999999997</v>
      </c>
      <c r="J565">
        <v>58.06</v>
      </c>
      <c r="K565" t="str">
        <f>"SNTB1"</f>
        <v>SNTB1</v>
      </c>
      <c r="L565" t="str">
        <f>"SNTB1"</f>
        <v>SNTB1</v>
      </c>
      <c r="M565">
        <v>3.6311678256505799</v>
      </c>
      <c r="N565">
        <v>5.3670103311258304</v>
      </c>
      <c r="O565">
        <v>3.64777357675273</v>
      </c>
      <c r="P565">
        <v>7.4565324921135696</v>
      </c>
      <c r="Q565">
        <v>1.25576199330606</v>
      </c>
      <c r="R565">
        <v>2.7002430962789199</v>
      </c>
      <c r="S565">
        <v>0</v>
      </c>
      <c r="T565">
        <v>3.5534699031850701</v>
      </c>
      <c r="U565">
        <v>3.3070749542961599</v>
      </c>
      <c r="V565">
        <v>6.3038158058494096</v>
      </c>
      <c r="W565">
        <v>5.1015923855567298</v>
      </c>
      <c r="X565">
        <v>3.9385828424797298</v>
      </c>
    </row>
    <row r="566" spans="1:24">
      <c r="A566">
        <v>1942</v>
      </c>
      <c r="B566" t="s">
        <v>1538</v>
      </c>
      <c r="C566">
        <v>3</v>
      </c>
      <c r="D566" t="s">
        <v>1539</v>
      </c>
      <c r="E566">
        <v>10</v>
      </c>
      <c r="F566">
        <v>10</v>
      </c>
      <c r="G566">
        <v>10</v>
      </c>
      <c r="H566" t="s">
        <v>1540</v>
      </c>
      <c r="I566">
        <v>29.6</v>
      </c>
      <c r="J566">
        <v>48.423999999999999</v>
      </c>
      <c r="K566" t="str">
        <f>"CPB2"</f>
        <v>CPB2</v>
      </c>
      <c r="L566" t="str">
        <f>"CPB2"</f>
        <v>CPB2</v>
      </c>
      <c r="M566">
        <v>7.2623356513011696</v>
      </c>
      <c r="N566">
        <v>3.57800688741722</v>
      </c>
      <c r="O566">
        <v>1.8238867883763601</v>
      </c>
      <c r="P566">
        <v>4.2608757097791798</v>
      </c>
      <c r="Q566">
        <v>6.2788099665303099</v>
      </c>
      <c r="R566">
        <v>5.4004861925578398</v>
      </c>
      <c r="S566">
        <v>5.6656778523489901</v>
      </c>
      <c r="T566">
        <v>5.9224498386417803</v>
      </c>
      <c r="U566">
        <v>3.3070749542961599</v>
      </c>
      <c r="V566">
        <v>3.1519079029246999</v>
      </c>
      <c r="W566">
        <v>3.82619428916755</v>
      </c>
      <c r="X566">
        <v>4.92322855309967</v>
      </c>
    </row>
    <row r="567" spans="1:24">
      <c r="A567">
        <v>488</v>
      </c>
      <c r="B567" t="s">
        <v>1541</v>
      </c>
      <c r="C567">
        <v>1</v>
      </c>
      <c r="D567" t="s">
        <v>1542</v>
      </c>
      <c r="E567">
        <v>26</v>
      </c>
      <c r="F567">
        <v>13</v>
      </c>
      <c r="G567">
        <v>1</v>
      </c>
      <c r="H567" t="s">
        <v>1541</v>
      </c>
      <c r="I567">
        <v>64.7</v>
      </c>
      <c r="J567">
        <v>40.688000000000002</v>
      </c>
      <c r="K567" t="str">
        <f>"HLA-A"</f>
        <v>HLA-A</v>
      </c>
      <c r="L567" t="str">
        <f>"HLA-A"</f>
        <v>HLA-A</v>
      </c>
      <c r="M567">
        <v>2.4207785504337198</v>
      </c>
      <c r="N567">
        <v>0</v>
      </c>
      <c r="O567">
        <v>9.1194339418818195</v>
      </c>
      <c r="P567">
        <v>1.0652189274447901</v>
      </c>
      <c r="Q567">
        <v>1.25576199330606</v>
      </c>
      <c r="R567">
        <v>3.6003241283718901</v>
      </c>
      <c r="S567">
        <v>1.1331355704698001</v>
      </c>
      <c r="T567">
        <v>1.18448996772836</v>
      </c>
      <c r="U567">
        <v>3.3070749542961599</v>
      </c>
      <c r="V567">
        <v>2.1012719352831399</v>
      </c>
      <c r="W567">
        <v>1.27539809638918</v>
      </c>
      <c r="X567">
        <v>2.9539371318597998</v>
      </c>
    </row>
    <row r="568" spans="1:24">
      <c r="A568">
        <v>1005</v>
      </c>
      <c r="B568" t="s">
        <v>1543</v>
      </c>
      <c r="C568">
        <v>3</v>
      </c>
      <c r="D568" t="s">
        <v>1544</v>
      </c>
      <c r="E568">
        <v>18</v>
      </c>
      <c r="F568">
        <v>18</v>
      </c>
      <c r="G568">
        <v>18</v>
      </c>
      <c r="H568" t="s">
        <v>1545</v>
      </c>
      <c r="I568">
        <v>32.5</v>
      </c>
      <c r="J568">
        <v>83.125</v>
      </c>
      <c r="K568" t="str">
        <f>"STAT3"</f>
        <v>STAT3</v>
      </c>
      <c r="L568" t="str">
        <f>"STAT3"</f>
        <v>STAT3</v>
      </c>
      <c r="M568">
        <v>1.2103892752168599</v>
      </c>
      <c r="N568">
        <v>2.6835051655629099</v>
      </c>
      <c r="O568">
        <v>3.64777357675273</v>
      </c>
      <c r="P568">
        <v>3.19565678233438</v>
      </c>
      <c r="Q568">
        <v>0</v>
      </c>
      <c r="R568">
        <v>3.6003241283718901</v>
      </c>
      <c r="S568">
        <v>2.2662711409396001</v>
      </c>
      <c r="T568">
        <v>4.7379598709134303</v>
      </c>
      <c r="U568">
        <v>2.20471663619744</v>
      </c>
      <c r="V568">
        <v>3.1519079029246999</v>
      </c>
      <c r="W568">
        <v>2.5507961927783702</v>
      </c>
      <c r="X568">
        <v>8.8618113955793998</v>
      </c>
    </row>
    <row r="569" spans="1:24">
      <c r="A569">
        <v>1364</v>
      </c>
      <c r="B569" t="s">
        <v>1546</v>
      </c>
      <c r="C569">
        <v>10</v>
      </c>
      <c r="D569" t="s">
        <v>1547</v>
      </c>
      <c r="E569">
        <v>24</v>
      </c>
      <c r="F569">
        <v>24</v>
      </c>
      <c r="G569">
        <v>20</v>
      </c>
      <c r="H569" t="s">
        <v>1548</v>
      </c>
      <c r="I569">
        <v>20.7</v>
      </c>
      <c r="J569">
        <v>154.80000000000001</v>
      </c>
      <c r="K569" t="str">
        <f>"EIF4G1"</f>
        <v>EIF4G1</v>
      </c>
      <c r="L569" t="str">
        <f>"EIF4G1"</f>
        <v>EIF4G1</v>
      </c>
      <c r="M569">
        <v>2.4207785504337198</v>
      </c>
      <c r="N569">
        <v>4.4725086092715198</v>
      </c>
      <c r="O569">
        <v>2.7358301825645501</v>
      </c>
      <c r="P569">
        <v>1.0652189274447901</v>
      </c>
      <c r="Q569">
        <v>0</v>
      </c>
      <c r="R569">
        <v>8.1007292888367601</v>
      </c>
      <c r="S569">
        <v>2.2662711409396001</v>
      </c>
      <c r="T569">
        <v>1.18448996772836</v>
      </c>
      <c r="U569">
        <v>5.5117915904936003</v>
      </c>
      <c r="V569">
        <v>2.1012719352831399</v>
      </c>
      <c r="W569">
        <v>2.5507961927783702</v>
      </c>
      <c r="X569">
        <v>5.9078742637195996</v>
      </c>
    </row>
    <row r="570" spans="1:24">
      <c r="A570">
        <v>181</v>
      </c>
      <c r="B570" t="s">
        <v>1549</v>
      </c>
      <c r="C570">
        <v>2</v>
      </c>
      <c r="D570" t="s">
        <v>1550</v>
      </c>
      <c r="E570">
        <v>18</v>
      </c>
      <c r="F570">
        <v>18</v>
      </c>
      <c r="G570">
        <v>18</v>
      </c>
      <c r="H570" t="s">
        <v>1551</v>
      </c>
      <c r="I570">
        <v>22.9</v>
      </c>
      <c r="J570">
        <v>111.63</v>
      </c>
      <c r="K570" t="str">
        <f>"OPA1"</f>
        <v>OPA1</v>
      </c>
      <c r="L570" t="str">
        <f>"OPA1"</f>
        <v>OPA1</v>
      </c>
      <c r="M570">
        <v>0</v>
      </c>
      <c r="N570">
        <v>6.2615120529801302</v>
      </c>
      <c r="O570">
        <v>6.3836037593172703</v>
      </c>
      <c r="P570">
        <v>2.1304378548895899</v>
      </c>
      <c r="Q570">
        <v>2.51152398661212</v>
      </c>
      <c r="R570">
        <v>5.4004861925578398</v>
      </c>
      <c r="S570">
        <v>1.1331355704698001</v>
      </c>
      <c r="T570">
        <v>3.5534699031850701</v>
      </c>
      <c r="U570">
        <v>4.4094332723948799</v>
      </c>
      <c r="V570">
        <v>5.2531798382078403</v>
      </c>
      <c r="W570">
        <v>3.82619428916755</v>
      </c>
      <c r="X570">
        <v>2.9539371318597998</v>
      </c>
    </row>
    <row r="571" spans="1:24">
      <c r="A571">
        <v>2087</v>
      </c>
      <c r="B571" t="s">
        <v>1552</v>
      </c>
      <c r="C571">
        <v>1</v>
      </c>
      <c r="D571" t="s">
        <v>1553</v>
      </c>
      <c r="E571">
        <v>6</v>
      </c>
      <c r="F571">
        <v>6</v>
      </c>
      <c r="G571">
        <v>6</v>
      </c>
      <c r="H571" t="s">
        <v>1552</v>
      </c>
      <c r="I571">
        <v>40.9</v>
      </c>
      <c r="J571">
        <v>10.438000000000001</v>
      </c>
      <c r="K571" t="str">
        <f>"SH3BGRL3"</f>
        <v>SH3BGRL3</v>
      </c>
      <c r="L571" t="str">
        <f>"SH3BGRL3"</f>
        <v>SH3BGRL3</v>
      </c>
      <c r="M571">
        <v>3.6311678256505799</v>
      </c>
      <c r="N571">
        <v>2.6835051655629099</v>
      </c>
      <c r="O571">
        <v>2.7358301825645501</v>
      </c>
      <c r="P571">
        <v>5.3260946372239797</v>
      </c>
      <c r="Q571">
        <v>2.51152398661212</v>
      </c>
      <c r="R571">
        <v>5.4004861925578398</v>
      </c>
      <c r="S571">
        <v>3.3994067114094002</v>
      </c>
      <c r="T571">
        <v>7.1069398063701401</v>
      </c>
      <c r="U571">
        <v>4.4094332723948799</v>
      </c>
      <c r="V571">
        <v>6.3038158058494096</v>
      </c>
      <c r="W571">
        <v>1.27539809638918</v>
      </c>
      <c r="X571">
        <v>0.984645710619934</v>
      </c>
    </row>
    <row r="572" spans="1:24">
      <c r="A572">
        <v>937</v>
      </c>
      <c r="B572" t="s">
        <v>1554</v>
      </c>
      <c r="C572">
        <v>2</v>
      </c>
      <c r="D572" t="s">
        <v>1555</v>
      </c>
      <c r="E572">
        <v>9</v>
      </c>
      <c r="F572">
        <v>8</v>
      </c>
      <c r="G572">
        <v>8</v>
      </c>
      <c r="H572" t="s">
        <v>1556</v>
      </c>
      <c r="I572">
        <v>53.5</v>
      </c>
      <c r="J572">
        <v>21.891999999999999</v>
      </c>
      <c r="K572" t="str">
        <f>"PRDX2"</f>
        <v>PRDX2</v>
      </c>
      <c r="L572" t="str">
        <f>"PRDX2"</f>
        <v>PRDX2</v>
      </c>
      <c r="M572">
        <v>1.2103892752168599</v>
      </c>
      <c r="N572">
        <v>2.6835051655629099</v>
      </c>
      <c r="O572">
        <v>3.64777357675273</v>
      </c>
      <c r="P572">
        <v>7.4565324921135696</v>
      </c>
      <c r="Q572">
        <v>2.51152398661212</v>
      </c>
      <c r="R572">
        <v>9.0008103209297392</v>
      </c>
      <c r="S572">
        <v>3.3994067114094002</v>
      </c>
      <c r="T572">
        <v>3.5534699031850701</v>
      </c>
      <c r="U572">
        <v>3.3070749542961599</v>
      </c>
      <c r="V572">
        <v>3.1519079029246999</v>
      </c>
      <c r="W572">
        <v>3.82619428916755</v>
      </c>
      <c r="X572">
        <v>0</v>
      </c>
    </row>
    <row r="573" spans="1:24">
      <c r="A573">
        <v>942</v>
      </c>
      <c r="B573" t="s">
        <v>1557</v>
      </c>
      <c r="C573">
        <v>1</v>
      </c>
      <c r="D573" t="s">
        <v>1558</v>
      </c>
      <c r="E573">
        <v>25</v>
      </c>
      <c r="F573">
        <v>25</v>
      </c>
      <c r="G573">
        <v>17</v>
      </c>
      <c r="H573" t="s">
        <v>1557</v>
      </c>
      <c r="I573">
        <v>33.4</v>
      </c>
      <c r="J573">
        <v>109.68</v>
      </c>
      <c r="K573" t="str">
        <f>"KIF5B"</f>
        <v>KIF5B</v>
      </c>
      <c r="L573" t="str">
        <f>"KIF5B"</f>
        <v>KIF5B</v>
      </c>
      <c r="M573">
        <v>1.2103892752168599</v>
      </c>
      <c r="N573">
        <v>5.3670103311258304</v>
      </c>
      <c r="O573">
        <v>6.3836037593172703</v>
      </c>
      <c r="P573">
        <v>4.2608757097791798</v>
      </c>
      <c r="Q573">
        <v>1.25576199330606</v>
      </c>
      <c r="R573">
        <v>3.6003241283718901</v>
      </c>
      <c r="S573">
        <v>5.6656778523489901</v>
      </c>
      <c r="T573">
        <v>0</v>
      </c>
      <c r="U573">
        <v>4.4094332723948799</v>
      </c>
      <c r="V573">
        <v>4.2025438705662701</v>
      </c>
      <c r="W573">
        <v>2.5507961927783702</v>
      </c>
      <c r="X573">
        <v>4.92322855309967</v>
      </c>
    </row>
    <row r="574" spans="1:24">
      <c r="A574">
        <v>950</v>
      </c>
      <c r="B574" t="s">
        <v>1559</v>
      </c>
      <c r="C574">
        <v>3</v>
      </c>
      <c r="D574" t="s">
        <v>1560</v>
      </c>
      <c r="E574">
        <v>22</v>
      </c>
      <c r="F574">
        <v>22</v>
      </c>
      <c r="G574">
        <v>19</v>
      </c>
      <c r="H574" t="s">
        <v>1561</v>
      </c>
      <c r="I574">
        <v>31</v>
      </c>
      <c r="J574">
        <v>94.33</v>
      </c>
      <c r="K574" t="str">
        <f>"HSPA4;HSPA4L"</f>
        <v>HSPA4;HSPA4L</v>
      </c>
      <c r="L574" t="str">
        <f>"HSPA4;HSPA4L"</f>
        <v>HSPA4;HSPA4L</v>
      </c>
      <c r="M574">
        <v>2.4207785504337198</v>
      </c>
      <c r="N574">
        <v>3.57800688741722</v>
      </c>
      <c r="O574">
        <v>2.7358301825645501</v>
      </c>
      <c r="P574">
        <v>1.0652189274447901</v>
      </c>
      <c r="Q574">
        <v>1.25576199330606</v>
      </c>
      <c r="R574">
        <v>3.6003241283718901</v>
      </c>
      <c r="S574">
        <v>2.2662711409396001</v>
      </c>
      <c r="T574">
        <v>1.18448996772836</v>
      </c>
      <c r="U574">
        <v>5.5117915904936003</v>
      </c>
      <c r="V574">
        <v>5.2531798382078403</v>
      </c>
      <c r="W574">
        <v>5.1015923855567298</v>
      </c>
      <c r="X574">
        <v>5.9078742637195996</v>
      </c>
    </row>
    <row r="575" spans="1:24">
      <c r="A575">
        <v>1586</v>
      </c>
      <c r="B575" t="s">
        <v>1562</v>
      </c>
      <c r="C575">
        <v>4</v>
      </c>
      <c r="D575" t="s">
        <v>1563</v>
      </c>
      <c r="E575">
        <v>14</v>
      </c>
      <c r="F575">
        <v>14</v>
      </c>
      <c r="G575">
        <v>3</v>
      </c>
      <c r="H575" t="s">
        <v>1564</v>
      </c>
      <c r="I575">
        <v>45.6</v>
      </c>
      <c r="J575">
        <v>41.292999999999999</v>
      </c>
      <c r="K575" t="str">
        <f>"MAPK14"</f>
        <v>MAPK14</v>
      </c>
      <c r="L575" t="str">
        <f>"MAPK14"</f>
        <v>MAPK14</v>
      </c>
      <c r="M575">
        <v>0</v>
      </c>
      <c r="N575">
        <v>0.89450172185430499</v>
      </c>
      <c r="O575">
        <v>5.4716603651290896</v>
      </c>
      <c r="P575">
        <v>6.3913135646687698</v>
      </c>
      <c r="Q575">
        <v>5.0230479732242497</v>
      </c>
      <c r="R575">
        <v>3.6003241283718901</v>
      </c>
      <c r="S575">
        <v>4.5325422818791896</v>
      </c>
      <c r="T575">
        <v>1.18448996772836</v>
      </c>
      <c r="U575">
        <v>4.4094332723948799</v>
      </c>
      <c r="V575">
        <v>3.1519079029246999</v>
      </c>
      <c r="W575">
        <v>2.5507961927783702</v>
      </c>
      <c r="X575">
        <v>5.9078742637195996</v>
      </c>
    </row>
    <row r="576" spans="1:24">
      <c r="A576">
        <v>595</v>
      </c>
      <c r="B576" t="s">
        <v>1565</v>
      </c>
      <c r="C576">
        <v>2</v>
      </c>
      <c r="D576" t="s">
        <v>1566</v>
      </c>
      <c r="E576">
        <v>99</v>
      </c>
      <c r="F576">
        <v>4</v>
      </c>
      <c r="G576">
        <v>4</v>
      </c>
      <c r="H576" t="s">
        <v>1567</v>
      </c>
      <c r="I576">
        <v>59</v>
      </c>
      <c r="J576">
        <v>192.78</v>
      </c>
      <c r="K576" t="str">
        <f>"C4A"</f>
        <v>C4A</v>
      </c>
      <c r="L576" t="str">
        <f>"C4A"</f>
        <v>C4A</v>
      </c>
      <c r="M576">
        <v>4.8415571008674503</v>
      </c>
      <c r="N576">
        <v>5.3670103311258304</v>
      </c>
      <c r="O576">
        <v>4.5597169709409098</v>
      </c>
      <c r="P576">
        <v>4.2608757097791798</v>
      </c>
      <c r="Q576">
        <v>7.5345719598363701</v>
      </c>
      <c r="R576">
        <v>2.7002430962789199</v>
      </c>
      <c r="S576">
        <v>6.7988134228187898</v>
      </c>
      <c r="T576">
        <v>7.1069398063701401</v>
      </c>
      <c r="U576">
        <v>6.6141499085923199</v>
      </c>
      <c r="V576">
        <v>3.1519079029246999</v>
      </c>
      <c r="W576">
        <v>12.7539809638918</v>
      </c>
      <c r="X576">
        <v>6.8925199743395398</v>
      </c>
    </row>
    <row r="577" spans="1:24">
      <c r="A577">
        <v>652</v>
      </c>
      <c r="B577" t="s">
        <v>1568</v>
      </c>
      <c r="C577">
        <v>1</v>
      </c>
      <c r="D577" t="s">
        <v>1569</v>
      </c>
      <c r="E577">
        <v>18</v>
      </c>
      <c r="F577">
        <v>18</v>
      </c>
      <c r="G577">
        <v>18</v>
      </c>
      <c r="H577" t="s">
        <v>1568</v>
      </c>
      <c r="I577">
        <v>55.1</v>
      </c>
      <c r="J577">
        <v>36.375</v>
      </c>
      <c r="K577" t="str">
        <f>"ANXA3"</f>
        <v>ANXA3</v>
      </c>
      <c r="L577" t="str">
        <f>"ANXA3"</f>
        <v>ANXA3</v>
      </c>
      <c r="M577">
        <v>2.4207785504337198</v>
      </c>
      <c r="N577">
        <v>6.2615120529801302</v>
      </c>
      <c r="O577">
        <v>4.5597169709409098</v>
      </c>
      <c r="P577">
        <v>1.0652189274447901</v>
      </c>
      <c r="Q577">
        <v>1.25576199330606</v>
      </c>
      <c r="R577">
        <v>5.4004861925578398</v>
      </c>
      <c r="S577">
        <v>7.9319489932885903</v>
      </c>
      <c r="T577">
        <v>2.3689799354567098</v>
      </c>
      <c r="U577">
        <v>2.20471663619744</v>
      </c>
      <c r="V577">
        <v>5.2531798382078403</v>
      </c>
      <c r="W577">
        <v>2.5507961927783702</v>
      </c>
      <c r="X577">
        <v>1.96929142123987</v>
      </c>
    </row>
    <row r="578" spans="1:24">
      <c r="A578">
        <v>698</v>
      </c>
      <c r="B578" t="s">
        <v>1570</v>
      </c>
      <c r="C578">
        <v>1</v>
      </c>
      <c r="D578" t="s">
        <v>1571</v>
      </c>
      <c r="E578">
        <v>11</v>
      </c>
      <c r="F578">
        <v>5</v>
      </c>
      <c r="G578">
        <v>5</v>
      </c>
      <c r="H578" t="s">
        <v>1570</v>
      </c>
      <c r="I578">
        <v>55.7</v>
      </c>
      <c r="J578">
        <v>21.428999999999998</v>
      </c>
      <c r="K578" t="str">
        <f>"RAC2"</f>
        <v>RAC2</v>
      </c>
      <c r="L578" t="str">
        <f>"RAC2"</f>
        <v>RAC2</v>
      </c>
      <c r="M578">
        <v>4.8415571008674503</v>
      </c>
      <c r="N578">
        <v>3.57800688741722</v>
      </c>
      <c r="O578">
        <v>4.5597169709409098</v>
      </c>
      <c r="P578">
        <v>2.1304378548895899</v>
      </c>
      <c r="Q578">
        <v>3.7672859799181899</v>
      </c>
      <c r="R578">
        <v>4.5004051604648696</v>
      </c>
      <c r="S578">
        <v>5.6656778523489901</v>
      </c>
      <c r="T578">
        <v>5.9224498386417803</v>
      </c>
      <c r="U578">
        <v>2.20471663619744</v>
      </c>
      <c r="V578">
        <v>5.2531798382078403</v>
      </c>
      <c r="W578">
        <v>5.1015923855567298</v>
      </c>
      <c r="X578">
        <v>4.92322855309967</v>
      </c>
    </row>
    <row r="579" spans="1:24">
      <c r="A579">
        <v>960</v>
      </c>
      <c r="B579" t="s">
        <v>1572</v>
      </c>
      <c r="C579">
        <v>1</v>
      </c>
      <c r="D579" t="s">
        <v>1573</v>
      </c>
      <c r="E579">
        <v>5</v>
      </c>
      <c r="F579">
        <v>5</v>
      </c>
      <c r="G579">
        <v>5</v>
      </c>
      <c r="H579" t="s">
        <v>1572</v>
      </c>
      <c r="I579">
        <v>40.799999999999997</v>
      </c>
      <c r="J579">
        <v>14.746</v>
      </c>
      <c r="K579" t="str">
        <f>"SAA4"</f>
        <v>SAA4</v>
      </c>
      <c r="L579" t="str">
        <f>"SAA4"</f>
        <v>SAA4</v>
      </c>
      <c r="M579">
        <v>9.6831142017348899</v>
      </c>
      <c r="N579">
        <v>2.6835051655629099</v>
      </c>
      <c r="O579">
        <v>6.3836037593172703</v>
      </c>
      <c r="P579">
        <v>5.3260946372239797</v>
      </c>
      <c r="Q579">
        <v>3.7672859799181899</v>
      </c>
      <c r="R579">
        <v>1.8001620641859499</v>
      </c>
      <c r="S579">
        <v>4.5325422818791896</v>
      </c>
      <c r="T579">
        <v>9.4759197418268606</v>
      </c>
      <c r="U579">
        <v>1.10235831809872</v>
      </c>
      <c r="V579">
        <v>5.2531798382078403</v>
      </c>
      <c r="W579">
        <v>3.82619428916755</v>
      </c>
      <c r="X579">
        <v>2.9539371318597998</v>
      </c>
    </row>
    <row r="580" spans="1:24">
      <c r="A580">
        <v>966</v>
      </c>
      <c r="B580" t="s">
        <v>1574</v>
      </c>
      <c r="C580">
        <v>12</v>
      </c>
      <c r="D580" t="s">
        <v>1575</v>
      </c>
      <c r="E580">
        <v>15</v>
      </c>
      <c r="F580">
        <v>15</v>
      </c>
      <c r="G580">
        <v>15</v>
      </c>
      <c r="H580" t="s">
        <v>1576</v>
      </c>
      <c r="I580">
        <v>33.6</v>
      </c>
      <c r="J580">
        <v>69.983999999999995</v>
      </c>
      <c r="K580" t="str">
        <f>"ADD1;ADD2"</f>
        <v>ADD1;ADD2</v>
      </c>
      <c r="L580" t="str">
        <f>"ADD1;ADD2"</f>
        <v>ADD1;ADD2</v>
      </c>
      <c r="M580">
        <v>2.4207785504337198</v>
      </c>
      <c r="N580">
        <v>6.2615120529801302</v>
      </c>
      <c r="O580">
        <v>4.5597169709409098</v>
      </c>
      <c r="P580">
        <v>2.1304378548895899</v>
      </c>
      <c r="Q580">
        <v>3.7672859799181899</v>
      </c>
      <c r="R580">
        <v>7.2006482567437899</v>
      </c>
      <c r="S580">
        <v>4.5325422818791896</v>
      </c>
      <c r="T580">
        <v>1.18448996772836</v>
      </c>
      <c r="U580">
        <v>6.6141499085923199</v>
      </c>
      <c r="V580">
        <v>6.3038158058494096</v>
      </c>
      <c r="W580">
        <v>3.82619428916755</v>
      </c>
      <c r="X580">
        <v>4.92322855309967</v>
      </c>
    </row>
    <row r="581" spans="1:24">
      <c r="A581">
        <v>1089</v>
      </c>
      <c r="B581" t="s">
        <v>1577</v>
      </c>
      <c r="C581">
        <v>2</v>
      </c>
      <c r="D581" t="s">
        <v>1578</v>
      </c>
      <c r="E581">
        <v>26</v>
      </c>
      <c r="F581">
        <v>26</v>
      </c>
      <c r="G581">
        <v>26</v>
      </c>
      <c r="H581" t="s">
        <v>1579</v>
      </c>
      <c r="I581">
        <v>33.700000000000003</v>
      </c>
      <c r="J581">
        <v>106.81</v>
      </c>
      <c r="K581" t="str">
        <f>"AARS"</f>
        <v>AARS</v>
      </c>
      <c r="L581" t="str">
        <f>"AARS"</f>
        <v>AARS</v>
      </c>
      <c r="M581">
        <v>1.2103892752168599</v>
      </c>
      <c r="N581">
        <v>4.4725086092715198</v>
      </c>
      <c r="O581">
        <v>6.3836037593172703</v>
      </c>
      <c r="P581">
        <v>2.1304378548895899</v>
      </c>
      <c r="Q581">
        <v>2.51152398661212</v>
      </c>
      <c r="R581">
        <v>4.5004051604648696</v>
      </c>
      <c r="S581">
        <v>2.2662711409396001</v>
      </c>
      <c r="T581">
        <v>3.5534699031850701</v>
      </c>
      <c r="U581">
        <v>3.3070749542961599</v>
      </c>
      <c r="V581">
        <v>3.1519079029246999</v>
      </c>
      <c r="W581">
        <v>0</v>
      </c>
      <c r="X581">
        <v>3.9385828424797298</v>
      </c>
    </row>
    <row r="582" spans="1:24">
      <c r="A582">
        <v>1414</v>
      </c>
      <c r="B582" t="s">
        <v>1580</v>
      </c>
      <c r="C582">
        <v>2</v>
      </c>
      <c r="D582" t="s">
        <v>1581</v>
      </c>
      <c r="E582">
        <v>23</v>
      </c>
      <c r="F582">
        <v>23</v>
      </c>
      <c r="G582">
        <v>23</v>
      </c>
      <c r="H582" t="s">
        <v>1582</v>
      </c>
      <c r="I582">
        <v>21.9</v>
      </c>
      <c r="J582">
        <v>145.94</v>
      </c>
      <c r="K582" t="str">
        <f>"PTPRJ"</f>
        <v>PTPRJ</v>
      </c>
      <c r="L582" t="str">
        <f>"PTPRJ"</f>
        <v>PTPRJ</v>
      </c>
      <c r="M582">
        <v>3.6311678256505799</v>
      </c>
      <c r="N582">
        <v>1.78900344370861</v>
      </c>
      <c r="O582">
        <v>0</v>
      </c>
      <c r="P582">
        <v>7.4565324921135696</v>
      </c>
      <c r="Q582">
        <v>3.7672859799181899</v>
      </c>
      <c r="R582">
        <v>5.4004861925578398</v>
      </c>
      <c r="S582">
        <v>2.2662711409396001</v>
      </c>
      <c r="T582">
        <v>9.4759197418268606</v>
      </c>
      <c r="U582">
        <v>5.5117915904936003</v>
      </c>
      <c r="V582">
        <v>8.4050877411325509</v>
      </c>
      <c r="W582">
        <v>0</v>
      </c>
      <c r="X582">
        <v>4.92322855309967</v>
      </c>
    </row>
    <row r="583" spans="1:24">
      <c r="A583">
        <v>1769</v>
      </c>
      <c r="B583" t="s">
        <v>1583</v>
      </c>
      <c r="C583">
        <v>3</v>
      </c>
      <c r="D583" t="s">
        <v>1584</v>
      </c>
      <c r="E583">
        <v>13</v>
      </c>
      <c r="F583">
        <v>13</v>
      </c>
      <c r="G583">
        <v>13</v>
      </c>
      <c r="H583" t="s">
        <v>1585</v>
      </c>
      <c r="I583">
        <v>20.2</v>
      </c>
      <c r="J583">
        <v>69.287000000000006</v>
      </c>
      <c r="K583" t="str">
        <f>"CMIP"</f>
        <v>CMIP</v>
      </c>
      <c r="L583" t="str">
        <f>"CMIP"</f>
        <v>CMIP</v>
      </c>
      <c r="M583">
        <v>3.6311678256505799</v>
      </c>
      <c r="N583">
        <v>4.4725086092715198</v>
      </c>
      <c r="O583">
        <v>3.64777357675273</v>
      </c>
      <c r="P583">
        <v>4.2608757097791798</v>
      </c>
      <c r="Q583">
        <v>2.51152398661212</v>
      </c>
      <c r="R583">
        <v>3.6003241283718901</v>
      </c>
      <c r="S583">
        <v>0</v>
      </c>
      <c r="T583">
        <v>4.7379598709134303</v>
      </c>
      <c r="U583">
        <v>3.3070749542961599</v>
      </c>
      <c r="V583">
        <v>5.2531798382078403</v>
      </c>
      <c r="W583">
        <v>3.82619428916755</v>
      </c>
      <c r="X583">
        <v>4.92322855309967</v>
      </c>
    </row>
    <row r="584" spans="1:24">
      <c r="A584">
        <v>571</v>
      </c>
      <c r="B584" t="s">
        <v>1586</v>
      </c>
      <c r="C584">
        <v>5</v>
      </c>
      <c r="D584" t="s">
        <v>1587</v>
      </c>
      <c r="E584">
        <v>11</v>
      </c>
      <c r="F584">
        <v>8</v>
      </c>
      <c r="G584">
        <v>8</v>
      </c>
      <c r="H584" t="s">
        <v>1588</v>
      </c>
      <c r="I584">
        <v>30</v>
      </c>
      <c r="J584">
        <v>47.268000000000001</v>
      </c>
      <c r="K584" t="str">
        <f>"ENO2;ENO3"</f>
        <v>ENO2;ENO3</v>
      </c>
      <c r="L584" t="str">
        <f>"ENO2;ENO3"</f>
        <v>ENO2;ENO3</v>
      </c>
      <c r="M584">
        <v>3.6311678256505799</v>
      </c>
      <c r="N584">
        <v>3.57800688741722</v>
      </c>
      <c r="O584">
        <v>3.64777357675273</v>
      </c>
      <c r="P584">
        <v>2.1304378548895899</v>
      </c>
      <c r="Q584">
        <v>3.7672859799181899</v>
      </c>
      <c r="R584">
        <v>3.6003241283718901</v>
      </c>
      <c r="S584">
        <v>2.2662711409396001</v>
      </c>
      <c r="T584">
        <v>3.5534699031850701</v>
      </c>
      <c r="U584">
        <v>3.3070749542961599</v>
      </c>
      <c r="V584">
        <v>5.2531798382078403</v>
      </c>
      <c r="W584">
        <v>2.5507961927783702</v>
      </c>
      <c r="X584">
        <v>3.9385828424797298</v>
      </c>
    </row>
    <row r="585" spans="1:24">
      <c r="A585">
        <v>2338</v>
      </c>
      <c r="B585" t="s">
        <v>1589</v>
      </c>
      <c r="C585">
        <v>2</v>
      </c>
      <c r="D585" t="s">
        <v>1590</v>
      </c>
      <c r="E585">
        <v>15</v>
      </c>
      <c r="F585">
        <v>15</v>
      </c>
      <c r="G585">
        <v>15</v>
      </c>
      <c r="H585" t="s">
        <v>1591</v>
      </c>
      <c r="I585">
        <v>34.299999999999997</v>
      </c>
      <c r="J585">
        <v>39.869</v>
      </c>
      <c r="K585" t="str">
        <f>"CAB39;CAB39L"</f>
        <v>CAB39;CAB39L</v>
      </c>
      <c r="L585" t="str">
        <f>"CAB39;CAB39L"</f>
        <v>CAB39;CAB39L</v>
      </c>
      <c r="M585">
        <v>2.4207785504337198</v>
      </c>
      <c r="N585">
        <v>3.57800688741722</v>
      </c>
      <c r="O585">
        <v>2.7358301825645501</v>
      </c>
      <c r="P585">
        <v>3.19565678233438</v>
      </c>
      <c r="Q585">
        <v>2.51152398661212</v>
      </c>
      <c r="R585">
        <v>2.7002430962789199</v>
      </c>
      <c r="S585">
        <v>3.3994067114094002</v>
      </c>
      <c r="T585">
        <v>2.3689799354567098</v>
      </c>
      <c r="U585">
        <v>5.5117915904936003</v>
      </c>
      <c r="V585">
        <v>4.2025438705662701</v>
      </c>
      <c r="W585">
        <v>5.1015923855567298</v>
      </c>
      <c r="X585">
        <v>3.9385828424797298</v>
      </c>
    </row>
    <row r="586" spans="1:24">
      <c r="A586">
        <v>213</v>
      </c>
      <c r="B586" t="s">
        <v>1592</v>
      </c>
      <c r="C586">
        <v>3</v>
      </c>
      <c r="D586" t="s">
        <v>1593</v>
      </c>
      <c r="E586">
        <v>12</v>
      </c>
      <c r="F586">
        <v>12</v>
      </c>
      <c r="G586">
        <v>8</v>
      </c>
      <c r="H586" t="s">
        <v>1594</v>
      </c>
      <c r="I586">
        <v>32.700000000000003</v>
      </c>
      <c r="J586">
        <v>49.301000000000002</v>
      </c>
      <c r="K586" t="str">
        <f>"VPS4B;FIGNL1"</f>
        <v>VPS4B;FIGNL1</v>
      </c>
      <c r="L586" t="str">
        <f>"VPS4B;FIGNL1"</f>
        <v>VPS4B;FIGNL1</v>
      </c>
      <c r="M586">
        <v>2.4207785504337198</v>
      </c>
      <c r="N586">
        <v>3.57800688741722</v>
      </c>
      <c r="O586">
        <v>3.64777357675273</v>
      </c>
      <c r="P586">
        <v>1.0652189274447901</v>
      </c>
      <c r="Q586">
        <v>2.51152398661212</v>
      </c>
      <c r="R586">
        <v>2.7002430962789199</v>
      </c>
      <c r="S586">
        <v>2.2662711409396001</v>
      </c>
      <c r="T586">
        <v>2.3689799354567098</v>
      </c>
      <c r="U586">
        <v>4.4094332723948799</v>
      </c>
      <c r="V586">
        <v>3.1519079029246999</v>
      </c>
      <c r="W586">
        <v>7.6523885783351</v>
      </c>
      <c r="X586">
        <v>6.8925199743395398</v>
      </c>
    </row>
    <row r="587" spans="1:24">
      <c r="A587">
        <v>268</v>
      </c>
      <c r="B587" t="s">
        <v>1595</v>
      </c>
      <c r="C587">
        <v>2</v>
      </c>
      <c r="D587" t="s">
        <v>1596</v>
      </c>
      <c r="E587">
        <v>7</v>
      </c>
      <c r="F587">
        <v>7</v>
      </c>
      <c r="G587">
        <v>7</v>
      </c>
      <c r="H587" t="s">
        <v>1597</v>
      </c>
      <c r="I587">
        <v>36.700000000000003</v>
      </c>
      <c r="J587">
        <v>21.253</v>
      </c>
      <c r="K587" t="str">
        <f>"APOM"</f>
        <v>APOM</v>
      </c>
      <c r="L587" t="str">
        <f>"APOM"</f>
        <v>APOM</v>
      </c>
      <c r="M587">
        <v>4.8415571008674503</v>
      </c>
      <c r="N587">
        <v>2.6835051655629099</v>
      </c>
      <c r="O587">
        <v>3.64777357675273</v>
      </c>
      <c r="P587">
        <v>4.2608757097791798</v>
      </c>
      <c r="Q587">
        <v>5.0230479732242497</v>
      </c>
      <c r="R587">
        <v>1.8001620641859499</v>
      </c>
      <c r="S587">
        <v>5.6656778523489901</v>
      </c>
      <c r="T587">
        <v>4.7379598709134303</v>
      </c>
      <c r="U587">
        <v>1.10235831809872</v>
      </c>
      <c r="V587">
        <v>5.2531798382078403</v>
      </c>
      <c r="W587">
        <v>6.37699048194591</v>
      </c>
      <c r="X587">
        <v>0.984645710619934</v>
      </c>
    </row>
    <row r="588" spans="1:24">
      <c r="A588">
        <v>557</v>
      </c>
      <c r="B588" t="s">
        <v>1598</v>
      </c>
      <c r="C588">
        <v>2</v>
      </c>
      <c r="D588" t="s">
        <v>1599</v>
      </c>
      <c r="E588">
        <v>22</v>
      </c>
      <c r="F588">
        <v>20</v>
      </c>
      <c r="G588">
        <v>20</v>
      </c>
      <c r="H588" t="s">
        <v>1600</v>
      </c>
      <c r="I588">
        <v>41.8</v>
      </c>
      <c r="J588">
        <v>501.31</v>
      </c>
      <c r="K588" t="str">
        <f>"LPA;LPAL2"</f>
        <v>LPA;LPAL2</v>
      </c>
      <c r="L588" t="str">
        <f>"LPA;LPAL2"</f>
        <v>LPA;LPAL2</v>
      </c>
      <c r="M588">
        <v>25.4181747795541</v>
      </c>
      <c r="N588">
        <v>0.89450172185430499</v>
      </c>
      <c r="O588">
        <v>1.8238867883763601</v>
      </c>
      <c r="P588">
        <v>2.1304378548895899</v>
      </c>
      <c r="Q588">
        <v>3.7672859799181899</v>
      </c>
      <c r="R588">
        <v>9.0008103209297392</v>
      </c>
      <c r="S588">
        <v>3.3994067114094002</v>
      </c>
      <c r="T588">
        <v>4.7379598709134303</v>
      </c>
      <c r="U588">
        <v>1.10235831809872</v>
      </c>
      <c r="V588">
        <v>17.860811449906699</v>
      </c>
      <c r="W588">
        <v>1.27539809638918</v>
      </c>
      <c r="X588">
        <v>1.96929142123987</v>
      </c>
    </row>
    <row r="589" spans="1:24">
      <c r="A589">
        <v>645</v>
      </c>
      <c r="B589" t="s">
        <v>1601</v>
      </c>
      <c r="C589">
        <v>11</v>
      </c>
      <c r="D589" t="s">
        <v>1602</v>
      </c>
      <c r="E589">
        <v>14</v>
      </c>
      <c r="F589">
        <v>14</v>
      </c>
      <c r="G589">
        <v>14</v>
      </c>
      <c r="H589" t="s">
        <v>1603</v>
      </c>
      <c r="I589">
        <v>30.5</v>
      </c>
      <c r="J589">
        <v>61.18</v>
      </c>
      <c r="K589" t="str">
        <f>"PABPC1;PABPC3;PABPC1L;PABPC4;PABPC1L2A;PABPC5"</f>
        <v>PABPC1;PABPC3;PABPC1L;PABPC4;PABPC1L2A;PABPC5</v>
      </c>
      <c r="L589" t="str">
        <f>"PABPC1;PABPC3;PABPC1L;PABPC4;PABPC1L2A;PABPC5"</f>
        <v>PABPC1;PABPC3;PABPC1L;PABPC4;PABPC1L2A;PABPC5</v>
      </c>
      <c r="M589">
        <v>3.6311678256505799</v>
      </c>
      <c r="N589">
        <v>4.4725086092715198</v>
      </c>
      <c r="O589">
        <v>3.64777357675273</v>
      </c>
      <c r="P589">
        <v>4.2608757097791798</v>
      </c>
      <c r="Q589">
        <v>3.7672859799181899</v>
      </c>
      <c r="R589">
        <v>3.6003241283718901</v>
      </c>
      <c r="S589">
        <v>4.5325422818791896</v>
      </c>
      <c r="T589">
        <v>3.5534699031850701</v>
      </c>
      <c r="U589">
        <v>3.3070749542961599</v>
      </c>
      <c r="V589">
        <v>3.1519079029246999</v>
      </c>
      <c r="W589">
        <v>3.82619428916755</v>
      </c>
      <c r="X589">
        <v>1.96929142123987</v>
      </c>
    </row>
    <row r="590" spans="1:24">
      <c r="A590">
        <v>1112</v>
      </c>
      <c r="B590" t="s">
        <v>1604</v>
      </c>
      <c r="C590">
        <v>1</v>
      </c>
      <c r="D590" t="s">
        <v>1605</v>
      </c>
      <c r="E590">
        <v>11</v>
      </c>
      <c r="F590">
        <v>11</v>
      </c>
      <c r="G590">
        <v>11</v>
      </c>
      <c r="H590" t="s">
        <v>1604</v>
      </c>
      <c r="I590">
        <v>46.5</v>
      </c>
      <c r="J590">
        <v>28.994</v>
      </c>
      <c r="K590" t="str">
        <f>"EMD"</f>
        <v>EMD</v>
      </c>
      <c r="L590" t="str">
        <f>"EMD"</f>
        <v>EMD</v>
      </c>
      <c r="M590">
        <v>0</v>
      </c>
      <c r="N590">
        <v>6.2615120529801302</v>
      </c>
      <c r="O590">
        <v>5.4716603651290896</v>
      </c>
      <c r="P590">
        <v>3.19565678233438</v>
      </c>
      <c r="Q590">
        <v>2.51152398661212</v>
      </c>
      <c r="R590">
        <v>5.4004861925578398</v>
      </c>
      <c r="S590">
        <v>7.9319489932885903</v>
      </c>
      <c r="T590">
        <v>2.3689799354567098</v>
      </c>
      <c r="U590">
        <v>2.20471663619744</v>
      </c>
      <c r="V590">
        <v>1.05063596764157</v>
      </c>
      <c r="W590">
        <v>3.82619428916755</v>
      </c>
      <c r="X590">
        <v>5.9078742637195996</v>
      </c>
    </row>
    <row r="591" spans="1:24">
      <c r="A591">
        <v>1228</v>
      </c>
      <c r="B591" t="s">
        <v>1606</v>
      </c>
      <c r="C591">
        <v>4</v>
      </c>
      <c r="D591" t="s">
        <v>1607</v>
      </c>
      <c r="E591">
        <v>11</v>
      </c>
      <c r="F591">
        <v>11</v>
      </c>
      <c r="G591">
        <v>11</v>
      </c>
      <c r="H591" t="s">
        <v>1608</v>
      </c>
      <c r="I591">
        <v>58.5</v>
      </c>
      <c r="J591">
        <v>23.545000000000002</v>
      </c>
      <c r="K591" t="str">
        <f>"RAB2A;RAB2B"</f>
        <v>RAB2A;RAB2B</v>
      </c>
      <c r="L591" t="str">
        <f>"RAB2A;RAB2B"</f>
        <v>RAB2A;RAB2B</v>
      </c>
      <c r="M591">
        <v>3.6311678256505799</v>
      </c>
      <c r="N591">
        <v>4.4725086092715198</v>
      </c>
      <c r="O591">
        <v>4.5597169709409098</v>
      </c>
      <c r="P591">
        <v>2.1304378548895899</v>
      </c>
      <c r="Q591">
        <v>3.7672859799181899</v>
      </c>
      <c r="R591">
        <v>5.4004861925578398</v>
      </c>
      <c r="S591">
        <v>0</v>
      </c>
      <c r="T591">
        <v>3.5534699031850701</v>
      </c>
      <c r="U591">
        <v>6.6141499085923199</v>
      </c>
      <c r="V591">
        <v>5.2531798382078403</v>
      </c>
      <c r="W591">
        <v>5.1015923855567298</v>
      </c>
      <c r="X591">
        <v>4.92322855309967</v>
      </c>
    </row>
    <row r="592" spans="1:24">
      <c r="A592">
        <v>1912</v>
      </c>
      <c r="B592" t="s">
        <v>1609</v>
      </c>
      <c r="C592">
        <v>1</v>
      </c>
      <c r="D592" t="s">
        <v>1610</v>
      </c>
      <c r="E592">
        <v>6</v>
      </c>
      <c r="F592">
        <v>6</v>
      </c>
      <c r="G592">
        <v>2</v>
      </c>
      <c r="H592" t="s">
        <v>1609</v>
      </c>
      <c r="I592">
        <v>44.1</v>
      </c>
      <c r="J592">
        <v>21.416</v>
      </c>
      <c r="K592" t="str">
        <f>"ARL8A"</f>
        <v>ARL8A</v>
      </c>
      <c r="L592" t="str">
        <f>"ARL8A"</f>
        <v>ARL8A</v>
      </c>
      <c r="M592">
        <v>3.6311678256505799</v>
      </c>
      <c r="N592">
        <v>4.4725086092715198</v>
      </c>
      <c r="O592">
        <v>3.64777357675273</v>
      </c>
      <c r="P592">
        <v>1.0652189274447901</v>
      </c>
      <c r="Q592">
        <v>1.25576199330606</v>
      </c>
      <c r="R592">
        <v>5.4004861925578398</v>
      </c>
      <c r="S592">
        <v>3.3994067114094002</v>
      </c>
      <c r="T592">
        <v>3.5534699031850701</v>
      </c>
      <c r="U592">
        <v>1.10235831809872</v>
      </c>
      <c r="V592">
        <v>3.1519079029246999</v>
      </c>
      <c r="W592">
        <v>2.5507961927783702</v>
      </c>
      <c r="X592">
        <v>2.9539371318597998</v>
      </c>
    </row>
    <row r="593" spans="1:24">
      <c r="A593">
        <v>1191</v>
      </c>
      <c r="B593" t="s">
        <v>1611</v>
      </c>
      <c r="C593">
        <v>2</v>
      </c>
      <c r="D593" t="s">
        <v>1612</v>
      </c>
      <c r="E593">
        <v>17</v>
      </c>
      <c r="F593">
        <v>17</v>
      </c>
      <c r="G593">
        <v>17</v>
      </c>
      <c r="H593" t="s">
        <v>1613</v>
      </c>
      <c r="I593">
        <v>20.3</v>
      </c>
      <c r="J593">
        <v>128.15</v>
      </c>
      <c r="K593" t="str">
        <f>"NCKAP1L"</f>
        <v>NCKAP1L</v>
      </c>
      <c r="L593" t="str">
        <f>"NCKAP1L"</f>
        <v>NCKAP1L</v>
      </c>
      <c r="M593">
        <v>1.2103892752168599</v>
      </c>
      <c r="N593">
        <v>2.6835051655629099</v>
      </c>
      <c r="O593">
        <v>4.5597169709409098</v>
      </c>
      <c r="P593">
        <v>3.19565678233438</v>
      </c>
      <c r="Q593">
        <v>2.51152398661212</v>
      </c>
      <c r="R593">
        <v>3.6003241283718901</v>
      </c>
      <c r="S593">
        <v>2.2662711409396001</v>
      </c>
      <c r="T593">
        <v>2.3689799354567098</v>
      </c>
      <c r="U593">
        <v>6.6141499085923199</v>
      </c>
      <c r="V593">
        <v>1.05063596764157</v>
      </c>
      <c r="W593">
        <v>5.1015923855567298</v>
      </c>
      <c r="X593">
        <v>2.9539371318597998</v>
      </c>
    </row>
    <row r="594" spans="1:24">
      <c r="A594">
        <v>302</v>
      </c>
      <c r="B594" t="s">
        <v>1614</v>
      </c>
      <c r="C594">
        <v>1</v>
      </c>
      <c r="D594" t="s">
        <v>1615</v>
      </c>
      <c r="E594">
        <v>10</v>
      </c>
      <c r="F594">
        <v>10</v>
      </c>
      <c r="G594">
        <v>9</v>
      </c>
      <c r="H594" t="s">
        <v>1614</v>
      </c>
      <c r="I594">
        <v>54.6</v>
      </c>
      <c r="J594">
        <v>24.579000000000001</v>
      </c>
      <c r="K594" t="str">
        <f>"HPRT1"</f>
        <v>HPRT1</v>
      </c>
      <c r="L594" t="str">
        <f>"HPRT1"</f>
        <v>HPRT1</v>
      </c>
      <c r="M594">
        <v>4.8415571008674503</v>
      </c>
      <c r="N594">
        <v>3.57800688741722</v>
      </c>
      <c r="O594">
        <v>4.5597169709409098</v>
      </c>
      <c r="P594">
        <v>6.3913135646687698</v>
      </c>
      <c r="Q594">
        <v>3.7672859799181899</v>
      </c>
      <c r="R594">
        <v>1.8001620641859499</v>
      </c>
      <c r="S594">
        <v>3.3994067114094002</v>
      </c>
      <c r="T594">
        <v>3.5534699031850701</v>
      </c>
      <c r="U594">
        <v>2.20471663619744</v>
      </c>
      <c r="V594">
        <v>2.1012719352831399</v>
      </c>
      <c r="W594">
        <v>6.37699048194591</v>
      </c>
      <c r="X594">
        <v>4.92322855309967</v>
      </c>
    </row>
    <row r="595" spans="1:24">
      <c r="A595">
        <v>1380</v>
      </c>
      <c r="B595" t="s">
        <v>1616</v>
      </c>
      <c r="C595">
        <v>3</v>
      </c>
      <c r="D595" t="s">
        <v>1617</v>
      </c>
      <c r="E595">
        <v>11</v>
      </c>
      <c r="F595">
        <v>11</v>
      </c>
      <c r="G595">
        <v>11</v>
      </c>
      <c r="H595" t="s">
        <v>1618</v>
      </c>
      <c r="I595">
        <v>45.1</v>
      </c>
      <c r="J595">
        <v>26.87</v>
      </c>
      <c r="K595" t="str">
        <f>"PSME1"</f>
        <v>PSME1</v>
      </c>
      <c r="L595" t="str">
        <f>"PSME1"</f>
        <v>PSME1</v>
      </c>
      <c r="M595">
        <v>3.6311678256505799</v>
      </c>
      <c r="N595">
        <v>4.4725086092715198</v>
      </c>
      <c r="O595">
        <v>3.64777357675273</v>
      </c>
      <c r="P595">
        <v>3.19565678233438</v>
      </c>
      <c r="Q595">
        <v>3.7672859799181899</v>
      </c>
      <c r="R595">
        <v>3.6003241283718901</v>
      </c>
      <c r="S595">
        <v>4.5325422818791896</v>
      </c>
      <c r="T595">
        <v>2.3689799354567098</v>
      </c>
      <c r="U595">
        <v>5.5117915904936003</v>
      </c>
      <c r="V595">
        <v>2.1012719352831399</v>
      </c>
      <c r="W595">
        <v>2.5507961927783702</v>
      </c>
      <c r="X595">
        <v>3.9385828424797298</v>
      </c>
    </row>
    <row r="596" spans="1:24">
      <c r="A596">
        <v>1503</v>
      </c>
      <c r="B596" t="s">
        <v>1619</v>
      </c>
      <c r="C596">
        <v>2</v>
      </c>
      <c r="D596" t="s">
        <v>1620</v>
      </c>
      <c r="E596">
        <v>12</v>
      </c>
      <c r="F596">
        <v>12</v>
      </c>
      <c r="G596">
        <v>12</v>
      </c>
      <c r="H596" t="s">
        <v>1621</v>
      </c>
      <c r="I596">
        <v>26.4</v>
      </c>
      <c r="J596">
        <v>59.863999999999997</v>
      </c>
      <c r="K596" t="str">
        <f>"HABP2"</f>
        <v>HABP2</v>
      </c>
      <c r="L596" t="str">
        <f>"HABP2"</f>
        <v>HABP2</v>
      </c>
      <c r="M596">
        <v>3.6311678256505799</v>
      </c>
      <c r="N596">
        <v>4.4725086092715198</v>
      </c>
      <c r="O596">
        <v>3.64777357675273</v>
      </c>
      <c r="P596">
        <v>2.1304378548895899</v>
      </c>
      <c r="Q596">
        <v>5.0230479732242497</v>
      </c>
      <c r="R596">
        <v>0.90008103209297396</v>
      </c>
      <c r="S596">
        <v>5.6656778523489901</v>
      </c>
      <c r="T596">
        <v>4.7379598709134303</v>
      </c>
      <c r="U596">
        <v>2.20471663619744</v>
      </c>
      <c r="V596">
        <v>2.1012719352831399</v>
      </c>
      <c r="W596">
        <v>6.37699048194591</v>
      </c>
      <c r="X596">
        <v>3.9385828424797298</v>
      </c>
    </row>
    <row r="597" spans="1:24">
      <c r="A597">
        <v>1711</v>
      </c>
      <c r="B597" t="s">
        <v>1622</v>
      </c>
      <c r="C597">
        <v>2</v>
      </c>
      <c r="D597" t="s">
        <v>1623</v>
      </c>
      <c r="E597">
        <v>37</v>
      </c>
      <c r="F597">
        <v>3</v>
      </c>
      <c r="G597">
        <v>0</v>
      </c>
      <c r="H597" t="s">
        <v>1624</v>
      </c>
      <c r="I597">
        <v>73.599999999999994</v>
      </c>
      <c r="J597">
        <v>50.134999999999998</v>
      </c>
      <c r="K597" t="str">
        <f>"TUBA1A"</f>
        <v>TUBA1A</v>
      </c>
      <c r="L597" t="str">
        <f>"TUBA1A"</f>
        <v>TUBA1A</v>
      </c>
      <c r="M597">
        <v>6.0519463760843104</v>
      </c>
      <c r="N597">
        <v>4.4725086092715198</v>
      </c>
      <c r="O597">
        <v>3.64777357675273</v>
      </c>
      <c r="P597">
        <v>2.1304378548895899</v>
      </c>
      <c r="Q597">
        <v>2.51152398661212</v>
      </c>
      <c r="R597">
        <v>2.7002430962789199</v>
      </c>
      <c r="S597">
        <v>4.5325422818791896</v>
      </c>
      <c r="T597">
        <v>3.5534699031850701</v>
      </c>
      <c r="U597">
        <v>1.10235831809872</v>
      </c>
      <c r="V597">
        <v>5.2531798382078403</v>
      </c>
      <c r="W597">
        <v>2.5507961927783702</v>
      </c>
      <c r="X597">
        <v>3.9385828424797298</v>
      </c>
    </row>
    <row r="598" spans="1:24">
      <c r="A598">
        <v>1729</v>
      </c>
      <c r="B598" t="s">
        <v>1625</v>
      </c>
      <c r="C598">
        <v>6</v>
      </c>
      <c r="D598" t="s">
        <v>1626</v>
      </c>
      <c r="E598">
        <v>12</v>
      </c>
      <c r="F598">
        <v>12</v>
      </c>
      <c r="G598">
        <v>12</v>
      </c>
      <c r="H598" t="s">
        <v>1627</v>
      </c>
      <c r="I598">
        <v>38.1</v>
      </c>
      <c r="J598">
        <v>56.527000000000001</v>
      </c>
      <c r="K598" t="str">
        <f>"MAVS"</f>
        <v>MAVS</v>
      </c>
      <c r="L598" t="str">
        <f>"MAVS"</f>
        <v>MAVS</v>
      </c>
      <c r="M598">
        <v>2.4207785504337198</v>
      </c>
      <c r="N598">
        <v>5.3670103311258304</v>
      </c>
      <c r="O598">
        <v>4.5597169709409098</v>
      </c>
      <c r="P598">
        <v>4.2608757097791798</v>
      </c>
      <c r="Q598">
        <v>1.25576199330606</v>
      </c>
      <c r="R598">
        <v>2.7002430962789199</v>
      </c>
      <c r="S598">
        <v>2.2662711409396001</v>
      </c>
      <c r="T598">
        <v>3.5534699031850701</v>
      </c>
      <c r="U598">
        <v>4.4094332723948799</v>
      </c>
      <c r="V598">
        <v>4.2025438705662701</v>
      </c>
      <c r="W598">
        <v>5.1015923855567298</v>
      </c>
      <c r="X598">
        <v>2.9539371318597998</v>
      </c>
    </row>
    <row r="599" spans="1:24">
      <c r="A599">
        <v>2352</v>
      </c>
      <c r="B599" t="s">
        <v>1628</v>
      </c>
      <c r="C599">
        <v>5</v>
      </c>
      <c r="D599" t="s">
        <v>1629</v>
      </c>
      <c r="E599">
        <v>27</v>
      </c>
      <c r="F599">
        <v>27</v>
      </c>
      <c r="G599">
        <v>27</v>
      </c>
      <c r="H599" t="s">
        <v>1630</v>
      </c>
      <c r="I599">
        <v>27.1</v>
      </c>
      <c r="J599">
        <v>122.3</v>
      </c>
      <c r="K599" t="str">
        <f>"DAAM1;DAAM2"</f>
        <v>DAAM1;DAAM2</v>
      </c>
      <c r="L599" t="str">
        <f>"DAAM1;DAAM2"</f>
        <v>DAAM1;DAAM2</v>
      </c>
      <c r="M599">
        <v>1.2103892752168599</v>
      </c>
      <c r="N599">
        <v>8.0505154966887407</v>
      </c>
      <c r="O599">
        <v>3.64777357675273</v>
      </c>
      <c r="P599">
        <v>3.19565678233438</v>
      </c>
      <c r="Q599">
        <v>2.51152398661212</v>
      </c>
      <c r="R599">
        <v>5.4004861925578398</v>
      </c>
      <c r="S599">
        <v>1.1331355704698001</v>
      </c>
      <c r="T599">
        <v>1.18448996772836</v>
      </c>
      <c r="U599">
        <v>4.4094332723948799</v>
      </c>
      <c r="V599">
        <v>2.1012719352831399</v>
      </c>
      <c r="W599">
        <v>5.1015923855567298</v>
      </c>
      <c r="X599">
        <v>8.8618113955793998</v>
      </c>
    </row>
    <row r="600" spans="1:24">
      <c r="A600">
        <v>2383</v>
      </c>
      <c r="B600" t="s">
        <v>1631</v>
      </c>
      <c r="C600">
        <v>9</v>
      </c>
      <c r="D600" t="s">
        <v>1632</v>
      </c>
      <c r="E600">
        <v>22</v>
      </c>
      <c r="F600">
        <v>22</v>
      </c>
      <c r="G600">
        <v>22</v>
      </c>
      <c r="H600" t="s">
        <v>1633</v>
      </c>
      <c r="I600">
        <v>34</v>
      </c>
      <c r="J600">
        <v>88.025000000000006</v>
      </c>
      <c r="K600" t="str">
        <f>"MRVI1"</f>
        <v>MRVI1</v>
      </c>
      <c r="L600" t="str">
        <f>"MRVI1"</f>
        <v>MRVI1</v>
      </c>
      <c r="M600">
        <v>4.8415571008674503</v>
      </c>
      <c r="N600">
        <v>3.57800688741722</v>
      </c>
      <c r="O600">
        <v>4.5597169709409098</v>
      </c>
      <c r="P600">
        <v>0</v>
      </c>
      <c r="Q600">
        <v>2.51152398661212</v>
      </c>
      <c r="R600">
        <v>6.3005672246508198</v>
      </c>
      <c r="S600">
        <v>5.6656778523489901</v>
      </c>
      <c r="T600">
        <v>3.5534699031850701</v>
      </c>
      <c r="U600">
        <v>2.20471663619744</v>
      </c>
      <c r="V600">
        <v>4.2025438705662701</v>
      </c>
      <c r="W600">
        <v>1.27539809638918</v>
      </c>
      <c r="X600">
        <v>3.9385828424797298</v>
      </c>
    </row>
    <row r="601" spans="1:24">
      <c r="A601">
        <v>93</v>
      </c>
      <c r="B601" t="s">
        <v>1634</v>
      </c>
      <c r="C601">
        <v>2</v>
      </c>
      <c r="D601" t="s">
        <v>1635</v>
      </c>
      <c r="E601">
        <v>6</v>
      </c>
      <c r="F601">
        <v>6</v>
      </c>
      <c r="G601">
        <v>6</v>
      </c>
      <c r="H601" t="s">
        <v>1636</v>
      </c>
      <c r="I601">
        <v>24.1</v>
      </c>
      <c r="J601">
        <v>34.463000000000001</v>
      </c>
      <c r="K601" t="str">
        <f>"TPP1"</f>
        <v>TPP1</v>
      </c>
      <c r="L601" t="str">
        <f>"TPP1"</f>
        <v>TPP1</v>
      </c>
      <c r="M601">
        <v>2.4207785504337198</v>
      </c>
      <c r="N601">
        <v>4.4725086092715198</v>
      </c>
      <c r="O601">
        <v>2.7358301825645501</v>
      </c>
      <c r="P601">
        <v>1.0652189274447901</v>
      </c>
      <c r="Q601">
        <v>3.7672859799181899</v>
      </c>
      <c r="R601">
        <v>5.4004861925578398</v>
      </c>
      <c r="S601">
        <v>6.7988134228187898</v>
      </c>
      <c r="T601">
        <v>2.3689799354567098</v>
      </c>
      <c r="U601">
        <v>5.5117915904936003</v>
      </c>
      <c r="V601">
        <v>2.1012719352831399</v>
      </c>
      <c r="W601">
        <v>7.6523885783351</v>
      </c>
      <c r="X601">
        <v>5.9078742637195996</v>
      </c>
    </row>
    <row r="602" spans="1:24">
      <c r="A602">
        <v>1254</v>
      </c>
      <c r="B602" t="s">
        <v>1637</v>
      </c>
      <c r="C602">
        <v>3</v>
      </c>
      <c r="D602" t="s">
        <v>1638</v>
      </c>
      <c r="E602">
        <v>14</v>
      </c>
      <c r="F602">
        <v>14</v>
      </c>
      <c r="G602">
        <v>14</v>
      </c>
      <c r="H602" t="s">
        <v>1639</v>
      </c>
      <c r="I602">
        <v>40.9</v>
      </c>
      <c r="J602">
        <v>48.561999999999998</v>
      </c>
      <c r="K602" t="str">
        <f>"HNRNPK"</f>
        <v>HNRNPK</v>
      </c>
      <c r="L602" t="str">
        <f>"HNRNPK"</f>
        <v>HNRNPK</v>
      </c>
      <c r="M602">
        <v>4.8415571008674503</v>
      </c>
      <c r="N602">
        <v>2.6835051655629099</v>
      </c>
      <c r="O602">
        <v>3.64777357675273</v>
      </c>
      <c r="P602">
        <v>4.2608757097791798</v>
      </c>
      <c r="Q602">
        <v>0</v>
      </c>
      <c r="R602">
        <v>9.0008103209297392</v>
      </c>
      <c r="S602">
        <v>3.3994067114094002</v>
      </c>
      <c r="T602">
        <v>0</v>
      </c>
      <c r="U602">
        <v>4.4094332723948799</v>
      </c>
      <c r="V602">
        <v>4.2025438705662701</v>
      </c>
      <c r="W602">
        <v>6.37699048194591</v>
      </c>
      <c r="X602">
        <v>3.9385828424797298</v>
      </c>
    </row>
    <row r="603" spans="1:24">
      <c r="A603">
        <v>1276</v>
      </c>
      <c r="B603" t="s">
        <v>1640</v>
      </c>
      <c r="C603">
        <v>4</v>
      </c>
      <c r="D603" t="s">
        <v>1641</v>
      </c>
      <c r="E603">
        <v>11</v>
      </c>
      <c r="F603">
        <v>5</v>
      </c>
      <c r="G603">
        <v>3</v>
      </c>
      <c r="H603" t="s">
        <v>1642</v>
      </c>
      <c r="I603">
        <v>31.8</v>
      </c>
      <c r="J603">
        <v>37.331000000000003</v>
      </c>
      <c r="K603" t="str">
        <f>"GNB2;GNB3"</f>
        <v>GNB2;GNB3</v>
      </c>
      <c r="L603" t="str">
        <f>"GNB2;GNB3"</f>
        <v>GNB2;GNB3</v>
      </c>
      <c r="M603">
        <v>3.6311678256505799</v>
      </c>
      <c r="N603">
        <v>6.2615120529801302</v>
      </c>
      <c r="O603">
        <v>5.4716603651290896</v>
      </c>
      <c r="P603">
        <v>2.1304378548895899</v>
      </c>
      <c r="Q603">
        <v>1.25576199330606</v>
      </c>
      <c r="R603">
        <v>2.7002430962789199</v>
      </c>
      <c r="S603">
        <v>4.5325422818791896</v>
      </c>
      <c r="T603">
        <v>3.5534699031850701</v>
      </c>
      <c r="U603">
        <v>3.3070749542961599</v>
      </c>
      <c r="V603">
        <v>4.2025438705662701</v>
      </c>
      <c r="W603">
        <v>1.27539809638918</v>
      </c>
      <c r="X603">
        <v>4.92322855309967</v>
      </c>
    </row>
    <row r="604" spans="1:24">
      <c r="A604">
        <v>1350</v>
      </c>
      <c r="B604" t="s">
        <v>1643</v>
      </c>
      <c r="C604">
        <v>2</v>
      </c>
      <c r="D604" t="s">
        <v>1644</v>
      </c>
      <c r="E604">
        <v>13</v>
      </c>
      <c r="F604">
        <v>13</v>
      </c>
      <c r="G604">
        <v>13</v>
      </c>
      <c r="H604" t="s">
        <v>1645</v>
      </c>
      <c r="I604">
        <v>20.9</v>
      </c>
      <c r="J604">
        <v>77.451999999999998</v>
      </c>
      <c r="K604" t="str">
        <f>"GUCY1A3"</f>
        <v>GUCY1A3</v>
      </c>
      <c r="L604" t="str">
        <f>"GUCY1A3"</f>
        <v>GUCY1A3</v>
      </c>
      <c r="M604">
        <v>2.4207785504337198</v>
      </c>
      <c r="N604">
        <v>6.2615120529801302</v>
      </c>
      <c r="O604">
        <v>5.4716603651290896</v>
      </c>
      <c r="P604">
        <v>4.2608757097791798</v>
      </c>
      <c r="Q604">
        <v>1.25576199330606</v>
      </c>
      <c r="R604">
        <v>3.6003241283718901</v>
      </c>
      <c r="S604">
        <v>2.2662711409396001</v>
      </c>
      <c r="T604">
        <v>2.3689799354567098</v>
      </c>
      <c r="U604">
        <v>3.3070749542961599</v>
      </c>
      <c r="V604">
        <v>4.2025438705662701</v>
      </c>
      <c r="W604">
        <v>5.1015923855567298</v>
      </c>
      <c r="X604">
        <v>2.9539371318597998</v>
      </c>
    </row>
    <row r="605" spans="1:24">
      <c r="A605">
        <v>337</v>
      </c>
      <c r="B605" t="s">
        <v>1646</v>
      </c>
      <c r="C605">
        <v>1</v>
      </c>
      <c r="D605" t="s">
        <v>1647</v>
      </c>
      <c r="E605">
        <v>3</v>
      </c>
      <c r="F605">
        <v>2</v>
      </c>
      <c r="G605">
        <v>1</v>
      </c>
      <c r="H605" t="s">
        <v>1646</v>
      </c>
      <c r="I605">
        <v>43.5</v>
      </c>
      <c r="J605">
        <v>11.788</v>
      </c>
      <c r="K605" t="s">
        <v>1648</v>
      </c>
      <c r="L605" t="s">
        <v>1648</v>
      </c>
      <c r="M605">
        <v>4.8415571008674503</v>
      </c>
      <c r="N605">
        <v>2.6835051655629099</v>
      </c>
      <c r="O605">
        <v>3.64777357675273</v>
      </c>
      <c r="P605">
        <v>7.4565324921135696</v>
      </c>
      <c r="Q605">
        <v>7.5345719598363701</v>
      </c>
      <c r="R605">
        <v>1.8001620641859499</v>
      </c>
      <c r="S605">
        <v>3.3994067114094002</v>
      </c>
      <c r="T605">
        <v>3.5534699031850701</v>
      </c>
      <c r="U605">
        <v>3.3070749542961599</v>
      </c>
      <c r="V605">
        <v>3.1519079029246999</v>
      </c>
      <c r="W605">
        <v>3.82619428916755</v>
      </c>
      <c r="X605">
        <v>5.9078742637195996</v>
      </c>
    </row>
    <row r="606" spans="1:24">
      <c r="A606">
        <v>712</v>
      </c>
      <c r="B606" t="s">
        <v>1649</v>
      </c>
      <c r="C606">
        <v>17</v>
      </c>
      <c r="D606" t="s">
        <v>1650</v>
      </c>
      <c r="E606">
        <v>28</v>
      </c>
      <c r="F606">
        <v>28</v>
      </c>
      <c r="G606">
        <v>28</v>
      </c>
      <c r="H606" t="s">
        <v>1651</v>
      </c>
      <c r="I606">
        <v>26.2</v>
      </c>
      <c r="J606">
        <v>166.48</v>
      </c>
      <c r="K606" t="str">
        <f>"ANK1"</f>
        <v>ANK1</v>
      </c>
      <c r="L606" t="str">
        <f>"ANK1"</f>
        <v>ANK1</v>
      </c>
      <c r="M606">
        <v>2.4207785504337198</v>
      </c>
      <c r="N606">
        <v>4.4725086092715198</v>
      </c>
      <c r="O606">
        <v>1.8238867883763601</v>
      </c>
      <c r="P606">
        <v>1.0652189274447901</v>
      </c>
      <c r="Q606">
        <v>2.51152398661212</v>
      </c>
      <c r="R606">
        <v>6.3005672246508198</v>
      </c>
      <c r="S606">
        <v>1.1331355704698001</v>
      </c>
      <c r="T606">
        <v>0</v>
      </c>
      <c r="U606">
        <v>2.20471663619744</v>
      </c>
      <c r="V606">
        <v>2.1012719352831399</v>
      </c>
      <c r="W606">
        <v>2.5507961927783702</v>
      </c>
      <c r="X606">
        <v>1.96929142123987</v>
      </c>
    </row>
    <row r="607" spans="1:24">
      <c r="A607">
        <v>2145</v>
      </c>
      <c r="B607" t="s">
        <v>1652</v>
      </c>
      <c r="C607">
        <v>5</v>
      </c>
      <c r="D607" t="s">
        <v>1653</v>
      </c>
      <c r="E607">
        <v>17</v>
      </c>
      <c r="F607">
        <v>17</v>
      </c>
      <c r="G607">
        <v>17</v>
      </c>
      <c r="H607" t="s">
        <v>1654</v>
      </c>
      <c r="I607">
        <v>36.700000000000003</v>
      </c>
      <c r="J607">
        <v>67.225999999999999</v>
      </c>
      <c r="K607" t="str">
        <f>"XPNPEP1;MANBA"</f>
        <v>XPNPEP1;MANBA</v>
      </c>
      <c r="L607" t="str">
        <f>"XPNPEP1;MANBA"</f>
        <v>XPNPEP1;MANBA</v>
      </c>
      <c r="M607">
        <v>2.4207785504337198</v>
      </c>
      <c r="N607">
        <v>7.1560137748344399</v>
      </c>
      <c r="O607">
        <v>5.4716603651290896</v>
      </c>
      <c r="P607">
        <v>1.0652189274447901</v>
      </c>
      <c r="Q607">
        <v>3.7672859799181899</v>
      </c>
      <c r="R607">
        <v>3.6003241283718901</v>
      </c>
      <c r="S607">
        <v>1.1331355704698001</v>
      </c>
      <c r="T607">
        <v>4.7379598709134303</v>
      </c>
      <c r="U607">
        <v>3.3070749542961599</v>
      </c>
      <c r="V607">
        <v>4.2025438705662701</v>
      </c>
      <c r="W607">
        <v>2.5507961927783702</v>
      </c>
      <c r="X607">
        <v>3.9385828424797298</v>
      </c>
    </row>
    <row r="608" spans="1:24">
      <c r="A608">
        <v>1271</v>
      </c>
      <c r="B608" t="s">
        <v>1655</v>
      </c>
      <c r="C608">
        <v>1</v>
      </c>
      <c r="D608" t="s">
        <v>1656</v>
      </c>
      <c r="E608">
        <v>11</v>
      </c>
      <c r="F608">
        <v>11</v>
      </c>
      <c r="G608">
        <v>11</v>
      </c>
      <c r="H608" t="s">
        <v>1655</v>
      </c>
      <c r="I608">
        <v>54.4</v>
      </c>
      <c r="J608">
        <v>11.367000000000001</v>
      </c>
      <c r="K608" t="str">
        <f>"HIST1H4A"</f>
        <v>HIST1H4A</v>
      </c>
      <c r="L608" t="str">
        <f>"HIST1H4A"</f>
        <v>HIST1H4A</v>
      </c>
      <c r="M608">
        <v>0</v>
      </c>
      <c r="N608">
        <v>0.89450172185430499</v>
      </c>
      <c r="O608">
        <v>0.91194339418818204</v>
      </c>
      <c r="P608">
        <v>0</v>
      </c>
      <c r="Q608">
        <v>1.25576199330606</v>
      </c>
      <c r="R608">
        <v>18.0016206418595</v>
      </c>
      <c r="S608">
        <v>4.5325422818791896</v>
      </c>
      <c r="T608">
        <v>1.18448996772836</v>
      </c>
      <c r="U608">
        <v>7.7165082266910403</v>
      </c>
      <c r="V608">
        <v>2.1012719352831399</v>
      </c>
      <c r="W608">
        <v>0</v>
      </c>
      <c r="X608">
        <v>0</v>
      </c>
    </row>
    <row r="609" spans="1:24">
      <c r="A609">
        <v>1535</v>
      </c>
      <c r="B609" t="s">
        <v>1657</v>
      </c>
      <c r="C609">
        <v>3</v>
      </c>
      <c r="D609" t="s">
        <v>1658</v>
      </c>
      <c r="E609">
        <v>16</v>
      </c>
      <c r="F609">
        <v>16</v>
      </c>
      <c r="G609">
        <v>16</v>
      </c>
      <c r="H609" t="s">
        <v>1659</v>
      </c>
      <c r="I609">
        <v>33.200000000000003</v>
      </c>
      <c r="J609">
        <v>74.667000000000002</v>
      </c>
      <c r="K609" t="str">
        <f>"ACOX1"</f>
        <v>ACOX1</v>
      </c>
      <c r="L609" t="str">
        <f>"ACOX1"</f>
        <v>ACOX1</v>
      </c>
      <c r="M609">
        <v>3.6311678256505799</v>
      </c>
      <c r="N609">
        <v>3.57800688741722</v>
      </c>
      <c r="O609">
        <v>4.5597169709409098</v>
      </c>
      <c r="P609">
        <v>4.2608757097791798</v>
      </c>
      <c r="Q609">
        <v>2.51152398661212</v>
      </c>
      <c r="R609">
        <v>5.4004861925578398</v>
      </c>
      <c r="S609">
        <v>5.6656778523489901</v>
      </c>
      <c r="T609">
        <v>3.5534699031850701</v>
      </c>
      <c r="U609">
        <v>6.6141499085923199</v>
      </c>
      <c r="V609">
        <v>2.1012719352831399</v>
      </c>
      <c r="W609">
        <v>3.82619428916755</v>
      </c>
      <c r="X609">
        <v>5.9078742637195996</v>
      </c>
    </row>
    <row r="610" spans="1:24">
      <c r="A610">
        <v>1615</v>
      </c>
      <c r="B610" t="s">
        <v>1660</v>
      </c>
      <c r="C610">
        <v>2</v>
      </c>
      <c r="D610" t="s">
        <v>1661</v>
      </c>
      <c r="E610">
        <v>10</v>
      </c>
      <c r="F610">
        <v>10</v>
      </c>
      <c r="G610">
        <v>10</v>
      </c>
      <c r="H610" t="s">
        <v>1662</v>
      </c>
      <c r="I610">
        <v>21.4</v>
      </c>
      <c r="J610">
        <v>58.945999999999998</v>
      </c>
      <c r="K610" t="str">
        <f>"DAK"</f>
        <v>DAK</v>
      </c>
      <c r="L610" t="str">
        <f>"TKFC"</f>
        <v>TKFC</v>
      </c>
      <c r="M610">
        <v>4.8415571008674503</v>
      </c>
      <c r="N610">
        <v>0.89450172185430499</v>
      </c>
      <c r="O610">
        <v>2.7358301825645501</v>
      </c>
      <c r="P610">
        <v>4.2608757097791798</v>
      </c>
      <c r="Q610">
        <v>5.0230479732242497</v>
      </c>
      <c r="R610">
        <v>4.5004051604648696</v>
      </c>
      <c r="S610">
        <v>3.3994067114094002</v>
      </c>
      <c r="T610">
        <v>3.5534699031850701</v>
      </c>
      <c r="U610">
        <v>4.4094332723948799</v>
      </c>
      <c r="V610">
        <v>3.1519079029246999</v>
      </c>
      <c r="W610">
        <v>5.1015923855567298</v>
      </c>
      <c r="X610">
        <v>5.9078742637195996</v>
      </c>
    </row>
    <row r="611" spans="1:24">
      <c r="A611">
        <v>2231</v>
      </c>
      <c r="B611" t="s">
        <v>1663</v>
      </c>
      <c r="C611">
        <v>2</v>
      </c>
      <c r="D611" t="s">
        <v>1664</v>
      </c>
      <c r="E611">
        <v>10</v>
      </c>
      <c r="F611">
        <v>10</v>
      </c>
      <c r="G611">
        <v>10</v>
      </c>
      <c r="H611" t="s">
        <v>1665</v>
      </c>
      <c r="I611">
        <v>49.4</v>
      </c>
      <c r="J611">
        <v>35.667999999999999</v>
      </c>
      <c r="K611" t="str">
        <f>"GRHPR"</f>
        <v>GRHPR</v>
      </c>
      <c r="L611" t="str">
        <f>"GRHPR"</f>
        <v>GRHPR</v>
      </c>
      <c r="M611">
        <v>1.2103892752168599</v>
      </c>
      <c r="N611">
        <v>3.57800688741722</v>
      </c>
      <c r="O611">
        <v>4.5597169709409098</v>
      </c>
      <c r="P611">
        <v>2.1304378548895899</v>
      </c>
      <c r="Q611">
        <v>2.51152398661212</v>
      </c>
      <c r="R611">
        <v>2.7002430962789199</v>
      </c>
      <c r="S611">
        <v>3.3994067114094002</v>
      </c>
      <c r="T611">
        <v>3.5534699031850701</v>
      </c>
      <c r="U611">
        <v>4.4094332723948799</v>
      </c>
      <c r="V611">
        <v>3.1519079029246999</v>
      </c>
      <c r="W611">
        <v>7.6523885783351</v>
      </c>
      <c r="X611">
        <v>5.9078742637195996</v>
      </c>
    </row>
    <row r="612" spans="1:24">
      <c r="A612">
        <v>1110</v>
      </c>
      <c r="B612" t="s">
        <v>1666</v>
      </c>
      <c r="C612">
        <v>3</v>
      </c>
      <c r="D612" t="s">
        <v>1667</v>
      </c>
      <c r="E612">
        <v>17</v>
      </c>
      <c r="F612">
        <v>7</v>
      </c>
      <c r="G612">
        <v>7</v>
      </c>
      <c r="H612" t="s">
        <v>1668</v>
      </c>
      <c r="I612">
        <v>57.3</v>
      </c>
      <c r="J612">
        <v>34.164999999999999</v>
      </c>
      <c r="K612" t="str">
        <f>"SULT1A1;SULT1A2"</f>
        <v>SULT1A1;SULT1A2</v>
      </c>
      <c r="L612" t="str">
        <f>"SULT1A1;SULT1A2"</f>
        <v>SULT1A1;SULT1A2</v>
      </c>
      <c r="M612">
        <v>1.2103892752168599</v>
      </c>
      <c r="N612">
        <v>4.4725086092715198</v>
      </c>
      <c r="O612">
        <v>1.8238867883763601</v>
      </c>
      <c r="P612">
        <v>1.0652189274447901</v>
      </c>
      <c r="Q612">
        <v>2.51152398661212</v>
      </c>
      <c r="R612">
        <v>3.6003241283718901</v>
      </c>
      <c r="S612">
        <v>4.5325422818791896</v>
      </c>
      <c r="T612">
        <v>3.5534699031850701</v>
      </c>
      <c r="U612">
        <v>2.20471663619744</v>
      </c>
      <c r="V612">
        <v>3.1519079029246999</v>
      </c>
      <c r="W612">
        <v>2.5507961927783702</v>
      </c>
      <c r="X612">
        <v>3.9385828424797298</v>
      </c>
    </row>
    <row r="613" spans="1:24">
      <c r="A613">
        <v>1432</v>
      </c>
      <c r="B613" t="s">
        <v>1669</v>
      </c>
      <c r="C613">
        <v>7</v>
      </c>
      <c r="D613" t="s">
        <v>1670</v>
      </c>
      <c r="E613">
        <v>12</v>
      </c>
      <c r="F613">
        <v>12</v>
      </c>
      <c r="G613">
        <v>12</v>
      </c>
      <c r="H613" t="s">
        <v>1671</v>
      </c>
      <c r="I613">
        <v>38</v>
      </c>
      <c r="J613">
        <v>58.042000000000002</v>
      </c>
      <c r="K613" t="str">
        <f>"PAK2;PAK3;PAK1"</f>
        <v>PAK2;PAK3;PAK1</v>
      </c>
      <c r="L613" t="str">
        <f>"PAK2;PAK3;PAK1"</f>
        <v>PAK2;PAK3;PAK1</v>
      </c>
      <c r="M613">
        <v>1.2103892752168599</v>
      </c>
      <c r="N613">
        <v>4.4725086092715198</v>
      </c>
      <c r="O613">
        <v>5.4716603651290896</v>
      </c>
      <c r="P613">
        <v>3.19565678233438</v>
      </c>
      <c r="Q613">
        <v>3.7672859799181899</v>
      </c>
      <c r="R613">
        <v>5.4004861925578398</v>
      </c>
      <c r="S613">
        <v>2.2662711409396001</v>
      </c>
      <c r="T613">
        <v>3.5534699031850701</v>
      </c>
      <c r="U613">
        <v>4.4094332723948799</v>
      </c>
      <c r="V613">
        <v>4.2025438705662701</v>
      </c>
      <c r="W613">
        <v>5.1015923855567298</v>
      </c>
      <c r="X613">
        <v>2.9539371318597998</v>
      </c>
    </row>
    <row r="614" spans="1:24">
      <c r="A614">
        <v>1696</v>
      </c>
      <c r="B614" t="s">
        <v>1672</v>
      </c>
      <c r="C614">
        <v>3</v>
      </c>
      <c r="D614" t="s">
        <v>1673</v>
      </c>
      <c r="E614">
        <v>12</v>
      </c>
      <c r="F614">
        <v>12</v>
      </c>
      <c r="G614">
        <v>12</v>
      </c>
      <c r="H614" t="s">
        <v>1674</v>
      </c>
      <c r="I614">
        <v>22.7</v>
      </c>
      <c r="J614">
        <v>57.578000000000003</v>
      </c>
      <c r="K614" t="str">
        <f>"NAPRT"</f>
        <v>NAPRT</v>
      </c>
      <c r="L614" t="str">
        <f>"NAPRT"</f>
        <v>NAPRT</v>
      </c>
      <c r="M614">
        <v>1.2103892752168599</v>
      </c>
      <c r="N614">
        <v>6.2615120529801302</v>
      </c>
      <c r="O614">
        <v>4.5597169709409098</v>
      </c>
      <c r="P614">
        <v>3.19565678233438</v>
      </c>
      <c r="Q614">
        <v>2.51152398661212</v>
      </c>
      <c r="R614">
        <v>2.7002430962789199</v>
      </c>
      <c r="S614">
        <v>2.2662711409396001</v>
      </c>
      <c r="T614">
        <v>2.3689799354567098</v>
      </c>
      <c r="U614">
        <v>1.10235831809872</v>
      </c>
      <c r="V614">
        <v>7.3544517734909798</v>
      </c>
      <c r="W614">
        <v>1.27539809638918</v>
      </c>
      <c r="X614">
        <v>3.9385828424797298</v>
      </c>
    </row>
    <row r="615" spans="1:24">
      <c r="A615">
        <v>1846</v>
      </c>
      <c r="B615" t="s">
        <v>1675</v>
      </c>
      <c r="C615">
        <v>3</v>
      </c>
      <c r="D615" t="s">
        <v>1676</v>
      </c>
      <c r="E615">
        <v>15</v>
      </c>
      <c r="F615">
        <v>15</v>
      </c>
      <c r="G615">
        <v>15</v>
      </c>
      <c r="H615" t="s">
        <v>1677</v>
      </c>
      <c r="I615">
        <v>32.1</v>
      </c>
      <c r="J615">
        <v>72.379000000000005</v>
      </c>
      <c r="K615" t="str">
        <f>"SCFD1"</f>
        <v>SCFD1</v>
      </c>
      <c r="L615" t="str">
        <f>"SCFD1"</f>
        <v>SCFD1</v>
      </c>
      <c r="M615">
        <v>2.4207785504337198</v>
      </c>
      <c r="N615">
        <v>0.89450172185430499</v>
      </c>
      <c r="O615">
        <v>2.7358301825645501</v>
      </c>
      <c r="P615">
        <v>3.19565678233438</v>
      </c>
      <c r="Q615">
        <v>1.25576199330606</v>
      </c>
      <c r="R615">
        <v>5.4004861925578398</v>
      </c>
      <c r="S615">
        <v>2.2662711409396001</v>
      </c>
      <c r="T615">
        <v>3.5534699031850701</v>
      </c>
      <c r="U615">
        <v>4.4094332723948799</v>
      </c>
      <c r="V615">
        <v>3.1519079029246999</v>
      </c>
      <c r="W615">
        <v>0</v>
      </c>
      <c r="X615">
        <v>3.9385828424797298</v>
      </c>
    </row>
    <row r="616" spans="1:24">
      <c r="A616">
        <v>621</v>
      </c>
      <c r="B616" t="s">
        <v>1678</v>
      </c>
      <c r="C616">
        <v>1</v>
      </c>
      <c r="D616" t="s">
        <v>1679</v>
      </c>
      <c r="E616">
        <v>9</v>
      </c>
      <c r="F616">
        <v>9</v>
      </c>
      <c r="G616">
        <v>9</v>
      </c>
      <c r="H616" t="s">
        <v>1678</v>
      </c>
      <c r="I616">
        <v>38.299999999999997</v>
      </c>
      <c r="J616">
        <v>31.462</v>
      </c>
      <c r="K616" t="str">
        <f>"ESD"</f>
        <v>ESD</v>
      </c>
      <c r="L616" t="str">
        <f>"ESD"</f>
        <v>ESD</v>
      </c>
      <c r="M616">
        <v>2.4207785504337198</v>
      </c>
      <c r="N616">
        <v>3.57800688741722</v>
      </c>
      <c r="O616">
        <v>5.4716603651290896</v>
      </c>
      <c r="P616">
        <v>5.3260946372239797</v>
      </c>
      <c r="Q616">
        <v>3.7672859799181899</v>
      </c>
      <c r="R616">
        <v>3.6003241283718901</v>
      </c>
      <c r="S616">
        <v>2.2662711409396001</v>
      </c>
      <c r="T616">
        <v>1.18448996772836</v>
      </c>
      <c r="U616">
        <v>2.20471663619744</v>
      </c>
      <c r="V616">
        <v>3.1519079029246999</v>
      </c>
      <c r="W616">
        <v>3.82619428916755</v>
      </c>
      <c r="X616">
        <v>4.92322855309967</v>
      </c>
    </row>
    <row r="617" spans="1:24">
      <c r="A617">
        <v>826</v>
      </c>
      <c r="B617" t="s">
        <v>1680</v>
      </c>
      <c r="C617">
        <v>2</v>
      </c>
      <c r="D617" t="s">
        <v>1681</v>
      </c>
      <c r="E617">
        <v>12</v>
      </c>
      <c r="F617">
        <v>12</v>
      </c>
      <c r="G617">
        <v>12</v>
      </c>
      <c r="H617" t="s">
        <v>1682</v>
      </c>
      <c r="I617">
        <v>50.2</v>
      </c>
      <c r="J617">
        <v>29.555</v>
      </c>
      <c r="K617" t="str">
        <f>"PSMA1"</f>
        <v>PSMA1</v>
      </c>
      <c r="L617" t="str">
        <f>"PSMA1"</f>
        <v>PSMA1</v>
      </c>
      <c r="M617">
        <v>3.6311678256505799</v>
      </c>
      <c r="N617">
        <v>4.4725086092715198</v>
      </c>
      <c r="O617">
        <v>4.5597169709409098</v>
      </c>
      <c r="P617">
        <v>1.0652189274447901</v>
      </c>
      <c r="Q617">
        <v>2.51152398661212</v>
      </c>
      <c r="R617">
        <v>3.6003241283718901</v>
      </c>
      <c r="S617">
        <v>2.2662711409396001</v>
      </c>
      <c r="T617">
        <v>5.9224498386417803</v>
      </c>
      <c r="U617">
        <v>5.5117915904936003</v>
      </c>
      <c r="V617">
        <v>3.1519079029246999</v>
      </c>
      <c r="W617">
        <v>3.82619428916755</v>
      </c>
      <c r="X617">
        <v>1.96929142123987</v>
      </c>
    </row>
    <row r="618" spans="1:24">
      <c r="A618">
        <v>1143</v>
      </c>
      <c r="B618" t="s">
        <v>1683</v>
      </c>
      <c r="C618">
        <v>2</v>
      </c>
      <c r="D618" t="s">
        <v>1684</v>
      </c>
      <c r="E618">
        <v>10</v>
      </c>
      <c r="F618">
        <v>10</v>
      </c>
      <c r="G618">
        <v>10</v>
      </c>
      <c r="H618" t="s">
        <v>1685</v>
      </c>
      <c r="I618">
        <v>33.4</v>
      </c>
      <c r="J618">
        <v>38.429000000000002</v>
      </c>
      <c r="K618" t="str">
        <f>"LUM"</f>
        <v>LUM</v>
      </c>
      <c r="L618" t="str">
        <f>"LUM"</f>
        <v>LUM</v>
      </c>
      <c r="M618">
        <v>2.4207785504337198</v>
      </c>
      <c r="N618">
        <v>0.89450172185430499</v>
      </c>
      <c r="O618">
        <v>0.91194339418818204</v>
      </c>
      <c r="P618">
        <v>8.5217514195583597</v>
      </c>
      <c r="Q618">
        <v>10.046095946448499</v>
      </c>
      <c r="R618">
        <v>2.7002430962789199</v>
      </c>
      <c r="S618">
        <v>4.5325422818791896</v>
      </c>
      <c r="T618">
        <v>7.1069398063701401</v>
      </c>
      <c r="U618">
        <v>1.10235831809872</v>
      </c>
      <c r="V618">
        <v>9.4557237087741104</v>
      </c>
      <c r="W618">
        <v>2.5507961927783702</v>
      </c>
      <c r="X618">
        <v>0</v>
      </c>
    </row>
    <row r="619" spans="1:24">
      <c r="A619">
        <v>2226</v>
      </c>
      <c r="B619" t="s">
        <v>1686</v>
      </c>
      <c r="C619">
        <v>4</v>
      </c>
      <c r="D619" t="s">
        <v>1687</v>
      </c>
      <c r="E619">
        <v>16</v>
      </c>
      <c r="F619">
        <v>16</v>
      </c>
      <c r="G619">
        <v>16</v>
      </c>
      <c r="H619" t="s">
        <v>1688</v>
      </c>
      <c r="I619">
        <v>24.8</v>
      </c>
      <c r="J619">
        <v>83.247</v>
      </c>
      <c r="K619" t="str">
        <f>"EPS15L1"</f>
        <v>EPS15L1</v>
      </c>
      <c r="L619" t="str">
        <f>"EPS15L1"</f>
        <v>EPS15L1</v>
      </c>
      <c r="M619">
        <v>0</v>
      </c>
      <c r="N619">
        <v>1.78900344370861</v>
      </c>
      <c r="O619">
        <v>5.4716603651290896</v>
      </c>
      <c r="P619">
        <v>5.3260946372239797</v>
      </c>
      <c r="Q619">
        <v>2.51152398661212</v>
      </c>
      <c r="R619">
        <v>4.5004051604648696</v>
      </c>
      <c r="S619">
        <v>3.3994067114094002</v>
      </c>
      <c r="T619">
        <v>1.18448996772836</v>
      </c>
      <c r="U619">
        <v>3.3070749542961599</v>
      </c>
      <c r="V619">
        <v>5.2531798382078403</v>
      </c>
      <c r="W619">
        <v>3.82619428916755</v>
      </c>
      <c r="X619">
        <v>2.9539371318597998</v>
      </c>
    </row>
    <row r="620" spans="1:24">
      <c r="A620">
        <v>1420</v>
      </c>
      <c r="B620" t="s">
        <v>1689</v>
      </c>
      <c r="C620">
        <v>2</v>
      </c>
      <c r="D620" t="s">
        <v>1690</v>
      </c>
      <c r="E620">
        <v>11</v>
      </c>
      <c r="F620">
        <v>11</v>
      </c>
      <c r="G620">
        <v>7</v>
      </c>
      <c r="H620" t="s">
        <v>1691</v>
      </c>
      <c r="I620">
        <v>28.7</v>
      </c>
      <c r="J620">
        <v>55.63</v>
      </c>
      <c r="K620" t="str">
        <f>"STK4"</f>
        <v>STK4</v>
      </c>
      <c r="L620" t="str">
        <f>"STK4"</f>
        <v>STK4</v>
      </c>
      <c r="M620">
        <v>1.2103892752168599</v>
      </c>
      <c r="N620">
        <v>4.4725086092715198</v>
      </c>
      <c r="O620">
        <v>4.5597169709409098</v>
      </c>
      <c r="P620">
        <v>2.1304378548895899</v>
      </c>
      <c r="Q620">
        <v>1.25576199330606</v>
      </c>
      <c r="R620">
        <v>5.4004861925578398</v>
      </c>
      <c r="S620">
        <v>2.2662711409396001</v>
      </c>
      <c r="T620">
        <v>2.3689799354567098</v>
      </c>
      <c r="U620">
        <v>3.3070749542961599</v>
      </c>
      <c r="V620">
        <v>3.1519079029246999</v>
      </c>
      <c r="W620">
        <v>3.82619428916755</v>
      </c>
      <c r="X620">
        <v>2.9539371318597998</v>
      </c>
    </row>
    <row r="621" spans="1:24">
      <c r="A621">
        <v>641</v>
      </c>
      <c r="B621" t="s">
        <v>1692</v>
      </c>
      <c r="C621">
        <v>1</v>
      </c>
      <c r="D621" t="s">
        <v>1693</v>
      </c>
      <c r="E621">
        <v>18</v>
      </c>
      <c r="F621">
        <v>18</v>
      </c>
      <c r="G621">
        <v>18</v>
      </c>
      <c r="H621" t="s">
        <v>1692</v>
      </c>
      <c r="I621">
        <v>22.5</v>
      </c>
      <c r="J621">
        <v>101.56</v>
      </c>
      <c r="K621" t="str">
        <f>"MTHFD1"</f>
        <v>MTHFD1</v>
      </c>
      <c r="L621" t="str">
        <f>"MTHFD1"</f>
        <v>MTHFD1</v>
      </c>
      <c r="M621">
        <v>1.2103892752168599</v>
      </c>
      <c r="N621">
        <v>4.4725086092715198</v>
      </c>
      <c r="O621">
        <v>4.5597169709409098</v>
      </c>
      <c r="P621">
        <v>3.19565678233438</v>
      </c>
      <c r="Q621">
        <v>0</v>
      </c>
      <c r="R621">
        <v>4.5004051604648696</v>
      </c>
      <c r="S621">
        <v>2.2662711409396001</v>
      </c>
      <c r="T621">
        <v>2.3689799354567098</v>
      </c>
      <c r="U621">
        <v>2.20471663619744</v>
      </c>
      <c r="V621">
        <v>2.1012719352831399</v>
      </c>
      <c r="W621">
        <v>3.82619428916755</v>
      </c>
      <c r="X621">
        <v>2.9539371318597998</v>
      </c>
    </row>
    <row r="622" spans="1:24">
      <c r="A622">
        <v>721</v>
      </c>
      <c r="B622" t="s">
        <v>1694</v>
      </c>
      <c r="C622">
        <v>1</v>
      </c>
      <c r="D622" t="s">
        <v>1695</v>
      </c>
      <c r="E622">
        <v>20</v>
      </c>
      <c r="F622">
        <v>20</v>
      </c>
      <c r="G622">
        <v>20</v>
      </c>
      <c r="H622" t="s">
        <v>1694</v>
      </c>
      <c r="I622">
        <v>21.2</v>
      </c>
      <c r="J622">
        <v>147.87</v>
      </c>
      <c r="K622" t="str">
        <f>"PLCG2"</f>
        <v>PLCG2</v>
      </c>
      <c r="L622" t="str">
        <f>"PLCG2"</f>
        <v>PLCG2</v>
      </c>
      <c r="M622">
        <v>2.4207785504337198</v>
      </c>
      <c r="N622">
        <v>3.57800688741722</v>
      </c>
      <c r="O622">
        <v>4.5597169709409098</v>
      </c>
      <c r="P622">
        <v>2.1304378548895899</v>
      </c>
      <c r="Q622">
        <v>1.25576199330606</v>
      </c>
      <c r="R622">
        <v>4.5004051604648696</v>
      </c>
      <c r="S622">
        <v>3.3994067114094002</v>
      </c>
      <c r="T622">
        <v>1.18448996772836</v>
      </c>
      <c r="U622">
        <v>4.4094332723948799</v>
      </c>
      <c r="V622">
        <v>3.1519079029246999</v>
      </c>
      <c r="W622">
        <v>2.5507961927783702</v>
      </c>
      <c r="X622">
        <v>2.9539371318597998</v>
      </c>
    </row>
    <row r="623" spans="1:24">
      <c r="A623">
        <v>952</v>
      </c>
      <c r="B623" t="s">
        <v>1696</v>
      </c>
      <c r="C623">
        <v>2</v>
      </c>
      <c r="D623" t="s">
        <v>1697</v>
      </c>
      <c r="E623">
        <v>12</v>
      </c>
      <c r="F623">
        <v>12</v>
      </c>
      <c r="G623">
        <v>12</v>
      </c>
      <c r="H623" t="s">
        <v>1698</v>
      </c>
      <c r="I623">
        <v>52.9</v>
      </c>
      <c r="J623">
        <v>29.803999999999998</v>
      </c>
      <c r="K623" t="str">
        <f>"PHB"</f>
        <v>PHB</v>
      </c>
      <c r="L623" t="str">
        <f>"PHB"</f>
        <v>PHB</v>
      </c>
      <c r="M623">
        <v>4.8415571008674503</v>
      </c>
      <c r="N623">
        <v>1.78900344370861</v>
      </c>
      <c r="O623">
        <v>1.8238867883763601</v>
      </c>
      <c r="P623">
        <v>5.3260946372239797</v>
      </c>
      <c r="Q623">
        <v>2.51152398661212</v>
      </c>
      <c r="R623">
        <v>5.4004861925578398</v>
      </c>
      <c r="S623">
        <v>3.3994067114094002</v>
      </c>
      <c r="T623">
        <v>2.3689799354567098</v>
      </c>
      <c r="U623">
        <v>3.3070749542961599</v>
      </c>
      <c r="V623">
        <v>3.1519079029246999</v>
      </c>
      <c r="W623">
        <v>6.37699048194591</v>
      </c>
      <c r="X623">
        <v>2.9539371318597998</v>
      </c>
    </row>
    <row r="624" spans="1:24">
      <c r="A624">
        <v>1893</v>
      </c>
      <c r="B624" t="s">
        <v>1699</v>
      </c>
      <c r="C624">
        <v>1</v>
      </c>
      <c r="D624" t="s">
        <v>1700</v>
      </c>
      <c r="E624">
        <v>9</v>
      </c>
      <c r="F624">
        <v>9</v>
      </c>
      <c r="G624">
        <v>9</v>
      </c>
      <c r="H624" t="s">
        <v>1699</v>
      </c>
      <c r="I624">
        <v>22.5</v>
      </c>
      <c r="J624">
        <v>65.745999999999995</v>
      </c>
      <c r="K624" t="str">
        <f>"LPP"</f>
        <v>LPP</v>
      </c>
      <c r="L624" t="str">
        <f>"LPP"</f>
        <v>LPP</v>
      </c>
      <c r="M624">
        <v>1.2103892752168599</v>
      </c>
      <c r="N624">
        <v>3.57800688741722</v>
      </c>
      <c r="O624">
        <v>4.5597169709409098</v>
      </c>
      <c r="P624">
        <v>2.1304378548895899</v>
      </c>
      <c r="Q624">
        <v>0</v>
      </c>
      <c r="R624">
        <v>6.3005672246508198</v>
      </c>
      <c r="S624">
        <v>2.2662711409396001</v>
      </c>
      <c r="T624">
        <v>3.5534699031850701</v>
      </c>
      <c r="U624">
        <v>4.4094332723948799</v>
      </c>
      <c r="V624">
        <v>3.1519079029246999</v>
      </c>
      <c r="W624">
        <v>2.5507961927783702</v>
      </c>
      <c r="X624">
        <v>3.9385828424797298</v>
      </c>
    </row>
    <row r="625" spans="1:24">
      <c r="A625">
        <v>2253</v>
      </c>
      <c r="B625" t="s">
        <v>1701</v>
      </c>
      <c r="C625">
        <v>1</v>
      </c>
      <c r="D625" t="s">
        <v>1702</v>
      </c>
      <c r="E625">
        <v>11</v>
      </c>
      <c r="F625">
        <v>11</v>
      </c>
      <c r="G625">
        <v>11</v>
      </c>
      <c r="H625" t="s">
        <v>1701</v>
      </c>
      <c r="I625">
        <v>38</v>
      </c>
      <c r="J625">
        <v>34.094000000000001</v>
      </c>
      <c r="K625" t="str">
        <f>"CYB5R1"</f>
        <v>CYB5R1</v>
      </c>
      <c r="L625" t="str">
        <f>"CYB5R1"</f>
        <v>CYB5R1</v>
      </c>
      <c r="M625">
        <v>3.6311678256505799</v>
      </c>
      <c r="N625">
        <v>4.4725086092715198</v>
      </c>
      <c r="O625">
        <v>2.7358301825645501</v>
      </c>
      <c r="P625">
        <v>2.1304378548895899</v>
      </c>
      <c r="Q625">
        <v>1.25576199330606</v>
      </c>
      <c r="R625">
        <v>3.6003241283718901</v>
      </c>
      <c r="S625">
        <v>3.3994067114094002</v>
      </c>
      <c r="T625">
        <v>3.5534699031850701</v>
      </c>
      <c r="U625">
        <v>3.3070749542961599</v>
      </c>
      <c r="V625">
        <v>2.1012719352831399</v>
      </c>
      <c r="W625">
        <v>2.5507961927783702</v>
      </c>
      <c r="X625">
        <v>1.96929142123987</v>
      </c>
    </row>
    <row r="626" spans="1:24">
      <c r="A626">
        <v>173</v>
      </c>
      <c r="B626" t="s">
        <v>1703</v>
      </c>
      <c r="C626">
        <v>15</v>
      </c>
      <c r="D626" t="s">
        <v>1704</v>
      </c>
      <c r="E626">
        <v>12</v>
      </c>
      <c r="F626">
        <v>12</v>
      </c>
      <c r="G626">
        <v>12</v>
      </c>
      <c r="H626" t="s">
        <v>1705</v>
      </c>
      <c r="I626">
        <v>47.9</v>
      </c>
      <c r="J626">
        <v>37.106000000000002</v>
      </c>
      <c r="K626" t="str">
        <f>"CALU"</f>
        <v>CALU</v>
      </c>
      <c r="L626" t="str">
        <f>"CALU"</f>
        <v>CALU</v>
      </c>
      <c r="M626">
        <v>2.4207785504337198</v>
      </c>
      <c r="N626">
        <v>5.3670103311258304</v>
      </c>
      <c r="O626">
        <v>3.64777357675273</v>
      </c>
      <c r="P626">
        <v>2.1304378548895899</v>
      </c>
      <c r="Q626">
        <v>3.7672859799181899</v>
      </c>
      <c r="R626">
        <v>2.7002430962789199</v>
      </c>
      <c r="S626">
        <v>4.5325422818791896</v>
      </c>
      <c r="T626">
        <v>3.5534699031850701</v>
      </c>
      <c r="U626">
        <v>7.7165082266910403</v>
      </c>
      <c r="V626">
        <v>3.1519079029246999</v>
      </c>
      <c r="W626">
        <v>2.5507961927783702</v>
      </c>
      <c r="X626">
        <v>2.9539371318597998</v>
      </c>
    </row>
    <row r="627" spans="1:24">
      <c r="A627">
        <v>282</v>
      </c>
      <c r="B627" t="s">
        <v>1706</v>
      </c>
      <c r="C627">
        <v>6</v>
      </c>
      <c r="D627" t="s">
        <v>1707</v>
      </c>
      <c r="E627">
        <v>11</v>
      </c>
      <c r="F627">
        <v>11</v>
      </c>
      <c r="G627">
        <v>11</v>
      </c>
      <c r="H627" t="s">
        <v>1708</v>
      </c>
      <c r="I627">
        <v>24</v>
      </c>
      <c r="J627">
        <v>66.293999999999997</v>
      </c>
      <c r="K627" t="str">
        <f>"AIFM1"</f>
        <v>AIFM1</v>
      </c>
      <c r="L627" t="str">
        <f>"AIFM1"</f>
        <v>AIFM1</v>
      </c>
      <c r="M627">
        <v>3.6311678256505799</v>
      </c>
      <c r="N627">
        <v>3.57800688741722</v>
      </c>
      <c r="O627">
        <v>3.64777357675273</v>
      </c>
      <c r="P627">
        <v>3.19565678233438</v>
      </c>
      <c r="Q627">
        <v>2.51152398661212</v>
      </c>
      <c r="R627">
        <v>2.7002430962789199</v>
      </c>
      <c r="S627">
        <v>3.3994067114094002</v>
      </c>
      <c r="T627">
        <v>2.3689799354567098</v>
      </c>
      <c r="U627">
        <v>1.10235831809872</v>
      </c>
      <c r="V627">
        <v>5.2531798382078403</v>
      </c>
      <c r="W627">
        <v>3.82619428916755</v>
      </c>
      <c r="X627">
        <v>2.9539371318597998</v>
      </c>
    </row>
    <row r="628" spans="1:24">
      <c r="A628">
        <v>774</v>
      </c>
      <c r="B628" t="s">
        <v>1709</v>
      </c>
      <c r="C628">
        <v>1</v>
      </c>
      <c r="D628" t="s">
        <v>1710</v>
      </c>
      <c r="E628">
        <v>16</v>
      </c>
      <c r="F628">
        <v>16</v>
      </c>
      <c r="G628">
        <v>16</v>
      </c>
      <c r="H628" t="s">
        <v>1709</v>
      </c>
      <c r="I628">
        <v>24.4</v>
      </c>
      <c r="J628">
        <v>98.397999999999996</v>
      </c>
      <c r="K628" t="str">
        <f>"ACO1"</f>
        <v>ACO1</v>
      </c>
      <c r="L628" t="str">
        <f>"ACO1"</f>
        <v>ACO1</v>
      </c>
      <c r="M628">
        <v>2.4207785504337198</v>
      </c>
      <c r="N628">
        <v>3.57800688741722</v>
      </c>
      <c r="O628">
        <v>1.8238867883763601</v>
      </c>
      <c r="P628">
        <v>5.3260946372239797</v>
      </c>
      <c r="Q628">
        <v>2.51152398661212</v>
      </c>
      <c r="R628">
        <v>0.90008103209297396</v>
      </c>
      <c r="S628">
        <v>2.2662711409396001</v>
      </c>
      <c r="T628">
        <v>1.18448996772836</v>
      </c>
      <c r="U628">
        <v>4.4094332723948799</v>
      </c>
      <c r="V628">
        <v>3.1519079029246999</v>
      </c>
      <c r="W628">
        <v>1.27539809638918</v>
      </c>
      <c r="X628">
        <v>4.92322855309967</v>
      </c>
    </row>
    <row r="629" spans="1:24">
      <c r="A629">
        <v>816</v>
      </c>
      <c r="B629" t="s">
        <v>1711</v>
      </c>
      <c r="C629">
        <v>1</v>
      </c>
      <c r="D629" t="s">
        <v>1712</v>
      </c>
      <c r="E629">
        <v>12</v>
      </c>
      <c r="F629">
        <v>12</v>
      </c>
      <c r="G629">
        <v>12</v>
      </c>
      <c r="H629" t="s">
        <v>1711</v>
      </c>
      <c r="I629">
        <v>37.9</v>
      </c>
      <c r="J629">
        <v>28.908000000000001</v>
      </c>
      <c r="K629" t="str">
        <f>"ATP5F1"</f>
        <v>ATP5F1</v>
      </c>
      <c r="L629" t="str">
        <f>"ATP5F1"</f>
        <v>ATP5F1</v>
      </c>
      <c r="M629">
        <v>2.4207785504337198</v>
      </c>
      <c r="N629">
        <v>0.89450172185430499</v>
      </c>
      <c r="O629">
        <v>1.8238867883763601</v>
      </c>
      <c r="P629">
        <v>4.2608757097791798</v>
      </c>
      <c r="Q629">
        <v>5.0230479732242497</v>
      </c>
      <c r="R629">
        <v>4.5004051604648696</v>
      </c>
      <c r="S629">
        <v>3.3994067114094002</v>
      </c>
      <c r="T629">
        <v>4.7379598709134303</v>
      </c>
      <c r="U629">
        <v>1.10235831809872</v>
      </c>
      <c r="V629">
        <v>4.2025438705662701</v>
      </c>
      <c r="W629">
        <v>3.82619428916755</v>
      </c>
      <c r="X629">
        <v>2.9539371318597998</v>
      </c>
    </row>
    <row r="630" spans="1:24">
      <c r="A630">
        <v>2093</v>
      </c>
      <c r="B630" t="s">
        <v>1713</v>
      </c>
      <c r="C630">
        <v>1</v>
      </c>
      <c r="D630" t="s">
        <v>1714</v>
      </c>
      <c r="E630">
        <v>7</v>
      </c>
      <c r="F630">
        <v>7</v>
      </c>
      <c r="G630">
        <v>7</v>
      </c>
      <c r="H630" t="s">
        <v>1713</v>
      </c>
      <c r="I630">
        <v>28.6</v>
      </c>
      <c r="J630">
        <v>31.791</v>
      </c>
      <c r="K630" t="str">
        <f>"TMX1"</f>
        <v>TMX1</v>
      </c>
      <c r="L630" t="str">
        <f>"TMX1"</f>
        <v>TMX1</v>
      </c>
      <c r="M630">
        <v>1.2103892752168599</v>
      </c>
      <c r="N630">
        <v>4.4725086092715198</v>
      </c>
      <c r="O630">
        <v>5.4716603651290896</v>
      </c>
      <c r="P630">
        <v>4.2608757097791798</v>
      </c>
      <c r="Q630">
        <v>5.0230479732242497</v>
      </c>
      <c r="R630">
        <v>2.7002430962789199</v>
      </c>
      <c r="S630">
        <v>4.5325422818791896</v>
      </c>
      <c r="T630">
        <v>3.5534699031850701</v>
      </c>
      <c r="U630">
        <v>2.20471663619744</v>
      </c>
      <c r="V630">
        <v>3.1519079029246999</v>
      </c>
      <c r="W630">
        <v>3.82619428916755</v>
      </c>
      <c r="X630">
        <v>1.96929142123987</v>
      </c>
    </row>
    <row r="631" spans="1:24">
      <c r="A631">
        <v>2346</v>
      </c>
      <c r="B631" t="s">
        <v>1715</v>
      </c>
      <c r="C631">
        <v>2</v>
      </c>
      <c r="D631" t="s">
        <v>1716</v>
      </c>
      <c r="E631">
        <v>12</v>
      </c>
      <c r="F631">
        <v>12</v>
      </c>
      <c r="G631">
        <v>12</v>
      </c>
      <c r="H631" t="s">
        <v>1717</v>
      </c>
      <c r="I631">
        <v>46.6</v>
      </c>
      <c r="J631">
        <v>38.438000000000002</v>
      </c>
      <c r="K631" t="str">
        <f>"STRAP"</f>
        <v>STRAP</v>
      </c>
      <c r="L631" t="str">
        <f>"STRAP"</f>
        <v>STRAP</v>
      </c>
      <c r="M631">
        <v>2.4207785504337198</v>
      </c>
      <c r="N631">
        <v>1.78900344370861</v>
      </c>
      <c r="O631">
        <v>2.7358301825645501</v>
      </c>
      <c r="P631">
        <v>3.19565678233438</v>
      </c>
      <c r="Q631">
        <v>2.51152398661212</v>
      </c>
      <c r="R631">
        <v>1.8001620641859499</v>
      </c>
      <c r="S631">
        <v>3.3994067114094002</v>
      </c>
      <c r="T631">
        <v>4.7379598709134303</v>
      </c>
      <c r="U631">
        <v>1.10235831809872</v>
      </c>
      <c r="V631">
        <v>6.3038158058494096</v>
      </c>
      <c r="W631">
        <v>3.82619428916755</v>
      </c>
      <c r="X631">
        <v>2.9539371318597998</v>
      </c>
    </row>
    <row r="632" spans="1:24">
      <c r="A632">
        <v>2368</v>
      </c>
      <c r="B632" t="s">
        <v>1718</v>
      </c>
      <c r="C632">
        <v>7</v>
      </c>
      <c r="D632" t="s">
        <v>1719</v>
      </c>
      <c r="E632">
        <v>19</v>
      </c>
      <c r="F632">
        <v>19</v>
      </c>
      <c r="G632">
        <v>19</v>
      </c>
      <c r="H632" t="s">
        <v>1720</v>
      </c>
      <c r="I632">
        <v>14</v>
      </c>
      <c r="J632">
        <v>194.31</v>
      </c>
      <c r="K632" t="str">
        <f>"CDC42BPB;CDC42BPA"</f>
        <v>CDC42BPB;CDC42BPA</v>
      </c>
      <c r="L632" t="str">
        <f>"CDC42BPB;CDC42BPA"</f>
        <v>CDC42BPB;CDC42BPA</v>
      </c>
      <c r="M632">
        <v>0</v>
      </c>
      <c r="N632">
        <v>8.9450172185430503</v>
      </c>
      <c r="O632">
        <v>7.2955471535054599</v>
      </c>
      <c r="P632">
        <v>1.0652189274447901</v>
      </c>
      <c r="Q632">
        <v>1.25576199330606</v>
      </c>
      <c r="R632">
        <v>2.7002430962789199</v>
      </c>
      <c r="S632">
        <v>3.3994067114094002</v>
      </c>
      <c r="T632">
        <v>2.3689799354567098</v>
      </c>
      <c r="U632">
        <v>3.3070749542961599</v>
      </c>
      <c r="V632">
        <v>3.1519079029246999</v>
      </c>
      <c r="W632">
        <v>3.82619428916755</v>
      </c>
      <c r="X632">
        <v>3.9385828424797298</v>
      </c>
    </row>
    <row r="633" spans="1:24">
      <c r="A633">
        <v>294</v>
      </c>
      <c r="B633" t="s">
        <v>1721</v>
      </c>
      <c r="C633">
        <v>4</v>
      </c>
      <c r="D633" t="s">
        <v>1722</v>
      </c>
      <c r="E633">
        <v>17</v>
      </c>
      <c r="F633">
        <v>17</v>
      </c>
      <c r="G633">
        <v>17</v>
      </c>
      <c r="H633" t="s">
        <v>1723</v>
      </c>
      <c r="I633">
        <v>34.9</v>
      </c>
      <c r="J633">
        <v>61.396999999999998</v>
      </c>
      <c r="K633" t="str">
        <f>"GLUD1;GLUD2"</f>
        <v>GLUD1;GLUD2</v>
      </c>
      <c r="L633" t="str">
        <f>"GLUD1;GLUD2"</f>
        <v>GLUD1;GLUD2</v>
      </c>
      <c r="M633">
        <v>1.2103892752168599</v>
      </c>
      <c r="N633">
        <v>2.6835051655629099</v>
      </c>
      <c r="O633">
        <v>1.8238867883763601</v>
      </c>
      <c r="P633">
        <v>2.1304378548895899</v>
      </c>
      <c r="Q633">
        <v>1.25576199330606</v>
      </c>
      <c r="R633">
        <v>5.4004861925578398</v>
      </c>
      <c r="S633">
        <v>9.0650845637583899</v>
      </c>
      <c r="T633">
        <v>1.18448996772836</v>
      </c>
      <c r="U633">
        <v>5.5117915904936003</v>
      </c>
      <c r="V633">
        <v>4.2025438705662701</v>
      </c>
      <c r="W633">
        <v>7.6523885783351</v>
      </c>
      <c r="X633">
        <v>6.8925199743395398</v>
      </c>
    </row>
    <row r="634" spans="1:24">
      <c r="A634">
        <v>361</v>
      </c>
      <c r="B634" t="s">
        <v>1724</v>
      </c>
      <c r="C634">
        <v>1</v>
      </c>
      <c r="D634" t="s">
        <v>1725</v>
      </c>
      <c r="E634">
        <v>3</v>
      </c>
      <c r="F634">
        <v>3</v>
      </c>
      <c r="G634">
        <v>3</v>
      </c>
      <c r="H634" t="s">
        <v>1724</v>
      </c>
      <c r="I634">
        <v>34.299999999999997</v>
      </c>
      <c r="J634">
        <v>11.391999999999999</v>
      </c>
      <c r="K634" t="s">
        <v>1726</v>
      </c>
      <c r="L634" t="s">
        <v>1726</v>
      </c>
      <c r="M634">
        <v>3.6311678256505799</v>
      </c>
      <c r="N634">
        <v>1.78900344370861</v>
      </c>
      <c r="O634">
        <v>2.7358301825645501</v>
      </c>
      <c r="P634">
        <v>4.2608757097791798</v>
      </c>
      <c r="Q634">
        <v>7.5345719598363701</v>
      </c>
      <c r="R634">
        <v>3.6003241283718901</v>
      </c>
      <c r="S634">
        <v>2.2662711409396001</v>
      </c>
      <c r="T634">
        <v>3.5534699031850701</v>
      </c>
      <c r="U634">
        <v>2.20471663619744</v>
      </c>
      <c r="V634">
        <v>3.1519079029246999</v>
      </c>
      <c r="W634">
        <v>3.82619428916755</v>
      </c>
      <c r="X634">
        <v>3.9385828424797298</v>
      </c>
    </row>
    <row r="635" spans="1:24">
      <c r="A635">
        <v>485</v>
      </c>
      <c r="B635" t="s">
        <v>1727</v>
      </c>
      <c r="C635">
        <v>1</v>
      </c>
      <c r="D635" t="s">
        <v>1728</v>
      </c>
      <c r="E635">
        <v>14</v>
      </c>
      <c r="F635">
        <v>14</v>
      </c>
      <c r="G635">
        <v>14</v>
      </c>
      <c r="H635" t="s">
        <v>1727</v>
      </c>
      <c r="I635">
        <v>45.7</v>
      </c>
      <c r="J635">
        <v>36.112000000000002</v>
      </c>
      <c r="K635" t="str">
        <f>"EIF2S1"</f>
        <v>EIF2S1</v>
      </c>
      <c r="L635" t="str">
        <f>"EIF2S1"</f>
        <v>EIF2S1</v>
      </c>
      <c r="M635">
        <v>1.2103892752168599</v>
      </c>
      <c r="N635">
        <v>7.1560137748344399</v>
      </c>
      <c r="O635">
        <v>3.64777357675273</v>
      </c>
      <c r="P635">
        <v>3.19565678233438</v>
      </c>
      <c r="Q635">
        <v>1.25576199330606</v>
      </c>
      <c r="R635">
        <v>4.5004051604648696</v>
      </c>
      <c r="S635">
        <v>0</v>
      </c>
      <c r="T635">
        <v>2.3689799354567098</v>
      </c>
      <c r="U635">
        <v>1.10235831809872</v>
      </c>
      <c r="V635">
        <v>6.3038158058494096</v>
      </c>
      <c r="W635">
        <v>2.5507961927783702</v>
      </c>
      <c r="X635">
        <v>5.9078742637195996</v>
      </c>
    </row>
    <row r="636" spans="1:24">
      <c r="A636">
        <v>828</v>
      </c>
      <c r="B636" t="s">
        <v>1729</v>
      </c>
      <c r="C636">
        <v>2</v>
      </c>
      <c r="D636" t="s">
        <v>1730</v>
      </c>
      <c r="E636">
        <v>10</v>
      </c>
      <c r="F636">
        <v>10</v>
      </c>
      <c r="G636">
        <v>10</v>
      </c>
      <c r="H636" t="s">
        <v>1731</v>
      </c>
      <c r="I636">
        <v>33.1</v>
      </c>
      <c r="J636">
        <v>27.646999999999998</v>
      </c>
      <c r="K636" t="str">
        <f>"PSMA3"</f>
        <v>PSMA3</v>
      </c>
      <c r="L636" t="str">
        <f>"PSMA3"</f>
        <v>PSMA3</v>
      </c>
      <c r="M636">
        <v>2.4207785504337198</v>
      </c>
      <c r="N636">
        <v>3.57800688741722</v>
      </c>
      <c r="O636">
        <v>3.64777357675273</v>
      </c>
      <c r="P636">
        <v>4.2608757097791798</v>
      </c>
      <c r="Q636">
        <v>5.0230479732242497</v>
      </c>
      <c r="R636">
        <v>4.5004051604648696</v>
      </c>
      <c r="S636">
        <v>2.2662711409396001</v>
      </c>
      <c r="T636">
        <v>2.3689799354567098</v>
      </c>
      <c r="U636">
        <v>3.3070749542961599</v>
      </c>
      <c r="V636">
        <v>4.2025438705662701</v>
      </c>
      <c r="W636">
        <v>1.27539809638918</v>
      </c>
      <c r="X636">
        <v>4.92322855309967</v>
      </c>
    </row>
    <row r="637" spans="1:24">
      <c r="A637">
        <v>1312</v>
      </c>
      <c r="B637" t="s">
        <v>1732</v>
      </c>
      <c r="C637">
        <v>2</v>
      </c>
      <c r="D637" t="s">
        <v>1733</v>
      </c>
      <c r="E637">
        <v>19</v>
      </c>
      <c r="F637">
        <v>19</v>
      </c>
      <c r="G637">
        <v>19</v>
      </c>
      <c r="H637" t="s">
        <v>1734</v>
      </c>
      <c r="I637">
        <v>24.1</v>
      </c>
      <c r="J637">
        <v>102.36</v>
      </c>
      <c r="K637" t="str">
        <f>"EIF4G2"</f>
        <v>EIF4G2</v>
      </c>
      <c r="L637" t="str">
        <f>"EIF4G2"</f>
        <v>EIF4G2</v>
      </c>
      <c r="M637">
        <v>1.2103892752168599</v>
      </c>
      <c r="N637">
        <v>4.4725086092715198</v>
      </c>
      <c r="O637">
        <v>6.3836037593172703</v>
      </c>
      <c r="P637">
        <v>2.1304378548895899</v>
      </c>
      <c r="Q637">
        <v>1.25576199330606</v>
      </c>
      <c r="R637">
        <v>3.6003241283718901</v>
      </c>
      <c r="S637">
        <v>3.3994067114094002</v>
      </c>
      <c r="T637">
        <v>0</v>
      </c>
      <c r="U637">
        <v>5.5117915904936003</v>
      </c>
      <c r="V637">
        <v>3.1519079029246999</v>
      </c>
      <c r="W637">
        <v>2.5507961927783702</v>
      </c>
      <c r="X637">
        <v>3.9385828424797298</v>
      </c>
    </row>
    <row r="638" spans="1:24">
      <c r="A638">
        <v>1623</v>
      </c>
      <c r="B638" t="s">
        <v>1735</v>
      </c>
      <c r="C638">
        <v>4</v>
      </c>
      <c r="D638" t="s">
        <v>1736</v>
      </c>
      <c r="E638">
        <v>14</v>
      </c>
      <c r="F638">
        <v>14</v>
      </c>
      <c r="G638">
        <v>14</v>
      </c>
      <c r="H638" t="s">
        <v>1737</v>
      </c>
      <c r="I638">
        <v>19.399999999999999</v>
      </c>
      <c r="J638">
        <v>103.96</v>
      </c>
      <c r="K638" t="str">
        <f>"ANO6"</f>
        <v>ANO6</v>
      </c>
      <c r="L638" t="str">
        <f>"ANO6"</f>
        <v>ANO6</v>
      </c>
      <c r="M638">
        <v>2.4207785504337198</v>
      </c>
      <c r="N638">
        <v>2.6835051655629099</v>
      </c>
      <c r="O638">
        <v>2.7358301825645501</v>
      </c>
      <c r="P638">
        <v>3.19565678233438</v>
      </c>
      <c r="Q638">
        <v>1.25576199330606</v>
      </c>
      <c r="R638">
        <v>4.5004051604648696</v>
      </c>
      <c r="S638">
        <v>2.2662711409396001</v>
      </c>
      <c r="T638">
        <v>3.5534699031850701</v>
      </c>
      <c r="U638">
        <v>2.20471663619744</v>
      </c>
      <c r="V638">
        <v>3.1519079029246999</v>
      </c>
      <c r="W638">
        <v>0</v>
      </c>
      <c r="X638">
        <v>3.9385828424797298</v>
      </c>
    </row>
    <row r="639" spans="1:24">
      <c r="A639">
        <v>1964</v>
      </c>
      <c r="B639" t="s">
        <v>1738</v>
      </c>
      <c r="C639">
        <v>1</v>
      </c>
      <c r="D639" t="s">
        <v>1739</v>
      </c>
      <c r="E639">
        <v>17</v>
      </c>
      <c r="F639">
        <v>17</v>
      </c>
      <c r="G639">
        <v>17</v>
      </c>
      <c r="H639" t="s">
        <v>1738</v>
      </c>
      <c r="I639">
        <v>25.5</v>
      </c>
      <c r="J639">
        <v>91.706000000000003</v>
      </c>
      <c r="K639" t="str">
        <f>"VPS35"</f>
        <v>VPS35</v>
      </c>
      <c r="L639" t="str">
        <f>"VPS35"</f>
        <v>VPS35</v>
      </c>
      <c r="M639">
        <v>1.2103892752168599</v>
      </c>
      <c r="N639">
        <v>7.1560137748344399</v>
      </c>
      <c r="O639">
        <v>4.5597169709409098</v>
      </c>
      <c r="P639">
        <v>2.1304378548895899</v>
      </c>
      <c r="Q639">
        <v>1.25576199330606</v>
      </c>
      <c r="R639">
        <v>1.8001620641859499</v>
      </c>
      <c r="S639">
        <v>1.1331355704698001</v>
      </c>
      <c r="T639">
        <v>1.18448996772836</v>
      </c>
      <c r="U639">
        <v>4.4094332723948799</v>
      </c>
      <c r="V639">
        <v>1.05063596764157</v>
      </c>
      <c r="W639">
        <v>3.82619428916755</v>
      </c>
      <c r="X639">
        <v>6.8925199743395398</v>
      </c>
    </row>
    <row r="640" spans="1:24">
      <c r="A640">
        <v>2322</v>
      </c>
      <c r="B640" t="s">
        <v>1740</v>
      </c>
      <c r="C640">
        <v>2</v>
      </c>
      <c r="D640" t="s">
        <v>1741</v>
      </c>
      <c r="E640">
        <v>16</v>
      </c>
      <c r="F640">
        <v>16</v>
      </c>
      <c r="G640">
        <v>16</v>
      </c>
      <c r="H640" t="s">
        <v>1742</v>
      </c>
      <c r="I640">
        <v>18.899999999999999</v>
      </c>
      <c r="J640">
        <v>128.79</v>
      </c>
      <c r="K640" t="str">
        <f>"NCKAP1"</f>
        <v>NCKAP1</v>
      </c>
      <c r="L640" t="str">
        <f>"NCKAP1"</f>
        <v>NCKAP1</v>
      </c>
      <c r="M640">
        <v>1.2103892752168599</v>
      </c>
      <c r="N640">
        <v>4.4725086092715198</v>
      </c>
      <c r="O640">
        <v>4.5597169709409098</v>
      </c>
      <c r="P640">
        <v>2.1304378548895899</v>
      </c>
      <c r="Q640">
        <v>2.51152398661212</v>
      </c>
      <c r="R640">
        <v>3.6003241283718901</v>
      </c>
      <c r="S640">
        <v>5.6656778523489901</v>
      </c>
      <c r="T640">
        <v>1.18448996772836</v>
      </c>
      <c r="U640">
        <v>6.6141499085923199</v>
      </c>
      <c r="V640">
        <v>4.2025438705662701</v>
      </c>
      <c r="W640">
        <v>3.82619428916755</v>
      </c>
      <c r="X640">
        <v>3.9385828424797298</v>
      </c>
    </row>
    <row r="641" spans="1:24">
      <c r="A641">
        <v>403</v>
      </c>
      <c r="B641" t="s">
        <v>1743</v>
      </c>
      <c r="C641">
        <v>1</v>
      </c>
      <c r="D641" t="s">
        <v>1744</v>
      </c>
      <c r="E641">
        <v>6</v>
      </c>
      <c r="F641">
        <v>6</v>
      </c>
      <c r="G641">
        <v>6</v>
      </c>
      <c r="H641" t="s">
        <v>1743</v>
      </c>
      <c r="I641">
        <v>36.4</v>
      </c>
      <c r="J641">
        <v>10.852</v>
      </c>
      <c r="K641" t="str">
        <f>"APOC3"</f>
        <v>APOC3</v>
      </c>
      <c r="L641" t="str">
        <f>"APOC3"</f>
        <v>APOC3</v>
      </c>
      <c r="M641">
        <v>2.4207785504337198</v>
      </c>
      <c r="N641">
        <v>1.78900344370861</v>
      </c>
      <c r="O641">
        <v>3.64777357675273</v>
      </c>
      <c r="P641">
        <v>4.2608757097791798</v>
      </c>
      <c r="Q641">
        <v>6.2788099665303099</v>
      </c>
      <c r="R641">
        <v>2.7002430962789199</v>
      </c>
      <c r="S641">
        <v>11.331355704698</v>
      </c>
      <c r="T641">
        <v>8.2914297740984999</v>
      </c>
      <c r="U641">
        <v>0</v>
      </c>
      <c r="V641">
        <v>5.2531798382078403</v>
      </c>
      <c r="W641">
        <v>0</v>
      </c>
      <c r="X641">
        <v>0</v>
      </c>
    </row>
    <row r="642" spans="1:24">
      <c r="A642">
        <v>1317</v>
      </c>
      <c r="B642" t="s">
        <v>1745</v>
      </c>
      <c r="C642">
        <v>2</v>
      </c>
      <c r="D642" t="s">
        <v>1746</v>
      </c>
      <c r="E642">
        <v>13</v>
      </c>
      <c r="F642">
        <v>13</v>
      </c>
      <c r="G642">
        <v>13</v>
      </c>
      <c r="H642" t="s">
        <v>1747</v>
      </c>
      <c r="I642">
        <v>17.899999999999999</v>
      </c>
      <c r="J642">
        <v>92.334999999999994</v>
      </c>
      <c r="K642" t="str">
        <f>"GPLD1"</f>
        <v>GPLD1</v>
      </c>
      <c r="L642" t="str">
        <f>"GPLD1"</f>
        <v>GPLD1</v>
      </c>
      <c r="M642">
        <v>6.0519463760843104</v>
      </c>
      <c r="N642">
        <v>1.78900344370861</v>
      </c>
      <c r="O642">
        <v>1.8238867883763601</v>
      </c>
      <c r="P642">
        <v>7.4565324921135696</v>
      </c>
      <c r="Q642">
        <v>5.0230479732242497</v>
      </c>
      <c r="R642">
        <v>0.90008103209297396</v>
      </c>
      <c r="S642">
        <v>0</v>
      </c>
      <c r="T642">
        <v>10.6604097095552</v>
      </c>
      <c r="U642">
        <v>1.10235831809872</v>
      </c>
      <c r="V642">
        <v>6.3038158058494096</v>
      </c>
      <c r="W642">
        <v>3.82619428916755</v>
      </c>
      <c r="X642">
        <v>2.9539371318597998</v>
      </c>
    </row>
    <row r="643" spans="1:24">
      <c r="A643">
        <v>2031</v>
      </c>
      <c r="B643" t="s">
        <v>1748</v>
      </c>
      <c r="C643">
        <v>1</v>
      </c>
      <c r="D643" t="s">
        <v>1749</v>
      </c>
      <c r="E643">
        <v>9</v>
      </c>
      <c r="F643">
        <v>9</v>
      </c>
      <c r="G643">
        <v>9</v>
      </c>
      <c r="H643" t="s">
        <v>1748</v>
      </c>
      <c r="I643">
        <v>46.7</v>
      </c>
      <c r="J643">
        <v>24.701000000000001</v>
      </c>
      <c r="K643" t="str">
        <f>"PDCD10"</f>
        <v>PDCD10</v>
      </c>
      <c r="L643" t="str">
        <f>"PDCD10"</f>
        <v>PDCD10</v>
      </c>
      <c r="M643">
        <v>2.4207785504337198</v>
      </c>
      <c r="N643">
        <v>3.57800688741722</v>
      </c>
      <c r="O643">
        <v>2.7358301825645501</v>
      </c>
      <c r="P643">
        <v>4.2608757097791798</v>
      </c>
      <c r="Q643">
        <v>1.25576199330606</v>
      </c>
      <c r="R643">
        <v>6.3005672246508198</v>
      </c>
      <c r="S643">
        <v>2.2662711409396001</v>
      </c>
      <c r="T643">
        <v>2.3689799354567098</v>
      </c>
      <c r="U643">
        <v>3.3070749542961599</v>
      </c>
      <c r="V643">
        <v>3.1519079029246999</v>
      </c>
      <c r="W643">
        <v>2.5507961927783702</v>
      </c>
      <c r="X643">
        <v>4.92322855309967</v>
      </c>
    </row>
    <row r="644" spans="1:24">
      <c r="A644">
        <v>61</v>
      </c>
      <c r="B644" t="s">
        <v>1750</v>
      </c>
      <c r="C644">
        <v>2</v>
      </c>
      <c r="D644" t="s">
        <v>1751</v>
      </c>
      <c r="E644">
        <v>14</v>
      </c>
      <c r="F644">
        <v>14</v>
      </c>
      <c r="G644">
        <v>14</v>
      </c>
      <c r="H644" t="s">
        <v>1752</v>
      </c>
      <c r="I644">
        <v>35.299999999999997</v>
      </c>
      <c r="J644">
        <v>47.463000000000001</v>
      </c>
      <c r="K644" t="str">
        <f>"PSMD11"</f>
        <v>PSMD11</v>
      </c>
      <c r="L644" t="str">
        <f>"PSMD11"</f>
        <v>PSMD11</v>
      </c>
      <c r="M644">
        <v>2.4207785504337198</v>
      </c>
      <c r="N644">
        <v>1.78900344370861</v>
      </c>
      <c r="O644">
        <v>5.4716603651290896</v>
      </c>
      <c r="P644">
        <v>5.3260946372239797</v>
      </c>
      <c r="Q644">
        <v>1.25576199330606</v>
      </c>
      <c r="R644">
        <v>3.6003241283718901</v>
      </c>
      <c r="S644">
        <v>2.2662711409396001</v>
      </c>
      <c r="T644">
        <v>2.3689799354567098</v>
      </c>
      <c r="U644">
        <v>5.5117915904936003</v>
      </c>
      <c r="V644">
        <v>4.2025438705662701</v>
      </c>
      <c r="W644">
        <v>1.27539809638918</v>
      </c>
      <c r="X644">
        <v>4.92322855309967</v>
      </c>
    </row>
    <row r="645" spans="1:24">
      <c r="A645">
        <v>501</v>
      </c>
      <c r="B645" t="s">
        <v>1753</v>
      </c>
      <c r="C645">
        <v>2</v>
      </c>
      <c r="D645" t="s">
        <v>1754</v>
      </c>
      <c r="E645">
        <v>2</v>
      </c>
      <c r="F645">
        <v>2</v>
      </c>
      <c r="G645">
        <v>2</v>
      </c>
      <c r="H645" t="s">
        <v>1755</v>
      </c>
      <c r="I645">
        <v>17.100000000000001</v>
      </c>
      <c r="J645">
        <v>16.228000000000002</v>
      </c>
      <c r="K645" t="s">
        <v>1756</v>
      </c>
      <c r="L645" t="s">
        <v>1756</v>
      </c>
      <c r="M645">
        <v>3.6311678256505799</v>
      </c>
      <c r="N645">
        <v>2.6835051655629099</v>
      </c>
      <c r="O645">
        <v>1.8238867883763601</v>
      </c>
      <c r="P645">
        <v>3.19565678233438</v>
      </c>
      <c r="Q645">
        <v>2.51152398661212</v>
      </c>
      <c r="R645">
        <v>2.7002430962789199</v>
      </c>
      <c r="S645">
        <v>2.2662711409396001</v>
      </c>
      <c r="T645">
        <v>5.9224498386417803</v>
      </c>
      <c r="U645">
        <v>3.3070749542961599</v>
      </c>
      <c r="V645">
        <v>6.3038158058494096</v>
      </c>
      <c r="W645">
        <v>5.1015923855567298</v>
      </c>
      <c r="X645">
        <v>0.984645710619934</v>
      </c>
    </row>
    <row r="646" spans="1:24">
      <c r="A646">
        <v>64</v>
      </c>
      <c r="B646" t="s">
        <v>1757</v>
      </c>
      <c r="C646">
        <v>2</v>
      </c>
      <c r="D646" t="s">
        <v>1758</v>
      </c>
      <c r="E646">
        <v>6</v>
      </c>
      <c r="F646">
        <v>6</v>
      </c>
      <c r="G646">
        <v>5</v>
      </c>
      <c r="H646" t="s">
        <v>1759</v>
      </c>
      <c r="I646">
        <v>21</v>
      </c>
      <c r="J646">
        <v>21.670999999999999</v>
      </c>
      <c r="K646" t="str">
        <f>"PGRMC1"</f>
        <v>PGRMC1</v>
      </c>
      <c r="L646" t="str">
        <f>"PGRMC1"</f>
        <v>PGRMC1</v>
      </c>
      <c r="M646">
        <v>3.6311678256505799</v>
      </c>
      <c r="N646">
        <v>2.6835051655629099</v>
      </c>
      <c r="O646">
        <v>1.8238867883763601</v>
      </c>
      <c r="P646">
        <v>3.19565678233438</v>
      </c>
      <c r="Q646">
        <v>2.51152398661212</v>
      </c>
      <c r="R646">
        <v>3.6003241283718901</v>
      </c>
      <c r="S646">
        <v>3.3994067114094002</v>
      </c>
      <c r="T646">
        <v>4.7379598709134303</v>
      </c>
      <c r="U646">
        <v>2.20471663619744</v>
      </c>
      <c r="V646">
        <v>3.1519079029246999</v>
      </c>
      <c r="W646">
        <v>2.5507961927783702</v>
      </c>
      <c r="X646">
        <v>1.96929142123987</v>
      </c>
    </row>
    <row r="647" spans="1:24">
      <c r="A647">
        <v>229</v>
      </c>
      <c r="B647" t="s">
        <v>1760</v>
      </c>
      <c r="C647">
        <v>2</v>
      </c>
      <c r="D647" t="s">
        <v>1761</v>
      </c>
      <c r="E647">
        <v>14</v>
      </c>
      <c r="F647">
        <v>14</v>
      </c>
      <c r="G647">
        <v>14</v>
      </c>
      <c r="H647" t="s">
        <v>1762</v>
      </c>
      <c r="I647">
        <v>60.3</v>
      </c>
      <c r="J647">
        <v>37.908999999999999</v>
      </c>
      <c r="K647" t="str">
        <f>"GRAP2"</f>
        <v>GRAP2</v>
      </c>
      <c r="L647" t="str">
        <f>"GRAP2"</f>
        <v>GRAP2</v>
      </c>
      <c r="M647">
        <v>1.2103892752168599</v>
      </c>
      <c r="N647">
        <v>4.4725086092715198</v>
      </c>
      <c r="O647">
        <v>3.64777357675273</v>
      </c>
      <c r="P647">
        <v>0</v>
      </c>
      <c r="Q647">
        <v>2.51152398661212</v>
      </c>
      <c r="R647">
        <v>1.8001620641859499</v>
      </c>
      <c r="S647">
        <v>2.2662711409396001</v>
      </c>
      <c r="T647">
        <v>1.18448996772836</v>
      </c>
      <c r="U647">
        <v>3.3070749542961599</v>
      </c>
      <c r="V647">
        <v>4.2025438705662701</v>
      </c>
      <c r="W647">
        <v>3.82619428916755</v>
      </c>
      <c r="X647">
        <v>2.9539371318597998</v>
      </c>
    </row>
    <row r="648" spans="1:24">
      <c r="A648">
        <v>992</v>
      </c>
      <c r="B648" t="s">
        <v>1763</v>
      </c>
      <c r="C648">
        <v>4</v>
      </c>
      <c r="D648" t="s">
        <v>1764</v>
      </c>
      <c r="E648">
        <v>9</v>
      </c>
      <c r="F648">
        <v>9</v>
      </c>
      <c r="G648">
        <v>9</v>
      </c>
      <c r="H648" t="s">
        <v>1765</v>
      </c>
      <c r="I648">
        <v>67.900000000000006</v>
      </c>
      <c r="J648">
        <v>11.372</v>
      </c>
      <c r="K648" t="str">
        <f>"SNCA;SNCB"</f>
        <v>SNCA;SNCB</v>
      </c>
      <c r="L648" t="str">
        <f>"SNCA;SNCB"</f>
        <v>SNCA;SNCB</v>
      </c>
      <c r="M648">
        <v>2.4207785504337198</v>
      </c>
      <c r="N648">
        <v>3.57800688741722</v>
      </c>
      <c r="O648">
        <v>4.5597169709409098</v>
      </c>
      <c r="P648">
        <v>3.19565678233438</v>
      </c>
      <c r="Q648">
        <v>2.51152398661212</v>
      </c>
      <c r="R648">
        <v>2.7002430962789199</v>
      </c>
      <c r="S648">
        <v>3.3994067114094002</v>
      </c>
      <c r="T648">
        <v>2.3689799354567098</v>
      </c>
      <c r="U648">
        <v>1.10235831809872</v>
      </c>
      <c r="V648">
        <v>4.2025438705662701</v>
      </c>
      <c r="W648">
        <v>2.5507961927783702</v>
      </c>
      <c r="X648">
        <v>5.9078742637195996</v>
      </c>
    </row>
    <row r="649" spans="1:24">
      <c r="A649">
        <v>1061</v>
      </c>
      <c r="B649" t="s">
        <v>1766</v>
      </c>
      <c r="C649">
        <v>1</v>
      </c>
      <c r="D649" t="s">
        <v>1767</v>
      </c>
      <c r="E649">
        <v>10</v>
      </c>
      <c r="F649">
        <v>10</v>
      </c>
      <c r="G649">
        <v>10</v>
      </c>
      <c r="H649" t="s">
        <v>1766</v>
      </c>
      <c r="I649">
        <v>57.7</v>
      </c>
      <c r="J649">
        <v>23.277000000000001</v>
      </c>
      <c r="K649" t="str">
        <f>"ATP5O"</f>
        <v>ATP5O</v>
      </c>
      <c r="L649" t="str">
        <f>"ATP5O"</f>
        <v>ATP5O</v>
      </c>
      <c r="M649">
        <v>2.4207785504337198</v>
      </c>
      <c r="N649">
        <v>2.6835051655629099</v>
      </c>
      <c r="O649">
        <v>1.8238867883763601</v>
      </c>
      <c r="P649">
        <v>3.19565678233438</v>
      </c>
      <c r="Q649">
        <v>3.7672859799181899</v>
      </c>
      <c r="R649">
        <v>5.4004861925578398</v>
      </c>
      <c r="S649">
        <v>3.3994067114094002</v>
      </c>
      <c r="T649">
        <v>2.3689799354567098</v>
      </c>
      <c r="U649">
        <v>4.4094332723948799</v>
      </c>
      <c r="V649">
        <v>3.1519079029246999</v>
      </c>
      <c r="W649">
        <v>3.82619428916755</v>
      </c>
      <c r="X649">
        <v>4.92322855309967</v>
      </c>
    </row>
    <row r="650" spans="1:24">
      <c r="A650">
        <v>1994</v>
      </c>
      <c r="B650" t="s">
        <v>1768</v>
      </c>
      <c r="C650">
        <v>3</v>
      </c>
      <c r="D650" t="s">
        <v>1769</v>
      </c>
      <c r="E650">
        <v>11</v>
      </c>
      <c r="F650">
        <v>11</v>
      </c>
      <c r="G650">
        <v>11</v>
      </c>
      <c r="H650" t="s">
        <v>1770</v>
      </c>
      <c r="I650">
        <v>40.5</v>
      </c>
      <c r="J650">
        <v>52.390999999999998</v>
      </c>
      <c r="K650" t="str">
        <f>"DOK1"</f>
        <v>DOK1</v>
      </c>
      <c r="L650" t="str">
        <f>"DOK1"</f>
        <v>DOK1</v>
      </c>
      <c r="M650">
        <v>2.4207785504337198</v>
      </c>
      <c r="N650">
        <v>4.4725086092715198</v>
      </c>
      <c r="O650">
        <v>2.7358301825645501</v>
      </c>
      <c r="P650">
        <v>2.1304378548895899</v>
      </c>
      <c r="Q650">
        <v>2.51152398661212</v>
      </c>
      <c r="R650">
        <v>3.6003241283718901</v>
      </c>
      <c r="S650">
        <v>4.5325422818791896</v>
      </c>
      <c r="T650">
        <v>1.18448996772836</v>
      </c>
      <c r="U650">
        <v>5.5117915904936003</v>
      </c>
      <c r="V650">
        <v>2.1012719352831399</v>
      </c>
      <c r="W650">
        <v>5.1015923855567298</v>
      </c>
      <c r="X650">
        <v>6.8925199743395398</v>
      </c>
    </row>
    <row r="651" spans="1:24">
      <c r="A651">
        <v>2210</v>
      </c>
      <c r="B651" t="s">
        <v>1771</v>
      </c>
      <c r="C651">
        <v>5</v>
      </c>
      <c r="D651" t="s">
        <v>1772</v>
      </c>
      <c r="E651">
        <v>10</v>
      </c>
      <c r="F651">
        <v>10</v>
      </c>
      <c r="G651">
        <v>10</v>
      </c>
      <c r="H651" t="s">
        <v>1773</v>
      </c>
      <c r="I651">
        <v>13.7</v>
      </c>
      <c r="J651">
        <v>78.236999999999995</v>
      </c>
      <c r="K651" t="str">
        <f>"NCKIPSD"</f>
        <v>NCKIPSD</v>
      </c>
      <c r="L651" t="str">
        <f>"NCKIPSD"</f>
        <v>NCKIPSD</v>
      </c>
      <c r="M651">
        <v>1.2103892752168599</v>
      </c>
      <c r="N651">
        <v>3.57800688741722</v>
      </c>
      <c r="O651">
        <v>2.7358301825645501</v>
      </c>
      <c r="P651">
        <v>2.1304378548895899</v>
      </c>
      <c r="Q651">
        <v>2.51152398661212</v>
      </c>
      <c r="R651">
        <v>2.7002430962789199</v>
      </c>
      <c r="S651">
        <v>5.6656778523489901</v>
      </c>
      <c r="T651">
        <v>3.5534699031850701</v>
      </c>
      <c r="U651">
        <v>2.20471663619744</v>
      </c>
      <c r="V651">
        <v>3.1519079029246999</v>
      </c>
      <c r="W651">
        <v>1.27539809638918</v>
      </c>
      <c r="X651">
        <v>3.9385828424797298</v>
      </c>
    </row>
    <row r="652" spans="1:24">
      <c r="A652">
        <v>190</v>
      </c>
      <c r="B652" t="s">
        <v>1774</v>
      </c>
      <c r="C652">
        <v>4</v>
      </c>
      <c r="D652" t="s">
        <v>1775</v>
      </c>
      <c r="E652">
        <v>10</v>
      </c>
      <c r="F652">
        <v>10</v>
      </c>
      <c r="G652">
        <v>10</v>
      </c>
      <c r="H652" t="s">
        <v>1776</v>
      </c>
      <c r="I652">
        <v>35.799999999999997</v>
      </c>
      <c r="J652">
        <v>45.802999999999997</v>
      </c>
      <c r="K652" t="str">
        <f>"PLIN3"</f>
        <v>PLIN3</v>
      </c>
      <c r="L652" t="str">
        <f>"PLIN3"</f>
        <v>PLIN3</v>
      </c>
      <c r="M652">
        <v>0</v>
      </c>
      <c r="N652">
        <v>5.3670103311258304</v>
      </c>
      <c r="O652">
        <v>4.5597169709409098</v>
      </c>
      <c r="P652">
        <v>2.1304378548895899</v>
      </c>
      <c r="Q652">
        <v>0</v>
      </c>
      <c r="R652">
        <v>5.4004861925578398</v>
      </c>
      <c r="S652">
        <v>3.3994067114094002</v>
      </c>
      <c r="T652">
        <v>1.18448996772836</v>
      </c>
      <c r="U652">
        <v>2.20471663619744</v>
      </c>
      <c r="V652">
        <v>3.1519079029246999</v>
      </c>
      <c r="W652">
        <v>1.27539809638918</v>
      </c>
      <c r="X652">
        <v>2.9539371318597998</v>
      </c>
    </row>
    <row r="653" spans="1:24">
      <c r="A653">
        <v>234</v>
      </c>
      <c r="B653" t="s">
        <v>1777</v>
      </c>
      <c r="C653">
        <v>1</v>
      </c>
      <c r="D653" t="s">
        <v>1778</v>
      </c>
      <c r="E653">
        <v>11</v>
      </c>
      <c r="F653">
        <v>11</v>
      </c>
      <c r="G653">
        <v>11</v>
      </c>
      <c r="H653" t="s">
        <v>1777</v>
      </c>
      <c r="I653">
        <v>22.1</v>
      </c>
      <c r="J653">
        <v>54.811999999999998</v>
      </c>
      <c r="K653" t="str">
        <f>"ZMPSTE24"</f>
        <v>ZMPSTE24</v>
      </c>
      <c r="L653" t="str">
        <f>"ZMPSTE24"</f>
        <v>ZMPSTE24</v>
      </c>
      <c r="M653">
        <v>2.4207785504337198</v>
      </c>
      <c r="N653">
        <v>3.57800688741722</v>
      </c>
      <c r="O653">
        <v>4.5597169709409098</v>
      </c>
      <c r="P653">
        <v>4.2608757097791798</v>
      </c>
      <c r="Q653">
        <v>2.51152398661212</v>
      </c>
      <c r="R653">
        <v>3.6003241283718901</v>
      </c>
      <c r="S653">
        <v>3.3994067114094002</v>
      </c>
      <c r="T653">
        <v>1.18448996772836</v>
      </c>
      <c r="U653">
        <v>2.20471663619744</v>
      </c>
      <c r="V653">
        <v>3.1519079029246999</v>
      </c>
      <c r="W653">
        <v>5.1015923855567298</v>
      </c>
      <c r="X653">
        <v>3.9385828424797298</v>
      </c>
    </row>
    <row r="654" spans="1:24">
      <c r="A654">
        <v>874</v>
      </c>
      <c r="B654" t="s">
        <v>1779</v>
      </c>
      <c r="C654">
        <v>4</v>
      </c>
      <c r="D654" t="s">
        <v>1780</v>
      </c>
      <c r="E654">
        <v>7</v>
      </c>
      <c r="F654">
        <v>7</v>
      </c>
      <c r="G654">
        <v>7</v>
      </c>
      <c r="H654" t="s">
        <v>1781</v>
      </c>
      <c r="I654">
        <v>32.700000000000003</v>
      </c>
      <c r="J654">
        <v>31.120999999999999</v>
      </c>
      <c r="K654" t="str">
        <f>"EEF1D"</f>
        <v>EEF1D</v>
      </c>
      <c r="L654" t="str">
        <f>"EEF1D"</f>
        <v>EEF1D</v>
      </c>
      <c r="M654">
        <v>1.2103892752168599</v>
      </c>
      <c r="N654">
        <v>3.57800688741722</v>
      </c>
      <c r="O654">
        <v>3.64777357675273</v>
      </c>
      <c r="P654">
        <v>3.19565678233438</v>
      </c>
      <c r="Q654">
        <v>1.25576199330606</v>
      </c>
      <c r="R654">
        <v>3.6003241283718901</v>
      </c>
      <c r="S654">
        <v>4.5325422818791896</v>
      </c>
      <c r="T654">
        <v>4.7379598709134303</v>
      </c>
      <c r="U654">
        <v>3.3070749542961599</v>
      </c>
      <c r="V654">
        <v>4.2025438705662701</v>
      </c>
      <c r="W654">
        <v>3.82619428916755</v>
      </c>
      <c r="X654">
        <v>3.9385828424797298</v>
      </c>
    </row>
    <row r="655" spans="1:24">
      <c r="A655">
        <v>880</v>
      </c>
      <c r="B655" t="s">
        <v>1782</v>
      </c>
      <c r="C655">
        <v>2</v>
      </c>
      <c r="D655" t="s">
        <v>1783</v>
      </c>
      <c r="E655">
        <v>8</v>
      </c>
      <c r="F655">
        <v>8</v>
      </c>
      <c r="G655">
        <v>8</v>
      </c>
      <c r="H655" t="s">
        <v>1784</v>
      </c>
      <c r="I655">
        <v>46.3</v>
      </c>
      <c r="J655">
        <v>28.17</v>
      </c>
      <c r="K655" t="str">
        <f>"C21orf33"</f>
        <v>C21orf33</v>
      </c>
      <c r="L655" t="str">
        <f>"C21orf33"</f>
        <v>C21orf33</v>
      </c>
      <c r="M655">
        <v>1.2103892752168599</v>
      </c>
      <c r="N655">
        <v>3.57800688741722</v>
      </c>
      <c r="O655">
        <v>4.5597169709409098</v>
      </c>
      <c r="P655">
        <v>3.19565678233438</v>
      </c>
      <c r="Q655">
        <v>1.25576199330606</v>
      </c>
      <c r="R655">
        <v>4.5004051604648696</v>
      </c>
      <c r="S655">
        <v>2.2662711409396001</v>
      </c>
      <c r="T655">
        <v>2.3689799354567098</v>
      </c>
      <c r="U655">
        <v>2.20471663619744</v>
      </c>
      <c r="V655">
        <v>2.1012719352831399</v>
      </c>
      <c r="W655">
        <v>5.1015923855567298</v>
      </c>
      <c r="X655">
        <v>4.92322855309967</v>
      </c>
    </row>
    <row r="656" spans="1:24">
      <c r="A656">
        <v>1133</v>
      </c>
      <c r="B656" t="s">
        <v>1785</v>
      </c>
      <c r="C656">
        <v>2</v>
      </c>
      <c r="D656" t="s">
        <v>1786</v>
      </c>
      <c r="E656">
        <v>9</v>
      </c>
      <c r="F656">
        <v>9</v>
      </c>
      <c r="G656">
        <v>9</v>
      </c>
      <c r="H656" t="s">
        <v>1787</v>
      </c>
      <c r="I656">
        <v>32.9</v>
      </c>
      <c r="J656">
        <v>27.991</v>
      </c>
      <c r="K656" t="str">
        <f>"BCAP31"</f>
        <v>BCAP31</v>
      </c>
      <c r="L656" t="str">
        <f>"BCAP31"</f>
        <v>BCAP31</v>
      </c>
      <c r="M656">
        <v>1.2103892752168599</v>
      </c>
      <c r="N656">
        <v>2.6835051655629099</v>
      </c>
      <c r="O656">
        <v>3.64777357675273</v>
      </c>
      <c r="P656">
        <v>5.3260946372239797</v>
      </c>
      <c r="Q656">
        <v>0</v>
      </c>
      <c r="R656">
        <v>4.5004051604648696</v>
      </c>
      <c r="S656">
        <v>3.3994067114094002</v>
      </c>
      <c r="T656">
        <v>3.5534699031850701</v>
      </c>
      <c r="U656">
        <v>3.3070749542961599</v>
      </c>
      <c r="V656">
        <v>3.1519079029246999</v>
      </c>
      <c r="W656">
        <v>5.1015923855567298</v>
      </c>
      <c r="X656">
        <v>2.9539371318597998</v>
      </c>
    </row>
    <row r="657" spans="1:24">
      <c r="A657">
        <v>1666</v>
      </c>
      <c r="B657" t="s">
        <v>1788</v>
      </c>
      <c r="C657">
        <v>1</v>
      </c>
      <c r="D657" t="s">
        <v>1789</v>
      </c>
      <c r="E657">
        <v>9</v>
      </c>
      <c r="F657">
        <v>9</v>
      </c>
      <c r="G657">
        <v>9</v>
      </c>
      <c r="H657" t="s">
        <v>1788</v>
      </c>
      <c r="I657">
        <v>25.7</v>
      </c>
      <c r="J657">
        <v>60.540999999999997</v>
      </c>
      <c r="K657" t="str">
        <f>"ATL3"</f>
        <v>ATL3</v>
      </c>
      <c r="L657" t="str">
        <f>"ATL3"</f>
        <v>ATL3</v>
      </c>
      <c r="M657">
        <v>3.6311678256505799</v>
      </c>
      <c r="N657">
        <v>2.6835051655629099</v>
      </c>
      <c r="O657">
        <v>3.64777357675273</v>
      </c>
      <c r="P657">
        <v>3.19565678233438</v>
      </c>
      <c r="Q657">
        <v>1.25576199330606</v>
      </c>
      <c r="R657">
        <v>3.6003241283718901</v>
      </c>
      <c r="S657">
        <v>2.2662711409396001</v>
      </c>
      <c r="T657">
        <v>2.3689799354567098</v>
      </c>
      <c r="U657">
        <v>2.20471663619744</v>
      </c>
      <c r="V657">
        <v>5.2531798382078403</v>
      </c>
      <c r="W657">
        <v>2.5507961927783702</v>
      </c>
      <c r="X657">
        <v>2.9539371318597998</v>
      </c>
    </row>
    <row r="658" spans="1:24">
      <c r="A658">
        <v>400</v>
      </c>
      <c r="B658" t="s">
        <v>1790</v>
      </c>
      <c r="C658">
        <v>1</v>
      </c>
      <c r="D658" t="s">
        <v>1791</v>
      </c>
      <c r="E658">
        <v>6</v>
      </c>
      <c r="F658">
        <v>6</v>
      </c>
      <c r="G658">
        <v>6</v>
      </c>
      <c r="H658" t="s">
        <v>1790</v>
      </c>
      <c r="I658">
        <v>22</v>
      </c>
      <c r="J658">
        <v>11.175000000000001</v>
      </c>
      <c r="K658" t="str">
        <f>"APOA2"</f>
        <v>APOA2</v>
      </c>
      <c r="L658" t="str">
        <f>"APOA2"</f>
        <v>APOA2</v>
      </c>
      <c r="M658">
        <v>6.0519463760843104</v>
      </c>
      <c r="N658">
        <v>1.78900344370861</v>
      </c>
      <c r="O658">
        <v>3.64777357675273</v>
      </c>
      <c r="P658">
        <v>5.3260946372239797</v>
      </c>
      <c r="Q658">
        <v>5.0230479732242497</v>
      </c>
      <c r="R658">
        <v>1.8001620641859499</v>
      </c>
      <c r="S658">
        <v>2.2662711409396001</v>
      </c>
      <c r="T658">
        <v>3.5534699031850701</v>
      </c>
      <c r="U658">
        <v>0</v>
      </c>
      <c r="V658">
        <v>2.1012719352831399</v>
      </c>
      <c r="W658">
        <v>5.1015923855567298</v>
      </c>
      <c r="X658">
        <v>0.984645710619934</v>
      </c>
    </row>
    <row r="659" spans="1:24">
      <c r="A659">
        <v>927</v>
      </c>
      <c r="B659" t="s">
        <v>1792</v>
      </c>
      <c r="C659">
        <v>2</v>
      </c>
      <c r="D659" t="s">
        <v>1793</v>
      </c>
      <c r="E659">
        <v>15</v>
      </c>
      <c r="F659">
        <v>15</v>
      </c>
      <c r="G659">
        <v>15</v>
      </c>
      <c r="H659" t="s">
        <v>1794</v>
      </c>
      <c r="I659">
        <v>37.5</v>
      </c>
      <c r="J659">
        <v>52.645000000000003</v>
      </c>
      <c r="K659" t="str">
        <f>"UQCRC1;PMPCB"</f>
        <v>UQCRC1;PMPCB</v>
      </c>
      <c r="L659" t="str">
        <f>"UQCRC1;PMPCB"</f>
        <v>UQCRC1;PMPCB</v>
      </c>
      <c r="M659">
        <v>1.2103892752168599</v>
      </c>
      <c r="N659">
        <v>1.78900344370861</v>
      </c>
      <c r="O659">
        <v>2.7358301825645501</v>
      </c>
      <c r="P659">
        <v>3.19565678233438</v>
      </c>
      <c r="Q659">
        <v>1.25576199330606</v>
      </c>
      <c r="R659">
        <v>4.5004051604648696</v>
      </c>
      <c r="S659">
        <v>5.6656778523489901</v>
      </c>
      <c r="T659">
        <v>1.18448996772836</v>
      </c>
      <c r="U659">
        <v>2.20471663619744</v>
      </c>
      <c r="V659">
        <v>2.1012719352831399</v>
      </c>
      <c r="W659">
        <v>8.9277866747242793</v>
      </c>
      <c r="X659">
        <v>6.8925199743395398</v>
      </c>
    </row>
    <row r="660" spans="1:24">
      <c r="A660">
        <v>1270</v>
      </c>
      <c r="B660" t="s">
        <v>1795</v>
      </c>
      <c r="C660">
        <v>2</v>
      </c>
      <c r="D660" t="s">
        <v>1796</v>
      </c>
      <c r="E660">
        <v>11</v>
      </c>
      <c r="F660">
        <v>11</v>
      </c>
      <c r="G660">
        <v>1</v>
      </c>
      <c r="H660" t="s">
        <v>1797</v>
      </c>
      <c r="I660">
        <v>49.2</v>
      </c>
      <c r="J660">
        <v>35.575000000000003</v>
      </c>
      <c r="K660" t="str">
        <f>"PPP2CB;PPP4C"</f>
        <v>PPP2CB;PPP4C</v>
      </c>
      <c r="L660" t="str">
        <f>"PPP2CB;PPP4C"</f>
        <v>PPP2CB;PPP4C</v>
      </c>
      <c r="M660">
        <v>3.6311678256505799</v>
      </c>
      <c r="N660">
        <v>5.3670103311258304</v>
      </c>
      <c r="O660">
        <v>3.64777357675273</v>
      </c>
      <c r="P660">
        <v>2.1304378548895899</v>
      </c>
      <c r="Q660">
        <v>0</v>
      </c>
      <c r="R660">
        <v>3.6003241283718901</v>
      </c>
      <c r="S660">
        <v>1.1331355704698001</v>
      </c>
      <c r="T660">
        <v>3.5534699031850701</v>
      </c>
      <c r="U660">
        <v>3.3070749542961599</v>
      </c>
      <c r="V660">
        <v>3.1519079029246999</v>
      </c>
      <c r="W660">
        <v>2.5507961927783702</v>
      </c>
      <c r="X660">
        <v>2.9539371318597998</v>
      </c>
    </row>
    <row r="661" spans="1:24">
      <c r="A661">
        <v>1495</v>
      </c>
      <c r="B661" t="s">
        <v>1798</v>
      </c>
      <c r="C661">
        <v>1</v>
      </c>
      <c r="D661" t="s">
        <v>1799</v>
      </c>
      <c r="E661">
        <v>14</v>
      </c>
      <c r="F661">
        <v>14</v>
      </c>
      <c r="G661">
        <v>14</v>
      </c>
      <c r="H661" t="s">
        <v>1798</v>
      </c>
      <c r="I661">
        <v>40.700000000000003</v>
      </c>
      <c r="J661">
        <v>47.064</v>
      </c>
      <c r="K661" t="str">
        <f>"FLOT2"</f>
        <v>FLOT2</v>
      </c>
      <c r="L661" t="str">
        <f>"FLOT2"</f>
        <v>FLOT2</v>
      </c>
      <c r="M661">
        <v>0</v>
      </c>
      <c r="N661">
        <v>2.6835051655629099</v>
      </c>
      <c r="O661">
        <v>4.5597169709409098</v>
      </c>
      <c r="P661">
        <v>2.1304378548895899</v>
      </c>
      <c r="Q661">
        <v>2.51152398661212</v>
      </c>
      <c r="R661">
        <v>5.4004861925578398</v>
      </c>
      <c r="S661">
        <v>2.2662711409396001</v>
      </c>
      <c r="T661">
        <v>2.3689799354567098</v>
      </c>
      <c r="U661">
        <v>6.6141499085923199</v>
      </c>
      <c r="V661">
        <v>2.1012719352831399</v>
      </c>
      <c r="W661">
        <v>3.82619428916755</v>
      </c>
      <c r="X661">
        <v>4.92322855309967</v>
      </c>
    </row>
    <row r="662" spans="1:24">
      <c r="A662">
        <v>1527</v>
      </c>
      <c r="B662" t="s">
        <v>1800</v>
      </c>
      <c r="C662">
        <v>4</v>
      </c>
      <c r="D662" t="s">
        <v>1801</v>
      </c>
      <c r="E662">
        <v>8</v>
      </c>
      <c r="F662">
        <v>8</v>
      </c>
      <c r="G662">
        <v>8</v>
      </c>
      <c r="H662" t="s">
        <v>1802</v>
      </c>
      <c r="I662">
        <v>23.7</v>
      </c>
      <c r="J662">
        <v>45.530999999999999</v>
      </c>
      <c r="K662" t="str">
        <f>"PSMD6"</f>
        <v>PSMD6</v>
      </c>
      <c r="L662" t="str">
        <f>"PSMD6"</f>
        <v>PSMD6</v>
      </c>
      <c r="M662">
        <v>3.6311678256505799</v>
      </c>
      <c r="N662">
        <v>4.4725086092715198</v>
      </c>
      <c r="O662">
        <v>3.64777357675273</v>
      </c>
      <c r="P662">
        <v>3.19565678233438</v>
      </c>
      <c r="Q662">
        <v>3.7672859799181899</v>
      </c>
      <c r="R662">
        <v>3.6003241283718901</v>
      </c>
      <c r="S662">
        <v>4.5325422818791896</v>
      </c>
      <c r="T662">
        <v>3.5534699031850701</v>
      </c>
      <c r="U662">
        <v>2.20471663619744</v>
      </c>
      <c r="V662">
        <v>3.1519079029246999</v>
      </c>
      <c r="W662">
        <v>3.82619428916755</v>
      </c>
      <c r="X662">
        <v>4.92322855309967</v>
      </c>
    </row>
    <row r="663" spans="1:24">
      <c r="A663">
        <v>1594</v>
      </c>
      <c r="B663" t="s">
        <v>1803</v>
      </c>
      <c r="C663">
        <v>2</v>
      </c>
      <c r="D663" t="s">
        <v>1804</v>
      </c>
      <c r="E663">
        <v>12</v>
      </c>
      <c r="F663">
        <v>12</v>
      </c>
      <c r="G663">
        <v>12</v>
      </c>
      <c r="H663" t="s">
        <v>1805</v>
      </c>
      <c r="I663">
        <v>36.200000000000003</v>
      </c>
      <c r="J663">
        <v>34.994</v>
      </c>
      <c r="K663" t="str">
        <f>"DECR1"</f>
        <v>DECR1</v>
      </c>
      <c r="L663" t="str">
        <f>"DECR1"</f>
        <v>DECR1</v>
      </c>
      <c r="M663">
        <v>3.6311678256505799</v>
      </c>
      <c r="N663">
        <v>1.78900344370861</v>
      </c>
      <c r="O663">
        <v>0.91194339418818204</v>
      </c>
      <c r="P663">
        <v>4.2608757097791798</v>
      </c>
      <c r="Q663">
        <v>1.25576199330606</v>
      </c>
      <c r="R663">
        <v>6.3005672246508198</v>
      </c>
      <c r="S663">
        <v>4.5325422818791896</v>
      </c>
      <c r="T663">
        <v>2.3689799354567098</v>
      </c>
      <c r="U663">
        <v>2.20471663619744</v>
      </c>
      <c r="V663">
        <v>2.1012719352831399</v>
      </c>
      <c r="W663">
        <v>3.82619428916755</v>
      </c>
      <c r="X663">
        <v>2.9539371318597998</v>
      </c>
    </row>
    <row r="664" spans="1:24">
      <c r="A664">
        <v>2121</v>
      </c>
      <c r="B664" t="s">
        <v>1806</v>
      </c>
      <c r="C664">
        <v>3</v>
      </c>
      <c r="D664" t="s">
        <v>1807</v>
      </c>
      <c r="E664">
        <v>11</v>
      </c>
      <c r="F664">
        <v>11</v>
      </c>
      <c r="G664">
        <v>11</v>
      </c>
      <c r="H664" t="s">
        <v>1808</v>
      </c>
      <c r="I664">
        <v>62.3</v>
      </c>
      <c r="J664">
        <v>26.21</v>
      </c>
      <c r="K664" t="str">
        <f>"CACYBP"</f>
        <v>CACYBP</v>
      </c>
      <c r="L664" t="str">
        <f>"CACYBP"</f>
        <v>CACYBP</v>
      </c>
      <c r="M664">
        <v>2.4207785504337198</v>
      </c>
      <c r="N664">
        <v>4.4725086092715198</v>
      </c>
      <c r="O664">
        <v>5.4716603651290896</v>
      </c>
      <c r="P664">
        <v>3.19565678233438</v>
      </c>
      <c r="Q664">
        <v>2.51152398661212</v>
      </c>
      <c r="R664">
        <v>2.7002430962789199</v>
      </c>
      <c r="S664">
        <v>1.1331355704698001</v>
      </c>
      <c r="T664">
        <v>2.3689799354567098</v>
      </c>
      <c r="U664">
        <v>2.20471663619744</v>
      </c>
      <c r="V664">
        <v>3.1519079029246999</v>
      </c>
      <c r="W664">
        <v>3.82619428916755</v>
      </c>
      <c r="X664">
        <v>3.9385828424797298</v>
      </c>
    </row>
    <row r="665" spans="1:24">
      <c r="A665">
        <v>2166</v>
      </c>
      <c r="B665" t="s">
        <v>1809</v>
      </c>
      <c r="C665">
        <v>1</v>
      </c>
      <c r="D665" t="s">
        <v>1810</v>
      </c>
      <c r="E665">
        <v>8</v>
      </c>
      <c r="F665">
        <v>8</v>
      </c>
      <c r="G665">
        <v>8</v>
      </c>
      <c r="H665" t="s">
        <v>1809</v>
      </c>
      <c r="I665">
        <v>42.1</v>
      </c>
      <c r="J665">
        <v>27.582000000000001</v>
      </c>
      <c r="K665" t="str">
        <f>"RGS18"</f>
        <v>RGS18</v>
      </c>
      <c r="L665" t="str">
        <f>"RGS18"</f>
        <v>RGS18</v>
      </c>
      <c r="M665">
        <v>1.2103892752168599</v>
      </c>
      <c r="N665">
        <v>4.4725086092715198</v>
      </c>
      <c r="O665">
        <v>3.64777357675273</v>
      </c>
      <c r="P665">
        <v>2.1304378548895899</v>
      </c>
      <c r="Q665">
        <v>0</v>
      </c>
      <c r="R665">
        <v>3.6003241283718901</v>
      </c>
      <c r="S665">
        <v>4.5325422818791896</v>
      </c>
      <c r="T665">
        <v>2.3689799354567098</v>
      </c>
      <c r="U665">
        <v>3.3070749542961599</v>
      </c>
      <c r="V665">
        <v>2.1012719352831399</v>
      </c>
      <c r="W665">
        <v>2.5507961927783702</v>
      </c>
      <c r="X665">
        <v>2.9539371318597998</v>
      </c>
    </row>
    <row r="666" spans="1:24">
      <c r="A666">
        <v>364</v>
      </c>
      <c r="B666" t="s">
        <v>1811</v>
      </c>
      <c r="C666">
        <v>2</v>
      </c>
      <c r="D666" t="s">
        <v>1812</v>
      </c>
      <c r="E666">
        <v>3</v>
      </c>
      <c r="F666">
        <v>2</v>
      </c>
      <c r="G666">
        <v>2</v>
      </c>
      <c r="H666" t="s">
        <v>1813</v>
      </c>
      <c r="I666">
        <v>31.6</v>
      </c>
      <c r="J666">
        <v>12.946</v>
      </c>
      <c r="K666" t="str">
        <f>"IGHV1OR21-1"</f>
        <v>IGHV1OR21-1</v>
      </c>
      <c r="L666" t="str">
        <f>"IGHV1OR21-1"</f>
        <v>IGHV1OR21-1</v>
      </c>
      <c r="M666">
        <v>3.6311678256505799</v>
      </c>
      <c r="N666">
        <v>2.6835051655629099</v>
      </c>
      <c r="O666">
        <v>6.3836037593172703</v>
      </c>
      <c r="P666">
        <v>3.19565678233438</v>
      </c>
      <c r="Q666">
        <v>3.7672859799181899</v>
      </c>
      <c r="R666">
        <v>1.8001620641859499</v>
      </c>
      <c r="S666">
        <v>3.3994067114094002</v>
      </c>
      <c r="T666">
        <v>2.3689799354567098</v>
      </c>
      <c r="U666">
        <v>2.20471663619744</v>
      </c>
      <c r="V666">
        <v>3.1519079029246999</v>
      </c>
      <c r="W666">
        <v>5.1015923855567298</v>
      </c>
      <c r="X666">
        <v>1.96929142123987</v>
      </c>
    </row>
    <row r="667" spans="1:24">
      <c r="A667">
        <v>838</v>
      </c>
      <c r="B667" t="s">
        <v>1814</v>
      </c>
      <c r="C667">
        <v>2</v>
      </c>
      <c r="D667" t="s">
        <v>1815</v>
      </c>
      <c r="E667">
        <v>20</v>
      </c>
      <c r="F667">
        <v>20</v>
      </c>
      <c r="G667">
        <v>19</v>
      </c>
      <c r="H667" t="s">
        <v>1816</v>
      </c>
      <c r="I667">
        <v>29.9</v>
      </c>
      <c r="J667">
        <v>83.433999999999997</v>
      </c>
      <c r="K667" t="str">
        <f>"TARS"</f>
        <v>TARS</v>
      </c>
      <c r="L667" t="str">
        <f>"TARS"</f>
        <v>TARS</v>
      </c>
      <c r="M667">
        <v>1.2103892752168599</v>
      </c>
      <c r="N667">
        <v>2.6835051655629099</v>
      </c>
      <c r="O667">
        <v>4.5597169709409098</v>
      </c>
      <c r="P667">
        <v>2.1304378548895899</v>
      </c>
      <c r="Q667">
        <v>1.25576199330606</v>
      </c>
      <c r="R667">
        <v>4.5004051604648696</v>
      </c>
      <c r="S667">
        <v>2.2662711409396001</v>
      </c>
      <c r="T667">
        <v>0</v>
      </c>
      <c r="U667">
        <v>2.20471663619744</v>
      </c>
      <c r="V667">
        <v>1.05063596764157</v>
      </c>
      <c r="W667">
        <v>1.27539809638918</v>
      </c>
      <c r="X667">
        <v>1.96929142123987</v>
      </c>
    </row>
    <row r="668" spans="1:24">
      <c r="A668">
        <v>1031</v>
      </c>
      <c r="B668" t="s">
        <v>1817</v>
      </c>
      <c r="C668">
        <v>2</v>
      </c>
      <c r="D668" t="s">
        <v>1818</v>
      </c>
      <c r="E668">
        <v>11</v>
      </c>
      <c r="F668">
        <v>11</v>
      </c>
      <c r="G668">
        <v>11</v>
      </c>
      <c r="H668" t="s">
        <v>1819</v>
      </c>
      <c r="I668">
        <v>29</v>
      </c>
      <c r="J668">
        <v>46.637</v>
      </c>
      <c r="K668" t="str">
        <f>"PAFAH1B1"</f>
        <v>PAFAH1B1</v>
      </c>
      <c r="L668" t="str">
        <f>"PAFAH1B1"</f>
        <v>PAFAH1B1</v>
      </c>
      <c r="M668">
        <v>2.4207785504337198</v>
      </c>
      <c r="N668">
        <v>3.57800688741722</v>
      </c>
      <c r="O668">
        <v>4.5597169709409098</v>
      </c>
      <c r="P668">
        <v>2.1304378548895899</v>
      </c>
      <c r="Q668">
        <v>2.51152398661212</v>
      </c>
      <c r="R668">
        <v>2.7002430962789199</v>
      </c>
      <c r="S668">
        <v>1.1331355704698001</v>
      </c>
      <c r="T668">
        <v>1.18448996772836</v>
      </c>
      <c r="U668">
        <v>3.3070749542961599</v>
      </c>
      <c r="V668">
        <v>4.2025438705662701</v>
      </c>
      <c r="W668">
        <v>3.82619428916755</v>
      </c>
      <c r="X668">
        <v>2.9539371318597998</v>
      </c>
    </row>
    <row r="669" spans="1:24">
      <c r="A669">
        <v>389</v>
      </c>
      <c r="B669" t="s">
        <v>1820</v>
      </c>
      <c r="C669">
        <v>2</v>
      </c>
      <c r="D669" t="s">
        <v>1821</v>
      </c>
      <c r="E669">
        <v>12</v>
      </c>
      <c r="F669">
        <v>12</v>
      </c>
      <c r="G669">
        <v>12</v>
      </c>
      <c r="H669" t="s">
        <v>1822</v>
      </c>
      <c r="I669">
        <v>43.5</v>
      </c>
      <c r="J669">
        <v>42.253</v>
      </c>
      <c r="K669" t="str">
        <f>"IGHD"</f>
        <v>IGHD</v>
      </c>
      <c r="L669" t="str">
        <f>"IGHD"</f>
        <v>IGHD</v>
      </c>
      <c r="M669">
        <v>1.2103892752168599</v>
      </c>
      <c r="N669">
        <v>0</v>
      </c>
      <c r="O669">
        <v>0</v>
      </c>
      <c r="P669">
        <v>0</v>
      </c>
      <c r="Q669">
        <v>3.7672859799181899</v>
      </c>
      <c r="R669">
        <v>0</v>
      </c>
      <c r="S669">
        <v>0</v>
      </c>
      <c r="T669">
        <v>7.1069398063701401</v>
      </c>
      <c r="U669">
        <v>0</v>
      </c>
      <c r="V669">
        <v>6.3038158058494096</v>
      </c>
      <c r="W669">
        <v>6.37699048194591</v>
      </c>
      <c r="X669">
        <v>1.96929142123987</v>
      </c>
    </row>
    <row r="670" spans="1:24">
      <c r="A670">
        <v>2239</v>
      </c>
      <c r="B670" t="s">
        <v>1823</v>
      </c>
      <c r="C670">
        <v>2</v>
      </c>
      <c r="D670" t="s">
        <v>1824</v>
      </c>
      <c r="E670">
        <v>16</v>
      </c>
      <c r="F670">
        <v>16</v>
      </c>
      <c r="G670">
        <v>16</v>
      </c>
      <c r="H670" t="s">
        <v>1825</v>
      </c>
      <c r="I670">
        <v>27.6</v>
      </c>
      <c r="J670">
        <v>75.67</v>
      </c>
      <c r="K670" t="str">
        <f>"ADD3"</f>
        <v>ADD3</v>
      </c>
      <c r="L670" t="str">
        <f>"ADD3"</f>
        <v>ADD3</v>
      </c>
      <c r="M670">
        <v>1.2103892752168599</v>
      </c>
      <c r="N670">
        <v>4.4725086092715198</v>
      </c>
      <c r="O670">
        <v>2.7358301825645501</v>
      </c>
      <c r="P670">
        <v>3.19565678233438</v>
      </c>
      <c r="Q670">
        <v>2.51152398661212</v>
      </c>
      <c r="R670">
        <v>1.8001620641859499</v>
      </c>
      <c r="S670">
        <v>2.2662711409396001</v>
      </c>
      <c r="T670">
        <v>1.18448996772836</v>
      </c>
      <c r="U670">
        <v>4.4094332723948799</v>
      </c>
      <c r="V670">
        <v>1.05063596764157</v>
      </c>
      <c r="W670">
        <v>5.1015923855567298</v>
      </c>
      <c r="X670">
        <v>5.9078742637195996</v>
      </c>
    </row>
    <row r="671" spans="1:24">
      <c r="A671">
        <v>240</v>
      </c>
      <c r="B671" t="s">
        <v>1826</v>
      </c>
      <c r="C671">
        <v>2</v>
      </c>
      <c r="D671" t="s">
        <v>1827</v>
      </c>
      <c r="E671">
        <v>9</v>
      </c>
      <c r="F671">
        <v>9</v>
      </c>
      <c r="G671">
        <v>9</v>
      </c>
      <c r="H671" t="s">
        <v>1828</v>
      </c>
      <c r="I671">
        <v>55.9</v>
      </c>
      <c r="J671">
        <v>18.491</v>
      </c>
      <c r="K671" t="str">
        <f>"ATP5H"</f>
        <v>ATP5H</v>
      </c>
      <c r="L671" t="str">
        <f>"ATP5H"</f>
        <v>ATP5H</v>
      </c>
      <c r="M671">
        <v>2.4207785504337198</v>
      </c>
      <c r="N671">
        <v>0.89450172185430499</v>
      </c>
      <c r="O671">
        <v>1.8238867883763601</v>
      </c>
      <c r="P671">
        <v>3.19565678233438</v>
      </c>
      <c r="Q671">
        <v>5.0230479732242497</v>
      </c>
      <c r="R671">
        <v>3.6003241283718901</v>
      </c>
      <c r="S671">
        <v>2.2662711409396001</v>
      </c>
      <c r="T671">
        <v>4.7379598709134303</v>
      </c>
      <c r="U671">
        <v>4.4094332723948799</v>
      </c>
      <c r="V671">
        <v>2.1012719352831399</v>
      </c>
      <c r="W671">
        <v>2.5507961927783702</v>
      </c>
      <c r="X671">
        <v>4.92322855309967</v>
      </c>
    </row>
    <row r="672" spans="1:24">
      <c r="A672">
        <v>283</v>
      </c>
      <c r="B672" t="s">
        <v>1829</v>
      </c>
      <c r="C672">
        <v>5</v>
      </c>
      <c r="D672" t="s">
        <v>1830</v>
      </c>
      <c r="E672">
        <v>11</v>
      </c>
      <c r="F672">
        <v>11</v>
      </c>
      <c r="G672">
        <v>11</v>
      </c>
      <c r="H672" t="s">
        <v>1831</v>
      </c>
      <c r="I672">
        <v>22.5</v>
      </c>
      <c r="J672">
        <v>70.677999999999997</v>
      </c>
      <c r="K672" t="str">
        <f>"EML2;EML1"</f>
        <v>EML2;EML1</v>
      </c>
      <c r="L672" t="str">
        <f>"EML2;EML1"</f>
        <v>EML2;EML1</v>
      </c>
      <c r="M672">
        <v>0</v>
      </c>
      <c r="N672">
        <v>2.6835051655629099</v>
      </c>
      <c r="O672">
        <v>3.64777357675273</v>
      </c>
      <c r="P672">
        <v>3.19565678233438</v>
      </c>
      <c r="Q672">
        <v>2.51152398661212</v>
      </c>
      <c r="R672">
        <v>1.8001620641859499</v>
      </c>
      <c r="S672">
        <v>6.7988134228187898</v>
      </c>
      <c r="T672">
        <v>1.18448996772836</v>
      </c>
      <c r="U672">
        <v>4.4094332723948799</v>
      </c>
      <c r="V672">
        <v>2.1012719352831399</v>
      </c>
      <c r="W672">
        <v>2.5507961927783702</v>
      </c>
      <c r="X672">
        <v>4.92322855309967</v>
      </c>
    </row>
    <row r="673" spans="1:24">
      <c r="A673">
        <v>683</v>
      </c>
      <c r="B673" t="s">
        <v>1832</v>
      </c>
      <c r="C673">
        <v>2</v>
      </c>
      <c r="D673" t="s">
        <v>1833</v>
      </c>
      <c r="E673">
        <v>6</v>
      </c>
      <c r="F673">
        <v>6</v>
      </c>
      <c r="G673">
        <v>6</v>
      </c>
      <c r="H673" t="s">
        <v>1834</v>
      </c>
      <c r="I673">
        <v>26.3</v>
      </c>
      <c r="J673">
        <v>40.531999999999996</v>
      </c>
      <c r="K673" t="str">
        <f>"FDPS"</f>
        <v>FDPS</v>
      </c>
      <c r="L673" t="str">
        <f>"FDPS"</f>
        <v>FDPS</v>
      </c>
      <c r="M673">
        <v>1.2103892752168599</v>
      </c>
      <c r="N673">
        <v>3.57800688741722</v>
      </c>
      <c r="O673">
        <v>3.64777357675273</v>
      </c>
      <c r="P673">
        <v>2.1304378548895899</v>
      </c>
      <c r="Q673">
        <v>2.51152398661212</v>
      </c>
      <c r="R673">
        <v>3.6003241283718901</v>
      </c>
      <c r="S673">
        <v>3.3994067114094002</v>
      </c>
      <c r="T673">
        <v>3.5534699031850701</v>
      </c>
      <c r="U673">
        <v>3.3070749542961599</v>
      </c>
      <c r="V673">
        <v>4.2025438705662701</v>
      </c>
      <c r="W673">
        <v>3.82619428916755</v>
      </c>
      <c r="X673">
        <v>1.96929142123987</v>
      </c>
    </row>
    <row r="674" spans="1:24">
      <c r="A674">
        <v>993</v>
      </c>
      <c r="B674" t="s">
        <v>1835</v>
      </c>
      <c r="C674">
        <v>2</v>
      </c>
      <c r="D674" t="s">
        <v>1836</v>
      </c>
      <c r="E674">
        <v>10</v>
      </c>
      <c r="F674">
        <v>10</v>
      </c>
      <c r="G674">
        <v>10</v>
      </c>
      <c r="H674" t="s">
        <v>1837</v>
      </c>
      <c r="I674">
        <v>43.5</v>
      </c>
      <c r="J674">
        <v>27.843</v>
      </c>
      <c r="K674" t="str">
        <f>"ETFB"</f>
        <v>ETFB</v>
      </c>
      <c r="L674" t="str">
        <f>"ETFB"</f>
        <v>ETFB</v>
      </c>
      <c r="M674">
        <v>2.4207785504337198</v>
      </c>
      <c r="N674">
        <v>2.6835051655629099</v>
      </c>
      <c r="O674">
        <v>2.7358301825645501</v>
      </c>
      <c r="P674">
        <v>4.2608757097791798</v>
      </c>
      <c r="Q674">
        <v>0</v>
      </c>
      <c r="R674">
        <v>4.5004051604648696</v>
      </c>
      <c r="S674">
        <v>1.1331355704698001</v>
      </c>
      <c r="T674">
        <v>2.3689799354567098</v>
      </c>
      <c r="U674">
        <v>2.20471663619744</v>
      </c>
      <c r="V674">
        <v>4.2025438705662701</v>
      </c>
      <c r="W674">
        <v>2.5507961927783702</v>
      </c>
      <c r="X674">
        <v>4.92322855309967</v>
      </c>
    </row>
    <row r="675" spans="1:24">
      <c r="A675">
        <v>1025</v>
      </c>
      <c r="B675" t="s">
        <v>1838</v>
      </c>
      <c r="C675">
        <v>1</v>
      </c>
      <c r="D675" t="s">
        <v>1839</v>
      </c>
      <c r="E675">
        <v>8</v>
      </c>
      <c r="F675">
        <v>8</v>
      </c>
      <c r="G675">
        <v>8</v>
      </c>
      <c r="H675" t="s">
        <v>1838</v>
      </c>
      <c r="I675">
        <v>28.2</v>
      </c>
      <c r="J675">
        <v>31.608000000000001</v>
      </c>
      <c r="K675" t="str">
        <f>"CASP3"</f>
        <v>CASP3</v>
      </c>
      <c r="L675" t="str">
        <f>"CASP3"</f>
        <v>CASP3</v>
      </c>
      <c r="M675">
        <v>3.6311678256505799</v>
      </c>
      <c r="N675">
        <v>2.6835051655629099</v>
      </c>
      <c r="O675">
        <v>3.64777357675273</v>
      </c>
      <c r="P675">
        <v>1.0652189274447901</v>
      </c>
      <c r="Q675">
        <v>1.25576199330606</v>
      </c>
      <c r="R675">
        <v>3.6003241283718901</v>
      </c>
      <c r="S675">
        <v>5.6656778523489901</v>
      </c>
      <c r="T675">
        <v>2.3689799354567098</v>
      </c>
      <c r="U675">
        <v>1.10235831809872</v>
      </c>
      <c r="V675">
        <v>3.1519079029246999</v>
      </c>
      <c r="W675">
        <v>2.5507961927783702</v>
      </c>
      <c r="X675">
        <v>1.96929142123987</v>
      </c>
    </row>
    <row r="676" spans="1:24">
      <c r="A676">
        <v>1268</v>
      </c>
      <c r="B676" t="s">
        <v>1840</v>
      </c>
      <c r="C676">
        <v>2</v>
      </c>
      <c r="D676" t="s">
        <v>1841</v>
      </c>
      <c r="E676">
        <v>10</v>
      </c>
      <c r="F676">
        <v>10</v>
      </c>
      <c r="G676">
        <v>10</v>
      </c>
      <c r="H676" t="s">
        <v>1842</v>
      </c>
      <c r="I676">
        <v>31.6</v>
      </c>
      <c r="J676">
        <v>49.03</v>
      </c>
      <c r="K676" t="str">
        <f>"ETF1"</f>
        <v>ETF1</v>
      </c>
      <c r="L676" t="str">
        <f>"ETF1"</f>
        <v>ETF1</v>
      </c>
      <c r="M676">
        <v>1.2103892752168599</v>
      </c>
      <c r="N676">
        <v>3.57800688741722</v>
      </c>
      <c r="O676">
        <v>2.7358301825645501</v>
      </c>
      <c r="P676">
        <v>4.2608757097791798</v>
      </c>
      <c r="Q676">
        <v>1.25576199330606</v>
      </c>
      <c r="R676">
        <v>4.5004051604648696</v>
      </c>
      <c r="S676">
        <v>3.3994067114094002</v>
      </c>
      <c r="T676">
        <v>1.18448996772836</v>
      </c>
      <c r="U676">
        <v>4.4094332723948799</v>
      </c>
      <c r="V676">
        <v>1.05063596764157</v>
      </c>
      <c r="W676">
        <v>5.1015923855567298</v>
      </c>
      <c r="X676">
        <v>4.92322855309967</v>
      </c>
    </row>
    <row r="677" spans="1:24">
      <c r="A677">
        <v>1272</v>
      </c>
      <c r="B677" t="s">
        <v>1843</v>
      </c>
      <c r="C677">
        <v>5</v>
      </c>
      <c r="D677" t="s">
        <v>1844</v>
      </c>
      <c r="E677">
        <v>14</v>
      </c>
      <c r="F677">
        <v>7</v>
      </c>
      <c r="G677">
        <v>7</v>
      </c>
      <c r="H677" t="s">
        <v>1845</v>
      </c>
      <c r="I677">
        <v>66.8</v>
      </c>
      <c r="J677">
        <v>22.677</v>
      </c>
      <c r="K677" t="str">
        <f>"RAB1A;RAB15"</f>
        <v>RAB1A;RAB15</v>
      </c>
      <c r="L677" t="str">
        <f>"RAB1A;RAB15"</f>
        <v>RAB1A;RAB15</v>
      </c>
      <c r="M677">
        <v>2.4207785504337198</v>
      </c>
      <c r="N677">
        <v>1.78900344370861</v>
      </c>
      <c r="O677">
        <v>3.64777357675273</v>
      </c>
      <c r="P677">
        <v>3.19565678233438</v>
      </c>
      <c r="Q677">
        <v>1.25576199330606</v>
      </c>
      <c r="R677">
        <v>1.8001620641859499</v>
      </c>
      <c r="S677">
        <v>3.3994067114094002</v>
      </c>
      <c r="T677">
        <v>3.5534699031850701</v>
      </c>
      <c r="U677">
        <v>1.10235831809872</v>
      </c>
      <c r="V677">
        <v>3.1519079029246999</v>
      </c>
      <c r="W677">
        <v>2.5507961927783702</v>
      </c>
      <c r="X677">
        <v>5.9078742637195996</v>
      </c>
    </row>
    <row r="678" spans="1:24">
      <c r="A678">
        <v>264</v>
      </c>
      <c r="B678" t="s">
        <v>1846</v>
      </c>
      <c r="C678">
        <v>1</v>
      </c>
      <c r="D678" t="s">
        <v>1847</v>
      </c>
      <c r="E678">
        <v>8</v>
      </c>
      <c r="F678">
        <v>8</v>
      </c>
      <c r="G678">
        <v>8</v>
      </c>
      <c r="H678" t="s">
        <v>1846</v>
      </c>
      <c r="I678">
        <v>41.5</v>
      </c>
      <c r="J678">
        <v>27.547000000000001</v>
      </c>
      <c r="K678" t="str">
        <f>"PGLS"</f>
        <v>PGLS</v>
      </c>
      <c r="L678" t="str">
        <f>"PGLS"</f>
        <v>PGLS</v>
      </c>
      <c r="M678">
        <v>2.4207785504337198</v>
      </c>
      <c r="N678">
        <v>3.57800688741722</v>
      </c>
      <c r="O678">
        <v>2.7358301825645501</v>
      </c>
      <c r="P678">
        <v>3.19565678233438</v>
      </c>
      <c r="Q678">
        <v>2.51152398661212</v>
      </c>
      <c r="R678">
        <v>3.6003241283718901</v>
      </c>
      <c r="S678">
        <v>3.3994067114094002</v>
      </c>
      <c r="T678">
        <v>1.18448996772836</v>
      </c>
      <c r="U678">
        <v>3.3070749542961599</v>
      </c>
      <c r="V678">
        <v>4.2025438705662701</v>
      </c>
      <c r="W678">
        <v>6.37699048194591</v>
      </c>
      <c r="X678">
        <v>5.9078742637195996</v>
      </c>
    </row>
    <row r="679" spans="1:24">
      <c r="A679">
        <v>699</v>
      </c>
      <c r="B679" t="s">
        <v>1848</v>
      </c>
      <c r="C679">
        <v>2</v>
      </c>
      <c r="D679" t="s">
        <v>1849</v>
      </c>
      <c r="E679">
        <v>9</v>
      </c>
      <c r="F679">
        <v>9</v>
      </c>
      <c r="G679">
        <v>9</v>
      </c>
      <c r="H679" t="s">
        <v>1850</v>
      </c>
      <c r="I679">
        <v>29.7</v>
      </c>
      <c r="J679">
        <v>52.286000000000001</v>
      </c>
      <c r="K679" t="str">
        <f>"CPN1"</f>
        <v>CPN1</v>
      </c>
      <c r="L679" t="str">
        <f>"CPN1"</f>
        <v>CPN1</v>
      </c>
      <c r="M679">
        <v>8.4727249265180298</v>
      </c>
      <c r="N679">
        <v>4.4725086092715198</v>
      </c>
      <c r="O679">
        <v>3.64777357675273</v>
      </c>
      <c r="P679">
        <v>2.1304378548895899</v>
      </c>
      <c r="Q679">
        <v>5.0230479732242497</v>
      </c>
      <c r="R679">
        <v>0.90008103209297396</v>
      </c>
      <c r="S679">
        <v>4.5325422818791896</v>
      </c>
      <c r="T679">
        <v>7.1069398063701401</v>
      </c>
      <c r="U679">
        <v>3.3070749542961599</v>
      </c>
      <c r="V679">
        <v>1.05063596764157</v>
      </c>
      <c r="W679">
        <v>3.82619428916755</v>
      </c>
      <c r="X679">
        <v>0.984645710619934</v>
      </c>
    </row>
    <row r="680" spans="1:24">
      <c r="A680">
        <v>1301</v>
      </c>
      <c r="B680" t="s">
        <v>1851</v>
      </c>
      <c r="C680">
        <v>3</v>
      </c>
      <c r="D680" t="s">
        <v>1852</v>
      </c>
      <c r="E680">
        <v>5</v>
      </c>
      <c r="F680">
        <v>5</v>
      </c>
      <c r="G680">
        <v>5</v>
      </c>
      <c r="H680" t="s">
        <v>1853</v>
      </c>
      <c r="I680">
        <v>47.5</v>
      </c>
      <c r="J680">
        <v>14.121</v>
      </c>
      <c r="K680" t="str">
        <f>"UBE2L3"</f>
        <v>UBE2L3</v>
      </c>
      <c r="L680" t="str">
        <f>"UBE2L3"</f>
        <v>UBE2L3</v>
      </c>
      <c r="M680">
        <v>3.6311678256505799</v>
      </c>
      <c r="N680">
        <v>2.6835051655629099</v>
      </c>
      <c r="O680">
        <v>4.5597169709409098</v>
      </c>
      <c r="P680">
        <v>2.1304378548895899</v>
      </c>
      <c r="Q680">
        <v>1.25576199330606</v>
      </c>
      <c r="R680">
        <v>0.90008103209297396</v>
      </c>
      <c r="S680">
        <v>1.1331355704698001</v>
      </c>
      <c r="T680">
        <v>2.3689799354567098</v>
      </c>
      <c r="U680">
        <v>5.5117915904936003</v>
      </c>
      <c r="V680">
        <v>4.2025438705662701</v>
      </c>
      <c r="W680">
        <v>1.27539809638918</v>
      </c>
      <c r="X680">
        <v>1.96929142123987</v>
      </c>
    </row>
    <row r="681" spans="1:24">
      <c r="A681">
        <v>1790</v>
      </c>
      <c r="B681" t="s">
        <v>1854</v>
      </c>
      <c r="C681">
        <v>4</v>
      </c>
      <c r="D681" t="s">
        <v>1855</v>
      </c>
      <c r="E681">
        <v>8</v>
      </c>
      <c r="F681">
        <v>8</v>
      </c>
      <c r="G681">
        <v>8</v>
      </c>
      <c r="H681" t="s">
        <v>1856</v>
      </c>
      <c r="I681">
        <v>28.6</v>
      </c>
      <c r="J681">
        <v>51.777000000000001</v>
      </c>
      <c r="K681" t="str">
        <f>"FAM63A"</f>
        <v>FAM63A</v>
      </c>
      <c r="L681" t="str">
        <f>"FAM63A"</f>
        <v>FAM63A</v>
      </c>
      <c r="M681">
        <v>0</v>
      </c>
      <c r="N681">
        <v>6.2615120529801302</v>
      </c>
      <c r="O681">
        <v>5.4716603651290896</v>
      </c>
      <c r="P681">
        <v>1.0652189274447901</v>
      </c>
      <c r="Q681">
        <v>0</v>
      </c>
      <c r="R681">
        <v>5.4004861925578398</v>
      </c>
      <c r="S681">
        <v>5.6656778523489901</v>
      </c>
      <c r="T681">
        <v>1.18448996772836</v>
      </c>
      <c r="U681">
        <v>3.3070749542961599</v>
      </c>
      <c r="V681">
        <v>3.1519079029246999</v>
      </c>
      <c r="W681">
        <v>2.5507961927783702</v>
      </c>
      <c r="X681">
        <v>3.9385828424797298</v>
      </c>
    </row>
    <row r="682" spans="1:24">
      <c r="A682">
        <v>1866</v>
      </c>
      <c r="B682" t="s">
        <v>1857</v>
      </c>
      <c r="C682">
        <v>5</v>
      </c>
      <c r="D682" t="s">
        <v>1858</v>
      </c>
      <c r="E682">
        <v>18</v>
      </c>
      <c r="F682">
        <v>18</v>
      </c>
      <c r="G682">
        <v>18</v>
      </c>
      <c r="H682" t="s">
        <v>1859</v>
      </c>
      <c r="I682">
        <v>14.7</v>
      </c>
      <c r="J682">
        <v>196.44</v>
      </c>
      <c r="K682" t="str">
        <f>"MYO18A"</f>
        <v>MYO18A</v>
      </c>
      <c r="L682" t="str">
        <f>"MYO18A"</f>
        <v>MYO18A</v>
      </c>
      <c r="M682">
        <v>1.2103892752168599</v>
      </c>
      <c r="N682">
        <v>2.6835051655629099</v>
      </c>
      <c r="O682">
        <v>4.5597169709409098</v>
      </c>
      <c r="P682">
        <v>4.2608757097791798</v>
      </c>
      <c r="Q682">
        <v>2.51152398661212</v>
      </c>
      <c r="R682">
        <v>0.90008103209297396</v>
      </c>
      <c r="S682">
        <v>1.1331355704698001</v>
      </c>
      <c r="T682">
        <v>2.3689799354567098</v>
      </c>
      <c r="U682">
        <v>5.5117915904936003</v>
      </c>
      <c r="V682">
        <v>3.1519079029246999</v>
      </c>
      <c r="W682">
        <v>0</v>
      </c>
      <c r="X682">
        <v>2.9539371318597998</v>
      </c>
    </row>
    <row r="683" spans="1:24">
      <c r="A683">
        <v>266</v>
      </c>
      <c r="B683" t="s">
        <v>1860</v>
      </c>
      <c r="C683">
        <v>1</v>
      </c>
      <c r="D683" t="s">
        <v>1861</v>
      </c>
      <c r="E683">
        <v>13</v>
      </c>
      <c r="F683">
        <v>13</v>
      </c>
      <c r="G683">
        <v>13</v>
      </c>
      <c r="H683" t="s">
        <v>1860</v>
      </c>
      <c r="I683">
        <v>16.8</v>
      </c>
      <c r="J683">
        <v>119.52</v>
      </c>
      <c r="K683" t="str">
        <f>"IPO7"</f>
        <v>IPO7</v>
      </c>
      <c r="L683" t="str">
        <f>"IPO7"</f>
        <v>IPO7</v>
      </c>
      <c r="M683">
        <v>3.6311678256505799</v>
      </c>
      <c r="N683">
        <v>5.3670103311258304</v>
      </c>
      <c r="O683">
        <v>2.7358301825645501</v>
      </c>
      <c r="P683">
        <v>2.1304378548895899</v>
      </c>
      <c r="Q683">
        <v>0</v>
      </c>
      <c r="R683">
        <v>2.7002430962789199</v>
      </c>
      <c r="S683">
        <v>1.1331355704698001</v>
      </c>
      <c r="T683">
        <v>0</v>
      </c>
      <c r="U683">
        <v>2.20471663619744</v>
      </c>
      <c r="V683">
        <v>2.1012719352831399</v>
      </c>
      <c r="W683">
        <v>0</v>
      </c>
      <c r="X683">
        <v>2.9539371318597998</v>
      </c>
    </row>
    <row r="684" spans="1:24">
      <c r="A684">
        <v>675</v>
      </c>
      <c r="B684" t="s">
        <v>1862</v>
      </c>
      <c r="C684">
        <v>2</v>
      </c>
      <c r="D684" t="s">
        <v>1863</v>
      </c>
      <c r="E684">
        <v>10</v>
      </c>
      <c r="F684">
        <v>10</v>
      </c>
      <c r="G684">
        <v>10</v>
      </c>
      <c r="H684" t="s">
        <v>1864</v>
      </c>
      <c r="I684">
        <v>35.4</v>
      </c>
      <c r="J684">
        <v>35.079000000000001</v>
      </c>
      <c r="K684" t="str">
        <f>"ETFA"</f>
        <v>ETFA</v>
      </c>
      <c r="L684" t="str">
        <f>"ETFA"</f>
        <v>ETFA</v>
      </c>
      <c r="M684">
        <v>2.4207785504337198</v>
      </c>
      <c r="N684">
        <v>2.6835051655629099</v>
      </c>
      <c r="O684">
        <v>3.64777357675273</v>
      </c>
      <c r="P684">
        <v>3.19565678233438</v>
      </c>
      <c r="Q684">
        <v>3.7672859799181899</v>
      </c>
      <c r="R684">
        <v>4.5004051604648696</v>
      </c>
      <c r="S684">
        <v>1.1331355704698001</v>
      </c>
      <c r="T684">
        <v>2.3689799354567098</v>
      </c>
      <c r="U684">
        <v>1.10235831809872</v>
      </c>
      <c r="V684">
        <v>3.1519079029246999</v>
      </c>
      <c r="W684">
        <v>2.5507961927783702</v>
      </c>
      <c r="X684">
        <v>4.92322855309967</v>
      </c>
    </row>
    <row r="685" spans="1:24">
      <c r="A685">
        <v>985</v>
      </c>
      <c r="B685" t="s">
        <v>1865</v>
      </c>
      <c r="C685">
        <v>2</v>
      </c>
      <c r="D685" t="s">
        <v>1866</v>
      </c>
      <c r="E685">
        <v>8</v>
      </c>
      <c r="F685">
        <v>8</v>
      </c>
      <c r="G685">
        <v>8</v>
      </c>
      <c r="H685" t="s">
        <v>1867</v>
      </c>
      <c r="I685">
        <v>21.9</v>
      </c>
      <c r="J685">
        <v>48.755000000000003</v>
      </c>
      <c r="K685" t="str">
        <f>"DLST"</f>
        <v>DLST</v>
      </c>
      <c r="L685" t="str">
        <f>"DLST"</f>
        <v>DLST</v>
      </c>
      <c r="M685">
        <v>1.2103892752168599</v>
      </c>
      <c r="N685">
        <v>2.6835051655629099</v>
      </c>
      <c r="O685">
        <v>4.5597169709409098</v>
      </c>
      <c r="P685">
        <v>2.1304378548895899</v>
      </c>
      <c r="Q685">
        <v>5.0230479732242497</v>
      </c>
      <c r="R685">
        <v>2.7002430962789199</v>
      </c>
      <c r="S685">
        <v>2.2662711409396001</v>
      </c>
      <c r="T685">
        <v>2.3689799354567098</v>
      </c>
      <c r="U685">
        <v>4.4094332723948799</v>
      </c>
      <c r="V685">
        <v>1.05063596764157</v>
      </c>
      <c r="W685">
        <v>3.82619428916755</v>
      </c>
      <c r="X685">
        <v>3.9385828424797298</v>
      </c>
    </row>
    <row r="686" spans="1:24">
      <c r="A686">
        <v>1282</v>
      </c>
      <c r="B686" t="s">
        <v>1868</v>
      </c>
      <c r="C686">
        <v>3</v>
      </c>
      <c r="D686" t="s">
        <v>1869</v>
      </c>
      <c r="E686">
        <v>29</v>
      </c>
      <c r="F686">
        <v>12</v>
      </c>
      <c r="G686">
        <v>12</v>
      </c>
      <c r="H686" t="s">
        <v>1870</v>
      </c>
      <c r="I686">
        <v>31.7</v>
      </c>
      <c r="J686">
        <v>104.55</v>
      </c>
      <c r="K686" t="str">
        <f>"AP2B1"</f>
        <v>AP2B1</v>
      </c>
      <c r="L686" t="str">
        <f>"AP2B1"</f>
        <v>AP2B1</v>
      </c>
      <c r="M686">
        <v>1.2103892752168599</v>
      </c>
      <c r="N686">
        <v>4.4725086092715198</v>
      </c>
      <c r="O686">
        <v>2.7358301825645501</v>
      </c>
      <c r="P686">
        <v>3.19565678233438</v>
      </c>
      <c r="Q686">
        <v>2.51152398661212</v>
      </c>
      <c r="R686">
        <v>1.8001620641859499</v>
      </c>
      <c r="S686">
        <v>2.2662711409396001</v>
      </c>
      <c r="T686">
        <v>4.7379598709134303</v>
      </c>
      <c r="U686">
        <v>3.3070749542961599</v>
      </c>
      <c r="V686">
        <v>2.1012719352831399</v>
      </c>
      <c r="W686">
        <v>3.82619428916755</v>
      </c>
      <c r="X686">
        <v>1.96929142123987</v>
      </c>
    </row>
    <row r="687" spans="1:24">
      <c r="A687">
        <v>1722</v>
      </c>
      <c r="B687" t="s">
        <v>1871</v>
      </c>
      <c r="C687">
        <v>7</v>
      </c>
      <c r="D687" t="s">
        <v>1872</v>
      </c>
      <c r="E687">
        <v>17</v>
      </c>
      <c r="F687">
        <v>17</v>
      </c>
      <c r="G687">
        <v>14</v>
      </c>
      <c r="H687" t="s">
        <v>1873</v>
      </c>
      <c r="I687">
        <v>19.600000000000001</v>
      </c>
      <c r="J687">
        <v>116.07</v>
      </c>
      <c r="K687" t="str">
        <f>"TAOK1;TAOK2"</f>
        <v>TAOK1;TAOK2</v>
      </c>
      <c r="L687" t="str">
        <f>"TAOK1;TAOK2"</f>
        <v>TAOK1;TAOK2</v>
      </c>
      <c r="M687">
        <v>2.4207785504337198</v>
      </c>
      <c r="N687">
        <v>3.57800688741722</v>
      </c>
      <c r="O687">
        <v>5.4716603651290896</v>
      </c>
      <c r="P687">
        <v>4.2608757097791798</v>
      </c>
      <c r="Q687">
        <v>1.25576199330606</v>
      </c>
      <c r="R687">
        <v>4.5004051604648696</v>
      </c>
      <c r="S687">
        <v>1.1331355704698001</v>
      </c>
      <c r="T687">
        <v>0</v>
      </c>
      <c r="U687">
        <v>3.3070749542961599</v>
      </c>
      <c r="V687">
        <v>2.1012719352831399</v>
      </c>
      <c r="W687">
        <v>2.5507961927783702</v>
      </c>
      <c r="X687">
        <v>1.96929142123987</v>
      </c>
    </row>
    <row r="688" spans="1:24">
      <c r="A688">
        <v>196</v>
      </c>
      <c r="B688" t="s">
        <v>1874</v>
      </c>
      <c r="C688">
        <v>12</v>
      </c>
      <c r="D688" t="s">
        <v>1875</v>
      </c>
      <c r="E688">
        <v>7</v>
      </c>
      <c r="F688">
        <v>7</v>
      </c>
      <c r="G688">
        <v>1</v>
      </c>
      <c r="H688" t="s">
        <v>1876</v>
      </c>
      <c r="I688">
        <v>51.6</v>
      </c>
      <c r="J688">
        <v>13.989000000000001</v>
      </c>
      <c r="K688" t="str">
        <f>"HIST1H2BM;HIST1H2BN;HIST1H2BH;HIST2H2BF;HIST1H2BC;HIST1H2BD;H2BFS;HIST1H2BK;HIST1H2BL;HIST3H2BB;HIST1H2BA"</f>
        <v>HIST1H2BM;HIST1H2BN;HIST1H2BH;HIST2H2BF;HIST1H2BC;HIST1H2BD;H2BFS;HIST1H2BK;HIST1H2BL;HIST3H2BB;HIST1H2BA</v>
      </c>
      <c r="L688" t="str">
        <f>"HIST1H2BM;HIST1H2BN;HIST1H2BH;HIST2H2BF;HIST1H2BC;HIST1H2BD;H2BFS;HIST1H2BK;HIST1H2BL;HIST3H2BB;HIST1H2BA"</f>
        <v>HIST1H2BM;HIST1H2BN;HIST1H2BH;HIST2H2BF;HIST1H2BC;HIST1H2BD;H2BFS;HIST1H2BK;HIST1H2BL;HIST3H2BB;HIST1H2BA</v>
      </c>
      <c r="M688">
        <v>0</v>
      </c>
      <c r="N688">
        <v>0.89450172185430499</v>
      </c>
      <c r="O688">
        <v>0.91194339418818204</v>
      </c>
      <c r="P688">
        <v>1.0652189274447901</v>
      </c>
      <c r="Q688">
        <v>2.51152398661212</v>
      </c>
      <c r="R688">
        <v>9.9008913530227094</v>
      </c>
      <c r="S688">
        <v>5.6656778523489901</v>
      </c>
      <c r="T688">
        <v>0</v>
      </c>
      <c r="U688">
        <v>6.6141499085923199</v>
      </c>
      <c r="V688">
        <v>3.1519079029246999</v>
      </c>
      <c r="W688">
        <v>3.82619428916755</v>
      </c>
      <c r="X688">
        <v>0.984645710619934</v>
      </c>
    </row>
    <row r="689" spans="1:24">
      <c r="A689">
        <v>479</v>
      </c>
      <c r="B689" t="s">
        <v>1877</v>
      </c>
      <c r="C689">
        <v>1</v>
      </c>
      <c r="D689" t="s">
        <v>1878</v>
      </c>
      <c r="E689">
        <v>8</v>
      </c>
      <c r="F689">
        <v>8</v>
      </c>
      <c r="G689">
        <v>8</v>
      </c>
      <c r="H689" t="s">
        <v>1877</v>
      </c>
      <c r="I689">
        <v>20.9</v>
      </c>
      <c r="J689">
        <v>45.673999999999999</v>
      </c>
      <c r="K689" t="str">
        <f>"SERPINA5"</f>
        <v>SERPINA5</v>
      </c>
      <c r="L689" t="str">
        <f>"SERPINA5"</f>
        <v>SERPINA5</v>
      </c>
      <c r="M689">
        <v>4.8415571008674503</v>
      </c>
      <c r="N689">
        <v>1.78900344370861</v>
      </c>
      <c r="O689">
        <v>4.5597169709409098</v>
      </c>
      <c r="P689">
        <v>5.3260946372239797</v>
      </c>
      <c r="Q689">
        <v>5.0230479732242497</v>
      </c>
      <c r="R689">
        <v>2.7002430962789199</v>
      </c>
      <c r="S689">
        <v>3.3994067114094002</v>
      </c>
      <c r="T689">
        <v>4.7379598709134303</v>
      </c>
      <c r="U689">
        <v>0</v>
      </c>
      <c r="V689">
        <v>5.2531798382078403</v>
      </c>
      <c r="W689">
        <v>3.82619428916755</v>
      </c>
      <c r="X689">
        <v>0.984645710619934</v>
      </c>
    </row>
    <row r="690" spans="1:24">
      <c r="A690">
        <v>917</v>
      </c>
      <c r="B690" t="s">
        <v>1879</v>
      </c>
      <c r="C690">
        <v>3</v>
      </c>
      <c r="D690" t="s">
        <v>1880</v>
      </c>
      <c r="E690">
        <v>17</v>
      </c>
      <c r="F690">
        <v>17</v>
      </c>
      <c r="G690">
        <v>17</v>
      </c>
      <c r="H690" t="s">
        <v>1881</v>
      </c>
      <c r="I690">
        <v>32.5</v>
      </c>
      <c r="J690">
        <v>72.691000000000003</v>
      </c>
      <c r="K690" t="str">
        <f>"SDHA"</f>
        <v>SDHA</v>
      </c>
      <c r="L690" t="str">
        <f>"SDHA"</f>
        <v>SDHA</v>
      </c>
      <c r="M690">
        <v>1.2103892752168599</v>
      </c>
      <c r="N690">
        <v>2.6835051655629099</v>
      </c>
      <c r="O690">
        <v>5.4716603651290896</v>
      </c>
      <c r="P690">
        <v>1.0652189274447901</v>
      </c>
      <c r="Q690">
        <v>1.25576199330606</v>
      </c>
      <c r="R690">
        <v>3.6003241283718901</v>
      </c>
      <c r="S690">
        <v>2.2662711409396001</v>
      </c>
      <c r="T690">
        <v>2.3689799354567098</v>
      </c>
      <c r="U690">
        <v>3.3070749542961599</v>
      </c>
      <c r="V690">
        <v>2.1012719352831399</v>
      </c>
      <c r="W690">
        <v>3.82619428916755</v>
      </c>
      <c r="X690">
        <v>1.96929142123987</v>
      </c>
    </row>
    <row r="691" spans="1:24">
      <c r="A691">
        <v>976</v>
      </c>
      <c r="B691" t="s">
        <v>1882</v>
      </c>
      <c r="C691">
        <v>2</v>
      </c>
      <c r="D691" t="s">
        <v>1883</v>
      </c>
      <c r="E691">
        <v>7</v>
      </c>
      <c r="F691">
        <v>7</v>
      </c>
      <c r="G691">
        <v>7</v>
      </c>
      <c r="H691" t="s">
        <v>1884</v>
      </c>
      <c r="I691">
        <v>23.2</v>
      </c>
      <c r="J691">
        <v>32.881</v>
      </c>
      <c r="K691" t="str">
        <f>"ATP5C1"</f>
        <v>ATP5C1</v>
      </c>
      <c r="L691" t="str">
        <f>"ATP5C1"</f>
        <v>ATP5C1</v>
      </c>
      <c r="M691">
        <v>2.4207785504337198</v>
      </c>
      <c r="N691">
        <v>2.6835051655629099</v>
      </c>
      <c r="O691">
        <v>5.4716603651290896</v>
      </c>
      <c r="P691">
        <v>2.1304378548895899</v>
      </c>
      <c r="Q691">
        <v>2.51152398661212</v>
      </c>
      <c r="R691">
        <v>3.6003241283718901</v>
      </c>
      <c r="S691">
        <v>4.5325422818791896</v>
      </c>
      <c r="T691">
        <v>4.7379598709134303</v>
      </c>
      <c r="U691">
        <v>4.4094332723948799</v>
      </c>
      <c r="V691">
        <v>1.05063596764157</v>
      </c>
      <c r="W691">
        <v>2.5507961927783702</v>
      </c>
      <c r="X691">
        <v>4.92322855309967</v>
      </c>
    </row>
    <row r="692" spans="1:24">
      <c r="A692">
        <v>1027</v>
      </c>
      <c r="B692" t="s">
        <v>1885</v>
      </c>
      <c r="C692">
        <v>1</v>
      </c>
      <c r="D692" t="s">
        <v>1886</v>
      </c>
      <c r="E692">
        <v>8</v>
      </c>
      <c r="F692">
        <v>8</v>
      </c>
      <c r="G692">
        <v>8</v>
      </c>
      <c r="H692" t="s">
        <v>1885</v>
      </c>
      <c r="I692">
        <v>23.7</v>
      </c>
      <c r="J692">
        <v>52.911999999999999</v>
      </c>
      <c r="K692" t="str">
        <f>"WAS"</f>
        <v>WAS</v>
      </c>
      <c r="L692" t="str">
        <f>"WAS"</f>
        <v>WAS</v>
      </c>
      <c r="M692">
        <v>0</v>
      </c>
      <c r="N692">
        <v>3.57800688741722</v>
      </c>
      <c r="O692">
        <v>3.64777357675273</v>
      </c>
      <c r="P692">
        <v>3.19565678233438</v>
      </c>
      <c r="Q692">
        <v>6.2788099665303099</v>
      </c>
      <c r="R692">
        <v>3.6003241283718901</v>
      </c>
      <c r="S692">
        <v>3.3994067114094002</v>
      </c>
      <c r="T692">
        <v>1.18448996772836</v>
      </c>
      <c r="U692">
        <v>2.20471663619744</v>
      </c>
      <c r="V692">
        <v>3.1519079029246999</v>
      </c>
      <c r="W692">
        <v>6.37699048194591</v>
      </c>
      <c r="X692">
        <v>5.9078742637195996</v>
      </c>
    </row>
    <row r="693" spans="1:24">
      <c r="A693">
        <v>1221</v>
      </c>
      <c r="B693" t="s">
        <v>1887</v>
      </c>
      <c r="C693">
        <v>3</v>
      </c>
      <c r="D693" t="s">
        <v>1888</v>
      </c>
      <c r="E693">
        <v>7</v>
      </c>
      <c r="F693">
        <v>7</v>
      </c>
      <c r="G693">
        <v>3</v>
      </c>
      <c r="H693" t="s">
        <v>1889</v>
      </c>
      <c r="I693">
        <v>24.5</v>
      </c>
      <c r="J693">
        <v>34.834000000000003</v>
      </c>
      <c r="K693" t="str">
        <f>"PRPS1;PRPS1L1"</f>
        <v>PRPS1;PRPS1L1</v>
      </c>
      <c r="L693" t="str">
        <f>"PRPS1;PRPS1L1"</f>
        <v>PRPS1;PRPS1L1</v>
      </c>
      <c r="M693">
        <v>3.6311678256505799</v>
      </c>
      <c r="N693">
        <v>2.6835051655629099</v>
      </c>
      <c r="O693">
        <v>4.5597169709409098</v>
      </c>
      <c r="P693">
        <v>3.19565678233438</v>
      </c>
      <c r="Q693">
        <v>1.25576199330606</v>
      </c>
      <c r="R693">
        <v>3.6003241283718901</v>
      </c>
      <c r="S693">
        <v>4.5325422818791896</v>
      </c>
      <c r="T693">
        <v>2.3689799354567098</v>
      </c>
      <c r="U693">
        <v>2.20471663619744</v>
      </c>
      <c r="V693">
        <v>3.1519079029246999</v>
      </c>
      <c r="W693">
        <v>2.5507961927783702</v>
      </c>
      <c r="X693">
        <v>2.9539371318597998</v>
      </c>
    </row>
    <row r="694" spans="1:24">
      <c r="A694">
        <v>1222</v>
      </c>
      <c r="B694" t="s">
        <v>1890</v>
      </c>
      <c r="C694">
        <v>3</v>
      </c>
      <c r="D694" t="s">
        <v>1891</v>
      </c>
      <c r="E694">
        <v>7</v>
      </c>
      <c r="F694">
        <v>7</v>
      </c>
      <c r="G694">
        <v>7</v>
      </c>
      <c r="H694" t="s">
        <v>1892</v>
      </c>
      <c r="I694">
        <v>27.6</v>
      </c>
      <c r="J694">
        <v>27.399000000000001</v>
      </c>
      <c r="K694" t="str">
        <f>"PSMA6"</f>
        <v>PSMA6</v>
      </c>
      <c r="L694" t="str">
        <f>"PSMA6"</f>
        <v>PSMA6</v>
      </c>
      <c r="M694">
        <v>3.6311678256505799</v>
      </c>
      <c r="N694">
        <v>2.6835051655629099</v>
      </c>
      <c r="O694">
        <v>3.64777357675273</v>
      </c>
      <c r="P694">
        <v>2.1304378548895899</v>
      </c>
      <c r="Q694">
        <v>1.25576199330606</v>
      </c>
      <c r="R694">
        <v>2.7002430962789199</v>
      </c>
      <c r="S694">
        <v>4.5325422818791896</v>
      </c>
      <c r="T694">
        <v>3.5534699031850701</v>
      </c>
      <c r="U694">
        <v>4.4094332723948799</v>
      </c>
      <c r="V694">
        <v>2.1012719352831399</v>
      </c>
      <c r="W694">
        <v>3.82619428916755</v>
      </c>
      <c r="X694">
        <v>1.96929142123987</v>
      </c>
    </row>
    <row r="695" spans="1:24">
      <c r="A695">
        <v>1969</v>
      </c>
      <c r="B695" t="s">
        <v>1893</v>
      </c>
      <c r="C695">
        <v>10</v>
      </c>
      <c r="D695" t="s">
        <v>1894</v>
      </c>
      <c r="E695">
        <v>11</v>
      </c>
      <c r="F695">
        <v>11</v>
      </c>
      <c r="G695">
        <v>8</v>
      </c>
      <c r="H695" t="s">
        <v>1895</v>
      </c>
      <c r="I695">
        <v>9.1999999999999993</v>
      </c>
      <c r="J695">
        <v>146.08000000000001</v>
      </c>
      <c r="K695" t="str">
        <f>"ERBB2IP;LRRC7"</f>
        <v>ERBB2IP;LRRC7</v>
      </c>
      <c r="L695" t="str">
        <f>"ERBIN;LRRC7"</f>
        <v>ERBIN;LRRC7</v>
      </c>
      <c r="M695">
        <v>4.8415571008674503</v>
      </c>
      <c r="N695">
        <v>1.78900344370861</v>
      </c>
      <c r="O695">
        <v>1.8238867883763601</v>
      </c>
      <c r="P695">
        <v>2.1304378548895899</v>
      </c>
      <c r="Q695">
        <v>2.51152398661212</v>
      </c>
      <c r="R695">
        <v>2.7002430962789199</v>
      </c>
      <c r="S695">
        <v>3.3994067114094002</v>
      </c>
      <c r="T695">
        <v>2.3689799354567098</v>
      </c>
      <c r="U695">
        <v>3.3070749542961599</v>
      </c>
      <c r="V695">
        <v>4.2025438705662701</v>
      </c>
      <c r="W695">
        <v>1.27539809638918</v>
      </c>
      <c r="X695">
        <v>2.9539371318597998</v>
      </c>
    </row>
    <row r="696" spans="1:24">
      <c r="A696">
        <v>1169</v>
      </c>
      <c r="B696" t="s">
        <v>1896</v>
      </c>
      <c r="C696">
        <v>1</v>
      </c>
      <c r="D696" t="s">
        <v>1897</v>
      </c>
      <c r="E696">
        <v>4</v>
      </c>
      <c r="F696">
        <v>4</v>
      </c>
      <c r="G696">
        <v>4</v>
      </c>
      <c r="H696" t="s">
        <v>1896</v>
      </c>
      <c r="I696">
        <v>17.2</v>
      </c>
      <c r="J696">
        <v>20.324000000000002</v>
      </c>
      <c r="K696" t="str">
        <f>"PTTG1IP"</f>
        <v>PTTG1IP</v>
      </c>
      <c r="L696" t="str">
        <f>"PTTG1IP"</f>
        <v>PTTG1IP</v>
      </c>
      <c r="M696">
        <v>2.4207785504337198</v>
      </c>
      <c r="N696">
        <v>3.57800688741722</v>
      </c>
      <c r="O696">
        <v>3.64777357675273</v>
      </c>
      <c r="P696">
        <v>2.1304378548895899</v>
      </c>
      <c r="Q696">
        <v>2.51152398661212</v>
      </c>
      <c r="R696">
        <v>4.5004051604648696</v>
      </c>
      <c r="S696">
        <v>2.2662711409396001</v>
      </c>
      <c r="T696">
        <v>3.5534699031850701</v>
      </c>
      <c r="U696">
        <v>2.20471663619744</v>
      </c>
      <c r="V696">
        <v>4.2025438705662701</v>
      </c>
      <c r="W696">
        <v>3.82619428916755</v>
      </c>
      <c r="X696">
        <v>1.96929142123987</v>
      </c>
    </row>
    <row r="697" spans="1:24">
      <c r="A697">
        <v>1239</v>
      </c>
      <c r="B697" t="s">
        <v>1898</v>
      </c>
      <c r="C697">
        <v>2</v>
      </c>
      <c r="D697" t="s">
        <v>1899</v>
      </c>
      <c r="E697">
        <v>14</v>
      </c>
      <c r="F697">
        <v>14</v>
      </c>
      <c r="G697">
        <v>14</v>
      </c>
      <c r="H697" t="s">
        <v>1900</v>
      </c>
      <c r="I697">
        <v>40.200000000000003</v>
      </c>
      <c r="J697">
        <v>51.595999999999997</v>
      </c>
      <c r="K697" t="str">
        <f>"COPS2"</f>
        <v>COPS2</v>
      </c>
      <c r="L697" t="str">
        <f>"COPS2"</f>
        <v>COPS2</v>
      </c>
      <c r="M697">
        <v>1.2103892752168599</v>
      </c>
      <c r="N697">
        <v>3.57800688741722</v>
      </c>
      <c r="O697">
        <v>1.8238867883763601</v>
      </c>
      <c r="P697">
        <v>2.1304378548895899</v>
      </c>
      <c r="Q697">
        <v>1.25576199330606</v>
      </c>
      <c r="R697">
        <v>3.6003241283718901</v>
      </c>
      <c r="S697">
        <v>2.2662711409396001</v>
      </c>
      <c r="T697">
        <v>3.5534699031850701</v>
      </c>
      <c r="U697">
        <v>3.3070749542961599</v>
      </c>
      <c r="V697">
        <v>3.1519079029246999</v>
      </c>
      <c r="W697">
        <v>5.1015923855567298</v>
      </c>
      <c r="X697">
        <v>3.9385828424797298</v>
      </c>
    </row>
    <row r="698" spans="1:24">
      <c r="A698">
        <v>1322</v>
      </c>
      <c r="B698" t="s">
        <v>1901</v>
      </c>
      <c r="C698">
        <v>1</v>
      </c>
      <c r="D698" t="s">
        <v>1902</v>
      </c>
      <c r="E698">
        <v>3</v>
      </c>
      <c r="F698">
        <v>3</v>
      </c>
      <c r="G698">
        <v>3</v>
      </c>
      <c r="H698" t="s">
        <v>1901</v>
      </c>
      <c r="I698">
        <v>37.799999999999997</v>
      </c>
      <c r="J698">
        <v>11.935</v>
      </c>
      <c r="K698" t="s">
        <v>1903</v>
      </c>
      <c r="L698" t="s">
        <v>1903</v>
      </c>
      <c r="M698">
        <v>3.6311678256505799</v>
      </c>
      <c r="N698">
        <v>1.78900344370861</v>
      </c>
      <c r="O698">
        <v>2.7358301825645501</v>
      </c>
      <c r="P698">
        <v>6.3913135646687698</v>
      </c>
      <c r="Q698">
        <v>3.7672859799181899</v>
      </c>
      <c r="R698">
        <v>2.7002430962789199</v>
      </c>
      <c r="S698">
        <v>2.2662711409396001</v>
      </c>
      <c r="T698">
        <v>3.5534699031850701</v>
      </c>
      <c r="U698">
        <v>2.20471663619744</v>
      </c>
      <c r="V698">
        <v>2.1012719352831399</v>
      </c>
      <c r="W698">
        <v>3.82619428916755</v>
      </c>
      <c r="X698">
        <v>1.96929142123987</v>
      </c>
    </row>
    <row r="699" spans="1:24">
      <c r="A699">
        <v>1412</v>
      </c>
      <c r="B699" t="s">
        <v>1904</v>
      </c>
      <c r="C699">
        <v>1</v>
      </c>
      <c r="D699" t="s">
        <v>1905</v>
      </c>
      <c r="E699">
        <v>15</v>
      </c>
      <c r="F699">
        <v>15</v>
      </c>
      <c r="G699">
        <v>15</v>
      </c>
      <c r="H699" t="s">
        <v>1904</v>
      </c>
      <c r="I699">
        <v>54.2</v>
      </c>
      <c r="J699">
        <v>40.228000000000002</v>
      </c>
      <c r="K699" t="str">
        <f>"LMAN2"</f>
        <v>LMAN2</v>
      </c>
      <c r="L699" t="str">
        <f>"LMAN2"</f>
        <v>LMAN2</v>
      </c>
      <c r="M699">
        <v>2.4207785504337198</v>
      </c>
      <c r="N699">
        <v>3.57800688741722</v>
      </c>
      <c r="O699">
        <v>5.4716603651290896</v>
      </c>
      <c r="P699">
        <v>5.3260946372239797</v>
      </c>
      <c r="Q699">
        <v>0</v>
      </c>
      <c r="R699">
        <v>2.7002430962789199</v>
      </c>
      <c r="S699">
        <v>3.3994067114094002</v>
      </c>
      <c r="T699">
        <v>0</v>
      </c>
      <c r="U699">
        <v>3.3070749542961599</v>
      </c>
      <c r="V699">
        <v>2.1012719352831399</v>
      </c>
      <c r="W699">
        <v>0</v>
      </c>
      <c r="X699">
        <v>2.9539371318597998</v>
      </c>
    </row>
    <row r="700" spans="1:24">
      <c r="A700">
        <v>1442</v>
      </c>
      <c r="B700" t="s">
        <v>1906</v>
      </c>
      <c r="C700">
        <v>6</v>
      </c>
      <c r="D700" t="s">
        <v>1907</v>
      </c>
      <c r="E700">
        <v>6</v>
      </c>
      <c r="F700">
        <v>6</v>
      </c>
      <c r="G700">
        <v>2</v>
      </c>
      <c r="H700" t="s">
        <v>1908</v>
      </c>
      <c r="I700">
        <v>34.700000000000003</v>
      </c>
      <c r="J700">
        <v>16.495000000000001</v>
      </c>
      <c r="K700" t="str">
        <f>"UBE2V1"</f>
        <v>UBE2V1</v>
      </c>
      <c r="L700" t="str">
        <f>"UBE2V1"</f>
        <v>UBE2V1</v>
      </c>
      <c r="M700">
        <v>2.4207785504337198</v>
      </c>
      <c r="N700">
        <v>1.78900344370861</v>
      </c>
      <c r="O700">
        <v>2.7358301825645501</v>
      </c>
      <c r="P700">
        <v>3.19565678233438</v>
      </c>
      <c r="Q700">
        <v>2.51152398661212</v>
      </c>
      <c r="R700">
        <v>2.7002430962789199</v>
      </c>
      <c r="S700">
        <v>2.2662711409396001</v>
      </c>
      <c r="T700">
        <v>2.3689799354567098</v>
      </c>
      <c r="U700">
        <v>2.20471663619744</v>
      </c>
      <c r="V700">
        <v>3.1519079029246999</v>
      </c>
      <c r="W700">
        <v>3.82619428916755</v>
      </c>
      <c r="X700">
        <v>1.96929142123987</v>
      </c>
    </row>
    <row r="701" spans="1:24">
      <c r="A701">
        <v>2240</v>
      </c>
      <c r="B701" t="s">
        <v>1909</v>
      </c>
      <c r="C701">
        <v>1</v>
      </c>
      <c r="D701" t="s">
        <v>1910</v>
      </c>
      <c r="E701">
        <v>7</v>
      </c>
      <c r="F701">
        <v>7</v>
      </c>
      <c r="G701">
        <v>6</v>
      </c>
      <c r="H701" t="s">
        <v>1909</v>
      </c>
      <c r="I701">
        <v>32</v>
      </c>
      <c r="J701">
        <v>28.466000000000001</v>
      </c>
      <c r="K701" t="str">
        <f>"NIPSNAP3A"</f>
        <v>NIPSNAP3A</v>
      </c>
      <c r="L701" t="str">
        <f>"NIPSNAP3A"</f>
        <v>NIPSNAP3A</v>
      </c>
      <c r="M701">
        <v>4.8415571008674503</v>
      </c>
      <c r="N701">
        <v>1.78900344370861</v>
      </c>
      <c r="O701">
        <v>2.7358301825645501</v>
      </c>
      <c r="P701">
        <v>1.0652189274447901</v>
      </c>
      <c r="Q701">
        <v>2.51152398661212</v>
      </c>
      <c r="R701">
        <v>2.7002430962789199</v>
      </c>
      <c r="S701">
        <v>2.2662711409396001</v>
      </c>
      <c r="T701">
        <v>3.5534699031850701</v>
      </c>
      <c r="U701">
        <v>3.3070749542961599</v>
      </c>
      <c r="V701">
        <v>4.2025438705662701</v>
      </c>
      <c r="W701">
        <v>2.5507961927783702</v>
      </c>
      <c r="X701">
        <v>3.9385828424797298</v>
      </c>
    </row>
    <row r="702" spans="1:24">
      <c r="A702">
        <v>987</v>
      </c>
      <c r="B702" t="s">
        <v>1911</v>
      </c>
      <c r="C702">
        <v>2</v>
      </c>
      <c r="D702" t="s">
        <v>1912</v>
      </c>
      <c r="E702">
        <v>9</v>
      </c>
      <c r="F702">
        <v>9</v>
      </c>
      <c r="G702">
        <v>9</v>
      </c>
      <c r="H702" t="s">
        <v>1913</v>
      </c>
      <c r="I702">
        <v>56.5</v>
      </c>
      <c r="J702">
        <v>19.524999999999999</v>
      </c>
      <c r="K702" t="str">
        <f>"GPX4"</f>
        <v>GPX4</v>
      </c>
      <c r="L702" t="str">
        <f>"GPX4"</f>
        <v>GPX4</v>
      </c>
      <c r="M702">
        <v>3.6311678256505799</v>
      </c>
      <c r="N702">
        <v>1.78900344370861</v>
      </c>
      <c r="O702">
        <v>2.7358301825645501</v>
      </c>
      <c r="P702">
        <v>4.2608757097791798</v>
      </c>
      <c r="Q702">
        <v>0</v>
      </c>
      <c r="R702">
        <v>3.6003241283718901</v>
      </c>
      <c r="S702">
        <v>3.3994067114094002</v>
      </c>
      <c r="T702">
        <v>0</v>
      </c>
      <c r="U702">
        <v>5.5117915904936003</v>
      </c>
      <c r="V702">
        <v>5.2531798382078403</v>
      </c>
      <c r="W702">
        <v>1.27539809638918</v>
      </c>
      <c r="X702">
        <v>2.9539371318597998</v>
      </c>
    </row>
    <row r="703" spans="1:24">
      <c r="A703">
        <v>1117</v>
      </c>
      <c r="B703" t="s">
        <v>1914</v>
      </c>
      <c r="C703">
        <v>3</v>
      </c>
      <c r="D703" t="s">
        <v>1915</v>
      </c>
      <c r="E703">
        <v>8</v>
      </c>
      <c r="F703">
        <v>8</v>
      </c>
      <c r="G703">
        <v>8</v>
      </c>
      <c r="H703" t="s">
        <v>1916</v>
      </c>
      <c r="I703">
        <v>25.5</v>
      </c>
      <c r="J703">
        <v>41.331000000000003</v>
      </c>
      <c r="K703" t="str">
        <f>"ST13;ST13P5;ST13P4"</f>
        <v>ST13;ST13P5;ST13P4</v>
      </c>
      <c r="L703" t="str">
        <f>"ST13;ST13P5;ST13P4"</f>
        <v>ST13;ST13P5;ST13P4</v>
      </c>
      <c r="M703">
        <v>1.2103892752168599</v>
      </c>
      <c r="N703">
        <v>2.6835051655629099</v>
      </c>
      <c r="O703">
        <v>1.8238867883763601</v>
      </c>
      <c r="P703">
        <v>1.0652189274447901</v>
      </c>
      <c r="Q703">
        <v>2.51152398661212</v>
      </c>
      <c r="R703">
        <v>3.6003241283718901</v>
      </c>
      <c r="S703">
        <v>5.6656778523489901</v>
      </c>
      <c r="T703">
        <v>3.5534699031850701</v>
      </c>
      <c r="U703">
        <v>2.20471663619744</v>
      </c>
      <c r="V703">
        <v>3.1519079029246999</v>
      </c>
      <c r="W703">
        <v>3.82619428916755</v>
      </c>
      <c r="X703">
        <v>4.92322855309967</v>
      </c>
    </row>
    <row r="704" spans="1:24">
      <c r="A704">
        <v>193</v>
      </c>
      <c r="B704" t="s">
        <v>1917</v>
      </c>
      <c r="C704">
        <v>2</v>
      </c>
      <c r="D704" t="s">
        <v>1918</v>
      </c>
      <c r="E704">
        <v>14</v>
      </c>
      <c r="F704">
        <v>14</v>
      </c>
      <c r="G704">
        <v>12</v>
      </c>
      <c r="H704" t="s">
        <v>1919</v>
      </c>
      <c r="I704">
        <v>37.6</v>
      </c>
      <c r="J704">
        <v>46.097000000000001</v>
      </c>
      <c r="K704" t="str">
        <f>"SNX2"</f>
        <v>SNX2</v>
      </c>
      <c r="L704" t="str">
        <f>"SNX2"</f>
        <v>SNX2</v>
      </c>
      <c r="M704">
        <v>2.4207785504337198</v>
      </c>
      <c r="N704">
        <v>1.78900344370861</v>
      </c>
      <c r="O704">
        <v>1.8238867883763601</v>
      </c>
      <c r="P704">
        <v>2.1304378548895899</v>
      </c>
      <c r="Q704">
        <v>2.51152398661212</v>
      </c>
      <c r="R704">
        <v>3.6003241283718901</v>
      </c>
      <c r="S704">
        <v>4.5325422818791896</v>
      </c>
      <c r="T704">
        <v>2.3689799354567098</v>
      </c>
      <c r="U704">
        <v>5.5117915904936003</v>
      </c>
      <c r="V704">
        <v>1.05063596764157</v>
      </c>
      <c r="W704">
        <v>3.82619428916755</v>
      </c>
      <c r="X704">
        <v>3.9385828424797298</v>
      </c>
    </row>
    <row r="705" spans="1:24">
      <c r="A705">
        <v>1941</v>
      </c>
      <c r="B705" t="s">
        <v>1920</v>
      </c>
      <c r="C705">
        <v>2</v>
      </c>
      <c r="D705" t="s">
        <v>1921</v>
      </c>
      <c r="E705">
        <v>5</v>
      </c>
      <c r="F705">
        <v>5</v>
      </c>
      <c r="G705">
        <v>5</v>
      </c>
      <c r="H705" t="s">
        <v>1922</v>
      </c>
      <c r="I705">
        <v>32.9</v>
      </c>
      <c r="J705">
        <v>22.344999999999999</v>
      </c>
      <c r="K705" t="str">
        <f>"ABHD14B"</f>
        <v>ABHD14B</v>
      </c>
      <c r="L705" t="str">
        <f>"ABHD14B"</f>
        <v>ABHD14B</v>
      </c>
      <c r="M705">
        <v>3.6311678256505799</v>
      </c>
      <c r="N705">
        <v>2.6835051655629099</v>
      </c>
      <c r="O705">
        <v>1.8238867883763601</v>
      </c>
      <c r="P705">
        <v>3.19565678233438</v>
      </c>
      <c r="Q705">
        <v>3.7672859799181899</v>
      </c>
      <c r="R705">
        <v>1.8001620641859499</v>
      </c>
      <c r="S705">
        <v>3.3994067114094002</v>
      </c>
      <c r="T705">
        <v>4.7379598709134303</v>
      </c>
      <c r="U705">
        <v>3.3070749542961599</v>
      </c>
      <c r="V705">
        <v>2.1012719352831399</v>
      </c>
      <c r="W705">
        <v>2.5507961927783702</v>
      </c>
      <c r="X705">
        <v>2.9539371318597998</v>
      </c>
    </row>
    <row r="706" spans="1:24">
      <c r="A706">
        <v>2026</v>
      </c>
      <c r="B706" t="s">
        <v>1923</v>
      </c>
      <c r="C706">
        <v>2</v>
      </c>
      <c r="D706" t="s">
        <v>1924</v>
      </c>
      <c r="E706">
        <v>13</v>
      </c>
      <c r="F706">
        <v>13</v>
      </c>
      <c r="G706">
        <v>13</v>
      </c>
      <c r="H706" t="s">
        <v>1925</v>
      </c>
      <c r="I706">
        <v>40.4</v>
      </c>
      <c r="J706">
        <v>46.268000000000001</v>
      </c>
      <c r="K706" t="str">
        <f>"COPS4"</f>
        <v>COPS4</v>
      </c>
      <c r="L706" t="str">
        <f>"COPS4"</f>
        <v>COPS4</v>
      </c>
      <c r="M706">
        <v>0</v>
      </c>
      <c r="N706">
        <v>2.6835051655629099</v>
      </c>
      <c r="O706">
        <v>3.64777357675273</v>
      </c>
      <c r="P706">
        <v>3.19565678233438</v>
      </c>
      <c r="Q706">
        <v>1.25576199330606</v>
      </c>
      <c r="R706">
        <v>2.7002430962789199</v>
      </c>
      <c r="S706">
        <v>3.3994067114094002</v>
      </c>
      <c r="T706">
        <v>1.18448996772836</v>
      </c>
      <c r="U706">
        <v>2.20471663619744</v>
      </c>
      <c r="V706">
        <v>3.1519079029246999</v>
      </c>
      <c r="W706">
        <v>5.1015923855567298</v>
      </c>
      <c r="X706">
        <v>2.9539371318597998</v>
      </c>
    </row>
    <row r="707" spans="1:24">
      <c r="A707">
        <v>2294</v>
      </c>
      <c r="B707" t="s">
        <v>1926</v>
      </c>
      <c r="C707">
        <v>4</v>
      </c>
      <c r="D707" t="s">
        <v>1927</v>
      </c>
      <c r="E707">
        <v>12</v>
      </c>
      <c r="F707">
        <v>12</v>
      </c>
      <c r="G707">
        <v>12</v>
      </c>
      <c r="H707" t="s">
        <v>1928</v>
      </c>
      <c r="I707">
        <v>21.1</v>
      </c>
      <c r="J707">
        <v>63.167000000000002</v>
      </c>
      <c r="K707" t="str">
        <f>"MAGED2;MAGED1"</f>
        <v>MAGED2;MAGED1</v>
      </c>
      <c r="L707" t="str">
        <f>"MAGED2;MAGED1"</f>
        <v>MAGED2;MAGED1</v>
      </c>
      <c r="M707">
        <v>3.6311678256505799</v>
      </c>
      <c r="N707">
        <v>0.89450172185430499</v>
      </c>
      <c r="O707">
        <v>1.8238867883763601</v>
      </c>
      <c r="P707">
        <v>3.19565678233438</v>
      </c>
      <c r="Q707">
        <v>0</v>
      </c>
      <c r="R707">
        <v>2.7002430962789199</v>
      </c>
      <c r="S707">
        <v>3.3994067114094002</v>
      </c>
      <c r="T707">
        <v>2.3689799354567098</v>
      </c>
      <c r="U707">
        <v>2.20471663619744</v>
      </c>
      <c r="V707">
        <v>2.1012719352831399</v>
      </c>
      <c r="W707">
        <v>2.5507961927783702</v>
      </c>
      <c r="X707">
        <v>2.9539371318597998</v>
      </c>
    </row>
    <row r="708" spans="1:24">
      <c r="A708">
        <v>2337</v>
      </c>
      <c r="B708" t="s">
        <v>1929</v>
      </c>
      <c r="C708">
        <v>3</v>
      </c>
      <c r="D708" t="s">
        <v>1930</v>
      </c>
      <c r="E708">
        <v>10</v>
      </c>
      <c r="F708">
        <v>10</v>
      </c>
      <c r="G708">
        <v>9</v>
      </c>
      <c r="H708" t="s">
        <v>1931</v>
      </c>
      <c r="I708">
        <v>29</v>
      </c>
      <c r="J708">
        <v>40.795999999999999</v>
      </c>
      <c r="K708" t="str">
        <f>"SH3GLB1"</f>
        <v>SH3GLB1</v>
      </c>
      <c r="L708" t="str">
        <f>"SH3GLB1"</f>
        <v>SH3GLB1</v>
      </c>
      <c r="M708">
        <v>3.6311678256505799</v>
      </c>
      <c r="N708">
        <v>2.6835051655629099</v>
      </c>
      <c r="O708">
        <v>2.7358301825645501</v>
      </c>
      <c r="P708">
        <v>2.1304378548895899</v>
      </c>
      <c r="Q708">
        <v>1.25576199330606</v>
      </c>
      <c r="R708">
        <v>2.7002430962789199</v>
      </c>
      <c r="S708">
        <v>1.1331355704698001</v>
      </c>
      <c r="T708">
        <v>5.9224498386417803</v>
      </c>
      <c r="U708">
        <v>3.3070749542961599</v>
      </c>
      <c r="V708">
        <v>4.2025438705662701</v>
      </c>
      <c r="W708">
        <v>2.5507961927783702</v>
      </c>
      <c r="X708">
        <v>2.9539371318597998</v>
      </c>
    </row>
    <row r="709" spans="1:24">
      <c r="A709">
        <v>703</v>
      </c>
      <c r="B709" t="s">
        <v>1932</v>
      </c>
      <c r="C709">
        <v>2</v>
      </c>
      <c r="D709" t="s">
        <v>1933</v>
      </c>
      <c r="E709">
        <v>17</v>
      </c>
      <c r="F709">
        <v>17</v>
      </c>
      <c r="G709">
        <v>15</v>
      </c>
      <c r="H709" t="s">
        <v>1934</v>
      </c>
      <c r="I709">
        <v>23.8</v>
      </c>
      <c r="J709">
        <v>98.313000000000002</v>
      </c>
      <c r="K709" t="str">
        <f>"VAV1"</f>
        <v>VAV1</v>
      </c>
      <c r="L709" t="str">
        <f>"VAV1"</f>
        <v>VAV1</v>
      </c>
      <c r="M709">
        <v>1.2103892752168599</v>
      </c>
      <c r="N709">
        <v>4.4725086092715198</v>
      </c>
      <c r="O709">
        <v>3.64777357675273</v>
      </c>
      <c r="P709">
        <v>1.0652189274447901</v>
      </c>
      <c r="Q709">
        <v>0</v>
      </c>
      <c r="R709">
        <v>2.7002430962789199</v>
      </c>
      <c r="S709">
        <v>3.3994067114094002</v>
      </c>
      <c r="T709">
        <v>3.5534699031850701</v>
      </c>
      <c r="U709">
        <v>3.3070749542961599</v>
      </c>
      <c r="V709">
        <v>3.1519079029246999</v>
      </c>
      <c r="W709">
        <v>1.27539809638918</v>
      </c>
      <c r="X709">
        <v>2.9539371318597998</v>
      </c>
    </row>
    <row r="710" spans="1:24">
      <c r="A710">
        <v>858</v>
      </c>
      <c r="B710" t="s">
        <v>1935</v>
      </c>
      <c r="C710">
        <v>2</v>
      </c>
      <c r="D710" t="s">
        <v>1936</v>
      </c>
      <c r="E710">
        <v>8</v>
      </c>
      <c r="F710">
        <v>8</v>
      </c>
      <c r="G710">
        <v>8</v>
      </c>
      <c r="H710" t="s">
        <v>1937</v>
      </c>
      <c r="I710">
        <v>44.4</v>
      </c>
      <c r="J710">
        <v>26.411000000000001</v>
      </c>
      <c r="K710" t="str">
        <f>"PSMA5"</f>
        <v>PSMA5</v>
      </c>
      <c r="L710" t="str">
        <f>"PSMA5"</f>
        <v>PSMA5</v>
      </c>
      <c r="M710">
        <v>1.2103892752168599</v>
      </c>
      <c r="N710">
        <v>1.78900344370861</v>
      </c>
      <c r="O710">
        <v>1.8238867883763601</v>
      </c>
      <c r="P710">
        <v>4.2608757097791798</v>
      </c>
      <c r="Q710">
        <v>1.25576199330606</v>
      </c>
      <c r="R710">
        <v>6.3005672246508198</v>
      </c>
      <c r="S710">
        <v>3.3994067114094002</v>
      </c>
      <c r="T710">
        <v>1.18448996772836</v>
      </c>
      <c r="U710">
        <v>4.4094332723948799</v>
      </c>
      <c r="V710">
        <v>3.1519079029246999</v>
      </c>
      <c r="W710">
        <v>3.82619428916755</v>
      </c>
      <c r="X710">
        <v>3.9385828424797298</v>
      </c>
    </row>
    <row r="711" spans="1:24">
      <c r="A711">
        <v>1797</v>
      </c>
      <c r="B711" t="s">
        <v>1938</v>
      </c>
      <c r="C711">
        <v>2</v>
      </c>
      <c r="D711" t="s">
        <v>1939</v>
      </c>
      <c r="E711">
        <v>12</v>
      </c>
      <c r="F711">
        <v>12</v>
      </c>
      <c r="G711">
        <v>12</v>
      </c>
      <c r="H711" t="s">
        <v>1940</v>
      </c>
      <c r="I711">
        <v>20.8</v>
      </c>
      <c r="J711">
        <v>79.442999999999998</v>
      </c>
      <c r="K711" t="str">
        <f>"NHLRC2"</f>
        <v>NHLRC2</v>
      </c>
      <c r="L711" t="str">
        <f>"NHLRC2"</f>
        <v>NHLRC2</v>
      </c>
      <c r="M711">
        <v>1.2103892752168599</v>
      </c>
      <c r="N711">
        <v>3.57800688741722</v>
      </c>
      <c r="O711">
        <v>5.4716603651290896</v>
      </c>
      <c r="P711">
        <v>3.19565678233438</v>
      </c>
      <c r="Q711">
        <v>2.51152398661212</v>
      </c>
      <c r="R711">
        <v>3.6003241283718901</v>
      </c>
      <c r="S711">
        <v>2.2662711409396001</v>
      </c>
      <c r="T711">
        <v>3.5534699031850701</v>
      </c>
      <c r="U711">
        <v>1.10235831809872</v>
      </c>
      <c r="V711">
        <v>2.1012719352831399</v>
      </c>
      <c r="W711">
        <v>1.27539809638918</v>
      </c>
      <c r="X711">
        <v>2.9539371318597998</v>
      </c>
    </row>
    <row r="712" spans="1:24">
      <c r="A712">
        <v>195</v>
      </c>
      <c r="B712" t="s">
        <v>1941</v>
      </c>
      <c r="C712">
        <v>5</v>
      </c>
      <c r="D712" t="s">
        <v>1942</v>
      </c>
      <c r="E712">
        <v>15</v>
      </c>
      <c r="F712">
        <v>15</v>
      </c>
      <c r="G712">
        <v>15</v>
      </c>
      <c r="H712" t="s">
        <v>1943</v>
      </c>
      <c r="I712">
        <v>20.9</v>
      </c>
      <c r="J712">
        <v>107.89</v>
      </c>
      <c r="K712" t="str">
        <f>"USO1"</f>
        <v>USO1</v>
      </c>
      <c r="L712" t="str">
        <f>"USO1"</f>
        <v>USO1</v>
      </c>
      <c r="M712">
        <v>0</v>
      </c>
      <c r="N712">
        <v>3.57800688741722</v>
      </c>
      <c r="O712">
        <v>1.8238867883763601</v>
      </c>
      <c r="P712">
        <v>1.0652189274447901</v>
      </c>
      <c r="Q712">
        <v>1.25576199330606</v>
      </c>
      <c r="R712">
        <v>3.6003241283718901</v>
      </c>
      <c r="S712">
        <v>3.3994067114094002</v>
      </c>
      <c r="T712">
        <v>1.18448996772836</v>
      </c>
      <c r="U712">
        <v>4.4094332723948799</v>
      </c>
      <c r="V712">
        <v>3.1519079029246999</v>
      </c>
      <c r="W712">
        <v>6.37699048194591</v>
      </c>
      <c r="X712">
        <v>2.9539371318597998</v>
      </c>
    </row>
    <row r="713" spans="1:24">
      <c r="A713">
        <v>494</v>
      </c>
      <c r="B713" t="s">
        <v>1944</v>
      </c>
      <c r="C713">
        <v>3</v>
      </c>
      <c r="D713" t="s">
        <v>1945</v>
      </c>
      <c r="E713">
        <v>2</v>
      </c>
      <c r="F713">
        <v>2</v>
      </c>
      <c r="G713">
        <v>2</v>
      </c>
      <c r="H713" t="s">
        <v>1946</v>
      </c>
      <c r="I713">
        <v>10.7</v>
      </c>
      <c r="J713">
        <v>16.684000000000001</v>
      </c>
      <c r="K713" t="str">
        <f>"MYL1;MYL3"</f>
        <v>MYL1;MYL3</v>
      </c>
      <c r="L713" t="str">
        <f>"MYL1;MYL3"</f>
        <v>MYL1;MYL3</v>
      </c>
      <c r="M713">
        <v>2.4207785504337198</v>
      </c>
      <c r="N713">
        <v>1.78900344370861</v>
      </c>
      <c r="O713">
        <v>2.7358301825645501</v>
      </c>
      <c r="P713">
        <v>4.2608757097791798</v>
      </c>
      <c r="Q713">
        <v>2.51152398661212</v>
      </c>
      <c r="R713">
        <v>2.7002430962789199</v>
      </c>
      <c r="S713">
        <v>3.3994067114094002</v>
      </c>
      <c r="T713">
        <v>3.5534699031850701</v>
      </c>
      <c r="U713">
        <v>4.4094332723948799</v>
      </c>
      <c r="V713">
        <v>3.1519079029246999</v>
      </c>
      <c r="W713">
        <v>3.82619428916755</v>
      </c>
      <c r="X713">
        <v>1.96929142123987</v>
      </c>
    </row>
    <row r="714" spans="1:24">
      <c r="A714">
        <v>672</v>
      </c>
      <c r="B714" t="s">
        <v>1947</v>
      </c>
      <c r="C714">
        <v>2</v>
      </c>
      <c r="D714" t="s">
        <v>1948</v>
      </c>
      <c r="E714">
        <v>17</v>
      </c>
      <c r="F714">
        <v>17</v>
      </c>
      <c r="G714">
        <v>13</v>
      </c>
      <c r="H714" t="s">
        <v>1949</v>
      </c>
      <c r="I714">
        <v>34.9</v>
      </c>
      <c r="J714">
        <v>70.287999999999997</v>
      </c>
      <c r="K714" t="str">
        <f>"LCP1"</f>
        <v>LCP1</v>
      </c>
      <c r="L714" t="str">
        <f>"LCP1"</f>
        <v>LCP1</v>
      </c>
      <c r="M714">
        <v>0</v>
      </c>
      <c r="N714">
        <v>0.89450172185430499</v>
      </c>
      <c r="O714">
        <v>2.7358301825645501</v>
      </c>
      <c r="P714">
        <v>1.0652189274447901</v>
      </c>
      <c r="Q714">
        <v>1.25576199330606</v>
      </c>
      <c r="R714">
        <v>11.7010534172087</v>
      </c>
      <c r="S714">
        <v>2.2662711409396001</v>
      </c>
      <c r="T714">
        <v>0</v>
      </c>
      <c r="U714">
        <v>3.3070749542961599</v>
      </c>
      <c r="V714">
        <v>2.1012719352831399</v>
      </c>
      <c r="W714">
        <v>5.1015923855567298</v>
      </c>
      <c r="X714">
        <v>0.984645710619934</v>
      </c>
    </row>
    <row r="715" spans="1:24">
      <c r="A715">
        <v>837</v>
      </c>
      <c r="B715" t="s">
        <v>1950</v>
      </c>
      <c r="C715">
        <v>3</v>
      </c>
      <c r="D715" t="s">
        <v>1951</v>
      </c>
      <c r="E715">
        <v>8</v>
      </c>
      <c r="F715">
        <v>8</v>
      </c>
      <c r="G715">
        <v>6</v>
      </c>
      <c r="H715" t="s">
        <v>1952</v>
      </c>
      <c r="I715">
        <v>18.5</v>
      </c>
      <c r="J715">
        <v>57.220999999999997</v>
      </c>
      <c r="K715" t="str">
        <f>"PTBP1"</f>
        <v>PTBP1</v>
      </c>
      <c r="L715" t="str">
        <f>"PTBP1"</f>
        <v>PTBP1</v>
      </c>
      <c r="M715">
        <v>1.2103892752168599</v>
      </c>
      <c r="N715">
        <v>4.4725086092715198</v>
      </c>
      <c r="O715">
        <v>4.5597169709409098</v>
      </c>
      <c r="P715">
        <v>1.0652189274447901</v>
      </c>
      <c r="Q715">
        <v>1.25576199330606</v>
      </c>
      <c r="R715">
        <v>4.5004051604648696</v>
      </c>
      <c r="S715">
        <v>3.3994067114094002</v>
      </c>
      <c r="T715">
        <v>1.18448996772836</v>
      </c>
      <c r="U715">
        <v>3.3070749542961599</v>
      </c>
      <c r="V715">
        <v>2.1012719352831399</v>
      </c>
      <c r="W715">
        <v>1.27539809638918</v>
      </c>
      <c r="X715">
        <v>1.96929142123987</v>
      </c>
    </row>
    <row r="716" spans="1:24">
      <c r="A716">
        <v>1898</v>
      </c>
      <c r="B716" t="s">
        <v>1953</v>
      </c>
      <c r="C716">
        <v>1</v>
      </c>
      <c r="D716" t="s">
        <v>1954</v>
      </c>
      <c r="E716">
        <v>6</v>
      </c>
      <c r="F716">
        <v>6</v>
      </c>
      <c r="G716">
        <v>6</v>
      </c>
      <c r="H716" t="s">
        <v>1953</v>
      </c>
      <c r="I716">
        <v>19.5</v>
      </c>
      <c r="J716">
        <v>28.087</v>
      </c>
      <c r="K716" t="str">
        <f>"WBP2"</f>
        <v>WBP2</v>
      </c>
      <c r="L716" t="str">
        <f>"WBP2"</f>
        <v>WBP2</v>
      </c>
      <c r="M716">
        <v>3.6311678256505799</v>
      </c>
      <c r="N716">
        <v>2.6835051655629099</v>
      </c>
      <c r="O716">
        <v>2.7358301825645501</v>
      </c>
      <c r="P716">
        <v>2.1304378548895899</v>
      </c>
      <c r="Q716">
        <v>1.25576199330606</v>
      </c>
      <c r="R716">
        <v>3.6003241283718901</v>
      </c>
      <c r="S716">
        <v>3.3994067114094002</v>
      </c>
      <c r="T716">
        <v>1.18448996772836</v>
      </c>
      <c r="U716">
        <v>3.3070749542961599</v>
      </c>
      <c r="V716">
        <v>3.1519079029246999</v>
      </c>
      <c r="W716">
        <v>3.82619428916755</v>
      </c>
      <c r="X716">
        <v>2.9539371318597998</v>
      </c>
    </row>
    <row r="717" spans="1:24">
      <c r="A717">
        <v>185</v>
      </c>
      <c r="B717" t="s">
        <v>1955</v>
      </c>
      <c r="C717">
        <v>1</v>
      </c>
      <c r="D717" t="s">
        <v>1956</v>
      </c>
      <c r="E717">
        <v>8</v>
      </c>
      <c r="F717">
        <v>8</v>
      </c>
      <c r="G717">
        <v>8</v>
      </c>
      <c r="H717" t="s">
        <v>1955</v>
      </c>
      <c r="I717">
        <v>30.6</v>
      </c>
      <c r="J717">
        <v>45.378</v>
      </c>
      <c r="K717" t="str">
        <f>"DOK2"</f>
        <v>DOK2</v>
      </c>
      <c r="L717" t="str">
        <f>"DOK2"</f>
        <v>DOK2</v>
      </c>
      <c r="M717">
        <v>1.2103892752168599</v>
      </c>
      <c r="N717">
        <v>6.2615120529801302</v>
      </c>
      <c r="O717">
        <v>3.64777357675273</v>
      </c>
      <c r="P717">
        <v>3.19565678233438</v>
      </c>
      <c r="Q717">
        <v>1.25576199330606</v>
      </c>
      <c r="R717">
        <v>1.8001620641859499</v>
      </c>
      <c r="S717">
        <v>2.2662711409396001</v>
      </c>
      <c r="T717">
        <v>2.3689799354567098</v>
      </c>
      <c r="U717">
        <v>3.3070749542961599</v>
      </c>
      <c r="V717">
        <v>2.1012719352831399</v>
      </c>
      <c r="W717">
        <v>2.5507961927783702</v>
      </c>
      <c r="X717">
        <v>3.9385828424797298</v>
      </c>
    </row>
    <row r="718" spans="1:24">
      <c r="A718">
        <v>726</v>
      </c>
      <c r="B718" t="s">
        <v>1957</v>
      </c>
      <c r="C718">
        <v>3</v>
      </c>
      <c r="D718" t="s">
        <v>1958</v>
      </c>
      <c r="E718">
        <v>19</v>
      </c>
      <c r="F718">
        <v>11</v>
      </c>
      <c r="G718">
        <v>11</v>
      </c>
      <c r="H718" t="s">
        <v>1959</v>
      </c>
      <c r="I718">
        <v>31.8</v>
      </c>
      <c r="J718">
        <v>76.748999999999995</v>
      </c>
      <c r="K718" t="str">
        <f>"PRKCA;PRKCG"</f>
        <v>PRKCA;PRKCG</v>
      </c>
      <c r="L718" t="str">
        <f>"PRKCA;PRKCG"</f>
        <v>PRKCA;PRKCG</v>
      </c>
      <c r="M718">
        <v>0</v>
      </c>
      <c r="N718">
        <v>4.4725086092715198</v>
      </c>
      <c r="O718">
        <v>3.64777357675273</v>
      </c>
      <c r="P718">
        <v>2.1304378548895899</v>
      </c>
      <c r="Q718">
        <v>1.25576199330606</v>
      </c>
      <c r="R718">
        <v>0.90008103209297396</v>
      </c>
      <c r="S718">
        <v>4.5325422818791896</v>
      </c>
      <c r="T718">
        <v>1.18448996772836</v>
      </c>
      <c r="U718">
        <v>3.3070749542961599</v>
      </c>
      <c r="V718">
        <v>4.2025438705662701</v>
      </c>
      <c r="W718">
        <v>2.5507961927783702</v>
      </c>
      <c r="X718">
        <v>3.9385828424797298</v>
      </c>
    </row>
    <row r="719" spans="1:24">
      <c r="A719">
        <v>1179</v>
      </c>
      <c r="B719" t="s">
        <v>1960</v>
      </c>
      <c r="C719">
        <v>6</v>
      </c>
      <c r="D719" t="s">
        <v>1961</v>
      </c>
      <c r="E719">
        <v>9</v>
      </c>
      <c r="F719">
        <v>9</v>
      </c>
      <c r="G719">
        <v>9</v>
      </c>
      <c r="H719" t="s">
        <v>1962</v>
      </c>
      <c r="I719">
        <v>46.9</v>
      </c>
      <c r="J719">
        <v>24.648</v>
      </c>
      <c r="K719" t="str">
        <f>"AK2"</f>
        <v>AK2</v>
      </c>
      <c r="L719" t="str">
        <f>"AK2"</f>
        <v>AK2</v>
      </c>
      <c r="M719">
        <v>2.4207785504337198</v>
      </c>
      <c r="N719">
        <v>1.78900344370861</v>
      </c>
      <c r="O719">
        <v>2.7358301825645501</v>
      </c>
      <c r="P719">
        <v>1.0652189274447901</v>
      </c>
      <c r="Q719">
        <v>2.51152398661212</v>
      </c>
      <c r="R719">
        <v>1.8001620641859499</v>
      </c>
      <c r="S719">
        <v>3.3994067114094002</v>
      </c>
      <c r="T719">
        <v>1.18448996772836</v>
      </c>
      <c r="U719">
        <v>3.3070749542961599</v>
      </c>
      <c r="V719">
        <v>3.1519079029246999</v>
      </c>
      <c r="W719">
        <v>5.1015923855567298</v>
      </c>
      <c r="X719">
        <v>4.92322855309967</v>
      </c>
    </row>
    <row r="720" spans="1:24">
      <c r="A720">
        <v>1367</v>
      </c>
      <c r="B720" t="s">
        <v>1963</v>
      </c>
      <c r="C720">
        <v>2</v>
      </c>
      <c r="D720" t="s">
        <v>1964</v>
      </c>
      <c r="E720">
        <v>7</v>
      </c>
      <c r="F720">
        <v>7</v>
      </c>
      <c r="G720">
        <v>7</v>
      </c>
      <c r="H720" t="s">
        <v>1965</v>
      </c>
      <c r="I720">
        <v>33.1</v>
      </c>
      <c r="J720">
        <v>19.042999999999999</v>
      </c>
      <c r="K720" t="str">
        <f>"GLO1"</f>
        <v>GLO1</v>
      </c>
      <c r="L720" t="str">
        <f>"GLO1"</f>
        <v>GLO1</v>
      </c>
      <c r="M720">
        <v>2.4207785504337198</v>
      </c>
      <c r="N720">
        <v>1.78900344370861</v>
      </c>
      <c r="O720">
        <v>3.64777357675273</v>
      </c>
      <c r="P720">
        <v>2.1304378548895899</v>
      </c>
      <c r="Q720">
        <v>3.7672859799181899</v>
      </c>
      <c r="R720">
        <v>1.8001620641859499</v>
      </c>
      <c r="S720">
        <v>2.2662711409396001</v>
      </c>
      <c r="T720">
        <v>2.3689799354567098</v>
      </c>
      <c r="U720">
        <v>2.20471663619744</v>
      </c>
      <c r="V720">
        <v>3.1519079029246999</v>
      </c>
      <c r="W720">
        <v>2.5507961927783702</v>
      </c>
      <c r="X720">
        <v>2.9539371318597998</v>
      </c>
    </row>
    <row r="721" spans="1:24">
      <c r="A721">
        <v>1546</v>
      </c>
      <c r="B721" t="s">
        <v>1966</v>
      </c>
      <c r="C721">
        <v>4</v>
      </c>
      <c r="D721" t="s">
        <v>1967</v>
      </c>
      <c r="E721">
        <v>8</v>
      </c>
      <c r="F721">
        <v>8</v>
      </c>
      <c r="G721">
        <v>8</v>
      </c>
      <c r="H721" t="s">
        <v>1968</v>
      </c>
      <c r="I721">
        <v>33.1</v>
      </c>
      <c r="J721">
        <v>36.774999999999999</v>
      </c>
      <c r="K721" t="str">
        <f>"PPP2R4"</f>
        <v>PPP2R4</v>
      </c>
      <c r="L721" t="str">
        <f>"PTPA"</f>
        <v>PTPA</v>
      </c>
      <c r="M721">
        <v>3.6311678256505799</v>
      </c>
      <c r="N721">
        <v>2.6835051655629099</v>
      </c>
      <c r="O721">
        <v>0.91194339418818204</v>
      </c>
      <c r="P721">
        <v>4.2608757097791798</v>
      </c>
      <c r="Q721">
        <v>2.51152398661212</v>
      </c>
      <c r="R721">
        <v>3.6003241283718901</v>
      </c>
      <c r="S721">
        <v>2.2662711409396001</v>
      </c>
      <c r="T721">
        <v>3.5534699031850701</v>
      </c>
      <c r="U721">
        <v>0</v>
      </c>
      <c r="V721">
        <v>4.2025438705662701</v>
      </c>
      <c r="W721">
        <v>2.5507961927783702</v>
      </c>
      <c r="X721">
        <v>1.96929142123987</v>
      </c>
    </row>
    <row r="722" spans="1:24">
      <c r="A722">
        <v>1591</v>
      </c>
      <c r="B722" t="s">
        <v>1969</v>
      </c>
      <c r="C722">
        <v>4</v>
      </c>
      <c r="D722" t="s">
        <v>1970</v>
      </c>
      <c r="E722">
        <v>16</v>
      </c>
      <c r="F722">
        <v>16</v>
      </c>
      <c r="G722">
        <v>16</v>
      </c>
      <c r="H722" t="s">
        <v>1971</v>
      </c>
      <c r="I722">
        <v>35.700000000000003</v>
      </c>
      <c r="J722">
        <v>60.673000000000002</v>
      </c>
      <c r="K722" t="str">
        <f>"ECM1"</f>
        <v>ECM1</v>
      </c>
      <c r="L722" t="str">
        <f>"ECM1"</f>
        <v>ECM1</v>
      </c>
      <c r="M722">
        <v>3.6311678256505799</v>
      </c>
      <c r="N722">
        <v>0.89450172185430499</v>
      </c>
      <c r="O722">
        <v>1.8238867883763601</v>
      </c>
      <c r="P722">
        <v>5.3260946372239797</v>
      </c>
      <c r="Q722">
        <v>3.7672859799181899</v>
      </c>
      <c r="R722">
        <v>4.5004051604648696</v>
      </c>
      <c r="S722">
        <v>1.1331355704698001</v>
      </c>
      <c r="T722">
        <v>2.3689799354567098</v>
      </c>
      <c r="U722">
        <v>1.10235831809872</v>
      </c>
      <c r="V722">
        <v>2.1012719352831399</v>
      </c>
      <c r="W722">
        <v>3.82619428916755</v>
      </c>
      <c r="X722">
        <v>0</v>
      </c>
    </row>
    <row r="723" spans="1:24">
      <c r="A723">
        <v>2042</v>
      </c>
      <c r="B723" t="s">
        <v>1972</v>
      </c>
      <c r="C723">
        <v>2</v>
      </c>
      <c r="D723" t="s">
        <v>1973</v>
      </c>
      <c r="E723">
        <v>9</v>
      </c>
      <c r="F723">
        <v>9</v>
      </c>
      <c r="G723">
        <v>9</v>
      </c>
      <c r="H723" t="s">
        <v>1974</v>
      </c>
      <c r="I723">
        <v>28.4</v>
      </c>
      <c r="J723">
        <v>35.020000000000003</v>
      </c>
      <c r="K723" t="str">
        <f>"JAM3"</f>
        <v>JAM3</v>
      </c>
      <c r="L723" t="str">
        <f>"JAM3"</f>
        <v>JAM3</v>
      </c>
      <c r="M723">
        <v>0</v>
      </c>
      <c r="N723">
        <v>4.4725086092715198</v>
      </c>
      <c r="O723">
        <v>4.5597169709409098</v>
      </c>
      <c r="P723">
        <v>2.1304378548895899</v>
      </c>
      <c r="Q723">
        <v>1.25576199330606</v>
      </c>
      <c r="R723">
        <v>4.5004051604648696</v>
      </c>
      <c r="S723">
        <v>2.2662711409396001</v>
      </c>
      <c r="T723">
        <v>0</v>
      </c>
      <c r="U723">
        <v>1.10235831809872</v>
      </c>
      <c r="V723">
        <v>2.1012719352831399</v>
      </c>
      <c r="W723">
        <v>2.5507961927783702</v>
      </c>
      <c r="X723">
        <v>2.9539371318597998</v>
      </c>
    </row>
    <row r="724" spans="1:24">
      <c r="A724">
        <v>1</v>
      </c>
      <c r="B724" t="s">
        <v>1975</v>
      </c>
      <c r="C724">
        <v>5</v>
      </c>
      <c r="D724" t="s">
        <v>1976</v>
      </c>
      <c r="E724">
        <v>20</v>
      </c>
      <c r="F724">
        <v>20</v>
      </c>
      <c r="G724">
        <v>20</v>
      </c>
      <c r="H724" t="s">
        <v>1977</v>
      </c>
      <c r="I724">
        <v>29.2</v>
      </c>
      <c r="J724">
        <v>98.9</v>
      </c>
      <c r="K724" t="str">
        <f>"ESYT2"</f>
        <v>ESYT2</v>
      </c>
      <c r="L724" t="str">
        <f>"ESYT2"</f>
        <v>ESYT2</v>
      </c>
      <c r="M724">
        <v>0</v>
      </c>
      <c r="N724">
        <v>4.4725086092715198</v>
      </c>
      <c r="O724">
        <v>1.8238867883763601</v>
      </c>
      <c r="P724">
        <v>3.19565678233438</v>
      </c>
      <c r="Q724">
        <v>3.7672859799181899</v>
      </c>
      <c r="R724">
        <v>3.6003241283718901</v>
      </c>
      <c r="S724">
        <v>1.1331355704698001</v>
      </c>
      <c r="T724">
        <v>2.3689799354567098</v>
      </c>
      <c r="U724">
        <v>2.20471663619744</v>
      </c>
      <c r="V724">
        <v>2.1012719352831399</v>
      </c>
      <c r="W724">
        <v>2.5507961927783702</v>
      </c>
      <c r="X724">
        <v>2.9539371318597998</v>
      </c>
    </row>
    <row r="725" spans="1:24">
      <c r="A725">
        <v>328</v>
      </c>
      <c r="B725" t="s">
        <v>1978</v>
      </c>
      <c r="C725">
        <v>1</v>
      </c>
      <c r="D725" t="s">
        <v>1979</v>
      </c>
      <c r="E725">
        <v>34</v>
      </c>
      <c r="F725">
        <v>3</v>
      </c>
      <c r="G725">
        <v>3</v>
      </c>
      <c r="H725" t="s">
        <v>1978</v>
      </c>
      <c r="I725">
        <v>41.8</v>
      </c>
      <c r="J725">
        <v>71.956999999999994</v>
      </c>
      <c r="K725" t="str">
        <f>"KNG1"</f>
        <v>KNG1</v>
      </c>
      <c r="L725" t="str">
        <f>"KNG1"</f>
        <v>KNG1</v>
      </c>
      <c r="M725">
        <v>2.4207785504337198</v>
      </c>
      <c r="N725">
        <v>2.6835051655629099</v>
      </c>
      <c r="O725">
        <v>2.7358301825645501</v>
      </c>
      <c r="P725">
        <v>5.3260946372239797</v>
      </c>
      <c r="Q725">
        <v>3.7672859799181899</v>
      </c>
      <c r="R725">
        <v>2.7002430962789199</v>
      </c>
      <c r="S725">
        <v>3.3994067114094002</v>
      </c>
      <c r="T725">
        <v>3.5534699031850701</v>
      </c>
      <c r="U725">
        <v>0</v>
      </c>
      <c r="V725">
        <v>2.1012719352831399</v>
      </c>
      <c r="W725">
        <v>2.5507961927783702</v>
      </c>
      <c r="X725">
        <v>0</v>
      </c>
    </row>
    <row r="726" spans="1:24">
      <c r="A726">
        <v>411</v>
      </c>
      <c r="B726" t="s">
        <v>1980</v>
      </c>
      <c r="C726">
        <v>1</v>
      </c>
      <c r="D726" t="s">
        <v>1981</v>
      </c>
      <c r="E726">
        <v>5</v>
      </c>
      <c r="F726">
        <v>5</v>
      </c>
      <c r="G726">
        <v>5</v>
      </c>
      <c r="H726" t="s">
        <v>1980</v>
      </c>
      <c r="I726">
        <v>18.399999999999999</v>
      </c>
      <c r="J726">
        <v>26.015999999999998</v>
      </c>
      <c r="K726" t="str">
        <f>"C1QA"</f>
        <v>C1QA</v>
      </c>
      <c r="L726" t="str">
        <f>"C1QA"</f>
        <v>C1QA</v>
      </c>
      <c r="M726">
        <v>3.6311678256505799</v>
      </c>
      <c r="N726">
        <v>2.6835051655629099</v>
      </c>
      <c r="O726">
        <v>5.4716603651290896</v>
      </c>
      <c r="P726">
        <v>3.19565678233438</v>
      </c>
      <c r="Q726">
        <v>3.7672859799181899</v>
      </c>
      <c r="R726">
        <v>1.8001620641859499</v>
      </c>
      <c r="S726">
        <v>3.3994067114094002</v>
      </c>
      <c r="T726">
        <v>4.7379598709134303</v>
      </c>
      <c r="U726">
        <v>1.10235831809872</v>
      </c>
      <c r="V726">
        <v>2.1012719352831399</v>
      </c>
      <c r="W726">
        <v>2.5507961927783702</v>
      </c>
      <c r="X726">
        <v>2.9539371318597998</v>
      </c>
    </row>
    <row r="727" spans="1:24">
      <c r="A727">
        <v>674</v>
      </c>
      <c r="B727" t="s">
        <v>1982</v>
      </c>
      <c r="C727">
        <v>1</v>
      </c>
      <c r="D727" t="s">
        <v>1983</v>
      </c>
      <c r="E727">
        <v>11</v>
      </c>
      <c r="F727">
        <v>11</v>
      </c>
      <c r="G727">
        <v>11</v>
      </c>
      <c r="H727" t="s">
        <v>1982</v>
      </c>
      <c r="I727">
        <v>18.899999999999999</v>
      </c>
      <c r="J727">
        <v>81.224000000000004</v>
      </c>
      <c r="K727" t="str">
        <f>"APEH"</f>
        <v>APEH</v>
      </c>
      <c r="L727" t="str">
        <f>"APEH"</f>
        <v>APEH</v>
      </c>
      <c r="M727">
        <v>0</v>
      </c>
      <c r="N727">
        <v>5.3670103311258304</v>
      </c>
      <c r="O727">
        <v>3.64777357675273</v>
      </c>
      <c r="P727">
        <v>4.2608757097791798</v>
      </c>
      <c r="Q727">
        <v>2.51152398661212</v>
      </c>
      <c r="R727">
        <v>2.7002430962789199</v>
      </c>
      <c r="S727">
        <v>1.1331355704698001</v>
      </c>
      <c r="T727">
        <v>2.3689799354567098</v>
      </c>
      <c r="U727">
        <v>2.20471663619744</v>
      </c>
      <c r="V727">
        <v>2.1012719352831399</v>
      </c>
      <c r="W727">
        <v>2.5507961927783702</v>
      </c>
      <c r="X727">
        <v>1.96929142123987</v>
      </c>
    </row>
    <row r="728" spans="1:24">
      <c r="A728">
        <v>737</v>
      </c>
      <c r="B728" t="s">
        <v>1984</v>
      </c>
      <c r="C728">
        <v>1</v>
      </c>
      <c r="D728" t="s">
        <v>1985</v>
      </c>
      <c r="E728">
        <v>9</v>
      </c>
      <c r="F728">
        <v>6</v>
      </c>
      <c r="G728">
        <v>6</v>
      </c>
      <c r="H728" t="s">
        <v>1984</v>
      </c>
      <c r="I728">
        <v>52.8</v>
      </c>
      <c r="J728">
        <v>20.510999999999999</v>
      </c>
      <c r="K728" t="str">
        <f>"ARF4"</f>
        <v>ARF4</v>
      </c>
      <c r="L728" t="str">
        <f>"ARF4"</f>
        <v>ARF4</v>
      </c>
      <c r="M728">
        <v>1.2103892752168599</v>
      </c>
      <c r="N728">
        <v>3.57800688741722</v>
      </c>
      <c r="O728">
        <v>1.8238867883763601</v>
      </c>
      <c r="P728">
        <v>1.0652189274447901</v>
      </c>
      <c r="Q728">
        <v>1.25576199330606</v>
      </c>
      <c r="R728">
        <v>1.8001620641859499</v>
      </c>
      <c r="S728">
        <v>5.6656778523489901</v>
      </c>
      <c r="T728">
        <v>2.3689799354567098</v>
      </c>
      <c r="U728">
        <v>3.3070749542961599</v>
      </c>
      <c r="V728">
        <v>1.05063596764157</v>
      </c>
      <c r="W728">
        <v>1.27539809638918</v>
      </c>
      <c r="X728">
        <v>4.92322855309967</v>
      </c>
    </row>
    <row r="729" spans="1:24">
      <c r="A729">
        <v>45</v>
      </c>
      <c r="B729" t="s">
        <v>1986</v>
      </c>
      <c r="C729">
        <v>1</v>
      </c>
      <c r="D729" t="s">
        <v>1987</v>
      </c>
      <c r="E729">
        <v>10</v>
      </c>
      <c r="F729">
        <v>10</v>
      </c>
      <c r="G729">
        <v>10</v>
      </c>
      <c r="H729" t="s">
        <v>1986</v>
      </c>
      <c r="I729">
        <v>23.4</v>
      </c>
      <c r="J729">
        <v>72.911000000000001</v>
      </c>
      <c r="K729" t="str">
        <f>"AGPS"</f>
        <v>AGPS</v>
      </c>
      <c r="L729" t="str">
        <f>"AGPS"</f>
        <v>AGPS</v>
      </c>
      <c r="M729">
        <v>1.2103892752168599</v>
      </c>
      <c r="N729">
        <v>2.6835051655629099</v>
      </c>
      <c r="O729">
        <v>1.8238867883763601</v>
      </c>
      <c r="P729">
        <v>0</v>
      </c>
      <c r="Q729">
        <v>1.25576199330606</v>
      </c>
      <c r="R729">
        <v>3.6003241283718901</v>
      </c>
      <c r="S729">
        <v>4.5325422818791896</v>
      </c>
      <c r="T729">
        <v>2.3689799354567098</v>
      </c>
      <c r="U729">
        <v>1.10235831809872</v>
      </c>
      <c r="V729">
        <v>4.2025438705662701</v>
      </c>
      <c r="W729">
        <v>2.5507961927783702</v>
      </c>
      <c r="X729">
        <v>1.96929142123987</v>
      </c>
    </row>
    <row r="730" spans="1:24">
      <c r="A730">
        <v>279</v>
      </c>
      <c r="B730" t="s">
        <v>1988</v>
      </c>
      <c r="C730">
        <v>5</v>
      </c>
      <c r="D730" t="s">
        <v>1989</v>
      </c>
      <c r="E730">
        <v>19</v>
      </c>
      <c r="F730">
        <v>19</v>
      </c>
      <c r="G730">
        <v>19</v>
      </c>
      <c r="H730" t="s">
        <v>1990</v>
      </c>
      <c r="I730">
        <v>25.7</v>
      </c>
      <c r="J730">
        <v>105.36</v>
      </c>
      <c r="K730" t="str">
        <f>"AP2A1;AP2A2"</f>
        <v>AP2A1;AP2A2</v>
      </c>
      <c r="L730" t="str">
        <f>"AP2A1;AP2A2"</f>
        <v>AP2A1;AP2A2</v>
      </c>
      <c r="M730">
        <v>0</v>
      </c>
      <c r="N730">
        <v>0.89450172185430499</v>
      </c>
      <c r="O730">
        <v>2.7358301825645501</v>
      </c>
      <c r="P730">
        <v>3.19565678233438</v>
      </c>
      <c r="Q730">
        <v>1.25576199330606</v>
      </c>
      <c r="R730">
        <v>1.8001620641859499</v>
      </c>
      <c r="S730">
        <v>4.5325422818791896</v>
      </c>
      <c r="T730">
        <v>3.5534699031850701</v>
      </c>
      <c r="U730">
        <v>6.6141499085923199</v>
      </c>
      <c r="V730">
        <v>0</v>
      </c>
      <c r="W730">
        <v>1.27539809638918</v>
      </c>
      <c r="X730">
        <v>3.9385828424797298</v>
      </c>
    </row>
    <row r="731" spans="1:24">
      <c r="A731">
        <v>659</v>
      </c>
      <c r="B731" t="s">
        <v>1991</v>
      </c>
      <c r="C731">
        <v>1</v>
      </c>
      <c r="D731" t="s">
        <v>1992</v>
      </c>
      <c r="E731">
        <v>9</v>
      </c>
      <c r="F731">
        <v>9</v>
      </c>
      <c r="G731">
        <v>9</v>
      </c>
      <c r="H731" t="s">
        <v>1991</v>
      </c>
      <c r="I731">
        <v>47.9</v>
      </c>
      <c r="J731">
        <v>19.576000000000001</v>
      </c>
      <c r="K731" t="str">
        <f>"COX4I1"</f>
        <v>COX4I1</v>
      </c>
      <c r="L731" t="str">
        <f>"COX4I1"</f>
        <v>COX4I1</v>
      </c>
      <c r="M731">
        <v>1.2103892752168599</v>
      </c>
      <c r="N731">
        <v>2.6835051655629099</v>
      </c>
      <c r="O731">
        <v>4.5597169709409098</v>
      </c>
      <c r="P731">
        <v>2.1304378548895899</v>
      </c>
      <c r="Q731">
        <v>3.7672859799181899</v>
      </c>
      <c r="R731">
        <v>2.7002430962789199</v>
      </c>
      <c r="S731">
        <v>1.1331355704698001</v>
      </c>
      <c r="T731">
        <v>3.5534699031850701</v>
      </c>
      <c r="U731">
        <v>1.10235831809872</v>
      </c>
      <c r="V731">
        <v>3.1519079029246999</v>
      </c>
      <c r="W731">
        <v>0</v>
      </c>
      <c r="X731">
        <v>0.984645710619934</v>
      </c>
    </row>
    <row r="732" spans="1:24">
      <c r="A732">
        <v>1135</v>
      </c>
      <c r="B732" t="s">
        <v>1993</v>
      </c>
      <c r="C732">
        <v>2</v>
      </c>
      <c r="D732" t="s">
        <v>1994</v>
      </c>
      <c r="E732">
        <v>9</v>
      </c>
      <c r="F732">
        <v>9</v>
      </c>
      <c r="G732">
        <v>9</v>
      </c>
      <c r="H732" t="s">
        <v>1995</v>
      </c>
      <c r="I732">
        <v>21.5</v>
      </c>
      <c r="J732">
        <v>48.83</v>
      </c>
      <c r="K732" t="str">
        <f>"RENBP"</f>
        <v>RENBP</v>
      </c>
      <c r="L732" t="str">
        <f>"RENBP"</f>
        <v>RENBP</v>
      </c>
      <c r="M732">
        <v>1.2103892752168599</v>
      </c>
      <c r="N732">
        <v>3.57800688741722</v>
      </c>
      <c r="O732">
        <v>3.64777357675273</v>
      </c>
      <c r="P732">
        <v>2.1304378548895899</v>
      </c>
      <c r="Q732">
        <v>2.51152398661212</v>
      </c>
      <c r="R732">
        <v>3.6003241283718901</v>
      </c>
      <c r="S732">
        <v>1.1331355704698001</v>
      </c>
      <c r="T732">
        <v>2.3689799354567098</v>
      </c>
      <c r="U732">
        <v>2.20471663619744</v>
      </c>
      <c r="V732">
        <v>5.2531798382078403</v>
      </c>
      <c r="W732">
        <v>0</v>
      </c>
      <c r="X732">
        <v>3.9385828424797298</v>
      </c>
    </row>
    <row r="733" spans="1:24">
      <c r="A733">
        <v>1919</v>
      </c>
      <c r="B733" t="s">
        <v>1996</v>
      </c>
      <c r="C733">
        <v>1</v>
      </c>
      <c r="D733" t="s">
        <v>1997</v>
      </c>
      <c r="E733">
        <v>8</v>
      </c>
      <c r="F733">
        <v>8</v>
      </c>
      <c r="G733">
        <v>8</v>
      </c>
      <c r="H733" t="s">
        <v>1996</v>
      </c>
      <c r="I733">
        <v>37.9</v>
      </c>
      <c r="J733">
        <v>32.235999999999997</v>
      </c>
      <c r="K733" t="str">
        <f>"ISOC1"</f>
        <v>ISOC1</v>
      </c>
      <c r="L733" t="str">
        <f>"ISOC1"</f>
        <v>ISOC1</v>
      </c>
      <c r="M733">
        <v>0</v>
      </c>
      <c r="N733">
        <v>2.6835051655629099</v>
      </c>
      <c r="O733">
        <v>3.64777357675273</v>
      </c>
      <c r="P733">
        <v>3.19565678233438</v>
      </c>
      <c r="Q733">
        <v>2.51152398661212</v>
      </c>
      <c r="R733">
        <v>2.7002430962789199</v>
      </c>
      <c r="S733">
        <v>1.1331355704698001</v>
      </c>
      <c r="T733">
        <v>2.3689799354567098</v>
      </c>
      <c r="U733">
        <v>3.3070749542961599</v>
      </c>
      <c r="V733">
        <v>3.1519079029246999</v>
      </c>
      <c r="W733">
        <v>3.82619428916755</v>
      </c>
      <c r="X733">
        <v>4.92322855309967</v>
      </c>
    </row>
    <row r="734" spans="1:24">
      <c r="A734">
        <v>2129</v>
      </c>
      <c r="B734" t="s">
        <v>1998</v>
      </c>
      <c r="C734">
        <v>3</v>
      </c>
      <c r="D734" t="s">
        <v>1999</v>
      </c>
      <c r="E734">
        <v>8</v>
      </c>
      <c r="F734">
        <v>8</v>
      </c>
      <c r="G734">
        <v>8</v>
      </c>
      <c r="H734" t="s">
        <v>2000</v>
      </c>
      <c r="I734">
        <v>33</v>
      </c>
      <c r="J734">
        <v>35.091000000000001</v>
      </c>
      <c r="K734" t="str">
        <f>"GP6"</f>
        <v>GP6</v>
      </c>
      <c r="L734" t="str">
        <f>"GP6"</f>
        <v>GP6</v>
      </c>
      <c r="M734">
        <v>1.2103892752168599</v>
      </c>
      <c r="N734">
        <v>2.6835051655629099</v>
      </c>
      <c r="O734">
        <v>0.91194339418818204</v>
      </c>
      <c r="P734">
        <v>6.3913135646687698</v>
      </c>
      <c r="Q734">
        <v>1.25576199330606</v>
      </c>
      <c r="R734">
        <v>4.5004051604648696</v>
      </c>
      <c r="S734">
        <v>4.5325422818791896</v>
      </c>
      <c r="T734">
        <v>3.5534699031850701</v>
      </c>
      <c r="U734">
        <v>4.4094332723948799</v>
      </c>
      <c r="V734">
        <v>3.1519079029246999</v>
      </c>
      <c r="W734">
        <v>2.5507961927783702</v>
      </c>
      <c r="X734">
        <v>2.9539371318597998</v>
      </c>
    </row>
    <row r="735" spans="1:24">
      <c r="A735">
        <v>2388</v>
      </c>
      <c r="B735" t="s">
        <v>2001</v>
      </c>
      <c r="C735">
        <v>1</v>
      </c>
      <c r="D735" t="s">
        <v>2002</v>
      </c>
      <c r="E735">
        <v>15</v>
      </c>
      <c r="F735">
        <v>15</v>
      </c>
      <c r="G735">
        <v>15</v>
      </c>
      <c r="H735" t="s">
        <v>2001</v>
      </c>
      <c r="I735">
        <v>44.9</v>
      </c>
      <c r="J735">
        <v>49.96</v>
      </c>
      <c r="K735" t="str">
        <f>"SQRDL"</f>
        <v>SQRDL</v>
      </c>
      <c r="L735" t="str">
        <f>"SQRDL"</f>
        <v>SQRDL</v>
      </c>
      <c r="M735">
        <v>1.2103892752168599</v>
      </c>
      <c r="N735">
        <v>2.6835051655629099</v>
      </c>
      <c r="O735">
        <v>1.8238867883763601</v>
      </c>
      <c r="P735">
        <v>5.3260946372239797</v>
      </c>
      <c r="Q735">
        <v>0</v>
      </c>
      <c r="R735">
        <v>1.8001620641859499</v>
      </c>
      <c r="S735">
        <v>3.3994067114094002</v>
      </c>
      <c r="T735">
        <v>0</v>
      </c>
      <c r="U735">
        <v>4.4094332723948799</v>
      </c>
      <c r="V735">
        <v>1.05063596764157</v>
      </c>
      <c r="W735">
        <v>3.82619428916755</v>
      </c>
      <c r="X735">
        <v>3.9385828424797298</v>
      </c>
    </row>
    <row r="736" spans="1:24">
      <c r="A736">
        <v>170</v>
      </c>
      <c r="B736" t="s">
        <v>2003</v>
      </c>
      <c r="C736">
        <v>2</v>
      </c>
      <c r="D736" t="s">
        <v>2004</v>
      </c>
      <c r="E736">
        <v>10</v>
      </c>
      <c r="F736">
        <v>10</v>
      </c>
      <c r="G736">
        <v>9</v>
      </c>
      <c r="H736" t="s">
        <v>2005</v>
      </c>
      <c r="I736">
        <v>20.100000000000001</v>
      </c>
      <c r="J736">
        <v>80.760000000000005</v>
      </c>
      <c r="K736" t="str">
        <f>"STRN"</f>
        <v>STRN</v>
      </c>
      <c r="L736" t="str">
        <f>"STRN"</f>
        <v>STRN</v>
      </c>
      <c r="M736">
        <v>2.4207785504337198</v>
      </c>
      <c r="N736">
        <v>4.4725086092715198</v>
      </c>
      <c r="O736">
        <v>1.8238867883763601</v>
      </c>
      <c r="P736">
        <v>3.19565678233438</v>
      </c>
      <c r="Q736">
        <v>1.25576199330606</v>
      </c>
      <c r="R736">
        <v>5.4004861925578398</v>
      </c>
      <c r="S736">
        <v>4.5325422818791896</v>
      </c>
      <c r="T736">
        <v>2.3689799354567098</v>
      </c>
      <c r="U736">
        <v>4.4094332723948799</v>
      </c>
      <c r="V736">
        <v>1.05063596764157</v>
      </c>
      <c r="W736">
        <v>1.27539809638918</v>
      </c>
      <c r="X736">
        <v>1.96929142123987</v>
      </c>
    </row>
    <row r="737" spans="1:24">
      <c r="A737">
        <v>807</v>
      </c>
      <c r="B737" t="s">
        <v>2006</v>
      </c>
      <c r="C737">
        <v>2</v>
      </c>
      <c r="D737" t="s">
        <v>2007</v>
      </c>
      <c r="E737">
        <v>10</v>
      </c>
      <c r="F737">
        <v>10</v>
      </c>
      <c r="G737">
        <v>10</v>
      </c>
      <c r="H737" t="s">
        <v>2008</v>
      </c>
      <c r="I737">
        <v>23.8</v>
      </c>
      <c r="J737">
        <v>47.716000000000001</v>
      </c>
      <c r="K737" t="str">
        <f>"AHCY"</f>
        <v>AHCY</v>
      </c>
      <c r="L737" t="str">
        <f>"AHCY"</f>
        <v>AHCY</v>
      </c>
      <c r="M737">
        <v>1.2103892752168599</v>
      </c>
      <c r="N737">
        <v>3.57800688741722</v>
      </c>
      <c r="O737">
        <v>1.8238867883763601</v>
      </c>
      <c r="P737">
        <v>4.2608757097791798</v>
      </c>
      <c r="Q737">
        <v>0</v>
      </c>
      <c r="R737">
        <v>1.8001620641859499</v>
      </c>
      <c r="S737">
        <v>4.5325422818791896</v>
      </c>
      <c r="T737">
        <v>1.18448996772836</v>
      </c>
      <c r="U737">
        <v>2.20471663619744</v>
      </c>
      <c r="V737">
        <v>4.2025438705662701</v>
      </c>
      <c r="W737">
        <v>3.82619428916755</v>
      </c>
      <c r="X737">
        <v>3.9385828424797298</v>
      </c>
    </row>
    <row r="738" spans="1:24">
      <c r="A738">
        <v>1049</v>
      </c>
      <c r="B738" t="s">
        <v>2009</v>
      </c>
      <c r="C738">
        <v>2</v>
      </c>
      <c r="D738" t="s">
        <v>2010</v>
      </c>
      <c r="E738">
        <v>14</v>
      </c>
      <c r="F738">
        <v>14</v>
      </c>
      <c r="G738">
        <v>14</v>
      </c>
      <c r="H738" t="s">
        <v>2011</v>
      </c>
      <c r="I738">
        <v>19.600000000000001</v>
      </c>
      <c r="J738">
        <v>82.593000000000004</v>
      </c>
      <c r="K738" t="str">
        <f>"NSF"</f>
        <v>NSF</v>
      </c>
      <c r="L738" t="str">
        <f>"NSF"</f>
        <v>NSF</v>
      </c>
      <c r="M738">
        <v>0</v>
      </c>
      <c r="N738">
        <v>2.6835051655629099</v>
      </c>
      <c r="O738">
        <v>4.5597169709409098</v>
      </c>
      <c r="P738">
        <v>1.0652189274447901</v>
      </c>
      <c r="Q738">
        <v>1.25576199330606</v>
      </c>
      <c r="R738">
        <v>2.7002430962789199</v>
      </c>
      <c r="S738">
        <v>2.2662711409396001</v>
      </c>
      <c r="T738">
        <v>1.18448996772836</v>
      </c>
      <c r="U738">
        <v>4.4094332723948799</v>
      </c>
      <c r="V738">
        <v>2.1012719352831399</v>
      </c>
      <c r="W738">
        <v>1.27539809638918</v>
      </c>
      <c r="X738">
        <v>3.9385828424797298</v>
      </c>
    </row>
    <row r="739" spans="1:24">
      <c r="A739">
        <v>1056</v>
      </c>
      <c r="B739" t="s">
        <v>2012</v>
      </c>
      <c r="C739">
        <v>1</v>
      </c>
      <c r="D739" t="s">
        <v>2013</v>
      </c>
      <c r="E739">
        <v>14</v>
      </c>
      <c r="F739">
        <v>14</v>
      </c>
      <c r="G739">
        <v>14</v>
      </c>
      <c r="H739" t="s">
        <v>2012</v>
      </c>
      <c r="I739">
        <v>23.5</v>
      </c>
      <c r="J739">
        <v>85.238</v>
      </c>
      <c r="K739" t="str">
        <f>"PLA2G4A"</f>
        <v>PLA2G4A</v>
      </c>
      <c r="L739" t="str">
        <f>"PLA2G4A"</f>
        <v>PLA2G4A</v>
      </c>
      <c r="M739">
        <v>0</v>
      </c>
      <c r="N739">
        <v>5.3670103311258304</v>
      </c>
      <c r="O739">
        <v>2.7358301825645501</v>
      </c>
      <c r="P739">
        <v>1.0652189274447901</v>
      </c>
      <c r="Q739">
        <v>0</v>
      </c>
      <c r="R739">
        <v>7.2006482567437899</v>
      </c>
      <c r="S739">
        <v>1.1331355704698001</v>
      </c>
      <c r="T739">
        <v>1.18448996772836</v>
      </c>
      <c r="U739">
        <v>2.20471663619744</v>
      </c>
      <c r="V739">
        <v>1.05063596764157</v>
      </c>
      <c r="W739">
        <v>1.27539809638918</v>
      </c>
      <c r="X739">
        <v>3.9385828424797298</v>
      </c>
    </row>
    <row r="740" spans="1:24">
      <c r="A740">
        <v>1243</v>
      </c>
      <c r="B740" t="s">
        <v>2014</v>
      </c>
      <c r="C740">
        <v>3</v>
      </c>
      <c r="D740" t="s">
        <v>2015</v>
      </c>
      <c r="E740">
        <v>9</v>
      </c>
      <c r="F740">
        <v>9</v>
      </c>
      <c r="G740">
        <v>9</v>
      </c>
      <c r="H740" t="s">
        <v>2016</v>
      </c>
      <c r="I740">
        <v>41.5</v>
      </c>
      <c r="J740">
        <v>20.504000000000001</v>
      </c>
      <c r="K740" t="str">
        <f>"RAP2B;RAP2C;RAP2A"</f>
        <v>RAP2B;RAP2C;RAP2A</v>
      </c>
      <c r="L740" t="str">
        <f>"RAP2B;RAP2C;RAP2A"</f>
        <v>RAP2B;RAP2C;RAP2A</v>
      </c>
      <c r="M740">
        <v>2.4207785504337198</v>
      </c>
      <c r="N740">
        <v>2.6835051655629099</v>
      </c>
      <c r="O740">
        <v>1.8238867883763601</v>
      </c>
      <c r="P740">
        <v>3.19565678233438</v>
      </c>
      <c r="Q740">
        <v>0</v>
      </c>
      <c r="R740">
        <v>1.8001620641859499</v>
      </c>
      <c r="S740">
        <v>3.3994067114094002</v>
      </c>
      <c r="T740">
        <v>2.3689799354567098</v>
      </c>
      <c r="U740">
        <v>1.10235831809872</v>
      </c>
      <c r="V740">
        <v>3.1519079029246999</v>
      </c>
      <c r="W740">
        <v>3.82619428916755</v>
      </c>
      <c r="X740">
        <v>2.9539371318597998</v>
      </c>
    </row>
    <row r="741" spans="1:24">
      <c r="A741">
        <v>1378</v>
      </c>
      <c r="B741" t="s">
        <v>2017</v>
      </c>
      <c r="C741">
        <v>3</v>
      </c>
      <c r="D741" t="s">
        <v>2018</v>
      </c>
      <c r="E741">
        <v>17</v>
      </c>
      <c r="F741">
        <v>17</v>
      </c>
      <c r="G741">
        <v>17</v>
      </c>
      <c r="H741" t="s">
        <v>2019</v>
      </c>
      <c r="I741">
        <v>38.1</v>
      </c>
      <c r="J741">
        <v>68.010000000000005</v>
      </c>
      <c r="K741" t="str">
        <f>"PTPN11"</f>
        <v>PTPN11</v>
      </c>
      <c r="L741" t="str">
        <f>"PTPN11"</f>
        <v>PTPN11</v>
      </c>
      <c r="M741">
        <v>1.2103892752168599</v>
      </c>
      <c r="N741">
        <v>2.6835051655629099</v>
      </c>
      <c r="O741">
        <v>3.64777357675273</v>
      </c>
      <c r="P741">
        <v>2.1304378548895899</v>
      </c>
      <c r="Q741">
        <v>0</v>
      </c>
      <c r="R741">
        <v>4.5004051604648696</v>
      </c>
      <c r="S741">
        <v>3.3994067114094002</v>
      </c>
      <c r="T741">
        <v>1.18448996772836</v>
      </c>
      <c r="U741">
        <v>1.10235831809872</v>
      </c>
      <c r="V741">
        <v>3.1519079029246999</v>
      </c>
      <c r="W741">
        <v>1.27539809638918</v>
      </c>
      <c r="X741">
        <v>3.9385828424797298</v>
      </c>
    </row>
    <row r="742" spans="1:24">
      <c r="A742">
        <v>1469</v>
      </c>
      <c r="B742" t="s">
        <v>2020</v>
      </c>
      <c r="C742">
        <v>1</v>
      </c>
      <c r="D742" t="s">
        <v>2021</v>
      </c>
      <c r="E742">
        <v>8</v>
      </c>
      <c r="F742">
        <v>8</v>
      </c>
      <c r="G742">
        <v>8</v>
      </c>
      <c r="H742" t="s">
        <v>2020</v>
      </c>
      <c r="I742">
        <v>23.7</v>
      </c>
      <c r="J742">
        <v>52.561999999999998</v>
      </c>
      <c r="K742" t="str">
        <f>"BLMH"</f>
        <v>BLMH</v>
      </c>
      <c r="L742" t="str">
        <f>"BLMH"</f>
        <v>BLMH</v>
      </c>
      <c r="M742">
        <v>0</v>
      </c>
      <c r="N742">
        <v>4.4725086092715198</v>
      </c>
      <c r="O742">
        <v>4.5597169709409098</v>
      </c>
      <c r="P742">
        <v>3.19565678233438</v>
      </c>
      <c r="Q742">
        <v>1.25576199330606</v>
      </c>
      <c r="R742">
        <v>1.8001620641859499</v>
      </c>
      <c r="S742">
        <v>1.1331355704698001</v>
      </c>
      <c r="T742">
        <v>0</v>
      </c>
      <c r="U742">
        <v>3.3070749542961599</v>
      </c>
      <c r="V742">
        <v>5.2531798382078403</v>
      </c>
      <c r="W742">
        <v>2.5507961927783702</v>
      </c>
      <c r="X742">
        <v>2.9539371318597998</v>
      </c>
    </row>
    <row r="743" spans="1:24">
      <c r="A743">
        <v>132</v>
      </c>
      <c r="B743" t="s">
        <v>2022</v>
      </c>
      <c r="C743">
        <v>2</v>
      </c>
      <c r="D743" t="s">
        <v>2023</v>
      </c>
      <c r="E743">
        <v>7</v>
      </c>
      <c r="F743">
        <v>7</v>
      </c>
      <c r="G743">
        <v>7</v>
      </c>
      <c r="H743" t="s">
        <v>2024</v>
      </c>
      <c r="I743">
        <v>36.799999999999997</v>
      </c>
      <c r="J743">
        <v>27.4</v>
      </c>
      <c r="K743" t="str">
        <f>"STX7"</f>
        <v>STX7</v>
      </c>
      <c r="L743" t="str">
        <f>"STX7"</f>
        <v>STX7</v>
      </c>
      <c r="M743">
        <v>2.4207785504337198</v>
      </c>
      <c r="N743">
        <v>1.78900344370861</v>
      </c>
      <c r="O743">
        <v>2.7358301825645501</v>
      </c>
      <c r="P743">
        <v>4.2608757097791798</v>
      </c>
      <c r="Q743">
        <v>1.25576199330606</v>
      </c>
      <c r="R743">
        <v>3.6003241283718901</v>
      </c>
      <c r="S743">
        <v>3.3994067114094002</v>
      </c>
      <c r="T743">
        <v>2.3689799354567098</v>
      </c>
      <c r="U743">
        <v>4.4094332723948799</v>
      </c>
      <c r="V743">
        <v>2.1012719352831399</v>
      </c>
      <c r="W743">
        <v>1.27539809638918</v>
      </c>
      <c r="X743">
        <v>3.9385828424797298</v>
      </c>
    </row>
    <row r="744" spans="1:24">
      <c r="A744">
        <v>986</v>
      </c>
      <c r="B744" t="s">
        <v>2025</v>
      </c>
      <c r="C744">
        <v>3</v>
      </c>
      <c r="D744" t="s">
        <v>2026</v>
      </c>
      <c r="E744">
        <v>12</v>
      </c>
      <c r="F744">
        <v>12</v>
      </c>
      <c r="G744">
        <v>9</v>
      </c>
      <c r="H744" t="s">
        <v>2027</v>
      </c>
      <c r="I744">
        <v>44.6</v>
      </c>
      <c r="J744">
        <v>37.417999999999999</v>
      </c>
      <c r="K744" t="str">
        <f>"GMPR;CXXC1"</f>
        <v>GMPR;CXXC1</v>
      </c>
      <c r="L744" t="str">
        <f>"GMPR;CXXC1"</f>
        <v>GMPR;CXXC1</v>
      </c>
      <c r="M744">
        <v>1.2103892752168599</v>
      </c>
      <c r="N744">
        <v>3.57800688741722</v>
      </c>
      <c r="O744">
        <v>1.8238867883763601</v>
      </c>
      <c r="P744">
        <v>3.19565678233438</v>
      </c>
      <c r="Q744">
        <v>1.25576199330606</v>
      </c>
      <c r="R744">
        <v>1.8001620641859499</v>
      </c>
      <c r="S744">
        <v>1.1331355704698001</v>
      </c>
      <c r="T744">
        <v>1.18448996772836</v>
      </c>
      <c r="U744">
        <v>2.20471663619744</v>
      </c>
      <c r="V744">
        <v>3.1519079029246999</v>
      </c>
      <c r="W744">
        <v>0</v>
      </c>
      <c r="X744">
        <v>5.9078742637195996</v>
      </c>
    </row>
    <row r="745" spans="1:24">
      <c r="A745">
        <v>1670</v>
      </c>
      <c r="B745" t="s">
        <v>2028</v>
      </c>
      <c r="C745">
        <v>1</v>
      </c>
      <c r="D745" t="s">
        <v>2029</v>
      </c>
      <c r="E745">
        <v>5</v>
      </c>
      <c r="F745">
        <v>5</v>
      </c>
      <c r="G745">
        <v>5</v>
      </c>
      <c r="H745" t="s">
        <v>2028</v>
      </c>
      <c r="I745">
        <v>50.3</v>
      </c>
      <c r="J745">
        <v>17.745000000000001</v>
      </c>
      <c r="K745" t="str">
        <f>"LAMTOR1"</f>
        <v>LAMTOR1</v>
      </c>
      <c r="L745" t="str">
        <f>"LAMTOR1"</f>
        <v>LAMTOR1</v>
      </c>
      <c r="M745">
        <v>1.2103892752168599</v>
      </c>
      <c r="N745">
        <v>0.89450172185430499</v>
      </c>
      <c r="O745">
        <v>1.8238867883763601</v>
      </c>
      <c r="P745">
        <v>4.2608757097791798</v>
      </c>
      <c r="Q745">
        <v>2.51152398661212</v>
      </c>
      <c r="R745">
        <v>2.7002430962789199</v>
      </c>
      <c r="S745">
        <v>2.2662711409396001</v>
      </c>
      <c r="T745">
        <v>2.3689799354567098</v>
      </c>
      <c r="U745">
        <v>4.4094332723948799</v>
      </c>
      <c r="V745">
        <v>2.1012719352831399</v>
      </c>
      <c r="W745">
        <v>2.5507961927783702</v>
      </c>
      <c r="X745">
        <v>4.92322855309967</v>
      </c>
    </row>
    <row r="746" spans="1:24">
      <c r="A746">
        <v>1761</v>
      </c>
      <c r="B746" t="s">
        <v>2030</v>
      </c>
      <c r="C746">
        <v>2</v>
      </c>
      <c r="D746" t="s">
        <v>2031</v>
      </c>
      <c r="E746">
        <v>7</v>
      </c>
      <c r="F746">
        <v>7</v>
      </c>
      <c r="G746">
        <v>7</v>
      </c>
      <c r="H746" t="s">
        <v>2032</v>
      </c>
      <c r="I746">
        <v>21.5</v>
      </c>
      <c r="J746">
        <v>49.35</v>
      </c>
      <c r="K746" t="str">
        <f>"CRLF3"</f>
        <v>CRLF3</v>
      </c>
      <c r="L746" t="str">
        <f>"CRLF3"</f>
        <v>CRLF3</v>
      </c>
      <c r="M746">
        <v>1.2103892752168599</v>
      </c>
      <c r="N746">
        <v>2.6835051655629099</v>
      </c>
      <c r="O746">
        <v>3.64777357675273</v>
      </c>
      <c r="P746">
        <v>3.19565678233438</v>
      </c>
      <c r="Q746">
        <v>2.51152398661212</v>
      </c>
      <c r="R746">
        <v>2.7002430962789199</v>
      </c>
      <c r="S746">
        <v>2.2662711409396001</v>
      </c>
      <c r="T746">
        <v>3.5534699031850701</v>
      </c>
      <c r="U746">
        <v>1.10235831809872</v>
      </c>
      <c r="V746">
        <v>2.1012719352831399</v>
      </c>
      <c r="W746">
        <v>1.27539809638918</v>
      </c>
      <c r="X746">
        <v>2.9539371318597998</v>
      </c>
    </row>
    <row r="747" spans="1:24">
      <c r="A747">
        <v>2285</v>
      </c>
      <c r="B747" t="s">
        <v>2033</v>
      </c>
      <c r="C747">
        <v>2</v>
      </c>
      <c r="D747" t="s">
        <v>2034</v>
      </c>
      <c r="E747">
        <v>24</v>
      </c>
      <c r="F747">
        <v>20</v>
      </c>
      <c r="G747">
        <v>20</v>
      </c>
      <c r="H747" t="s">
        <v>2035</v>
      </c>
      <c r="I747">
        <v>26.6</v>
      </c>
      <c r="J747">
        <v>125.5</v>
      </c>
      <c r="K747" t="str">
        <f>"ASAP1"</f>
        <v>ASAP1</v>
      </c>
      <c r="L747" t="str">
        <f>"ASAP1"</f>
        <v>ASAP1</v>
      </c>
      <c r="M747">
        <v>0</v>
      </c>
      <c r="N747">
        <v>2.6835051655629099</v>
      </c>
      <c r="O747">
        <v>4.5597169709409098</v>
      </c>
      <c r="P747">
        <v>2.1304378548895899</v>
      </c>
      <c r="Q747">
        <v>0</v>
      </c>
      <c r="R747">
        <v>3.6003241283718901</v>
      </c>
      <c r="S747">
        <v>3.3994067114094002</v>
      </c>
      <c r="T747">
        <v>1.18448996772836</v>
      </c>
      <c r="U747">
        <v>4.4094332723948799</v>
      </c>
      <c r="V747">
        <v>0</v>
      </c>
      <c r="W747">
        <v>3.82619428916755</v>
      </c>
      <c r="X747">
        <v>3.9385828424797298</v>
      </c>
    </row>
    <row r="748" spans="1:24">
      <c r="A748">
        <v>161</v>
      </c>
      <c r="B748" t="s">
        <v>2036</v>
      </c>
      <c r="C748">
        <v>1</v>
      </c>
      <c r="D748" t="s">
        <v>2037</v>
      </c>
      <c r="E748">
        <v>8</v>
      </c>
      <c r="F748">
        <v>8</v>
      </c>
      <c r="G748">
        <v>8</v>
      </c>
      <c r="H748" t="s">
        <v>2036</v>
      </c>
      <c r="I748">
        <v>32.5</v>
      </c>
      <c r="J748">
        <v>38.792000000000002</v>
      </c>
      <c r="K748" t="str">
        <f>"ASNA1"</f>
        <v>ASNA1</v>
      </c>
      <c r="L748" t="str">
        <f>"ASNA1"</f>
        <v>ASNA1</v>
      </c>
      <c r="M748">
        <v>1.2103892752168599</v>
      </c>
      <c r="N748">
        <v>1.78900344370861</v>
      </c>
      <c r="O748">
        <v>2.7358301825645501</v>
      </c>
      <c r="P748">
        <v>2.1304378548895899</v>
      </c>
      <c r="Q748">
        <v>0</v>
      </c>
      <c r="R748">
        <v>2.7002430962789199</v>
      </c>
      <c r="S748">
        <v>3.3994067114094002</v>
      </c>
      <c r="T748">
        <v>4.7379598709134303</v>
      </c>
      <c r="U748">
        <v>0</v>
      </c>
      <c r="V748">
        <v>2.1012719352831399</v>
      </c>
      <c r="W748">
        <v>0</v>
      </c>
      <c r="X748">
        <v>1.96929142123987</v>
      </c>
    </row>
    <row r="749" spans="1:24">
      <c r="A749">
        <v>325</v>
      </c>
      <c r="B749" t="s">
        <v>2038</v>
      </c>
      <c r="C749">
        <v>1</v>
      </c>
      <c r="D749" t="s">
        <v>2039</v>
      </c>
      <c r="E749">
        <v>7</v>
      </c>
      <c r="F749">
        <v>7</v>
      </c>
      <c r="G749">
        <v>7</v>
      </c>
      <c r="H749" t="s">
        <v>2038</v>
      </c>
      <c r="I749">
        <v>37.200000000000003</v>
      </c>
      <c r="J749">
        <v>23.170999999999999</v>
      </c>
      <c r="K749" t="str">
        <f>"TIMP1"</f>
        <v>TIMP1</v>
      </c>
      <c r="L749" t="str">
        <f>"TIMP1"</f>
        <v>TIMP1</v>
      </c>
      <c r="M749">
        <v>0</v>
      </c>
      <c r="N749">
        <v>1.78900344370861</v>
      </c>
      <c r="O749">
        <v>1.8238867883763601</v>
      </c>
      <c r="P749">
        <v>2.1304378548895899</v>
      </c>
      <c r="Q749">
        <v>2.51152398661212</v>
      </c>
      <c r="R749">
        <v>2.7002430962789199</v>
      </c>
      <c r="S749">
        <v>3.3994067114094002</v>
      </c>
      <c r="T749">
        <v>2.3689799354567098</v>
      </c>
      <c r="U749">
        <v>5.5117915904936003</v>
      </c>
      <c r="V749">
        <v>2.1012719352831399</v>
      </c>
      <c r="W749">
        <v>6.37699048194591</v>
      </c>
      <c r="X749">
        <v>4.92322855309967</v>
      </c>
    </row>
    <row r="750" spans="1:24">
      <c r="A750">
        <v>1069</v>
      </c>
      <c r="B750" t="s">
        <v>2040</v>
      </c>
      <c r="C750">
        <v>2</v>
      </c>
      <c r="D750" t="s">
        <v>2041</v>
      </c>
      <c r="E750">
        <v>6</v>
      </c>
      <c r="F750">
        <v>6</v>
      </c>
      <c r="G750">
        <v>6</v>
      </c>
      <c r="H750" t="s">
        <v>2042</v>
      </c>
      <c r="I750">
        <v>29.6</v>
      </c>
      <c r="J750">
        <v>30.727</v>
      </c>
      <c r="K750" t="str">
        <f>"GCLM"</f>
        <v>GCLM</v>
      </c>
      <c r="L750" t="str">
        <f>"GCLM"</f>
        <v>GCLM</v>
      </c>
      <c r="M750">
        <v>1.2103892752168599</v>
      </c>
      <c r="N750">
        <v>1.78900344370861</v>
      </c>
      <c r="O750">
        <v>2.7358301825645501</v>
      </c>
      <c r="P750">
        <v>2.1304378548895899</v>
      </c>
      <c r="Q750">
        <v>3.7672859799181899</v>
      </c>
      <c r="R750">
        <v>3.6003241283718901</v>
      </c>
      <c r="S750">
        <v>2.2662711409396001</v>
      </c>
      <c r="T750">
        <v>1.18448996772836</v>
      </c>
      <c r="U750">
        <v>1.10235831809872</v>
      </c>
      <c r="V750">
        <v>2.1012719352831399</v>
      </c>
      <c r="W750">
        <v>2.5507961927783702</v>
      </c>
      <c r="X750">
        <v>1.96929142123987</v>
      </c>
    </row>
    <row r="751" spans="1:24">
      <c r="A751">
        <v>1260</v>
      </c>
      <c r="B751" t="s">
        <v>2043</v>
      </c>
      <c r="C751">
        <v>5</v>
      </c>
      <c r="D751" t="s">
        <v>2044</v>
      </c>
      <c r="E751">
        <v>8</v>
      </c>
      <c r="F751">
        <v>8</v>
      </c>
      <c r="G751">
        <v>8</v>
      </c>
      <c r="H751" t="s">
        <v>2045</v>
      </c>
      <c r="I751">
        <v>28.6</v>
      </c>
      <c r="J751">
        <v>44.783999999999999</v>
      </c>
      <c r="K751" t="str">
        <f>"PSMC5;SPATA5"</f>
        <v>PSMC5;SPATA5</v>
      </c>
      <c r="L751" t="str">
        <f>"PSMC5;SPATA5"</f>
        <v>PSMC5;SPATA5</v>
      </c>
      <c r="M751">
        <v>2.4207785504337198</v>
      </c>
      <c r="N751">
        <v>2.6835051655629099</v>
      </c>
      <c r="O751">
        <v>4.5597169709409098</v>
      </c>
      <c r="P751">
        <v>2.1304378548895899</v>
      </c>
      <c r="Q751">
        <v>1.25576199330606</v>
      </c>
      <c r="R751">
        <v>4.5004051604648696</v>
      </c>
      <c r="S751">
        <v>1.1331355704698001</v>
      </c>
      <c r="T751">
        <v>1.18448996772836</v>
      </c>
      <c r="U751">
        <v>2.20471663619744</v>
      </c>
      <c r="V751">
        <v>2.1012719352831399</v>
      </c>
      <c r="W751">
        <v>1.27539809638918</v>
      </c>
      <c r="X751">
        <v>1.96929142123987</v>
      </c>
    </row>
    <row r="752" spans="1:24">
      <c r="A752">
        <v>2095</v>
      </c>
      <c r="B752" t="s">
        <v>2046</v>
      </c>
      <c r="C752">
        <v>3</v>
      </c>
      <c r="D752" t="s">
        <v>2047</v>
      </c>
      <c r="E752">
        <v>17</v>
      </c>
      <c r="F752">
        <v>17</v>
      </c>
      <c r="G752">
        <v>17</v>
      </c>
      <c r="H752" t="s">
        <v>2048</v>
      </c>
      <c r="I752">
        <v>22</v>
      </c>
      <c r="J752">
        <v>101.67</v>
      </c>
      <c r="K752" t="str">
        <f>"UNC45A"</f>
        <v>UNC45A</v>
      </c>
      <c r="L752" t="str">
        <f>"UNC45A"</f>
        <v>UNC45A</v>
      </c>
      <c r="M752">
        <v>1.2103892752168599</v>
      </c>
      <c r="N752">
        <v>0</v>
      </c>
      <c r="O752">
        <v>4.5597169709409098</v>
      </c>
      <c r="P752">
        <v>3.19565678233438</v>
      </c>
      <c r="Q752">
        <v>1.25576199330606</v>
      </c>
      <c r="R752">
        <v>0</v>
      </c>
      <c r="S752">
        <v>3.3994067114094002</v>
      </c>
      <c r="T752">
        <v>2.3689799354567098</v>
      </c>
      <c r="U752">
        <v>4.4094332723948799</v>
      </c>
      <c r="V752">
        <v>2.1012719352831399</v>
      </c>
      <c r="W752">
        <v>1.27539809638918</v>
      </c>
      <c r="X752">
        <v>2.9539371318597998</v>
      </c>
    </row>
    <row r="753" spans="1:24">
      <c r="A753">
        <v>2274</v>
      </c>
      <c r="B753" t="s">
        <v>2049</v>
      </c>
      <c r="C753">
        <v>1</v>
      </c>
      <c r="D753" t="s">
        <v>2050</v>
      </c>
      <c r="E753">
        <v>14</v>
      </c>
      <c r="F753">
        <v>13</v>
      </c>
      <c r="G753">
        <v>13</v>
      </c>
      <c r="H753" t="s">
        <v>2049</v>
      </c>
      <c r="I753">
        <v>26.5</v>
      </c>
      <c r="J753">
        <v>79.662999999999997</v>
      </c>
      <c r="K753" t="str">
        <f>"APPL1"</f>
        <v>APPL1</v>
      </c>
      <c r="L753" t="str">
        <f>"APPL1"</f>
        <v>APPL1</v>
      </c>
      <c r="M753">
        <v>1.2103892752168599</v>
      </c>
      <c r="N753">
        <v>2.6835051655629099</v>
      </c>
      <c r="O753">
        <v>2.7358301825645501</v>
      </c>
      <c r="P753">
        <v>2.1304378548895899</v>
      </c>
      <c r="Q753">
        <v>0</v>
      </c>
      <c r="R753">
        <v>4.5004051604648696</v>
      </c>
      <c r="S753">
        <v>2.2662711409396001</v>
      </c>
      <c r="T753">
        <v>2.3689799354567098</v>
      </c>
      <c r="U753">
        <v>5.5117915904936003</v>
      </c>
      <c r="V753">
        <v>2.1012719352831399</v>
      </c>
      <c r="W753">
        <v>1.27539809638918</v>
      </c>
      <c r="X753">
        <v>4.92322855309967</v>
      </c>
    </row>
    <row r="754" spans="1:24">
      <c r="A754">
        <v>153</v>
      </c>
      <c r="B754" t="s">
        <v>2051</v>
      </c>
      <c r="C754">
        <v>4</v>
      </c>
      <c r="D754" t="s">
        <v>2052</v>
      </c>
      <c r="E754">
        <v>8</v>
      </c>
      <c r="F754">
        <v>8</v>
      </c>
      <c r="G754">
        <v>8</v>
      </c>
      <c r="H754" t="s">
        <v>2053</v>
      </c>
      <c r="I754">
        <v>29.6</v>
      </c>
      <c r="J754">
        <v>50.280999999999999</v>
      </c>
      <c r="K754" t="str">
        <f>"WIPF1"</f>
        <v>WIPF1</v>
      </c>
      <c r="L754" t="str">
        <f>"WIPF1"</f>
        <v>WIPF1</v>
      </c>
      <c r="M754">
        <v>0</v>
      </c>
      <c r="N754">
        <v>5.3670103311258304</v>
      </c>
      <c r="O754">
        <v>2.7358301825645501</v>
      </c>
      <c r="P754">
        <v>3.19565678233438</v>
      </c>
      <c r="Q754">
        <v>0</v>
      </c>
      <c r="R754">
        <v>3.6003241283718901</v>
      </c>
      <c r="S754">
        <v>1.1331355704698001</v>
      </c>
      <c r="T754">
        <v>1.18448996772836</v>
      </c>
      <c r="U754">
        <v>3.3070749542961599</v>
      </c>
      <c r="V754">
        <v>2.1012719352831399</v>
      </c>
      <c r="W754">
        <v>1.27539809638918</v>
      </c>
      <c r="X754">
        <v>1.96929142123987</v>
      </c>
    </row>
    <row r="755" spans="1:24">
      <c r="A755">
        <v>476</v>
      </c>
      <c r="B755" t="s">
        <v>2054</v>
      </c>
      <c r="C755">
        <v>1</v>
      </c>
      <c r="D755" t="s">
        <v>2055</v>
      </c>
      <c r="E755">
        <v>6</v>
      </c>
      <c r="F755">
        <v>6</v>
      </c>
      <c r="G755">
        <v>6</v>
      </c>
      <c r="H755" t="s">
        <v>2054</v>
      </c>
      <c r="I755">
        <v>46.2</v>
      </c>
      <c r="J755">
        <v>10.834</v>
      </c>
      <c r="K755" t="str">
        <f>"S100A8"</f>
        <v>S100A8</v>
      </c>
      <c r="L755" t="str">
        <f>"S100A8"</f>
        <v>S100A8</v>
      </c>
      <c r="M755">
        <v>2.4207785504337198</v>
      </c>
      <c r="N755">
        <v>0</v>
      </c>
      <c r="O755">
        <v>0.91194339418818204</v>
      </c>
      <c r="P755">
        <v>3.19565678233438</v>
      </c>
      <c r="Q755">
        <v>2.51152398661212</v>
      </c>
      <c r="R755">
        <v>5.4004861925578398</v>
      </c>
      <c r="S755">
        <v>2.2662711409396001</v>
      </c>
      <c r="T755">
        <v>2.3689799354567098</v>
      </c>
      <c r="U755">
        <v>2.20471663619744</v>
      </c>
      <c r="V755">
        <v>3.1519079029246999</v>
      </c>
      <c r="W755">
        <v>3.82619428916755</v>
      </c>
      <c r="X755">
        <v>0.984645710619934</v>
      </c>
    </row>
    <row r="756" spans="1:24">
      <c r="A756">
        <v>770</v>
      </c>
      <c r="B756" t="s">
        <v>2056</v>
      </c>
      <c r="C756">
        <v>2</v>
      </c>
      <c r="D756" t="s">
        <v>2057</v>
      </c>
      <c r="E756">
        <v>13</v>
      </c>
      <c r="F756">
        <v>13</v>
      </c>
      <c r="G756">
        <v>13</v>
      </c>
      <c r="H756" t="s">
        <v>2058</v>
      </c>
      <c r="I756">
        <v>29</v>
      </c>
      <c r="J756">
        <v>56.5</v>
      </c>
      <c r="K756" t="str">
        <f>"ATP6V1B2;ATP6V1B1"</f>
        <v>ATP6V1B2;ATP6V1B1</v>
      </c>
      <c r="L756" t="str">
        <f>"ATP6V1B2;ATP6V1B1"</f>
        <v>ATP6V1B2;ATP6V1B1</v>
      </c>
      <c r="M756">
        <v>0</v>
      </c>
      <c r="N756">
        <v>2.6835051655629099</v>
      </c>
      <c r="O756">
        <v>2.7358301825645501</v>
      </c>
      <c r="P756">
        <v>2.1304378548895899</v>
      </c>
      <c r="Q756">
        <v>1.25576199330606</v>
      </c>
      <c r="R756">
        <v>5.4004861925578398</v>
      </c>
      <c r="S756">
        <v>1.1331355704698001</v>
      </c>
      <c r="T756">
        <v>0</v>
      </c>
      <c r="U756">
        <v>3.3070749542961599</v>
      </c>
      <c r="V756">
        <v>3.1519079029246999</v>
      </c>
      <c r="W756">
        <v>2.5507961927783702</v>
      </c>
      <c r="X756">
        <v>0.984645710619934</v>
      </c>
    </row>
    <row r="757" spans="1:24">
      <c r="A757">
        <v>1178</v>
      </c>
      <c r="B757" t="s">
        <v>2059</v>
      </c>
      <c r="C757">
        <v>2</v>
      </c>
      <c r="D757" t="s">
        <v>2060</v>
      </c>
      <c r="E757">
        <v>10</v>
      </c>
      <c r="F757">
        <v>10</v>
      </c>
      <c r="G757">
        <v>9</v>
      </c>
      <c r="H757" t="s">
        <v>2061</v>
      </c>
      <c r="I757">
        <v>27.4</v>
      </c>
      <c r="J757">
        <v>43.170999999999999</v>
      </c>
      <c r="K757" t="str">
        <f>"RAD23B"</f>
        <v>RAD23B</v>
      </c>
      <c r="L757" t="str">
        <f>"RAD23B"</f>
        <v>RAD23B</v>
      </c>
      <c r="M757">
        <v>1.2103892752168599</v>
      </c>
      <c r="N757">
        <v>2.6835051655629099</v>
      </c>
      <c r="O757">
        <v>4.5597169709409098</v>
      </c>
      <c r="P757">
        <v>4.2608757097791798</v>
      </c>
      <c r="Q757">
        <v>0</v>
      </c>
      <c r="R757">
        <v>0.90008103209297396</v>
      </c>
      <c r="S757">
        <v>2.2662711409396001</v>
      </c>
      <c r="T757">
        <v>1.18448996772836</v>
      </c>
      <c r="U757">
        <v>0</v>
      </c>
      <c r="V757">
        <v>4.2025438705662701</v>
      </c>
      <c r="W757">
        <v>2.5507961927783702</v>
      </c>
      <c r="X757">
        <v>1.96929142123987</v>
      </c>
    </row>
    <row r="758" spans="1:24">
      <c r="A758">
        <v>2112</v>
      </c>
      <c r="B758" t="s">
        <v>2062</v>
      </c>
      <c r="C758">
        <v>2</v>
      </c>
      <c r="D758" t="s">
        <v>2063</v>
      </c>
      <c r="E758">
        <v>5</v>
      </c>
      <c r="F758">
        <v>5</v>
      </c>
      <c r="G758">
        <v>1</v>
      </c>
      <c r="H758" t="s">
        <v>2064</v>
      </c>
      <c r="I758">
        <v>25.9</v>
      </c>
      <c r="J758">
        <v>25.079000000000001</v>
      </c>
      <c r="K758" t="str">
        <f>"MOB1A"</f>
        <v>MOB1A</v>
      </c>
      <c r="L758" t="str">
        <f>"MOB1A"</f>
        <v>MOB1A</v>
      </c>
      <c r="M758">
        <v>1.2103892752168599</v>
      </c>
      <c r="N758">
        <v>1.78900344370861</v>
      </c>
      <c r="O758">
        <v>3.64777357675273</v>
      </c>
      <c r="P758">
        <v>4.2608757097791798</v>
      </c>
      <c r="Q758">
        <v>1.25576199330606</v>
      </c>
      <c r="R758">
        <v>4.5004051604648696</v>
      </c>
      <c r="S758">
        <v>3.3994067114094002</v>
      </c>
      <c r="T758">
        <v>1.18448996772836</v>
      </c>
      <c r="U758">
        <v>1.10235831809872</v>
      </c>
      <c r="V758">
        <v>2.1012719352831399</v>
      </c>
      <c r="W758">
        <v>3.82619428916755</v>
      </c>
      <c r="X758">
        <v>2.9539371318597998</v>
      </c>
    </row>
    <row r="759" spans="1:24">
      <c r="A759">
        <v>2215</v>
      </c>
      <c r="B759" t="s">
        <v>2065</v>
      </c>
      <c r="C759">
        <v>2</v>
      </c>
      <c r="D759" t="s">
        <v>2066</v>
      </c>
      <c r="E759">
        <v>8</v>
      </c>
      <c r="F759">
        <v>8</v>
      </c>
      <c r="G759">
        <v>8</v>
      </c>
      <c r="H759" t="s">
        <v>2067</v>
      </c>
      <c r="I759">
        <v>30.6</v>
      </c>
      <c r="J759">
        <v>23.096</v>
      </c>
      <c r="K759" t="str">
        <f>"CLEC1B"</f>
        <v>CLEC1B</v>
      </c>
      <c r="L759" t="str">
        <f>"CLEC1B"</f>
        <v>CLEC1B</v>
      </c>
      <c r="M759">
        <v>1.2103892752168599</v>
      </c>
      <c r="N759">
        <v>1.78900344370861</v>
      </c>
      <c r="O759">
        <v>4.5597169709409098</v>
      </c>
      <c r="P759">
        <v>2.1304378548895899</v>
      </c>
      <c r="Q759">
        <v>3.7672859799181899</v>
      </c>
      <c r="R759">
        <v>1.8001620641859499</v>
      </c>
      <c r="S759">
        <v>3.3994067114094002</v>
      </c>
      <c r="T759">
        <v>1.18448996772836</v>
      </c>
      <c r="U759">
        <v>2.20471663619744</v>
      </c>
      <c r="V759">
        <v>2.1012719352831399</v>
      </c>
      <c r="W759">
        <v>3.82619428916755</v>
      </c>
      <c r="X759">
        <v>2.9539371318597998</v>
      </c>
    </row>
    <row r="760" spans="1:24">
      <c r="A760">
        <v>372</v>
      </c>
      <c r="B760" t="s">
        <v>2068</v>
      </c>
      <c r="C760">
        <v>1</v>
      </c>
      <c r="D760" t="s">
        <v>2069</v>
      </c>
      <c r="E760">
        <v>4</v>
      </c>
      <c r="F760">
        <v>2</v>
      </c>
      <c r="G760">
        <v>2</v>
      </c>
      <c r="H760" t="s">
        <v>2068</v>
      </c>
      <c r="I760">
        <v>33.9</v>
      </c>
      <c r="J760">
        <v>13.436999999999999</v>
      </c>
      <c r="K760" t="s">
        <v>2070</v>
      </c>
      <c r="L760" t="s">
        <v>2070</v>
      </c>
      <c r="M760">
        <v>3.6311678256505799</v>
      </c>
      <c r="N760">
        <v>1.78900344370861</v>
      </c>
      <c r="O760">
        <v>2.7358301825645501</v>
      </c>
      <c r="P760">
        <v>4.2608757097791798</v>
      </c>
      <c r="Q760">
        <v>3.7672859799181899</v>
      </c>
      <c r="R760">
        <v>1.8001620641859499</v>
      </c>
      <c r="S760">
        <v>1.1331355704698001</v>
      </c>
      <c r="T760">
        <v>3.5534699031850701</v>
      </c>
      <c r="U760">
        <v>2.20471663619744</v>
      </c>
      <c r="V760">
        <v>3.1519079029246999</v>
      </c>
      <c r="W760">
        <v>2.5507961927783702</v>
      </c>
      <c r="X760">
        <v>1.96929142123987</v>
      </c>
    </row>
    <row r="761" spans="1:24">
      <c r="A761">
        <v>465</v>
      </c>
      <c r="B761" t="s">
        <v>2071</v>
      </c>
      <c r="C761">
        <v>1</v>
      </c>
      <c r="D761" t="s">
        <v>2072</v>
      </c>
      <c r="E761">
        <v>24</v>
      </c>
      <c r="F761">
        <v>8</v>
      </c>
      <c r="G761">
        <v>4</v>
      </c>
      <c r="H761" t="s">
        <v>2071</v>
      </c>
      <c r="I761">
        <v>63.8</v>
      </c>
      <c r="J761">
        <v>40.840000000000003</v>
      </c>
      <c r="K761" t="str">
        <f>"HLA-A"</f>
        <v>HLA-A</v>
      </c>
      <c r="L761" t="str">
        <f>"HLA-A"</f>
        <v>HLA-A</v>
      </c>
      <c r="M761">
        <v>1.2103892752168599</v>
      </c>
      <c r="N761">
        <v>0.89450172185430499</v>
      </c>
      <c r="O761">
        <v>1.8238867883763601</v>
      </c>
      <c r="P761">
        <v>1.0652189274447901</v>
      </c>
      <c r="Q761">
        <v>0</v>
      </c>
      <c r="R761">
        <v>6.3005672246508198</v>
      </c>
      <c r="S761">
        <v>1.1331355704698001</v>
      </c>
      <c r="T761">
        <v>0</v>
      </c>
      <c r="U761">
        <v>0</v>
      </c>
      <c r="V761">
        <v>2.1012719352831399</v>
      </c>
      <c r="W761">
        <v>0</v>
      </c>
      <c r="X761">
        <v>0</v>
      </c>
    </row>
    <row r="762" spans="1:24">
      <c r="A762">
        <v>1627</v>
      </c>
      <c r="B762" t="s">
        <v>2073</v>
      </c>
      <c r="C762">
        <v>2</v>
      </c>
      <c r="D762" t="s">
        <v>2074</v>
      </c>
      <c r="E762">
        <v>8</v>
      </c>
      <c r="F762">
        <v>8</v>
      </c>
      <c r="G762">
        <v>8</v>
      </c>
      <c r="H762" t="s">
        <v>2075</v>
      </c>
      <c r="I762">
        <v>29.8</v>
      </c>
      <c r="J762">
        <v>34.323999999999998</v>
      </c>
      <c r="K762" t="str">
        <f>"HSD17B12"</f>
        <v>HSD17B12</v>
      </c>
      <c r="L762" t="str">
        <f>"HSD17B12"</f>
        <v>HSD17B12</v>
      </c>
      <c r="M762">
        <v>3.6311678256505799</v>
      </c>
      <c r="N762">
        <v>1.78900344370861</v>
      </c>
      <c r="O762">
        <v>0.91194339418818204</v>
      </c>
      <c r="P762">
        <v>0</v>
      </c>
      <c r="Q762">
        <v>0</v>
      </c>
      <c r="R762">
        <v>2.7002430962789199</v>
      </c>
      <c r="S762">
        <v>2.2662711409396001</v>
      </c>
      <c r="T762">
        <v>1.18448996772836</v>
      </c>
      <c r="U762">
        <v>1.10235831809872</v>
      </c>
      <c r="V762">
        <v>1.05063596764157</v>
      </c>
      <c r="W762">
        <v>1.27539809638918</v>
      </c>
      <c r="X762">
        <v>1.96929142123987</v>
      </c>
    </row>
    <row r="763" spans="1:24">
      <c r="A763">
        <v>1694</v>
      </c>
      <c r="B763" t="s">
        <v>2076</v>
      </c>
      <c r="C763">
        <v>2</v>
      </c>
      <c r="D763" t="s">
        <v>2077</v>
      </c>
      <c r="E763">
        <v>6</v>
      </c>
      <c r="F763">
        <v>6</v>
      </c>
      <c r="G763">
        <v>6</v>
      </c>
      <c r="H763" t="s">
        <v>2078</v>
      </c>
      <c r="I763">
        <v>7</v>
      </c>
      <c r="J763">
        <v>104.9</v>
      </c>
      <c r="K763" t="str">
        <f>"PACS1"</f>
        <v>PACS1</v>
      </c>
      <c r="L763" t="str">
        <f>"PACS1"</f>
        <v>PACS1</v>
      </c>
      <c r="M763">
        <v>3.6311678256505799</v>
      </c>
      <c r="N763">
        <v>1.78900344370861</v>
      </c>
      <c r="O763">
        <v>4.5597169709409098</v>
      </c>
      <c r="P763">
        <v>1.0652189274447901</v>
      </c>
      <c r="Q763">
        <v>2.51152398661212</v>
      </c>
      <c r="R763">
        <v>2.7002430962789199</v>
      </c>
      <c r="S763">
        <v>1.1331355704698001</v>
      </c>
      <c r="T763">
        <v>3.5534699031850701</v>
      </c>
      <c r="U763">
        <v>1.10235831809872</v>
      </c>
      <c r="V763">
        <v>3.1519079029246999</v>
      </c>
      <c r="W763">
        <v>1.27539809638918</v>
      </c>
      <c r="X763">
        <v>2.9539371318597998</v>
      </c>
    </row>
    <row r="764" spans="1:24">
      <c r="A764">
        <v>1924</v>
      </c>
      <c r="B764" t="s">
        <v>2079</v>
      </c>
      <c r="C764">
        <v>6</v>
      </c>
      <c r="D764" t="s">
        <v>2080</v>
      </c>
      <c r="E764">
        <v>5</v>
      </c>
      <c r="F764">
        <v>5</v>
      </c>
      <c r="G764">
        <v>5</v>
      </c>
      <c r="H764" t="s">
        <v>2081</v>
      </c>
      <c r="I764">
        <v>52.7</v>
      </c>
      <c r="J764">
        <v>8.2553000000000001</v>
      </c>
      <c r="K764" t="str">
        <f>"CMTM5"</f>
        <v>CMTM5</v>
      </c>
      <c r="L764" t="str">
        <f>"CMTM5"</f>
        <v>CMTM5</v>
      </c>
      <c r="M764">
        <v>3.6311678256505799</v>
      </c>
      <c r="N764">
        <v>0.89450172185430499</v>
      </c>
      <c r="O764">
        <v>3.64777357675273</v>
      </c>
      <c r="P764">
        <v>1.0652189274447901</v>
      </c>
      <c r="Q764">
        <v>0</v>
      </c>
      <c r="R764">
        <v>2.7002430962789199</v>
      </c>
      <c r="S764">
        <v>2.2662711409396001</v>
      </c>
      <c r="T764">
        <v>2.3689799354567098</v>
      </c>
      <c r="U764">
        <v>1.10235831809872</v>
      </c>
      <c r="V764">
        <v>2.1012719352831399</v>
      </c>
      <c r="W764">
        <v>2.5507961927783702</v>
      </c>
      <c r="X764">
        <v>3.9385828424797298</v>
      </c>
    </row>
    <row r="765" spans="1:24">
      <c r="A765">
        <v>255</v>
      </c>
      <c r="B765" t="s">
        <v>2082</v>
      </c>
      <c r="C765">
        <v>10</v>
      </c>
      <c r="D765" t="s">
        <v>2083</v>
      </c>
      <c r="E765">
        <v>13</v>
      </c>
      <c r="F765">
        <v>13</v>
      </c>
      <c r="G765">
        <v>13</v>
      </c>
      <c r="H765" t="s">
        <v>2084</v>
      </c>
      <c r="I765">
        <v>12</v>
      </c>
      <c r="J765">
        <v>117.67</v>
      </c>
      <c r="K765" t="str">
        <f>"SEC31A"</f>
        <v>SEC31A</v>
      </c>
      <c r="L765" t="str">
        <f>"SEC31A"</f>
        <v>SEC31A</v>
      </c>
      <c r="M765">
        <v>0</v>
      </c>
      <c r="N765">
        <v>1.78900344370861</v>
      </c>
      <c r="O765">
        <v>4.5597169709409098</v>
      </c>
      <c r="P765">
        <v>1.0652189274447901</v>
      </c>
      <c r="Q765">
        <v>0</v>
      </c>
      <c r="R765">
        <v>2.7002430962789199</v>
      </c>
      <c r="S765">
        <v>1.1331355704698001</v>
      </c>
      <c r="T765">
        <v>0</v>
      </c>
      <c r="U765">
        <v>2.20471663619744</v>
      </c>
      <c r="V765">
        <v>3.1519079029246999</v>
      </c>
      <c r="W765">
        <v>2.5507961927783702</v>
      </c>
      <c r="X765">
        <v>3.9385828424797298</v>
      </c>
    </row>
    <row r="766" spans="1:24">
      <c r="A766">
        <v>519</v>
      </c>
      <c r="B766" t="s">
        <v>2085</v>
      </c>
      <c r="C766">
        <v>3</v>
      </c>
      <c r="D766" t="s">
        <v>2086</v>
      </c>
      <c r="E766">
        <v>10</v>
      </c>
      <c r="F766">
        <v>10</v>
      </c>
      <c r="G766">
        <v>10</v>
      </c>
      <c r="H766" t="s">
        <v>2087</v>
      </c>
      <c r="I766">
        <v>26.2</v>
      </c>
      <c r="J766">
        <v>44</v>
      </c>
      <c r="K766" t="str">
        <f>"SERPINE2"</f>
        <v>SERPINE2</v>
      </c>
      <c r="L766" t="str">
        <f>"SERPINE2"</f>
        <v>SERPINE2</v>
      </c>
      <c r="M766">
        <v>0</v>
      </c>
      <c r="N766">
        <v>3.57800688741722</v>
      </c>
      <c r="O766">
        <v>2.7358301825645501</v>
      </c>
      <c r="P766">
        <v>2.1304378548895899</v>
      </c>
      <c r="Q766">
        <v>0</v>
      </c>
      <c r="R766">
        <v>5.4004861925578398</v>
      </c>
      <c r="S766">
        <v>0</v>
      </c>
      <c r="T766">
        <v>1.18448996772836</v>
      </c>
      <c r="U766">
        <v>3.3070749542961599</v>
      </c>
      <c r="V766">
        <v>2.1012719352831399</v>
      </c>
      <c r="W766">
        <v>0</v>
      </c>
      <c r="X766">
        <v>0.984645710619934</v>
      </c>
    </row>
    <row r="767" spans="1:24">
      <c r="A767">
        <v>585</v>
      </c>
      <c r="B767" t="s">
        <v>2088</v>
      </c>
      <c r="C767">
        <v>5</v>
      </c>
      <c r="D767" t="s">
        <v>2089</v>
      </c>
      <c r="E767">
        <v>8</v>
      </c>
      <c r="F767">
        <v>8</v>
      </c>
      <c r="G767">
        <v>8</v>
      </c>
      <c r="H767" t="s">
        <v>2090</v>
      </c>
      <c r="I767">
        <v>30.3</v>
      </c>
      <c r="J767">
        <v>23.661999999999999</v>
      </c>
      <c r="K767" t="str">
        <f>"CLTA"</f>
        <v>CLTA</v>
      </c>
      <c r="L767" t="str">
        <f>"CLTA"</f>
        <v>CLTA</v>
      </c>
      <c r="M767">
        <v>1.2103892752168599</v>
      </c>
      <c r="N767">
        <v>1.78900344370861</v>
      </c>
      <c r="O767">
        <v>2.7358301825645501</v>
      </c>
      <c r="P767">
        <v>4.2608757097791798</v>
      </c>
      <c r="Q767">
        <v>3.7672859799181899</v>
      </c>
      <c r="R767">
        <v>2.7002430962789199</v>
      </c>
      <c r="S767">
        <v>5.6656778523489901</v>
      </c>
      <c r="T767">
        <v>1.18448996772836</v>
      </c>
      <c r="U767">
        <v>2.20471663619744</v>
      </c>
      <c r="V767">
        <v>2.1012719352831399</v>
      </c>
      <c r="W767">
        <v>1.27539809638918</v>
      </c>
      <c r="X767">
        <v>3.9385828424797298</v>
      </c>
    </row>
    <row r="768" spans="1:24">
      <c r="A768">
        <v>915</v>
      </c>
      <c r="B768" t="s">
        <v>2091</v>
      </c>
      <c r="C768">
        <v>3</v>
      </c>
      <c r="D768" t="s">
        <v>2092</v>
      </c>
      <c r="E768">
        <v>9</v>
      </c>
      <c r="F768">
        <v>9</v>
      </c>
      <c r="G768">
        <v>9</v>
      </c>
      <c r="H768" t="s">
        <v>2093</v>
      </c>
      <c r="I768">
        <v>53.9</v>
      </c>
      <c r="J768">
        <v>20.006</v>
      </c>
      <c r="K768" t="str">
        <f>"SRI"</f>
        <v>SRI</v>
      </c>
      <c r="L768" t="str">
        <f>"SRI"</f>
        <v>SRI</v>
      </c>
      <c r="M768">
        <v>0</v>
      </c>
      <c r="N768">
        <v>3.57800688741722</v>
      </c>
      <c r="O768">
        <v>3.64777357675273</v>
      </c>
      <c r="P768">
        <v>3.19565678233438</v>
      </c>
      <c r="Q768">
        <v>3.7672859799181899</v>
      </c>
      <c r="R768">
        <v>2.7002430962789199</v>
      </c>
      <c r="S768">
        <v>1.1331355704698001</v>
      </c>
      <c r="T768">
        <v>2.3689799354567098</v>
      </c>
      <c r="U768">
        <v>2.20471663619744</v>
      </c>
      <c r="V768">
        <v>3.1519079029246999</v>
      </c>
      <c r="W768">
        <v>1.27539809638918</v>
      </c>
      <c r="X768">
        <v>1.96929142123987</v>
      </c>
    </row>
    <row r="769" spans="1:24">
      <c r="A769">
        <v>1024</v>
      </c>
      <c r="B769" t="s">
        <v>2094</v>
      </c>
      <c r="C769">
        <v>2</v>
      </c>
      <c r="D769" t="s">
        <v>2095</v>
      </c>
      <c r="E769">
        <v>13</v>
      </c>
      <c r="F769">
        <v>13</v>
      </c>
      <c r="G769">
        <v>13</v>
      </c>
      <c r="H769" t="s">
        <v>2096</v>
      </c>
      <c r="I769">
        <v>15.6</v>
      </c>
      <c r="J769">
        <v>98.655000000000001</v>
      </c>
      <c r="K769" t="str">
        <f>"EPS15"</f>
        <v>EPS15</v>
      </c>
      <c r="L769" t="str">
        <f>"EPS15"</f>
        <v>EPS15</v>
      </c>
      <c r="M769">
        <v>2.4207785504337198</v>
      </c>
      <c r="N769">
        <v>0.89450172185430499</v>
      </c>
      <c r="O769">
        <v>5.4716603651290896</v>
      </c>
      <c r="P769">
        <v>3.19565678233438</v>
      </c>
      <c r="Q769">
        <v>0</v>
      </c>
      <c r="R769">
        <v>2.7002430962789199</v>
      </c>
      <c r="S769">
        <v>3.3994067114094002</v>
      </c>
      <c r="T769">
        <v>1.18448996772836</v>
      </c>
      <c r="U769">
        <v>4.4094332723948799</v>
      </c>
      <c r="V769">
        <v>2.1012719352831399</v>
      </c>
      <c r="W769">
        <v>1.27539809638918</v>
      </c>
      <c r="X769">
        <v>3.9385828424797298</v>
      </c>
    </row>
    <row r="770" spans="1:24">
      <c r="A770">
        <v>1212</v>
      </c>
      <c r="B770" t="s">
        <v>2097</v>
      </c>
      <c r="C770">
        <v>1</v>
      </c>
      <c r="D770" t="s">
        <v>2098</v>
      </c>
      <c r="E770">
        <v>8</v>
      </c>
      <c r="F770">
        <v>8</v>
      </c>
      <c r="G770">
        <v>8</v>
      </c>
      <c r="H770" t="s">
        <v>2097</v>
      </c>
      <c r="I770">
        <v>83.1</v>
      </c>
      <c r="J770">
        <v>12.895</v>
      </c>
      <c r="K770" t="str">
        <f>"MTPN"</f>
        <v>MTPN</v>
      </c>
      <c r="L770" t="str">
        <f>"MTPN"</f>
        <v>MTPN</v>
      </c>
      <c r="M770">
        <v>0</v>
      </c>
      <c r="N770">
        <v>0.89450172185430499</v>
      </c>
      <c r="O770">
        <v>0.91194339418818204</v>
      </c>
      <c r="P770">
        <v>3.19565678233438</v>
      </c>
      <c r="Q770">
        <v>2.51152398661212</v>
      </c>
      <c r="R770">
        <v>8.1007292888367601</v>
      </c>
      <c r="S770">
        <v>3.3994067114094002</v>
      </c>
      <c r="T770">
        <v>1.18448996772836</v>
      </c>
      <c r="U770">
        <v>6.6141499085923199</v>
      </c>
      <c r="V770">
        <v>2.1012719352831399</v>
      </c>
      <c r="W770">
        <v>0</v>
      </c>
      <c r="X770">
        <v>0</v>
      </c>
    </row>
    <row r="771" spans="1:24">
      <c r="A771">
        <v>1374</v>
      </c>
      <c r="B771" t="s">
        <v>2099</v>
      </c>
      <c r="C771">
        <v>7</v>
      </c>
      <c r="D771" t="s">
        <v>2100</v>
      </c>
      <c r="E771">
        <v>16</v>
      </c>
      <c r="F771">
        <v>16</v>
      </c>
      <c r="G771">
        <v>15</v>
      </c>
      <c r="H771" t="s">
        <v>2101</v>
      </c>
      <c r="I771">
        <v>22.8</v>
      </c>
      <c r="J771">
        <v>114.25</v>
      </c>
      <c r="K771" t="str">
        <f>"PTK2"</f>
        <v>PTK2</v>
      </c>
      <c r="L771" t="str">
        <f>"PTK2"</f>
        <v>PTK2</v>
      </c>
      <c r="M771">
        <v>1.2103892752168599</v>
      </c>
      <c r="N771">
        <v>1.78900344370861</v>
      </c>
      <c r="O771">
        <v>1.8238867883763601</v>
      </c>
      <c r="P771">
        <v>2.1304378548895899</v>
      </c>
      <c r="Q771">
        <v>0</v>
      </c>
      <c r="R771">
        <v>1.8001620641859499</v>
      </c>
      <c r="S771">
        <v>2.2662711409396001</v>
      </c>
      <c r="T771">
        <v>2.3689799354567098</v>
      </c>
      <c r="U771">
        <v>1.10235831809872</v>
      </c>
      <c r="V771">
        <v>4.2025438705662701</v>
      </c>
      <c r="W771">
        <v>2.5507961927783702</v>
      </c>
      <c r="X771">
        <v>1.96929142123987</v>
      </c>
    </row>
    <row r="772" spans="1:24">
      <c r="A772">
        <v>1705</v>
      </c>
      <c r="B772" t="s">
        <v>2102</v>
      </c>
      <c r="C772">
        <v>5</v>
      </c>
      <c r="D772" t="s">
        <v>2103</v>
      </c>
      <c r="E772">
        <v>11</v>
      </c>
      <c r="F772">
        <v>11</v>
      </c>
      <c r="G772">
        <v>11</v>
      </c>
      <c r="H772" t="s">
        <v>2104</v>
      </c>
      <c r="I772">
        <v>28.2</v>
      </c>
      <c r="J772">
        <v>55.555999999999997</v>
      </c>
      <c r="K772" t="str">
        <f>"TOM1L2"</f>
        <v>TOM1L2</v>
      </c>
      <c r="L772" t="str">
        <f>"TOM1L2"</f>
        <v>TOM1L2</v>
      </c>
      <c r="M772">
        <v>0</v>
      </c>
      <c r="N772">
        <v>3.57800688741722</v>
      </c>
      <c r="O772">
        <v>3.64777357675273</v>
      </c>
      <c r="P772">
        <v>3.19565678233438</v>
      </c>
      <c r="Q772">
        <v>1.25576199330606</v>
      </c>
      <c r="R772">
        <v>3.6003241283718901</v>
      </c>
      <c r="S772">
        <v>3.3994067114094002</v>
      </c>
      <c r="T772">
        <v>0</v>
      </c>
      <c r="U772">
        <v>1.10235831809872</v>
      </c>
      <c r="V772">
        <v>4.2025438705662701</v>
      </c>
      <c r="W772">
        <v>2.5507961927783702</v>
      </c>
      <c r="X772">
        <v>5.9078742637195996</v>
      </c>
    </row>
    <row r="773" spans="1:24">
      <c r="A773">
        <v>2091</v>
      </c>
      <c r="B773" t="s">
        <v>2105</v>
      </c>
      <c r="C773">
        <v>5</v>
      </c>
      <c r="D773" t="s">
        <v>2106</v>
      </c>
      <c r="E773">
        <v>6</v>
      </c>
      <c r="F773">
        <v>6</v>
      </c>
      <c r="G773">
        <v>6</v>
      </c>
      <c r="H773" t="s">
        <v>2107</v>
      </c>
      <c r="I773">
        <v>27.5</v>
      </c>
      <c r="J773">
        <v>37.92</v>
      </c>
      <c r="K773" t="str">
        <f>"PPA2"</f>
        <v>PPA2</v>
      </c>
      <c r="L773" t="str">
        <f>"PPA2"</f>
        <v>PPA2</v>
      </c>
      <c r="M773">
        <v>2.4207785504337198</v>
      </c>
      <c r="N773">
        <v>3.57800688741722</v>
      </c>
      <c r="O773">
        <v>2.7358301825645501</v>
      </c>
      <c r="P773">
        <v>1.0652189274447901</v>
      </c>
      <c r="Q773">
        <v>1.25576199330606</v>
      </c>
      <c r="R773">
        <v>3.6003241283718901</v>
      </c>
      <c r="S773">
        <v>1.1331355704698001</v>
      </c>
      <c r="T773">
        <v>1.18448996772836</v>
      </c>
      <c r="U773">
        <v>0</v>
      </c>
      <c r="V773">
        <v>3.1519079029246999</v>
      </c>
      <c r="W773">
        <v>2.5507961927783702</v>
      </c>
      <c r="X773">
        <v>4.92322855309967</v>
      </c>
    </row>
    <row r="774" spans="1:24">
      <c r="A774">
        <v>2259</v>
      </c>
      <c r="B774" t="s">
        <v>2108</v>
      </c>
      <c r="C774">
        <v>1</v>
      </c>
      <c r="D774" t="s">
        <v>2109</v>
      </c>
      <c r="E774">
        <v>15</v>
      </c>
      <c r="F774">
        <v>15</v>
      </c>
      <c r="G774">
        <v>15</v>
      </c>
      <c r="H774" t="s">
        <v>2108</v>
      </c>
      <c r="I774">
        <v>17.600000000000001</v>
      </c>
      <c r="J774">
        <v>123.91</v>
      </c>
      <c r="K774" t="str">
        <f>"XPO7"</f>
        <v>XPO7</v>
      </c>
      <c r="L774" t="str">
        <f>"XPO7"</f>
        <v>XPO7</v>
      </c>
      <c r="M774">
        <v>1.2103892752168599</v>
      </c>
      <c r="N774">
        <v>5.3670103311258304</v>
      </c>
      <c r="O774">
        <v>3.64777357675273</v>
      </c>
      <c r="P774">
        <v>1.0652189274447901</v>
      </c>
      <c r="Q774">
        <v>0</v>
      </c>
      <c r="R774">
        <v>2.7002430962789199</v>
      </c>
      <c r="S774">
        <v>2.2662711409396001</v>
      </c>
      <c r="T774">
        <v>1.18448996772836</v>
      </c>
      <c r="U774">
        <v>0</v>
      </c>
      <c r="V774">
        <v>2.1012719352831399</v>
      </c>
      <c r="W774">
        <v>2.5507961927783702</v>
      </c>
      <c r="X774">
        <v>1.96929142123987</v>
      </c>
    </row>
    <row r="775" spans="1:24">
      <c r="A775">
        <v>2372</v>
      </c>
      <c r="B775" t="s">
        <v>2110</v>
      </c>
      <c r="C775">
        <v>5</v>
      </c>
      <c r="D775" t="s">
        <v>2111</v>
      </c>
      <c r="E775">
        <v>11</v>
      </c>
      <c r="F775">
        <v>11</v>
      </c>
      <c r="G775">
        <v>11</v>
      </c>
      <c r="H775" t="s">
        <v>2112</v>
      </c>
      <c r="I775">
        <v>26.7</v>
      </c>
      <c r="J775">
        <v>48.293999999999997</v>
      </c>
      <c r="K775" t="str">
        <f>"LRRFIP2"</f>
        <v>LRRFIP2</v>
      </c>
      <c r="L775" t="str">
        <f>"LRRFIP2"</f>
        <v>LRRFIP2</v>
      </c>
      <c r="M775">
        <v>1.2103892752168599</v>
      </c>
      <c r="N775">
        <v>1.78900344370861</v>
      </c>
      <c r="O775">
        <v>2.7358301825645501</v>
      </c>
      <c r="P775">
        <v>2.1304378548895899</v>
      </c>
      <c r="Q775">
        <v>1.25576199330606</v>
      </c>
      <c r="R775">
        <v>0.90008103209297396</v>
      </c>
      <c r="S775">
        <v>5.6656778523489901</v>
      </c>
      <c r="T775">
        <v>1.18448996772836</v>
      </c>
      <c r="U775">
        <v>4.4094332723948799</v>
      </c>
      <c r="V775">
        <v>1.05063596764157</v>
      </c>
      <c r="W775">
        <v>5.1015923855567298</v>
      </c>
      <c r="X775">
        <v>3.9385828424797298</v>
      </c>
    </row>
    <row r="776" spans="1:24">
      <c r="A776">
        <v>353</v>
      </c>
      <c r="B776" t="s">
        <v>2113</v>
      </c>
      <c r="C776">
        <v>1</v>
      </c>
      <c r="D776" t="s">
        <v>2114</v>
      </c>
      <c r="E776">
        <v>6</v>
      </c>
      <c r="F776">
        <v>2</v>
      </c>
      <c r="G776">
        <v>1</v>
      </c>
      <c r="H776" t="s">
        <v>2113</v>
      </c>
      <c r="I776">
        <v>66.099999999999994</v>
      </c>
      <c r="J776">
        <v>11.775</v>
      </c>
      <c r="K776" t="s">
        <v>476</v>
      </c>
      <c r="L776" t="s">
        <v>476</v>
      </c>
      <c r="M776">
        <v>2.4207785504337198</v>
      </c>
      <c r="N776">
        <v>1.78900344370861</v>
      </c>
      <c r="O776">
        <v>4.5597169709409098</v>
      </c>
      <c r="P776">
        <v>3.19565678233438</v>
      </c>
      <c r="Q776">
        <v>2.51152398661212</v>
      </c>
      <c r="R776">
        <v>3.6003241283718901</v>
      </c>
      <c r="S776">
        <v>2.2662711409396001</v>
      </c>
      <c r="T776">
        <v>3.5534699031850701</v>
      </c>
      <c r="U776">
        <v>3.3070749542961599</v>
      </c>
      <c r="V776">
        <v>1.05063596764157</v>
      </c>
      <c r="W776">
        <v>1.27539809638918</v>
      </c>
      <c r="X776">
        <v>1.96929142123987</v>
      </c>
    </row>
    <row r="777" spans="1:24">
      <c r="A777">
        <v>544</v>
      </c>
      <c r="B777" t="s">
        <v>2115</v>
      </c>
      <c r="C777">
        <v>2</v>
      </c>
      <c r="D777" t="s">
        <v>2116</v>
      </c>
      <c r="E777">
        <v>13</v>
      </c>
      <c r="F777">
        <v>13</v>
      </c>
      <c r="G777">
        <v>13</v>
      </c>
      <c r="H777" t="s">
        <v>2117</v>
      </c>
      <c r="I777">
        <v>34</v>
      </c>
      <c r="J777">
        <v>50.212000000000003</v>
      </c>
      <c r="K777" t="str">
        <f>"FH"</f>
        <v>FH</v>
      </c>
      <c r="L777" t="str">
        <f>"FH"</f>
        <v>FH</v>
      </c>
      <c r="M777">
        <v>0</v>
      </c>
      <c r="N777">
        <v>2.6835051655629099</v>
      </c>
      <c r="O777">
        <v>4.5597169709409098</v>
      </c>
      <c r="P777">
        <v>2.1304378548895899</v>
      </c>
      <c r="Q777">
        <v>1.25576199330606</v>
      </c>
      <c r="R777">
        <v>2.7002430962789199</v>
      </c>
      <c r="S777">
        <v>1.1331355704698001</v>
      </c>
      <c r="T777">
        <v>0</v>
      </c>
      <c r="U777">
        <v>3.3070749542961599</v>
      </c>
      <c r="V777">
        <v>1.05063596764157</v>
      </c>
      <c r="W777">
        <v>3.82619428916755</v>
      </c>
      <c r="X777">
        <v>4.92322855309967</v>
      </c>
    </row>
    <row r="778" spans="1:24">
      <c r="A778">
        <v>583</v>
      </c>
      <c r="B778" t="s">
        <v>2118</v>
      </c>
      <c r="C778">
        <v>1</v>
      </c>
      <c r="D778" t="s">
        <v>2119</v>
      </c>
      <c r="E778">
        <v>27</v>
      </c>
      <c r="F778">
        <v>3</v>
      </c>
      <c r="G778">
        <v>3</v>
      </c>
      <c r="H778" t="s">
        <v>2118</v>
      </c>
      <c r="I778">
        <v>56.7</v>
      </c>
      <c r="J778">
        <v>28.385000000000002</v>
      </c>
      <c r="K778" t="str">
        <f>"TPM1"</f>
        <v>TPM1</v>
      </c>
      <c r="L778" t="str">
        <f>"TPM1"</f>
        <v>TPM1</v>
      </c>
      <c r="M778">
        <v>2.4207785504337198</v>
      </c>
      <c r="N778">
        <v>2.6835051655629099</v>
      </c>
      <c r="O778">
        <v>2.7358301825645501</v>
      </c>
      <c r="P778">
        <v>2.1304378548895899</v>
      </c>
      <c r="Q778">
        <v>2.51152398661212</v>
      </c>
      <c r="R778">
        <v>2.7002430962789199</v>
      </c>
      <c r="S778">
        <v>1.1331355704698001</v>
      </c>
      <c r="T778">
        <v>2.3689799354567098</v>
      </c>
      <c r="U778">
        <v>3.3070749542961599</v>
      </c>
      <c r="V778">
        <v>2.1012719352831399</v>
      </c>
      <c r="W778">
        <v>2.5507961927783702</v>
      </c>
      <c r="X778">
        <v>0.984645710619934</v>
      </c>
    </row>
    <row r="779" spans="1:24">
      <c r="A779">
        <v>1195</v>
      </c>
      <c r="B779" t="s">
        <v>2120</v>
      </c>
      <c r="C779">
        <v>2</v>
      </c>
      <c r="D779" t="s">
        <v>2121</v>
      </c>
      <c r="E779">
        <v>8</v>
      </c>
      <c r="F779">
        <v>8</v>
      </c>
      <c r="G779">
        <v>8</v>
      </c>
      <c r="H779" t="s">
        <v>2122</v>
      </c>
      <c r="I779">
        <v>29</v>
      </c>
      <c r="J779">
        <v>33.31</v>
      </c>
      <c r="K779" t="str">
        <f>"CASP6"</f>
        <v>CASP6</v>
      </c>
      <c r="L779" t="str">
        <f>"CASP6"</f>
        <v>CASP6</v>
      </c>
      <c r="M779">
        <v>1.2103892752168599</v>
      </c>
      <c r="N779">
        <v>3.57800688741722</v>
      </c>
      <c r="O779">
        <v>1.8238867883763601</v>
      </c>
      <c r="P779">
        <v>1.0652189274447901</v>
      </c>
      <c r="Q779">
        <v>1.25576199330606</v>
      </c>
      <c r="R779">
        <v>2.7002430962789199</v>
      </c>
      <c r="S779">
        <v>1.1331355704698001</v>
      </c>
      <c r="T779">
        <v>3.5534699031850701</v>
      </c>
      <c r="U779">
        <v>3.3070749542961599</v>
      </c>
      <c r="V779">
        <v>4.2025438705662701</v>
      </c>
      <c r="W779">
        <v>2.5507961927783702</v>
      </c>
      <c r="X779">
        <v>1.96929142123987</v>
      </c>
    </row>
    <row r="780" spans="1:24">
      <c r="A780">
        <v>1201</v>
      </c>
      <c r="B780" t="s">
        <v>2123</v>
      </c>
      <c r="C780">
        <v>2</v>
      </c>
      <c r="D780" t="s">
        <v>2124</v>
      </c>
      <c r="E780">
        <v>11</v>
      </c>
      <c r="F780">
        <v>11</v>
      </c>
      <c r="G780">
        <v>11</v>
      </c>
      <c r="H780" t="s">
        <v>2125</v>
      </c>
      <c r="I780">
        <v>15.7</v>
      </c>
      <c r="J780">
        <v>92.48</v>
      </c>
      <c r="K780" t="str">
        <f>"EIF3B"</f>
        <v>EIF3B</v>
      </c>
      <c r="L780" t="str">
        <f>"EIF3B"</f>
        <v>EIF3B</v>
      </c>
      <c r="M780">
        <v>1.2103892752168599</v>
      </c>
      <c r="N780">
        <v>1.78900344370861</v>
      </c>
      <c r="O780">
        <v>3.64777357675273</v>
      </c>
      <c r="P780">
        <v>3.19565678233438</v>
      </c>
      <c r="Q780">
        <v>0</v>
      </c>
      <c r="R780">
        <v>1.8001620641859499</v>
      </c>
      <c r="S780">
        <v>2.2662711409396001</v>
      </c>
      <c r="T780">
        <v>0</v>
      </c>
      <c r="U780">
        <v>1.10235831809872</v>
      </c>
      <c r="V780">
        <v>2.1012719352831399</v>
      </c>
      <c r="W780">
        <v>1.27539809638918</v>
      </c>
      <c r="X780">
        <v>3.9385828424797298</v>
      </c>
    </row>
    <row r="781" spans="1:24">
      <c r="A781">
        <v>1832</v>
      </c>
      <c r="B781" t="s">
        <v>2126</v>
      </c>
      <c r="C781">
        <v>2</v>
      </c>
      <c r="D781" t="s">
        <v>2127</v>
      </c>
      <c r="E781">
        <v>10</v>
      </c>
      <c r="F781">
        <v>10</v>
      </c>
      <c r="G781">
        <v>10</v>
      </c>
      <c r="H781" t="s">
        <v>2128</v>
      </c>
      <c r="I781">
        <v>20</v>
      </c>
      <c r="J781">
        <v>53.348999999999997</v>
      </c>
      <c r="K781" t="str">
        <f>"PLEKHO2"</f>
        <v>PLEKHO2</v>
      </c>
      <c r="L781" t="str">
        <f>"PLEKHO2"</f>
        <v>PLEKHO2</v>
      </c>
      <c r="M781">
        <v>1.2103892752168599</v>
      </c>
      <c r="N781">
        <v>1.78900344370861</v>
      </c>
      <c r="O781">
        <v>2.7358301825645501</v>
      </c>
      <c r="P781">
        <v>4.2608757097791798</v>
      </c>
      <c r="Q781">
        <v>1.25576199330606</v>
      </c>
      <c r="R781">
        <v>2.7002430962789199</v>
      </c>
      <c r="S781">
        <v>1.1331355704698001</v>
      </c>
      <c r="T781">
        <v>2.3689799354567098</v>
      </c>
      <c r="U781">
        <v>1.10235831809872</v>
      </c>
      <c r="V781">
        <v>3.1519079029246999</v>
      </c>
      <c r="W781">
        <v>3.82619428916755</v>
      </c>
      <c r="X781">
        <v>2.9539371318597998</v>
      </c>
    </row>
    <row r="782" spans="1:24">
      <c r="A782">
        <v>178</v>
      </c>
      <c r="B782" t="s">
        <v>2129</v>
      </c>
      <c r="C782">
        <v>2</v>
      </c>
      <c r="D782" t="s">
        <v>2130</v>
      </c>
      <c r="E782">
        <v>6</v>
      </c>
      <c r="F782">
        <v>6</v>
      </c>
      <c r="G782">
        <v>6</v>
      </c>
      <c r="H782" t="s">
        <v>2131</v>
      </c>
      <c r="I782">
        <v>51.4</v>
      </c>
      <c r="J782">
        <v>16.800999999999998</v>
      </c>
      <c r="K782" t="str">
        <f>"GMFG;GMFB"</f>
        <v>GMFG;GMFB</v>
      </c>
      <c r="L782" t="str">
        <f>"GMFG;GMFB"</f>
        <v>GMFG;GMFB</v>
      </c>
      <c r="M782">
        <v>3.6311678256505799</v>
      </c>
      <c r="N782">
        <v>3.57800688741722</v>
      </c>
      <c r="O782">
        <v>0.91194339418818204</v>
      </c>
      <c r="P782">
        <v>3.19565678233438</v>
      </c>
      <c r="Q782">
        <v>3.7672859799181899</v>
      </c>
      <c r="R782">
        <v>0.90008103209297396</v>
      </c>
      <c r="S782">
        <v>2.2662711409396001</v>
      </c>
      <c r="T782">
        <v>1.18448996772836</v>
      </c>
      <c r="U782">
        <v>1.10235831809872</v>
      </c>
      <c r="V782">
        <v>3.1519079029246999</v>
      </c>
      <c r="W782">
        <v>1.27539809638918</v>
      </c>
      <c r="X782">
        <v>3.9385828424797298</v>
      </c>
    </row>
    <row r="783" spans="1:24">
      <c r="A783">
        <v>186</v>
      </c>
      <c r="B783" t="s">
        <v>2132</v>
      </c>
      <c r="C783">
        <v>9</v>
      </c>
      <c r="D783" t="s">
        <v>2133</v>
      </c>
      <c r="E783">
        <v>13</v>
      </c>
      <c r="F783">
        <v>13</v>
      </c>
      <c r="G783">
        <v>13</v>
      </c>
      <c r="H783" t="s">
        <v>2134</v>
      </c>
      <c r="I783">
        <v>26.9</v>
      </c>
      <c r="J783">
        <v>58.734999999999999</v>
      </c>
      <c r="K783" t="str">
        <f>"SYNCRIP;HNRNPR"</f>
        <v>SYNCRIP;HNRNPR</v>
      </c>
      <c r="L783" t="str">
        <f>"SYNCRIP;HNRNPR"</f>
        <v>SYNCRIP;HNRNPR</v>
      </c>
      <c r="M783">
        <v>0</v>
      </c>
      <c r="N783">
        <v>1.78900344370861</v>
      </c>
      <c r="O783">
        <v>2.7358301825645501</v>
      </c>
      <c r="P783">
        <v>3.19565678233438</v>
      </c>
      <c r="Q783">
        <v>0</v>
      </c>
      <c r="R783">
        <v>1.8001620641859499</v>
      </c>
      <c r="S783">
        <v>0</v>
      </c>
      <c r="T783">
        <v>0</v>
      </c>
      <c r="U783">
        <v>4.4094332723948799</v>
      </c>
      <c r="V783">
        <v>0</v>
      </c>
      <c r="W783">
        <v>0</v>
      </c>
      <c r="X783">
        <v>3.9385828424797298</v>
      </c>
    </row>
    <row r="784" spans="1:24">
      <c r="A784">
        <v>478</v>
      </c>
      <c r="B784" t="s">
        <v>2135</v>
      </c>
      <c r="C784">
        <v>1</v>
      </c>
      <c r="D784" t="s">
        <v>2136</v>
      </c>
      <c r="E784">
        <v>15</v>
      </c>
      <c r="F784">
        <v>6</v>
      </c>
      <c r="G784">
        <v>6</v>
      </c>
      <c r="H784" t="s">
        <v>2135</v>
      </c>
      <c r="I784">
        <v>43</v>
      </c>
      <c r="J784">
        <v>32.851999999999997</v>
      </c>
      <c r="K784" t="str">
        <f>"SLC25A5"</f>
        <v>SLC25A5</v>
      </c>
      <c r="L784" t="str">
        <f>"SLC25A5"</f>
        <v>SLC25A5</v>
      </c>
      <c r="M784">
        <v>2.4207785504337198</v>
      </c>
      <c r="N784">
        <v>0.89450172185430499</v>
      </c>
      <c r="O784">
        <v>0.91194339418818204</v>
      </c>
      <c r="P784">
        <v>2.1304378548895899</v>
      </c>
      <c r="Q784">
        <v>1.25576199330606</v>
      </c>
      <c r="R784">
        <v>2.7002430962789199</v>
      </c>
      <c r="S784">
        <v>4.5325422818791896</v>
      </c>
      <c r="T784">
        <v>2.3689799354567098</v>
      </c>
      <c r="U784">
        <v>4.4094332723948799</v>
      </c>
      <c r="V784">
        <v>2.1012719352831399</v>
      </c>
      <c r="W784">
        <v>7.6523885783351</v>
      </c>
      <c r="X784">
        <v>4.92322855309967</v>
      </c>
    </row>
    <row r="785" spans="1:24">
      <c r="A785">
        <v>537</v>
      </c>
      <c r="B785" t="s">
        <v>2137</v>
      </c>
      <c r="C785">
        <v>2</v>
      </c>
      <c r="D785" t="s">
        <v>2138</v>
      </c>
      <c r="E785">
        <v>7</v>
      </c>
      <c r="F785">
        <v>7</v>
      </c>
      <c r="G785">
        <v>7</v>
      </c>
      <c r="H785" t="s">
        <v>2139</v>
      </c>
      <c r="I785">
        <v>65.7</v>
      </c>
      <c r="J785">
        <v>14.557</v>
      </c>
      <c r="K785" t="str">
        <f>"APRT"</f>
        <v>APRT</v>
      </c>
      <c r="L785" t="str">
        <f>"APRT"</f>
        <v>APRT</v>
      </c>
      <c r="M785">
        <v>0</v>
      </c>
      <c r="N785">
        <v>2.6835051655629099</v>
      </c>
      <c r="O785">
        <v>1.8238867883763601</v>
      </c>
      <c r="P785">
        <v>1.0652189274447901</v>
      </c>
      <c r="Q785">
        <v>2.51152398661212</v>
      </c>
      <c r="R785">
        <v>3.6003241283718901</v>
      </c>
      <c r="S785">
        <v>2.2662711409396001</v>
      </c>
      <c r="T785">
        <v>1.18448996772836</v>
      </c>
      <c r="U785">
        <v>4.4094332723948799</v>
      </c>
      <c r="V785">
        <v>2.1012719352831399</v>
      </c>
      <c r="W785">
        <v>5.1015923855567298</v>
      </c>
      <c r="X785">
        <v>3.9385828424797298</v>
      </c>
    </row>
    <row r="786" spans="1:24">
      <c r="A786">
        <v>667</v>
      </c>
      <c r="B786" t="s">
        <v>2140</v>
      </c>
      <c r="C786">
        <v>4</v>
      </c>
      <c r="D786" t="s">
        <v>2141</v>
      </c>
      <c r="E786">
        <v>6</v>
      </c>
      <c r="F786">
        <v>6</v>
      </c>
      <c r="G786">
        <v>6</v>
      </c>
      <c r="H786" t="s">
        <v>2142</v>
      </c>
      <c r="I786">
        <v>32.6</v>
      </c>
      <c r="J786">
        <v>19.594999999999999</v>
      </c>
      <c r="K786" t="str">
        <f>"TPT1;TPT1P8"</f>
        <v>TPT1;TPT1P8</v>
      </c>
      <c r="L786" t="str">
        <f>"TPT1;TPT1P8"</f>
        <v>TPT1;TPT1P8</v>
      </c>
      <c r="M786">
        <v>0</v>
      </c>
      <c r="N786">
        <v>2.6835051655629099</v>
      </c>
      <c r="O786">
        <v>2.7358301825645501</v>
      </c>
      <c r="P786">
        <v>3.19565678233438</v>
      </c>
      <c r="Q786">
        <v>0</v>
      </c>
      <c r="R786">
        <v>2.7002430962789199</v>
      </c>
      <c r="S786">
        <v>2.2662711409396001</v>
      </c>
      <c r="T786">
        <v>2.3689799354567098</v>
      </c>
      <c r="U786">
        <v>2.20471663619744</v>
      </c>
      <c r="V786">
        <v>3.1519079029246999</v>
      </c>
      <c r="W786">
        <v>2.5507961927783702</v>
      </c>
      <c r="X786">
        <v>2.9539371318597998</v>
      </c>
    </row>
    <row r="787" spans="1:24">
      <c r="A787">
        <v>1063</v>
      </c>
      <c r="B787" t="s">
        <v>2143</v>
      </c>
      <c r="C787">
        <v>1</v>
      </c>
      <c r="D787" t="s">
        <v>2144</v>
      </c>
      <c r="E787">
        <v>10</v>
      </c>
      <c r="F787">
        <v>10</v>
      </c>
      <c r="G787">
        <v>10</v>
      </c>
      <c r="H787" t="s">
        <v>2143</v>
      </c>
      <c r="I787">
        <v>19.899999999999999</v>
      </c>
      <c r="J787">
        <v>80.698999999999998</v>
      </c>
      <c r="K787" t="str">
        <f>"PREP"</f>
        <v>PREP</v>
      </c>
      <c r="L787" t="str">
        <f>"PREP"</f>
        <v>PREP</v>
      </c>
      <c r="M787">
        <v>1.2103892752168599</v>
      </c>
      <c r="N787">
        <v>4.4725086092715198</v>
      </c>
      <c r="O787">
        <v>2.7358301825645501</v>
      </c>
      <c r="P787">
        <v>1.0652189274447901</v>
      </c>
      <c r="Q787">
        <v>1.25576199330606</v>
      </c>
      <c r="R787">
        <v>1.8001620641859499</v>
      </c>
      <c r="S787">
        <v>2.2662711409396001</v>
      </c>
      <c r="T787">
        <v>3.5534699031850701</v>
      </c>
      <c r="U787">
        <v>4.4094332723948799</v>
      </c>
      <c r="V787">
        <v>2.1012719352831399</v>
      </c>
      <c r="W787">
        <v>2.5507961927783702</v>
      </c>
      <c r="X787">
        <v>2.9539371318597998</v>
      </c>
    </row>
    <row r="788" spans="1:24">
      <c r="A788">
        <v>1082</v>
      </c>
      <c r="B788" t="s">
        <v>2145</v>
      </c>
      <c r="C788">
        <v>1</v>
      </c>
      <c r="D788" t="s">
        <v>2146</v>
      </c>
      <c r="E788">
        <v>9</v>
      </c>
      <c r="F788">
        <v>9</v>
      </c>
      <c r="G788">
        <v>9</v>
      </c>
      <c r="H788" t="s">
        <v>2145</v>
      </c>
      <c r="I788">
        <v>25.1</v>
      </c>
      <c r="J788">
        <v>57.548000000000002</v>
      </c>
      <c r="K788" t="str">
        <f>"LMAN1"</f>
        <v>LMAN1</v>
      </c>
      <c r="L788" t="str">
        <f>"LMAN1"</f>
        <v>LMAN1</v>
      </c>
      <c r="M788">
        <v>1.2103892752168599</v>
      </c>
      <c r="N788">
        <v>3.57800688741722</v>
      </c>
      <c r="O788">
        <v>3.64777357675273</v>
      </c>
      <c r="P788">
        <v>2.1304378548895899</v>
      </c>
      <c r="Q788">
        <v>1.25576199330606</v>
      </c>
      <c r="R788">
        <v>1.8001620641859499</v>
      </c>
      <c r="S788">
        <v>3.3994067114094002</v>
      </c>
      <c r="T788">
        <v>0</v>
      </c>
      <c r="U788">
        <v>1.10235831809872</v>
      </c>
      <c r="V788">
        <v>2.1012719352831399</v>
      </c>
      <c r="W788">
        <v>1.27539809638918</v>
      </c>
      <c r="X788">
        <v>1.96929142123987</v>
      </c>
    </row>
    <row r="789" spans="1:24">
      <c r="A789">
        <v>1249</v>
      </c>
      <c r="B789" t="s">
        <v>2147</v>
      </c>
      <c r="C789">
        <v>1</v>
      </c>
      <c r="D789" t="s">
        <v>2148</v>
      </c>
      <c r="E789">
        <v>4</v>
      </c>
      <c r="F789">
        <v>4</v>
      </c>
      <c r="G789">
        <v>4</v>
      </c>
      <c r="H789" t="s">
        <v>2147</v>
      </c>
      <c r="I789">
        <v>37.799999999999997</v>
      </c>
      <c r="J789">
        <v>13.714</v>
      </c>
      <c r="K789" t="str">
        <f>"B2M"</f>
        <v>B2M</v>
      </c>
      <c r="L789" t="str">
        <f>"B2M"</f>
        <v>B2M</v>
      </c>
      <c r="M789">
        <v>2.4207785504337198</v>
      </c>
      <c r="N789">
        <v>2.6835051655629099</v>
      </c>
      <c r="O789">
        <v>2.7358301825645501</v>
      </c>
      <c r="P789">
        <v>3.19565678233438</v>
      </c>
      <c r="Q789">
        <v>1.25576199330606</v>
      </c>
      <c r="R789">
        <v>4.5004051604648696</v>
      </c>
      <c r="S789">
        <v>3.3994067114094002</v>
      </c>
      <c r="T789">
        <v>2.3689799354567098</v>
      </c>
      <c r="U789">
        <v>1.10235831809872</v>
      </c>
      <c r="V789">
        <v>4.2025438705662701</v>
      </c>
      <c r="W789">
        <v>0</v>
      </c>
      <c r="X789">
        <v>0.984645710619934</v>
      </c>
    </row>
    <row r="790" spans="1:24">
      <c r="A790">
        <v>1418</v>
      </c>
      <c r="B790" t="s">
        <v>2149</v>
      </c>
      <c r="C790">
        <v>1</v>
      </c>
      <c r="D790" t="s">
        <v>2150</v>
      </c>
      <c r="E790">
        <v>10</v>
      </c>
      <c r="F790">
        <v>10</v>
      </c>
      <c r="G790">
        <v>10</v>
      </c>
      <c r="H790" t="s">
        <v>2149</v>
      </c>
      <c r="I790">
        <v>36.9</v>
      </c>
      <c r="J790">
        <v>35.816000000000003</v>
      </c>
      <c r="K790" t="str">
        <f>"ECH1"</f>
        <v>ECH1</v>
      </c>
      <c r="L790" t="str">
        <f>"ECH1"</f>
        <v>ECH1</v>
      </c>
      <c r="M790">
        <v>0</v>
      </c>
      <c r="N790">
        <v>0</v>
      </c>
      <c r="O790">
        <v>2.7358301825645501</v>
      </c>
      <c r="P790">
        <v>2.1304378548895899</v>
      </c>
      <c r="Q790">
        <v>5.0230479732242497</v>
      </c>
      <c r="R790">
        <v>2.7002430962789199</v>
      </c>
      <c r="S790">
        <v>2.2662711409396001</v>
      </c>
      <c r="T790">
        <v>2.3689799354567098</v>
      </c>
      <c r="U790">
        <v>2.20471663619744</v>
      </c>
      <c r="V790">
        <v>4.2025438705662701</v>
      </c>
      <c r="W790">
        <v>2.5507961927783702</v>
      </c>
      <c r="X790">
        <v>2.9539371318597998</v>
      </c>
    </row>
    <row r="791" spans="1:24">
      <c r="A791">
        <v>823</v>
      </c>
      <c r="B791" t="s">
        <v>2151</v>
      </c>
      <c r="C791">
        <v>2</v>
      </c>
      <c r="D791" t="s">
        <v>2152</v>
      </c>
      <c r="E791">
        <v>8</v>
      </c>
      <c r="F791">
        <v>8</v>
      </c>
      <c r="G791">
        <v>8</v>
      </c>
      <c r="H791" t="s">
        <v>2153</v>
      </c>
      <c r="I791">
        <v>34.700000000000003</v>
      </c>
      <c r="J791">
        <v>33.177999999999997</v>
      </c>
      <c r="K791" t="str">
        <f>"MPST"</f>
        <v>MPST</v>
      </c>
      <c r="L791" t="str">
        <f>"MPST"</f>
        <v>MPST</v>
      </c>
      <c r="M791">
        <v>2.4207785504337198</v>
      </c>
      <c r="N791">
        <v>2.6835051655629099</v>
      </c>
      <c r="O791">
        <v>3.64777357675273</v>
      </c>
      <c r="P791">
        <v>3.19565678233438</v>
      </c>
      <c r="Q791">
        <v>2.51152398661212</v>
      </c>
      <c r="R791">
        <v>3.6003241283718901</v>
      </c>
      <c r="S791">
        <v>2.2662711409396001</v>
      </c>
      <c r="T791">
        <v>0</v>
      </c>
      <c r="U791">
        <v>3.3070749542961599</v>
      </c>
      <c r="V791">
        <v>1.05063596764157</v>
      </c>
      <c r="W791">
        <v>2.5507961927783702</v>
      </c>
      <c r="X791">
        <v>1.96929142123987</v>
      </c>
    </row>
    <row r="792" spans="1:24">
      <c r="A792">
        <v>861</v>
      </c>
      <c r="B792" t="s">
        <v>2154</v>
      </c>
      <c r="C792">
        <v>2</v>
      </c>
      <c r="D792" t="s">
        <v>2155</v>
      </c>
      <c r="E792">
        <v>10</v>
      </c>
      <c r="F792">
        <v>10</v>
      </c>
      <c r="G792">
        <v>4</v>
      </c>
      <c r="H792" t="s">
        <v>2156</v>
      </c>
      <c r="I792">
        <v>45</v>
      </c>
      <c r="J792">
        <v>25.744</v>
      </c>
      <c r="K792" t="str">
        <f>"GSTM2"</f>
        <v>GSTM2</v>
      </c>
      <c r="L792" t="str">
        <f>"GSTM2"</f>
        <v>GSTM2</v>
      </c>
      <c r="M792">
        <v>0</v>
      </c>
      <c r="N792">
        <v>5.3670103311258304</v>
      </c>
      <c r="O792">
        <v>2.7358301825645501</v>
      </c>
      <c r="P792">
        <v>0</v>
      </c>
      <c r="Q792">
        <v>1.25576199330606</v>
      </c>
      <c r="R792">
        <v>3.6003241283718901</v>
      </c>
      <c r="S792">
        <v>1.1331355704698001</v>
      </c>
      <c r="T792">
        <v>1.18448996772836</v>
      </c>
      <c r="U792">
        <v>3.3070749542961599</v>
      </c>
      <c r="V792">
        <v>0</v>
      </c>
      <c r="W792">
        <v>0</v>
      </c>
      <c r="X792">
        <v>0</v>
      </c>
    </row>
    <row r="793" spans="1:24">
      <c r="A793">
        <v>1447</v>
      </c>
      <c r="B793" t="s">
        <v>2157</v>
      </c>
      <c r="C793">
        <v>1</v>
      </c>
      <c r="D793" t="s">
        <v>2158</v>
      </c>
      <c r="E793">
        <v>25</v>
      </c>
      <c r="F793">
        <v>18</v>
      </c>
      <c r="G793">
        <v>18</v>
      </c>
      <c r="H793" t="s">
        <v>2157</v>
      </c>
      <c r="I793">
        <v>19.8</v>
      </c>
      <c r="J793">
        <v>158.16999999999999</v>
      </c>
      <c r="K793" t="str">
        <f>"ROCK1"</f>
        <v>ROCK1</v>
      </c>
      <c r="L793" t="str">
        <f>"ROCK1"</f>
        <v>ROCK1</v>
      </c>
      <c r="M793">
        <v>0</v>
      </c>
      <c r="N793">
        <v>6.2615120529801302</v>
      </c>
      <c r="O793">
        <v>4.5597169709409098</v>
      </c>
      <c r="P793">
        <v>4.2608757097791798</v>
      </c>
      <c r="Q793">
        <v>2.51152398661212</v>
      </c>
      <c r="R793">
        <v>2.7002430962789199</v>
      </c>
      <c r="S793">
        <v>1.1331355704698001</v>
      </c>
      <c r="T793">
        <v>0</v>
      </c>
      <c r="U793">
        <v>1.10235831809872</v>
      </c>
      <c r="V793">
        <v>1.05063596764157</v>
      </c>
      <c r="W793">
        <v>1.27539809638918</v>
      </c>
      <c r="X793">
        <v>1.96929142123987</v>
      </c>
    </row>
    <row r="794" spans="1:24">
      <c r="A794">
        <v>1816</v>
      </c>
      <c r="B794" t="s">
        <v>2159</v>
      </c>
      <c r="C794">
        <v>1</v>
      </c>
      <c r="D794" t="s">
        <v>2160</v>
      </c>
      <c r="E794">
        <v>13</v>
      </c>
      <c r="F794">
        <v>13</v>
      </c>
      <c r="G794">
        <v>13</v>
      </c>
      <c r="H794" t="s">
        <v>2159</v>
      </c>
      <c r="I794">
        <v>33.5</v>
      </c>
      <c r="J794">
        <v>54.765999999999998</v>
      </c>
      <c r="K794" t="str">
        <f>"TRIM58"</f>
        <v>TRIM58</v>
      </c>
      <c r="L794" t="str">
        <f>"TRIM58"</f>
        <v>TRIM58</v>
      </c>
      <c r="M794">
        <v>1.2103892752168599</v>
      </c>
      <c r="N794">
        <v>1.78900344370861</v>
      </c>
      <c r="O794">
        <v>4.5597169709409098</v>
      </c>
      <c r="P794">
        <v>1.0652189274447901</v>
      </c>
      <c r="Q794">
        <v>0</v>
      </c>
      <c r="R794">
        <v>2.7002430962789199</v>
      </c>
      <c r="S794">
        <v>1.1331355704698001</v>
      </c>
      <c r="T794">
        <v>1.18448996772836</v>
      </c>
      <c r="U794">
        <v>2.20471663619744</v>
      </c>
      <c r="V794">
        <v>4.2025438705662701</v>
      </c>
      <c r="W794">
        <v>0</v>
      </c>
      <c r="X794">
        <v>1.96929142123987</v>
      </c>
    </row>
    <row r="795" spans="1:24">
      <c r="A795">
        <v>2245</v>
      </c>
      <c r="B795" t="s">
        <v>2161</v>
      </c>
      <c r="C795">
        <v>6</v>
      </c>
      <c r="D795" t="s">
        <v>2162</v>
      </c>
      <c r="E795">
        <v>13</v>
      </c>
      <c r="F795">
        <v>13</v>
      </c>
      <c r="G795">
        <v>13</v>
      </c>
      <c r="H795" t="s">
        <v>2163</v>
      </c>
      <c r="I795">
        <v>26.7</v>
      </c>
      <c r="J795">
        <v>67.119</v>
      </c>
      <c r="K795" t="str">
        <f>"LIMA1;LIMD2"</f>
        <v>LIMA1;LIMD2</v>
      </c>
      <c r="L795" t="str">
        <f>"LIMA1;LIMD2"</f>
        <v>LIMA1;LIMD2</v>
      </c>
      <c r="M795">
        <v>0</v>
      </c>
      <c r="N795">
        <v>1.78900344370861</v>
      </c>
      <c r="O795">
        <v>2.7358301825645501</v>
      </c>
      <c r="P795">
        <v>1.0652189274447901</v>
      </c>
      <c r="Q795">
        <v>0</v>
      </c>
      <c r="R795">
        <v>1.8001620641859499</v>
      </c>
      <c r="S795">
        <v>3.3994067114094002</v>
      </c>
      <c r="T795">
        <v>2.3689799354567098</v>
      </c>
      <c r="U795">
        <v>0</v>
      </c>
      <c r="V795">
        <v>2.1012719352831399</v>
      </c>
      <c r="W795">
        <v>2.5507961927783702</v>
      </c>
      <c r="X795">
        <v>2.9539371318597998</v>
      </c>
    </row>
    <row r="796" spans="1:24">
      <c r="A796">
        <v>184</v>
      </c>
      <c r="B796" t="s">
        <v>2164</v>
      </c>
      <c r="C796">
        <v>4</v>
      </c>
      <c r="D796" t="s">
        <v>2165</v>
      </c>
      <c r="E796">
        <v>9</v>
      </c>
      <c r="F796">
        <v>9</v>
      </c>
      <c r="G796">
        <v>7</v>
      </c>
      <c r="H796" t="s">
        <v>2166</v>
      </c>
      <c r="I796">
        <v>45.7</v>
      </c>
      <c r="J796">
        <v>18.762</v>
      </c>
      <c r="K796" t="str">
        <f>"SNX3"</f>
        <v>SNX3</v>
      </c>
      <c r="L796" t="str">
        <f>"SNX3"</f>
        <v>SNX3</v>
      </c>
      <c r="M796">
        <v>2.4207785504337198</v>
      </c>
      <c r="N796">
        <v>1.78900344370861</v>
      </c>
      <c r="O796">
        <v>1.8238867883763601</v>
      </c>
      <c r="P796">
        <v>2.1304378548895899</v>
      </c>
      <c r="Q796">
        <v>1.25576199330606</v>
      </c>
      <c r="R796">
        <v>1.8001620641859499</v>
      </c>
      <c r="S796">
        <v>2.2662711409396001</v>
      </c>
      <c r="T796">
        <v>1.18448996772836</v>
      </c>
      <c r="U796">
        <v>1.10235831809872</v>
      </c>
      <c r="V796">
        <v>2.1012719352831399</v>
      </c>
      <c r="W796">
        <v>2.5507961927783702</v>
      </c>
      <c r="X796">
        <v>1.96929142123987</v>
      </c>
    </row>
    <row r="797" spans="1:24">
      <c r="A797">
        <v>236</v>
      </c>
      <c r="B797" t="s">
        <v>2167</v>
      </c>
      <c r="C797">
        <v>3</v>
      </c>
      <c r="D797" t="s">
        <v>2168</v>
      </c>
      <c r="E797">
        <v>15</v>
      </c>
      <c r="F797">
        <v>15</v>
      </c>
      <c r="G797">
        <v>15</v>
      </c>
      <c r="H797" t="s">
        <v>2169</v>
      </c>
      <c r="I797">
        <v>15.4</v>
      </c>
      <c r="J797">
        <v>133.69999999999999</v>
      </c>
      <c r="K797" t="str">
        <f>"ATRN"</f>
        <v>ATRN</v>
      </c>
      <c r="L797" t="str">
        <f>"ATRN"</f>
        <v>ATRN</v>
      </c>
      <c r="M797">
        <v>0</v>
      </c>
      <c r="N797">
        <v>0.89450172185430499</v>
      </c>
      <c r="O797">
        <v>0.91194339418818204</v>
      </c>
      <c r="P797">
        <v>7.4565324921135696</v>
      </c>
      <c r="Q797">
        <v>12.5576199330606</v>
      </c>
      <c r="R797">
        <v>1.8001620641859499</v>
      </c>
      <c r="S797">
        <v>3.3994067114094002</v>
      </c>
      <c r="T797">
        <v>3.5534699031850701</v>
      </c>
      <c r="U797">
        <v>5.5117915904936003</v>
      </c>
      <c r="V797">
        <v>5.2531798382078403</v>
      </c>
      <c r="W797">
        <v>0</v>
      </c>
      <c r="X797">
        <v>0.984645710619934</v>
      </c>
    </row>
    <row r="798" spans="1:24">
      <c r="A798">
        <v>779</v>
      </c>
      <c r="B798" t="s">
        <v>2170</v>
      </c>
      <c r="C798">
        <v>2</v>
      </c>
      <c r="D798" t="s">
        <v>2171</v>
      </c>
      <c r="E798">
        <v>13</v>
      </c>
      <c r="F798">
        <v>13</v>
      </c>
      <c r="G798">
        <v>13</v>
      </c>
      <c r="H798" t="s">
        <v>2172</v>
      </c>
      <c r="I798">
        <v>69.2</v>
      </c>
      <c r="J798">
        <v>24.449000000000002</v>
      </c>
      <c r="K798" t="str">
        <f>"COMT"</f>
        <v>COMT</v>
      </c>
      <c r="L798" t="str">
        <f>"COMT"</f>
        <v>COMT</v>
      </c>
      <c r="M798">
        <v>2.4207785504337198</v>
      </c>
      <c r="N798">
        <v>2.6835051655629099</v>
      </c>
      <c r="O798">
        <v>1.8238867883763601</v>
      </c>
      <c r="P798">
        <v>3.19565678233438</v>
      </c>
      <c r="Q798">
        <v>0</v>
      </c>
      <c r="R798">
        <v>2.7002430962789199</v>
      </c>
      <c r="S798">
        <v>2.2662711409396001</v>
      </c>
      <c r="T798">
        <v>2.3689799354567098</v>
      </c>
      <c r="U798">
        <v>0</v>
      </c>
      <c r="V798">
        <v>2.1012719352831399</v>
      </c>
      <c r="W798">
        <v>0</v>
      </c>
      <c r="X798">
        <v>0.984645710619934</v>
      </c>
    </row>
    <row r="799" spans="1:24">
      <c r="A799">
        <v>786</v>
      </c>
      <c r="B799" t="s">
        <v>2173</v>
      </c>
      <c r="C799">
        <v>1</v>
      </c>
      <c r="D799" t="s">
        <v>2174</v>
      </c>
      <c r="E799">
        <v>7</v>
      </c>
      <c r="F799">
        <v>7</v>
      </c>
      <c r="G799">
        <v>7</v>
      </c>
      <c r="H799" t="s">
        <v>2173</v>
      </c>
      <c r="I799">
        <v>34.5</v>
      </c>
      <c r="J799">
        <v>25.552</v>
      </c>
      <c r="K799" t="str">
        <f>"GPX3"</f>
        <v>GPX3</v>
      </c>
      <c r="L799" t="str">
        <f>"GPX3"</f>
        <v>GPX3</v>
      </c>
      <c r="M799">
        <v>6.0519463760843104</v>
      </c>
      <c r="N799">
        <v>2.6835051655629099</v>
      </c>
      <c r="O799">
        <v>0.91194339418818204</v>
      </c>
      <c r="P799">
        <v>1.0652189274447901</v>
      </c>
      <c r="Q799">
        <v>2.51152398661212</v>
      </c>
      <c r="R799">
        <v>1.8001620641859499</v>
      </c>
      <c r="S799">
        <v>2.2662711409396001</v>
      </c>
      <c r="T799">
        <v>2.3689799354567098</v>
      </c>
      <c r="U799">
        <v>1.10235831809872</v>
      </c>
      <c r="V799">
        <v>1.05063596764157</v>
      </c>
      <c r="W799">
        <v>3.82619428916755</v>
      </c>
      <c r="X799">
        <v>0</v>
      </c>
    </row>
    <row r="800" spans="1:24">
      <c r="A800">
        <v>967</v>
      </c>
      <c r="B800" t="s">
        <v>2175</v>
      </c>
      <c r="C800">
        <v>4</v>
      </c>
      <c r="D800" t="s">
        <v>2176</v>
      </c>
      <c r="E800">
        <v>6</v>
      </c>
      <c r="F800">
        <v>6</v>
      </c>
      <c r="G800">
        <v>6</v>
      </c>
      <c r="H800" t="s">
        <v>2177</v>
      </c>
      <c r="I800">
        <v>30.1</v>
      </c>
      <c r="J800">
        <v>29.221</v>
      </c>
      <c r="K800" t="str">
        <f>"BSG"</f>
        <v>BSG</v>
      </c>
      <c r="L800" t="str">
        <f>"BSG"</f>
        <v>BSG</v>
      </c>
      <c r="M800">
        <v>0</v>
      </c>
      <c r="N800">
        <v>1.78900344370861</v>
      </c>
      <c r="O800">
        <v>1.8238867883763601</v>
      </c>
      <c r="P800">
        <v>4.2608757097791798</v>
      </c>
      <c r="Q800">
        <v>1.25576199330606</v>
      </c>
      <c r="R800">
        <v>0.90008103209297396</v>
      </c>
      <c r="S800">
        <v>1.1331355704698001</v>
      </c>
      <c r="T800">
        <v>1.18448996772836</v>
      </c>
      <c r="U800">
        <v>4.4094332723948799</v>
      </c>
      <c r="V800">
        <v>3.1519079029246999</v>
      </c>
      <c r="W800">
        <v>1.27539809638918</v>
      </c>
      <c r="X800">
        <v>3.9385828424797298</v>
      </c>
    </row>
    <row r="801" spans="1:24">
      <c r="A801">
        <v>1351</v>
      </c>
      <c r="B801" t="s">
        <v>2178</v>
      </c>
      <c r="C801">
        <v>3</v>
      </c>
      <c r="D801" t="s">
        <v>2179</v>
      </c>
      <c r="E801">
        <v>16</v>
      </c>
      <c r="F801">
        <v>16</v>
      </c>
      <c r="G801">
        <v>16</v>
      </c>
      <c r="H801" t="s">
        <v>2180</v>
      </c>
      <c r="I801">
        <v>27.3</v>
      </c>
      <c r="J801">
        <v>70.513999999999996</v>
      </c>
      <c r="K801" t="str">
        <f>"GUCY1B3"</f>
        <v>GUCY1B3</v>
      </c>
      <c r="L801" t="str">
        <f>"GUCY1B3"</f>
        <v>GUCY1B3</v>
      </c>
      <c r="M801">
        <v>2.4207785504337198</v>
      </c>
      <c r="N801">
        <v>5.3670103311258304</v>
      </c>
      <c r="O801">
        <v>2.7358301825645501</v>
      </c>
      <c r="P801">
        <v>2.1304378548895899</v>
      </c>
      <c r="Q801">
        <v>0</v>
      </c>
      <c r="R801">
        <v>1.8001620641859499</v>
      </c>
      <c r="S801">
        <v>1.1331355704698001</v>
      </c>
      <c r="T801">
        <v>2.3689799354567098</v>
      </c>
      <c r="U801">
        <v>2.20471663619744</v>
      </c>
      <c r="V801">
        <v>3.1519079029246999</v>
      </c>
      <c r="W801">
        <v>2.5507961927783702</v>
      </c>
      <c r="X801">
        <v>1.96929142123987</v>
      </c>
    </row>
    <row r="802" spans="1:24">
      <c r="A802">
        <v>1878</v>
      </c>
      <c r="B802" t="s">
        <v>2181</v>
      </c>
      <c r="C802">
        <v>1</v>
      </c>
      <c r="D802" t="s">
        <v>2182</v>
      </c>
      <c r="E802">
        <v>6</v>
      </c>
      <c r="F802">
        <v>6</v>
      </c>
      <c r="G802">
        <v>6</v>
      </c>
      <c r="H802" t="s">
        <v>2181</v>
      </c>
      <c r="I802">
        <v>31.8</v>
      </c>
      <c r="J802">
        <v>23.786999999999999</v>
      </c>
      <c r="K802" t="str">
        <f>"OSTF1"</f>
        <v>OSTF1</v>
      </c>
      <c r="L802" t="str">
        <f>"OSTF1"</f>
        <v>OSTF1</v>
      </c>
      <c r="M802">
        <v>0</v>
      </c>
      <c r="N802">
        <v>2.6835051655629099</v>
      </c>
      <c r="O802">
        <v>3.64777357675273</v>
      </c>
      <c r="P802">
        <v>2.1304378548895899</v>
      </c>
      <c r="Q802">
        <v>1.25576199330606</v>
      </c>
      <c r="R802">
        <v>3.6003241283718901</v>
      </c>
      <c r="S802">
        <v>3.3994067114094002</v>
      </c>
      <c r="T802">
        <v>0</v>
      </c>
      <c r="U802">
        <v>1.10235831809872</v>
      </c>
      <c r="V802">
        <v>3.1519079029246999</v>
      </c>
      <c r="W802">
        <v>1.27539809638918</v>
      </c>
      <c r="X802">
        <v>2.9539371318597998</v>
      </c>
    </row>
    <row r="803" spans="1:24">
      <c r="A803">
        <v>2262</v>
      </c>
      <c r="B803" t="s">
        <v>2183</v>
      </c>
      <c r="C803">
        <v>3</v>
      </c>
      <c r="D803" t="s">
        <v>2184</v>
      </c>
      <c r="E803">
        <v>8</v>
      </c>
      <c r="F803">
        <v>8</v>
      </c>
      <c r="G803">
        <v>8</v>
      </c>
      <c r="H803" t="s">
        <v>2185</v>
      </c>
      <c r="I803">
        <v>34.799999999999997</v>
      </c>
      <c r="J803">
        <v>25.565000000000001</v>
      </c>
      <c r="K803" t="str">
        <f>"AK3"</f>
        <v>AK3</v>
      </c>
      <c r="L803" t="str">
        <f>"AK3"</f>
        <v>AK3</v>
      </c>
      <c r="M803">
        <v>0</v>
      </c>
      <c r="N803">
        <v>1.78900344370861</v>
      </c>
      <c r="O803">
        <v>2.7358301825645501</v>
      </c>
      <c r="P803">
        <v>3.19565678233438</v>
      </c>
      <c r="Q803">
        <v>2.51152398661212</v>
      </c>
      <c r="R803">
        <v>1.8001620641859499</v>
      </c>
      <c r="S803">
        <v>1.1331355704698001</v>
      </c>
      <c r="T803">
        <v>2.3689799354567098</v>
      </c>
      <c r="U803">
        <v>3.3070749542961599</v>
      </c>
      <c r="V803">
        <v>2.1012719352831399</v>
      </c>
      <c r="W803">
        <v>1.27539809638918</v>
      </c>
      <c r="X803">
        <v>2.9539371318597998</v>
      </c>
    </row>
    <row r="804" spans="1:24">
      <c r="A804">
        <v>2340</v>
      </c>
      <c r="B804" t="s">
        <v>2186</v>
      </c>
      <c r="C804">
        <v>2</v>
      </c>
      <c r="D804" t="s">
        <v>2187</v>
      </c>
      <c r="E804">
        <v>6</v>
      </c>
      <c r="F804">
        <v>6</v>
      </c>
      <c r="G804">
        <v>6</v>
      </c>
      <c r="H804" t="s">
        <v>2188</v>
      </c>
      <c r="I804">
        <v>20.399999999999999</v>
      </c>
      <c r="J804">
        <v>32.267000000000003</v>
      </c>
      <c r="K804" t="str">
        <f>"DHRS7"</f>
        <v>DHRS7</v>
      </c>
      <c r="L804" t="str">
        <f>"DHRS7"</f>
        <v>DHRS7</v>
      </c>
      <c r="M804">
        <v>2.4207785504337198</v>
      </c>
      <c r="N804">
        <v>1.78900344370861</v>
      </c>
      <c r="O804">
        <v>3.64777357675273</v>
      </c>
      <c r="P804">
        <v>0</v>
      </c>
      <c r="Q804">
        <v>1.25576199330606</v>
      </c>
      <c r="R804">
        <v>3.6003241283718901</v>
      </c>
      <c r="S804">
        <v>4.5325422818791896</v>
      </c>
      <c r="T804">
        <v>3.5534699031850701</v>
      </c>
      <c r="U804">
        <v>3.3070749542961599</v>
      </c>
      <c r="V804">
        <v>1.05063596764157</v>
      </c>
      <c r="W804">
        <v>3.82619428916755</v>
      </c>
      <c r="X804">
        <v>2.9539371318597998</v>
      </c>
    </row>
    <row r="805" spans="1:24">
      <c r="A805">
        <v>79</v>
      </c>
      <c r="B805" t="s">
        <v>2189</v>
      </c>
      <c r="C805">
        <v>3</v>
      </c>
      <c r="D805" t="s">
        <v>2190</v>
      </c>
      <c r="E805">
        <v>8</v>
      </c>
      <c r="F805">
        <v>8</v>
      </c>
      <c r="G805">
        <v>8</v>
      </c>
      <c r="H805" t="s">
        <v>2191</v>
      </c>
      <c r="I805">
        <v>31.4</v>
      </c>
      <c r="J805">
        <v>32.531999999999996</v>
      </c>
      <c r="K805" t="str">
        <f>"PPP6C"</f>
        <v>PPP6C</v>
      </c>
      <c r="L805" t="str">
        <f>"PPP6C"</f>
        <v>PPP6C</v>
      </c>
      <c r="M805">
        <v>3.6311678256505799</v>
      </c>
      <c r="N805">
        <v>2.6835051655629099</v>
      </c>
      <c r="O805">
        <v>2.7358301825645501</v>
      </c>
      <c r="P805">
        <v>1.0652189274447901</v>
      </c>
      <c r="Q805">
        <v>1.25576199330606</v>
      </c>
      <c r="R805">
        <v>1.8001620641859499</v>
      </c>
      <c r="S805">
        <v>3.3994067114094002</v>
      </c>
      <c r="T805">
        <v>1.18448996772836</v>
      </c>
      <c r="U805">
        <v>3.3070749542961599</v>
      </c>
      <c r="V805">
        <v>0</v>
      </c>
      <c r="W805">
        <v>2.5507961927783702</v>
      </c>
      <c r="X805">
        <v>3.9385828424797298</v>
      </c>
    </row>
    <row r="806" spans="1:24">
      <c r="A806">
        <v>340</v>
      </c>
      <c r="B806" t="s">
        <v>2192</v>
      </c>
      <c r="C806">
        <v>1</v>
      </c>
      <c r="D806" t="s">
        <v>2193</v>
      </c>
      <c r="E806">
        <v>3</v>
      </c>
      <c r="F806">
        <v>3</v>
      </c>
      <c r="G806">
        <v>2</v>
      </c>
      <c r="H806" t="s">
        <v>2192</v>
      </c>
      <c r="I806">
        <v>24.8</v>
      </c>
      <c r="J806">
        <v>12.781000000000001</v>
      </c>
      <c r="K806" t="str">
        <f>"IGKV1-5"</f>
        <v>IGKV1-5</v>
      </c>
      <c r="L806" t="str">
        <f>"IGKV1-5"</f>
        <v>IGKV1-5</v>
      </c>
      <c r="M806">
        <v>4.8415571008674503</v>
      </c>
      <c r="N806">
        <v>1.78900344370861</v>
      </c>
      <c r="O806">
        <v>1.8238867883763601</v>
      </c>
      <c r="P806">
        <v>2.1304378548895899</v>
      </c>
      <c r="Q806">
        <v>2.51152398661212</v>
      </c>
      <c r="R806">
        <v>0.90008103209297396</v>
      </c>
      <c r="S806">
        <v>0</v>
      </c>
      <c r="T806">
        <v>4.7379598709134303</v>
      </c>
      <c r="U806">
        <v>1.10235831809872</v>
      </c>
      <c r="V806">
        <v>3.1519079029246999</v>
      </c>
      <c r="W806">
        <v>1.27539809638918</v>
      </c>
      <c r="X806">
        <v>0.984645710619934</v>
      </c>
    </row>
    <row r="807" spans="1:24">
      <c r="A807">
        <v>463</v>
      </c>
      <c r="B807" t="s">
        <v>2194</v>
      </c>
      <c r="C807">
        <v>1</v>
      </c>
      <c r="D807" t="s">
        <v>2195</v>
      </c>
      <c r="E807">
        <v>3</v>
      </c>
      <c r="F807">
        <v>3</v>
      </c>
      <c r="G807">
        <v>3</v>
      </c>
      <c r="H807" t="s">
        <v>2194</v>
      </c>
      <c r="I807">
        <v>26.1</v>
      </c>
      <c r="J807">
        <v>12.574999999999999</v>
      </c>
      <c r="K807" t="s">
        <v>2196</v>
      </c>
      <c r="L807" t="s">
        <v>2196</v>
      </c>
      <c r="M807">
        <v>4.8415571008674503</v>
      </c>
      <c r="N807">
        <v>3.57800688741722</v>
      </c>
      <c r="O807">
        <v>3.64777357675273</v>
      </c>
      <c r="P807">
        <v>3.19565678233438</v>
      </c>
      <c r="Q807">
        <v>5.0230479732242497</v>
      </c>
      <c r="R807">
        <v>1.8001620641859499</v>
      </c>
      <c r="S807">
        <v>1.1331355704698001</v>
      </c>
      <c r="T807">
        <v>3.5534699031850701</v>
      </c>
      <c r="U807">
        <v>1.10235831809872</v>
      </c>
      <c r="V807">
        <v>2.1012719352831399</v>
      </c>
      <c r="W807">
        <v>2.5507961927783702</v>
      </c>
      <c r="X807">
        <v>0</v>
      </c>
    </row>
    <row r="808" spans="1:24">
      <c r="A808">
        <v>638</v>
      </c>
      <c r="B808" t="s">
        <v>2197</v>
      </c>
      <c r="C808">
        <v>2</v>
      </c>
      <c r="D808" t="s">
        <v>2198</v>
      </c>
      <c r="E808">
        <v>11</v>
      </c>
      <c r="F808">
        <v>11</v>
      </c>
      <c r="G808">
        <v>11</v>
      </c>
      <c r="H808" t="s">
        <v>2199</v>
      </c>
      <c r="I808">
        <v>25.7</v>
      </c>
      <c r="J808">
        <v>46.588000000000001</v>
      </c>
      <c r="K808" t="str">
        <f>"ACADM"</f>
        <v>ACADM</v>
      </c>
      <c r="L808" t="str">
        <f>"ACADM"</f>
        <v>ACADM</v>
      </c>
      <c r="M808">
        <v>1.2103892752168599</v>
      </c>
      <c r="N808">
        <v>0</v>
      </c>
      <c r="O808">
        <v>0.91194339418818204</v>
      </c>
      <c r="P808">
        <v>0</v>
      </c>
      <c r="Q808">
        <v>0</v>
      </c>
      <c r="R808">
        <v>2.7002430962789199</v>
      </c>
      <c r="S808">
        <v>4.5325422818791896</v>
      </c>
      <c r="T808">
        <v>2.3689799354567098</v>
      </c>
      <c r="U808">
        <v>4.4094332723948799</v>
      </c>
      <c r="V808">
        <v>4.2025438705662701</v>
      </c>
      <c r="W808">
        <v>1.27539809638918</v>
      </c>
      <c r="X808">
        <v>1.96929142123987</v>
      </c>
    </row>
    <row r="809" spans="1:24">
      <c r="A809">
        <v>1763</v>
      </c>
      <c r="B809" t="s">
        <v>2200</v>
      </c>
      <c r="C809">
        <v>1</v>
      </c>
      <c r="D809" t="s">
        <v>2201</v>
      </c>
      <c r="E809">
        <v>7</v>
      </c>
      <c r="F809">
        <v>7</v>
      </c>
      <c r="G809">
        <v>7</v>
      </c>
      <c r="H809" t="s">
        <v>2200</v>
      </c>
      <c r="I809">
        <v>17.399999999999999</v>
      </c>
      <c r="J809">
        <v>72.563999999999993</v>
      </c>
      <c r="K809" t="str">
        <f>"SLC9A9"</f>
        <v>SLC9A9</v>
      </c>
      <c r="L809" t="str">
        <f>"SLC9A9"</f>
        <v>SLC9A9</v>
      </c>
      <c r="M809">
        <v>2.4207785504337198</v>
      </c>
      <c r="N809">
        <v>0.89450172185430499</v>
      </c>
      <c r="O809">
        <v>1.8238867883763601</v>
      </c>
      <c r="P809">
        <v>3.19565678233438</v>
      </c>
      <c r="Q809">
        <v>2.51152398661212</v>
      </c>
      <c r="R809">
        <v>2.7002430962789199</v>
      </c>
      <c r="S809">
        <v>2.2662711409396001</v>
      </c>
      <c r="T809">
        <v>1.18448996772836</v>
      </c>
      <c r="U809">
        <v>2.20471663619744</v>
      </c>
      <c r="V809">
        <v>2.1012719352831399</v>
      </c>
      <c r="W809">
        <v>2.5507961927783702</v>
      </c>
      <c r="X809">
        <v>2.9539371318597998</v>
      </c>
    </row>
    <row r="810" spans="1:24">
      <c r="A810">
        <v>2280</v>
      </c>
      <c r="B810" t="s">
        <v>2202</v>
      </c>
      <c r="C810">
        <v>1</v>
      </c>
      <c r="D810" t="s">
        <v>2203</v>
      </c>
      <c r="E810">
        <v>7</v>
      </c>
      <c r="F810">
        <v>7</v>
      </c>
      <c r="G810">
        <v>7</v>
      </c>
      <c r="H810" t="s">
        <v>2202</v>
      </c>
      <c r="I810">
        <v>33.799999999999997</v>
      </c>
      <c r="J810">
        <v>24.347000000000001</v>
      </c>
      <c r="K810" t="str">
        <f>"RAB21"</f>
        <v>RAB21</v>
      </c>
      <c r="L810" t="str">
        <f>"RAB21"</f>
        <v>RAB21</v>
      </c>
      <c r="M810">
        <v>2.4207785504337198</v>
      </c>
      <c r="N810">
        <v>3.57800688741722</v>
      </c>
      <c r="O810">
        <v>3.64777357675273</v>
      </c>
      <c r="P810">
        <v>2.1304378548895899</v>
      </c>
      <c r="Q810">
        <v>2.51152398661212</v>
      </c>
      <c r="R810">
        <v>2.7002430962789199</v>
      </c>
      <c r="S810">
        <v>1.1331355704698001</v>
      </c>
      <c r="T810">
        <v>1.18448996772836</v>
      </c>
      <c r="U810">
        <v>2.20471663619744</v>
      </c>
      <c r="V810">
        <v>1.05063596764157</v>
      </c>
      <c r="W810">
        <v>3.82619428916755</v>
      </c>
      <c r="X810">
        <v>4.92322855309967</v>
      </c>
    </row>
    <row r="811" spans="1:24">
      <c r="A811">
        <v>105</v>
      </c>
      <c r="B811" t="s">
        <v>2204</v>
      </c>
      <c r="C811">
        <v>5</v>
      </c>
      <c r="D811" t="s">
        <v>2205</v>
      </c>
      <c r="E811">
        <v>19</v>
      </c>
      <c r="F811">
        <v>19</v>
      </c>
      <c r="G811">
        <v>18</v>
      </c>
      <c r="H811" t="s">
        <v>2206</v>
      </c>
      <c r="I811">
        <v>21.3</v>
      </c>
      <c r="J811">
        <v>109.1</v>
      </c>
      <c r="K811" t="str">
        <f>"PPP1R12A"</f>
        <v>PPP1R12A</v>
      </c>
      <c r="L811" t="str">
        <f>"PPP1R12A"</f>
        <v>PPP1R12A</v>
      </c>
      <c r="M811">
        <v>2.4207785504337198</v>
      </c>
      <c r="N811">
        <v>0.89450172185430499</v>
      </c>
      <c r="O811">
        <v>1.8238867883763601</v>
      </c>
      <c r="P811">
        <v>2.1304378548895899</v>
      </c>
      <c r="Q811">
        <v>0</v>
      </c>
      <c r="R811">
        <v>1.8001620641859499</v>
      </c>
      <c r="S811">
        <v>1.1331355704698001</v>
      </c>
      <c r="T811">
        <v>1.18448996772836</v>
      </c>
      <c r="U811">
        <v>0</v>
      </c>
      <c r="V811">
        <v>1.05063596764157</v>
      </c>
      <c r="W811">
        <v>1.27539809638918</v>
      </c>
      <c r="X811">
        <v>0</v>
      </c>
    </row>
    <row r="812" spans="1:24">
      <c r="A812">
        <v>107</v>
      </c>
      <c r="B812" t="s">
        <v>2207</v>
      </c>
      <c r="C812">
        <v>1</v>
      </c>
      <c r="D812" t="s">
        <v>2208</v>
      </c>
      <c r="E812">
        <v>13</v>
      </c>
      <c r="F812">
        <v>13</v>
      </c>
      <c r="G812">
        <v>13</v>
      </c>
      <c r="H812" t="s">
        <v>2207</v>
      </c>
      <c r="I812">
        <v>13.5</v>
      </c>
      <c r="J812">
        <v>123.38</v>
      </c>
      <c r="K812" t="str">
        <f>"XPO1"</f>
        <v>XPO1</v>
      </c>
      <c r="L812" t="str">
        <f>"XPO1"</f>
        <v>XPO1</v>
      </c>
      <c r="M812">
        <v>2.4207785504337198</v>
      </c>
      <c r="N812">
        <v>3.57800688741722</v>
      </c>
      <c r="O812">
        <v>5.4716603651290896</v>
      </c>
      <c r="P812">
        <v>1.0652189274447901</v>
      </c>
      <c r="Q812">
        <v>0</v>
      </c>
      <c r="R812">
        <v>0.90008103209297396</v>
      </c>
      <c r="S812">
        <v>2.2662711409396001</v>
      </c>
      <c r="T812">
        <v>1.18448996772836</v>
      </c>
      <c r="U812">
        <v>1.10235831809872</v>
      </c>
      <c r="V812">
        <v>2.1012719352831399</v>
      </c>
      <c r="W812">
        <v>2.5507961927783702</v>
      </c>
      <c r="X812">
        <v>1.96929142123987</v>
      </c>
    </row>
    <row r="813" spans="1:24">
      <c r="A813">
        <v>210</v>
      </c>
      <c r="B813" t="s">
        <v>2209</v>
      </c>
      <c r="C813">
        <v>2</v>
      </c>
      <c r="D813" t="s">
        <v>2210</v>
      </c>
      <c r="E813">
        <v>5</v>
      </c>
      <c r="F813">
        <v>5</v>
      </c>
      <c r="G813">
        <v>5</v>
      </c>
      <c r="H813" t="s">
        <v>2211</v>
      </c>
      <c r="I813">
        <v>23.8</v>
      </c>
      <c r="J813">
        <v>21.664000000000001</v>
      </c>
      <c r="K813" t="str">
        <f>"PDCD6"</f>
        <v>PDCD6</v>
      </c>
      <c r="L813" t="str">
        <f>"PDCD6"</f>
        <v>PDCD6</v>
      </c>
      <c r="M813">
        <v>1.2103892752168599</v>
      </c>
      <c r="N813">
        <v>1.78900344370861</v>
      </c>
      <c r="O813">
        <v>1.8238867883763601</v>
      </c>
      <c r="P813">
        <v>1.0652189274447901</v>
      </c>
      <c r="Q813">
        <v>2.51152398661212</v>
      </c>
      <c r="R813">
        <v>2.7002430962789199</v>
      </c>
      <c r="S813">
        <v>1.1331355704698001</v>
      </c>
      <c r="T813">
        <v>2.3689799354567098</v>
      </c>
      <c r="U813">
        <v>1.10235831809872</v>
      </c>
      <c r="V813">
        <v>3.1519079029246999</v>
      </c>
      <c r="W813">
        <v>1.27539809638918</v>
      </c>
      <c r="X813">
        <v>0.984645710619934</v>
      </c>
    </row>
    <row r="814" spans="1:24">
      <c r="A814">
        <v>498</v>
      </c>
      <c r="B814" t="s">
        <v>2212</v>
      </c>
      <c r="C814">
        <v>1</v>
      </c>
      <c r="D814" t="s">
        <v>2213</v>
      </c>
      <c r="E814">
        <v>5</v>
      </c>
      <c r="F814">
        <v>5</v>
      </c>
      <c r="G814">
        <v>3</v>
      </c>
      <c r="H814" t="s">
        <v>2212</v>
      </c>
      <c r="I814">
        <v>37.6</v>
      </c>
      <c r="J814">
        <v>14.707000000000001</v>
      </c>
      <c r="K814" t="s">
        <v>2214</v>
      </c>
      <c r="L814" t="s">
        <v>2214</v>
      </c>
      <c r="M814">
        <v>4.8415571008674503</v>
      </c>
      <c r="N814">
        <v>2.6835051655629099</v>
      </c>
      <c r="O814">
        <v>3.64777357675273</v>
      </c>
      <c r="P814">
        <v>1.0652189274447901</v>
      </c>
      <c r="Q814">
        <v>6.2788099665303099</v>
      </c>
      <c r="R814">
        <v>0.90008103209297396</v>
      </c>
      <c r="S814">
        <v>0</v>
      </c>
      <c r="T814">
        <v>4.7379598709134303</v>
      </c>
      <c r="U814">
        <v>1.10235831809872</v>
      </c>
      <c r="V814">
        <v>2.1012719352831399</v>
      </c>
      <c r="W814">
        <v>1.27539809638918</v>
      </c>
      <c r="X814">
        <v>1.96929142123987</v>
      </c>
    </row>
    <row r="815" spans="1:24">
      <c r="A815">
        <v>597</v>
      </c>
      <c r="B815" t="s">
        <v>2215</v>
      </c>
      <c r="C815">
        <v>15</v>
      </c>
      <c r="D815" t="s">
        <v>2216</v>
      </c>
      <c r="E815">
        <v>5</v>
      </c>
      <c r="F815">
        <v>5</v>
      </c>
      <c r="G815">
        <v>0</v>
      </c>
      <c r="H815" t="s">
        <v>2217</v>
      </c>
      <c r="I815">
        <v>43.8</v>
      </c>
      <c r="J815">
        <v>13.936</v>
      </c>
      <c r="K815" t="str">
        <f>"HIST1H2AJ;HIST1H2AH;H2AFJ;HIST1H2AD;HIST1H2AG;H2AFX;H2AFV;H2AFZ;HIST2H2AB;HIST1H2AA"</f>
        <v>HIST1H2AJ;HIST1H2AH;H2AFJ;HIST1H2AD;HIST1H2AG;H2AFX;H2AFV;H2AFZ;HIST2H2AB;HIST1H2AA</v>
      </c>
      <c r="L815" t="str">
        <f>"HIST1H2AJ;HIST1H2AH;H2AFJ;HIST1H2AD;HIST1H2AG;H2AFX;H2AFV;H2AFZ;HIST2H2AB;HIST1H2AA"</f>
        <v>HIST1H2AJ;HIST1H2AH;H2AFJ;HIST1H2AD;HIST1H2AG;H2AFX;H2AFV;H2AFZ;HIST2H2AB;HIST1H2AA</v>
      </c>
      <c r="M815">
        <v>1.2103892752168599</v>
      </c>
      <c r="N815">
        <v>0.89450172185430499</v>
      </c>
      <c r="O815">
        <v>1.8238867883763601</v>
      </c>
      <c r="P815">
        <v>1.0652189274447901</v>
      </c>
      <c r="Q815">
        <v>2.51152398661212</v>
      </c>
      <c r="R815">
        <v>7.2006482567437899</v>
      </c>
      <c r="S815">
        <v>4.5325422818791896</v>
      </c>
      <c r="T815">
        <v>1.18448996772836</v>
      </c>
      <c r="U815">
        <v>2.20471663619744</v>
      </c>
      <c r="V815">
        <v>4.2025438705662701</v>
      </c>
      <c r="W815">
        <v>2.5507961927783702</v>
      </c>
      <c r="X815">
        <v>0.984645710619934</v>
      </c>
    </row>
    <row r="816" spans="1:24">
      <c r="A816">
        <v>673</v>
      </c>
      <c r="B816" t="s">
        <v>2218</v>
      </c>
      <c r="C816">
        <v>4</v>
      </c>
      <c r="D816" t="s">
        <v>2219</v>
      </c>
      <c r="E816">
        <v>14</v>
      </c>
      <c r="F816">
        <v>10</v>
      </c>
      <c r="G816">
        <v>10</v>
      </c>
      <c r="H816" t="s">
        <v>2220</v>
      </c>
      <c r="I816">
        <v>28.6</v>
      </c>
      <c r="J816">
        <v>70.81</v>
      </c>
      <c r="K816" t="str">
        <f>"PLS3;PLS1"</f>
        <v>PLS3;PLS1</v>
      </c>
      <c r="L816" t="str">
        <f>"PLS3;PLS1"</f>
        <v>PLS3;PLS1</v>
      </c>
      <c r="M816">
        <v>2.4207785504337198</v>
      </c>
      <c r="N816">
        <v>1.78900344370861</v>
      </c>
      <c r="O816">
        <v>1.8238867883763601</v>
      </c>
      <c r="P816">
        <v>3.19565678233438</v>
      </c>
      <c r="Q816">
        <v>1.25576199330606</v>
      </c>
      <c r="R816">
        <v>1.8001620641859499</v>
      </c>
      <c r="S816">
        <v>0</v>
      </c>
      <c r="T816">
        <v>2.3689799354567098</v>
      </c>
      <c r="U816">
        <v>1.10235831809872</v>
      </c>
      <c r="V816">
        <v>2.1012719352831399</v>
      </c>
      <c r="W816">
        <v>0</v>
      </c>
      <c r="X816">
        <v>2.9539371318597998</v>
      </c>
    </row>
    <row r="817" spans="1:24">
      <c r="A817">
        <v>947</v>
      </c>
      <c r="B817" t="s">
        <v>2221</v>
      </c>
      <c r="C817">
        <v>3</v>
      </c>
      <c r="D817" t="s">
        <v>2222</v>
      </c>
      <c r="E817">
        <v>11</v>
      </c>
      <c r="F817">
        <v>11</v>
      </c>
      <c r="G817">
        <v>10</v>
      </c>
      <c r="H817" t="s">
        <v>2223</v>
      </c>
      <c r="I817">
        <v>30.8</v>
      </c>
      <c r="J817">
        <v>53.454000000000001</v>
      </c>
      <c r="K817" t="str">
        <f>"SHMT2"</f>
        <v>SHMT2</v>
      </c>
      <c r="L817" t="str">
        <f>"SHMT2"</f>
        <v>SHMT2</v>
      </c>
      <c r="M817">
        <v>0</v>
      </c>
      <c r="N817">
        <v>1.78900344370861</v>
      </c>
      <c r="O817">
        <v>3.64777357675273</v>
      </c>
      <c r="P817">
        <v>0</v>
      </c>
      <c r="Q817">
        <v>0</v>
      </c>
      <c r="R817">
        <v>2.7002430962789199</v>
      </c>
      <c r="S817">
        <v>4.5325422818791896</v>
      </c>
      <c r="T817">
        <v>0</v>
      </c>
      <c r="U817">
        <v>3.3070749542961599</v>
      </c>
      <c r="V817">
        <v>2.1012719352831399</v>
      </c>
      <c r="W817">
        <v>3.82619428916755</v>
      </c>
      <c r="X817">
        <v>2.9539371318597998</v>
      </c>
    </row>
    <row r="818" spans="1:24">
      <c r="A818">
        <v>1038</v>
      </c>
      <c r="B818" t="s">
        <v>2224</v>
      </c>
      <c r="C818">
        <v>2</v>
      </c>
      <c r="D818" t="s">
        <v>2225</v>
      </c>
      <c r="E818">
        <v>7</v>
      </c>
      <c r="F818">
        <v>7</v>
      </c>
      <c r="G818">
        <v>7</v>
      </c>
      <c r="H818" t="s">
        <v>2226</v>
      </c>
      <c r="I818">
        <v>60</v>
      </c>
      <c r="J818">
        <v>23.239000000000001</v>
      </c>
      <c r="K818" t="str">
        <f>"RANBP1"</f>
        <v>RANBP1</v>
      </c>
      <c r="L818" t="str">
        <f>"RANBP1"</f>
        <v>RANBP1</v>
      </c>
      <c r="M818">
        <v>2.4207785504337198</v>
      </c>
      <c r="N818">
        <v>3.57800688741722</v>
      </c>
      <c r="O818">
        <v>2.7358301825645501</v>
      </c>
      <c r="P818">
        <v>4.2608757097791798</v>
      </c>
      <c r="Q818">
        <v>1.25576199330606</v>
      </c>
      <c r="R818">
        <v>2.7002430962789199</v>
      </c>
      <c r="S818">
        <v>0</v>
      </c>
      <c r="T818">
        <v>1.18448996772836</v>
      </c>
      <c r="U818">
        <v>1.10235831809872</v>
      </c>
      <c r="V818">
        <v>2.1012719352831399</v>
      </c>
      <c r="W818">
        <v>0</v>
      </c>
      <c r="X818">
        <v>0.984645710619934</v>
      </c>
    </row>
    <row r="819" spans="1:24">
      <c r="A819">
        <v>1149</v>
      </c>
      <c r="B819" t="s">
        <v>2227</v>
      </c>
      <c r="C819">
        <v>6</v>
      </c>
      <c r="D819" t="s">
        <v>2228</v>
      </c>
      <c r="E819">
        <v>8</v>
      </c>
      <c r="F819">
        <v>8</v>
      </c>
      <c r="G819">
        <v>8</v>
      </c>
      <c r="H819" t="s">
        <v>2229</v>
      </c>
      <c r="I819">
        <v>17</v>
      </c>
      <c r="J819">
        <v>66.316000000000003</v>
      </c>
      <c r="K819" t="str">
        <f>"RAP1GDS1"</f>
        <v>RAP1GDS1</v>
      </c>
      <c r="L819" t="str">
        <f>"RAP1GDS1"</f>
        <v>RAP1GDS1</v>
      </c>
      <c r="M819">
        <v>2.4207785504337198</v>
      </c>
      <c r="N819">
        <v>2.6835051655629099</v>
      </c>
      <c r="O819">
        <v>2.7358301825645501</v>
      </c>
      <c r="P819">
        <v>1.0652189274447901</v>
      </c>
      <c r="Q819">
        <v>2.51152398661212</v>
      </c>
      <c r="R819">
        <v>2.7002430962789199</v>
      </c>
      <c r="S819">
        <v>3.3994067114094002</v>
      </c>
      <c r="T819">
        <v>1.18448996772836</v>
      </c>
      <c r="U819">
        <v>2.20471663619744</v>
      </c>
      <c r="V819">
        <v>1.05063596764157</v>
      </c>
      <c r="W819">
        <v>3.82619428916755</v>
      </c>
      <c r="X819">
        <v>2.9539371318597998</v>
      </c>
    </row>
    <row r="820" spans="1:24">
      <c r="A820">
        <v>1588</v>
      </c>
      <c r="B820" t="s">
        <v>2230</v>
      </c>
      <c r="C820">
        <v>1</v>
      </c>
      <c r="D820" t="s">
        <v>2231</v>
      </c>
      <c r="E820">
        <v>11</v>
      </c>
      <c r="F820">
        <v>11</v>
      </c>
      <c r="G820">
        <v>11</v>
      </c>
      <c r="H820" t="s">
        <v>2230</v>
      </c>
      <c r="I820">
        <v>31.7</v>
      </c>
      <c r="J820">
        <v>44.468000000000004</v>
      </c>
      <c r="K820" t="str">
        <f>"CDC37"</f>
        <v>CDC37</v>
      </c>
      <c r="L820" t="str">
        <f>"CDC37"</f>
        <v>CDC37</v>
      </c>
      <c r="M820">
        <v>0</v>
      </c>
      <c r="N820">
        <v>3.57800688741722</v>
      </c>
      <c r="O820">
        <v>4.5597169709409098</v>
      </c>
      <c r="P820">
        <v>3.19565678233438</v>
      </c>
      <c r="Q820">
        <v>0</v>
      </c>
      <c r="R820">
        <v>3.6003241283718901</v>
      </c>
      <c r="S820">
        <v>3.3994067114094002</v>
      </c>
      <c r="T820">
        <v>0</v>
      </c>
      <c r="U820">
        <v>0</v>
      </c>
      <c r="V820">
        <v>1.05063596764157</v>
      </c>
      <c r="W820">
        <v>1.27539809638918</v>
      </c>
      <c r="X820">
        <v>3.9385828424797298</v>
      </c>
    </row>
    <row r="821" spans="1:24">
      <c r="A821">
        <v>1776</v>
      </c>
      <c r="B821" t="s">
        <v>2232</v>
      </c>
      <c r="C821">
        <v>3</v>
      </c>
      <c r="D821" t="s">
        <v>2233</v>
      </c>
      <c r="E821">
        <v>7</v>
      </c>
      <c r="F821">
        <v>7</v>
      </c>
      <c r="G821">
        <v>7</v>
      </c>
      <c r="H821" t="s">
        <v>2234</v>
      </c>
      <c r="I821">
        <v>13.5</v>
      </c>
      <c r="J821">
        <v>85.126000000000005</v>
      </c>
      <c r="K821" t="str">
        <f>"ALDH16A1"</f>
        <v>ALDH16A1</v>
      </c>
      <c r="L821" t="str">
        <f>"ALDH16A1"</f>
        <v>ALDH16A1</v>
      </c>
      <c r="M821">
        <v>3.6311678256505799</v>
      </c>
      <c r="N821">
        <v>3.57800688741722</v>
      </c>
      <c r="O821">
        <v>2.7358301825645501</v>
      </c>
      <c r="P821">
        <v>1.0652189274447901</v>
      </c>
      <c r="Q821">
        <v>0</v>
      </c>
      <c r="R821">
        <v>2.7002430962789199</v>
      </c>
      <c r="S821">
        <v>1.1331355704698001</v>
      </c>
      <c r="T821">
        <v>1.18448996772836</v>
      </c>
      <c r="U821">
        <v>2.20471663619744</v>
      </c>
      <c r="V821">
        <v>2.1012719352831399</v>
      </c>
      <c r="W821">
        <v>3.82619428916755</v>
      </c>
      <c r="X821">
        <v>1.96929142123987</v>
      </c>
    </row>
    <row r="822" spans="1:24">
      <c r="A822">
        <v>1922</v>
      </c>
      <c r="B822" t="s">
        <v>2235</v>
      </c>
      <c r="C822">
        <v>2</v>
      </c>
      <c r="D822" t="s">
        <v>2236</v>
      </c>
      <c r="E822">
        <v>11</v>
      </c>
      <c r="F822">
        <v>11</v>
      </c>
      <c r="G822">
        <v>11</v>
      </c>
      <c r="H822" t="s">
        <v>2237</v>
      </c>
      <c r="I822">
        <v>29.6</v>
      </c>
      <c r="J822">
        <v>49.389000000000003</v>
      </c>
      <c r="K822" t="str">
        <f>"AP2M1"</f>
        <v>AP2M1</v>
      </c>
      <c r="L822" t="str">
        <f>"AP2M1"</f>
        <v>AP2M1</v>
      </c>
      <c r="M822">
        <v>0</v>
      </c>
      <c r="N822">
        <v>0.89450172185430499</v>
      </c>
      <c r="O822">
        <v>0.91194339418818204</v>
      </c>
      <c r="P822">
        <v>1.0652189274447901</v>
      </c>
      <c r="Q822">
        <v>1.25576199330606</v>
      </c>
      <c r="R822">
        <v>2.7002430962789199</v>
      </c>
      <c r="S822">
        <v>2.2662711409396001</v>
      </c>
      <c r="T822">
        <v>1.18448996772836</v>
      </c>
      <c r="U822">
        <v>0</v>
      </c>
      <c r="V822">
        <v>2.1012719352831399</v>
      </c>
      <c r="W822">
        <v>1.27539809638918</v>
      </c>
      <c r="X822">
        <v>2.9539371318597998</v>
      </c>
    </row>
    <row r="823" spans="1:24">
      <c r="A823">
        <v>2065</v>
      </c>
      <c r="B823" t="s">
        <v>2238</v>
      </c>
      <c r="C823">
        <v>3</v>
      </c>
      <c r="D823" t="s">
        <v>2239</v>
      </c>
      <c r="E823">
        <v>13</v>
      </c>
      <c r="F823">
        <v>13</v>
      </c>
      <c r="G823">
        <v>13</v>
      </c>
      <c r="H823" t="s">
        <v>2240</v>
      </c>
      <c r="I823">
        <v>25.6</v>
      </c>
      <c r="J823">
        <v>73.230999999999995</v>
      </c>
      <c r="K823" t="str">
        <f>"MTMR12"</f>
        <v>MTMR12</v>
      </c>
      <c r="L823" t="str">
        <f>"MTMR12"</f>
        <v>MTMR12</v>
      </c>
      <c r="M823">
        <v>2.4207785504337198</v>
      </c>
      <c r="N823">
        <v>3.57800688741722</v>
      </c>
      <c r="O823">
        <v>1.8238867883763601</v>
      </c>
      <c r="P823">
        <v>1.0652189274447901</v>
      </c>
      <c r="Q823">
        <v>0</v>
      </c>
      <c r="R823">
        <v>1.8001620641859499</v>
      </c>
      <c r="S823">
        <v>0</v>
      </c>
      <c r="T823">
        <v>0</v>
      </c>
      <c r="U823">
        <v>3.3070749542961599</v>
      </c>
      <c r="V823">
        <v>2.1012719352831399</v>
      </c>
      <c r="W823">
        <v>0</v>
      </c>
      <c r="X823">
        <v>4.92322855309967</v>
      </c>
    </row>
    <row r="824" spans="1:24">
      <c r="A824">
        <v>2328</v>
      </c>
      <c r="B824" t="s">
        <v>2241</v>
      </c>
      <c r="C824">
        <v>3</v>
      </c>
      <c r="D824" t="s">
        <v>2242</v>
      </c>
      <c r="E824">
        <v>13</v>
      </c>
      <c r="F824">
        <v>13</v>
      </c>
      <c r="G824">
        <v>13</v>
      </c>
      <c r="H824" t="s">
        <v>2243</v>
      </c>
      <c r="I824">
        <v>13.6</v>
      </c>
      <c r="J824">
        <v>129.72</v>
      </c>
      <c r="K824" t="str">
        <f>"ATP8A1"</f>
        <v>ATP8A1</v>
      </c>
      <c r="L824" t="str">
        <f>"ATP8A1"</f>
        <v>ATP8A1</v>
      </c>
      <c r="M824">
        <v>0</v>
      </c>
      <c r="N824">
        <v>4.4725086092715198</v>
      </c>
      <c r="O824">
        <v>3.64777357675273</v>
      </c>
      <c r="P824">
        <v>3.19565678233438</v>
      </c>
      <c r="Q824">
        <v>1.25576199330606</v>
      </c>
      <c r="R824">
        <v>1.8001620641859499</v>
      </c>
      <c r="S824">
        <v>0</v>
      </c>
      <c r="T824">
        <v>0</v>
      </c>
      <c r="U824">
        <v>2.20471663619744</v>
      </c>
      <c r="V824">
        <v>1.05063596764157</v>
      </c>
      <c r="W824">
        <v>2.5507961927783702</v>
      </c>
      <c r="X824">
        <v>2.9539371318597998</v>
      </c>
    </row>
    <row r="825" spans="1:24">
      <c r="A825">
        <v>2343</v>
      </c>
      <c r="B825" t="s">
        <v>2244</v>
      </c>
      <c r="C825">
        <v>1</v>
      </c>
      <c r="D825" t="s">
        <v>2245</v>
      </c>
      <c r="E825">
        <v>6</v>
      </c>
      <c r="F825">
        <v>6</v>
      </c>
      <c r="G825">
        <v>6</v>
      </c>
      <c r="H825" t="s">
        <v>2244</v>
      </c>
      <c r="I825">
        <v>32.9</v>
      </c>
      <c r="J825">
        <v>19.457999999999998</v>
      </c>
      <c r="K825" t="str">
        <f>"UFC1"</f>
        <v>UFC1</v>
      </c>
      <c r="L825" t="str">
        <f>"UFC1"</f>
        <v>UFC1</v>
      </c>
      <c r="M825">
        <v>3.6311678256505799</v>
      </c>
      <c r="N825">
        <v>1.78900344370861</v>
      </c>
      <c r="O825">
        <v>2.7358301825645501</v>
      </c>
      <c r="P825">
        <v>1.0652189274447901</v>
      </c>
      <c r="Q825">
        <v>1.25576199330606</v>
      </c>
      <c r="R825">
        <v>2.7002430962789199</v>
      </c>
      <c r="S825">
        <v>4.5325422818791896</v>
      </c>
      <c r="T825">
        <v>1.18448996772836</v>
      </c>
      <c r="U825">
        <v>2.20471663619744</v>
      </c>
      <c r="V825">
        <v>2.1012719352831399</v>
      </c>
      <c r="W825">
        <v>2.5507961927783702</v>
      </c>
      <c r="X825">
        <v>1.96929142123987</v>
      </c>
    </row>
    <row r="826" spans="1:24">
      <c r="A826">
        <v>1372</v>
      </c>
      <c r="B826" t="s">
        <v>2246</v>
      </c>
      <c r="C826">
        <v>4</v>
      </c>
      <c r="D826" t="s">
        <v>2247</v>
      </c>
      <c r="E826">
        <v>18</v>
      </c>
      <c r="F826">
        <v>11</v>
      </c>
      <c r="G826">
        <v>9</v>
      </c>
      <c r="H826" t="s">
        <v>2248</v>
      </c>
      <c r="I826">
        <v>23.5</v>
      </c>
      <c r="J826">
        <v>96.04</v>
      </c>
      <c r="K826" t="str">
        <f>"DNM1"</f>
        <v>DNM1</v>
      </c>
      <c r="L826" t="str">
        <f>"DNM1"</f>
        <v>DNM1</v>
      </c>
      <c r="M826">
        <v>0</v>
      </c>
      <c r="N826">
        <v>6.2615120529801302</v>
      </c>
      <c r="O826">
        <v>2.7358301825645501</v>
      </c>
      <c r="P826">
        <v>2.1304378548895899</v>
      </c>
      <c r="Q826">
        <v>1.25576199330606</v>
      </c>
      <c r="R826">
        <v>0.90008103209297396</v>
      </c>
      <c r="S826">
        <v>2.2662711409396001</v>
      </c>
      <c r="T826">
        <v>5.9224498386417803</v>
      </c>
      <c r="U826">
        <v>2.20471663619744</v>
      </c>
      <c r="V826">
        <v>1.05063596764157</v>
      </c>
      <c r="W826">
        <v>2.5507961927783702</v>
      </c>
      <c r="X826">
        <v>1.96929142123987</v>
      </c>
    </row>
    <row r="827" spans="1:24">
      <c r="A827">
        <v>1434</v>
      </c>
      <c r="B827" t="s">
        <v>2249</v>
      </c>
      <c r="C827">
        <v>3</v>
      </c>
      <c r="D827" t="s">
        <v>2250</v>
      </c>
      <c r="E827">
        <v>17</v>
      </c>
      <c r="F827">
        <v>17</v>
      </c>
      <c r="G827">
        <v>17</v>
      </c>
      <c r="H827" t="s">
        <v>2251</v>
      </c>
      <c r="I827">
        <v>24</v>
      </c>
      <c r="J827">
        <v>100.2</v>
      </c>
      <c r="K827" t="str">
        <f>"PSMD2"</f>
        <v>PSMD2</v>
      </c>
      <c r="L827" t="str">
        <f>"PSMD2"</f>
        <v>PSMD2</v>
      </c>
      <c r="M827">
        <v>1.2103892752168599</v>
      </c>
      <c r="N827">
        <v>2.6835051655629099</v>
      </c>
      <c r="O827">
        <v>2.7358301825645501</v>
      </c>
      <c r="P827">
        <v>1.0652189274447901</v>
      </c>
      <c r="Q827">
        <v>1.25576199330606</v>
      </c>
      <c r="R827">
        <v>3.6003241283718901</v>
      </c>
      <c r="S827">
        <v>1.1331355704698001</v>
      </c>
      <c r="T827">
        <v>1.18448996772836</v>
      </c>
      <c r="U827">
        <v>1.10235831809872</v>
      </c>
      <c r="V827">
        <v>1.05063596764157</v>
      </c>
      <c r="W827">
        <v>1.27539809638918</v>
      </c>
      <c r="X827">
        <v>0.984645710619934</v>
      </c>
    </row>
    <row r="828" spans="1:24">
      <c r="A828">
        <v>1479</v>
      </c>
      <c r="B828" t="s">
        <v>2252</v>
      </c>
      <c r="C828">
        <v>2</v>
      </c>
      <c r="D828" t="s">
        <v>2253</v>
      </c>
      <c r="E828">
        <v>14</v>
      </c>
      <c r="F828">
        <v>13</v>
      </c>
      <c r="G828">
        <v>13</v>
      </c>
      <c r="H828" t="s">
        <v>2254</v>
      </c>
      <c r="I828">
        <v>17.399999999999999</v>
      </c>
      <c r="J828">
        <v>140.86000000000001</v>
      </c>
      <c r="K828" t="str">
        <f>"NID2"</f>
        <v>NID2</v>
      </c>
      <c r="L828" t="str">
        <f>"NID2"</f>
        <v>NID2</v>
      </c>
      <c r="M828">
        <v>0</v>
      </c>
      <c r="N828">
        <v>4.4725086092715198</v>
      </c>
      <c r="O828">
        <v>6.3836037593172703</v>
      </c>
      <c r="P828">
        <v>3.19565678233438</v>
      </c>
      <c r="Q828">
        <v>0</v>
      </c>
      <c r="R828">
        <v>0.90008103209297396</v>
      </c>
      <c r="S828">
        <v>1.1331355704698001</v>
      </c>
      <c r="T828">
        <v>0</v>
      </c>
      <c r="U828">
        <v>2.20471663619744</v>
      </c>
      <c r="V828">
        <v>2.1012719352831399</v>
      </c>
      <c r="W828">
        <v>0</v>
      </c>
      <c r="X828">
        <v>2.9539371318597998</v>
      </c>
    </row>
    <row r="829" spans="1:24">
      <c r="A829">
        <v>1554</v>
      </c>
      <c r="B829" t="s">
        <v>2255</v>
      </c>
      <c r="C829">
        <v>1</v>
      </c>
      <c r="D829" t="s">
        <v>2256</v>
      </c>
      <c r="E829">
        <v>9</v>
      </c>
      <c r="F829">
        <v>9</v>
      </c>
      <c r="G829">
        <v>9</v>
      </c>
      <c r="H829" t="s">
        <v>2255</v>
      </c>
      <c r="I829">
        <v>28.8</v>
      </c>
      <c r="J829">
        <v>20.497</v>
      </c>
      <c r="K829" t="str">
        <f>"RHEB"</f>
        <v>RHEB</v>
      </c>
      <c r="L829" t="str">
        <f>"RHEB"</f>
        <v>RHEB</v>
      </c>
      <c r="M829">
        <v>3.6311678256505799</v>
      </c>
      <c r="N829">
        <v>0</v>
      </c>
      <c r="O829">
        <v>1.8238867883763601</v>
      </c>
      <c r="P829">
        <v>1.0652189274447901</v>
      </c>
      <c r="Q829">
        <v>0</v>
      </c>
      <c r="R829">
        <v>3.6003241283718901</v>
      </c>
      <c r="S829">
        <v>3.3994067114094002</v>
      </c>
      <c r="T829">
        <v>1.18448996772836</v>
      </c>
      <c r="U829">
        <v>1.10235831809872</v>
      </c>
      <c r="V829">
        <v>2.1012719352831399</v>
      </c>
      <c r="W829">
        <v>1.27539809638918</v>
      </c>
      <c r="X829">
        <v>3.9385828424797298</v>
      </c>
    </row>
    <row r="830" spans="1:24">
      <c r="A830">
        <v>1995</v>
      </c>
      <c r="B830" t="s">
        <v>2257</v>
      </c>
      <c r="C830">
        <v>2</v>
      </c>
      <c r="D830" t="s">
        <v>2258</v>
      </c>
      <c r="E830">
        <v>7</v>
      </c>
      <c r="F830">
        <v>7</v>
      </c>
      <c r="G830">
        <v>7</v>
      </c>
      <c r="H830" t="s">
        <v>2259</v>
      </c>
      <c r="I830">
        <v>36.4</v>
      </c>
      <c r="J830">
        <v>26.922999999999998</v>
      </c>
      <c r="K830" t="str">
        <f>"HSD17B10"</f>
        <v>HSD17B10</v>
      </c>
      <c r="L830" t="str">
        <f>"HSD17B10"</f>
        <v>HSD17B10</v>
      </c>
      <c r="M830">
        <v>3.6311678256505799</v>
      </c>
      <c r="N830">
        <v>0.89450172185430499</v>
      </c>
      <c r="O830">
        <v>2.7358301825645501</v>
      </c>
      <c r="P830">
        <v>2.1304378548895899</v>
      </c>
      <c r="Q830">
        <v>0</v>
      </c>
      <c r="R830">
        <v>3.6003241283718901</v>
      </c>
      <c r="S830">
        <v>4.5325422818791896</v>
      </c>
      <c r="T830">
        <v>1.18448996772836</v>
      </c>
      <c r="U830">
        <v>1.10235831809872</v>
      </c>
      <c r="V830">
        <v>2.1012719352831399</v>
      </c>
      <c r="W830">
        <v>3.82619428916755</v>
      </c>
      <c r="X830">
        <v>0.984645710619934</v>
      </c>
    </row>
    <row r="831" spans="1:24">
      <c r="A831">
        <v>2126</v>
      </c>
      <c r="B831" t="s">
        <v>2260</v>
      </c>
      <c r="C831">
        <v>3</v>
      </c>
      <c r="D831" t="s">
        <v>2261</v>
      </c>
      <c r="E831">
        <v>9</v>
      </c>
      <c r="F831">
        <v>9</v>
      </c>
      <c r="G831">
        <v>9</v>
      </c>
      <c r="H831" t="s">
        <v>2262</v>
      </c>
      <c r="I831">
        <v>30.2</v>
      </c>
      <c r="J831">
        <v>33.231999999999999</v>
      </c>
      <c r="K831" t="str">
        <f>"GLOD4"</f>
        <v>GLOD4</v>
      </c>
      <c r="L831" t="str">
        <f>"GLOD4"</f>
        <v>GLOD4</v>
      </c>
      <c r="M831">
        <v>0</v>
      </c>
      <c r="N831">
        <v>4.4725086092715198</v>
      </c>
      <c r="O831">
        <v>3.64777357675273</v>
      </c>
      <c r="P831">
        <v>2.1304378548895899</v>
      </c>
      <c r="Q831">
        <v>2.51152398661212</v>
      </c>
      <c r="R831">
        <v>2.7002430962789199</v>
      </c>
      <c r="S831">
        <v>0</v>
      </c>
      <c r="T831">
        <v>1.18448996772836</v>
      </c>
      <c r="U831">
        <v>2.20471663619744</v>
      </c>
      <c r="V831">
        <v>1.05063596764157</v>
      </c>
      <c r="W831">
        <v>3.82619428916755</v>
      </c>
      <c r="X831">
        <v>0.984645710619934</v>
      </c>
    </row>
    <row r="832" spans="1:24">
      <c r="A832">
        <v>2272</v>
      </c>
      <c r="B832" t="s">
        <v>2263</v>
      </c>
      <c r="C832">
        <v>13</v>
      </c>
      <c r="D832" t="s">
        <v>2264</v>
      </c>
      <c r="E832">
        <v>18</v>
      </c>
      <c r="F832">
        <v>18</v>
      </c>
      <c r="G832">
        <v>11</v>
      </c>
      <c r="H832" t="s">
        <v>2265</v>
      </c>
      <c r="I832">
        <v>16.899999999999999</v>
      </c>
      <c r="J832">
        <v>144.25</v>
      </c>
      <c r="K832" t="str">
        <f>"TNIK;MAP4K4"</f>
        <v>TNIK;MAP4K4</v>
      </c>
      <c r="L832" t="str">
        <f>"TNIK;MAP4K4"</f>
        <v>TNIK;MAP4K4</v>
      </c>
      <c r="M832">
        <v>1.2103892752168599</v>
      </c>
      <c r="N832">
        <v>3.57800688741722</v>
      </c>
      <c r="O832">
        <v>3.64777357675273</v>
      </c>
      <c r="P832">
        <v>1.0652189274447901</v>
      </c>
      <c r="Q832">
        <v>0</v>
      </c>
      <c r="R832">
        <v>1.8001620641859499</v>
      </c>
      <c r="S832">
        <v>1.1331355704698001</v>
      </c>
      <c r="T832">
        <v>2.3689799354567098</v>
      </c>
      <c r="U832">
        <v>2.20471663619744</v>
      </c>
      <c r="V832">
        <v>0</v>
      </c>
      <c r="W832">
        <v>3.82619428916755</v>
      </c>
      <c r="X832">
        <v>2.9539371318597998</v>
      </c>
    </row>
    <row r="833" spans="1:24">
      <c r="A833">
        <v>2291</v>
      </c>
      <c r="B833" t="s">
        <v>2266</v>
      </c>
      <c r="C833">
        <v>2</v>
      </c>
      <c r="D833" t="s">
        <v>2267</v>
      </c>
      <c r="E833">
        <v>8</v>
      </c>
      <c r="F833">
        <v>8</v>
      </c>
      <c r="G833">
        <v>8</v>
      </c>
      <c r="H833" t="s">
        <v>2268</v>
      </c>
      <c r="I833">
        <v>31.1</v>
      </c>
      <c r="J833">
        <v>32.192999999999998</v>
      </c>
      <c r="K833" t="str">
        <f>"DAPP1"</f>
        <v>DAPP1</v>
      </c>
      <c r="L833" t="str">
        <f>"DAPP1"</f>
        <v>DAPP1</v>
      </c>
      <c r="M833">
        <v>2.4207785504337198</v>
      </c>
      <c r="N833">
        <v>0</v>
      </c>
      <c r="O833">
        <v>3.64777357675273</v>
      </c>
      <c r="P833">
        <v>2.1304378548895899</v>
      </c>
      <c r="Q833">
        <v>2.51152398661212</v>
      </c>
      <c r="R833">
        <v>2.7002430962789199</v>
      </c>
      <c r="S833">
        <v>2.2662711409396001</v>
      </c>
      <c r="T833">
        <v>3.5534699031850701</v>
      </c>
      <c r="U833">
        <v>1.10235831809872</v>
      </c>
      <c r="V833">
        <v>3.1519079029246999</v>
      </c>
      <c r="W833">
        <v>2.5507961927783702</v>
      </c>
      <c r="X833">
        <v>0.984645710619934</v>
      </c>
    </row>
    <row r="834" spans="1:24">
      <c r="A834">
        <v>148</v>
      </c>
      <c r="B834" t="s">
        <v>2269</v>
      </c>
      <c r="C834">
        <v>7</v>
      </c>
      <c r="D834" t="s">
        <v>2270</v>
      </c>
      <c r="E834">
        <v>7</v>
      </c>
      <c r="F834">
        <v>7</v>
      </c>
      <c r="G834">
        <v>7</v>
      </c>
      <c r="H834" t="s">
        <v>2271</v>
      </c>
      <c r="I834">
        <v>36.9</v>
      </c>
      <c r="J834">
        <v>22.236999999999998</v>
      </c>
      <c r="K834" t="str">
        <f>"TPD52L2"</f>
        <v>TPD52L2</v>
      </c>
      <c r="L834" t="str">
        <f>"TPD52L2"</f>
        <v>TPD52L2</v>
      </c>
      <c r="M834">
        <v>1.2103892752168599</v>
      </c>
      <c r="N834">
        <v>1.78900344370861</v>
      </c>
      <c r="O834">
        <v>3.64777357675273</v>
      </c>
      <c r="P834">
        <v>2.1304378548895899</v>
      </c>
      <c r="Q834">
        <v>0</v>
      </c>
      <c r="R834">
        <v>1.8001620641859499</v>
      </c>
      <c r="S834">
        <v>1.1331355704698001</v>
      </c>
      <c r="T834">
        <v>1.18448996772836</v>
      </c>
      <c r="U834">
        <v>2.20471663619744</v>
      </c>
      <c r="V834">
        <v>2.1012719352831399</v>
      </c>
      <c r="W834">
        <v>1.27539809638918</v>
      </c>
      <c r="X834">
        <v>3.9385828424797298</v>
      </c>
    </row>
    <row r="835" spans="1:24">
      <c r="A835">
        <v>359</v>
      </c>
      <c r="B835" t="s">
        <v>2272</v>
      </c>
      <c r="C835">
        <v>2</v>
      </c>
      <c r="D835" t="s">
        <v>2273</v>
      </c>
      <c r="E835">
        <v>4</v>
      </c>
      <c r="F835">
        <v>4</v>
      </c>
      <c r="G835">
        <v>3</v>
      </c>
      <c r="H835" t="s">
        <v>2274</v>
      </c>
      <c r="I835">
        <v>14.4</v>
      </c>
      <c r="J835">
        <v>11.452999999999999</v>
      </c>
      <c r="K835" t="s">
        <v>2275</v>
      </c>
      <c r="L835" t="s">
        <v>2275</v>
      </c>
      <c r="M835">
        <v>1.2103892752168599</v>
      </c>
      <c r="N835">
        <v>1.78900344370861</v>
      </c>
      <c r="O835">
        <v>0</v>
      </c>
      <c r="P835">
        <v>3.19565678233438</v>
      </c>
      <c r="Q835">
        <v>2.51152398661212</v>
      </c>
      <c r="R835">
        <v>2.7002430962789199</v>
      </c>
      <c r="S835">
        <v>2.2662711409396001</v>
      </c>
      <c r="T835">
        <v>3.5534699031850701</v>
      </c>
      <c r="U835">
        <v>0</v>
      </c>
      <c r="V835">
        <v>4.2025438705662701</v>
      </c>
      <c r="W835">
        <v>1.27539809638918</v>
      </c>
      <c r="X835">
        <v>0</v>
      </c>
    </row>
    <row r="836" spans="1:24">
      <c r="A836">
        <v>724</v>
      </c>
      <c r="B836" t="s">
        <v>2276</v>
      </c>
      <c r="C836">
        <v>2</v>
      </c>
      <c r="D836" t="s">
        <v>2277</v>
      </c>
      <c r="E836">
        <v>13</v>
      </c>
      <c r="F836">
        <v>1</v>
      </c>
      <c r="G836">
        <v>1</v>
      </c>
      <c r="H836" t="s">
        <v>2278</v>
      </c>
      <c r="I836">
        <v>17</v>
      </c>
      <c r="J836">
        <v>71.027000000000001</v>
      </c>
      <c r="K836" t="str">
        <f>"HSPA6;HSPA7"</f>
        <v>HSPA6;HSPA7</v>
      </c>
      <c r="L836" t="str">
        <f>"HSPA6;HSPA7"</f>
        <v>HSPA6;HSPA7</v>
      </c>
      <c r="M836">
        <v>2.4207785504337198</v>
      </c>
      <c r="N836">
        <v>1.78900344370861</v>
      </c>
      <c r="O836">
        <v>2.7358301825645501</v>
      </c>
      <c r="P836">
        <v>2.1304378548895899</v>
      </c>
      <c r="Q836">
        <v>2.51152398661212</v>
      </c>
      <c r="R836">
        <v>1.8001620641859499</v>
      </c>
      <c r="S836">
        <v>3.3994067114094002</v>
      </c>
      <c r="T836">
        <v>2.3689799354567098</v>
      </c>
      <c r="U836">
        <v>2.20471663619744</v>
      </c>
      <c r="V836">
        <v>2.1012719352831399</v>
      </c>
      <c r="W836">
        <v>2.5507961927783702</v>
      </c>
      <c r="X836">
        <v>1.96929142123987</v>
      </c>
    </row>
    <row r="837" spans="1:24">
      <c r="A837">
        <v>815</v>
      </c>
      <c r="B837" t="s">
        <v>2279</v>
      </c>
      <c r="C837">
        <v>1</v>
      </c>
      <c r="D837" t="s">
        <v>2280</v>
      </c>
      <c r="E837">
        <v>5</v>
      </c>
      <c r="F837">
        <v>5</v>
      </c>
      <c r="G837">
        <v>5</v>
      </c>
      <c r="H837" t="s">
        <v>2279</v>
      </c>
      <c r="I837">
        <v>27.6</v>
      </c>
      <c r="J837">
        <v>24.763000000000002</v>
      </c>
      <c r="K837" t="str">
        <f>"EEF1B2"</f>
        <v>EEF1B2</v>
      </c>
      <c r="L837" t="str">
        <f>"EEF1B2"</f>
        <v>EEF1B2</v>
      </c>
      <c r="M837">
        <v>1.2103892752168599</v>
      </c>
      <c r="N837">
        <v>2.6835051655629099</v>
      </c>
      <c r="O837">
        <v>1.8238867883763601</v>
      </c>
      <c r="P837">
        <v>3.19565678233438</v>
      </c>
      <c r="Q837">
        <v>1.25576199330606</v>
      </c>
      <c r="R837">
        <v>2.7002430962789199</v>
      </c>
      <c r="S837">
        <v>1.1331355704698001</v>
      </c>
      <c r="T837">
        <v>2.3689799354567098</v>
      </c>
      <c r="U837">
        <v>3.3070749542961599</v>
      </c>
      <c r="V837">
        <v>4.2025438705662701</v>
      </c>
      <c r="W837">
        <v>0</v>
      </c>
      <c r="X837">
        <v>0.984645710619934</v>
      </c>
    </row>
    <row r="838" spans="1:24">
      <c r="A838">
        <v>829</v>
      </c>
      <c r="B838" t="s">
        <v>2281</v>
      </c>
      <c r="C838">
        <v>2</v>
      </c>
      <c r="D838" t="s">
        <v>2282</v>
      </c>
      <c r="E838">
        <v>10</v>
      </c>
      <c r="F838">
        <v>10</v>
      </c>
      <c r="G838">
        <v>10</v>
      </c>
      <c r="H838" t="s">
        <v>2283</v>
      </c>
      <c r="I838">
        <v>38.299999999999997</v>
      </c>
      <c r="J838">
        <v>29.483000000000001</v>
      </c>
      <c r="K838" t="str">
        <f>"PSMA4"</f>
        <v>PSMA4</v>
      </c>
      <c r="L838" t="str">
        <f>"PSMA4"</f>
        <v>PSMA4</v>
      </c>
      <c r="M838">
        <v>1.2103892752168599</v>
      </c>
      <c r="N838">
        <v>2.6835051655629099</v>
      </c>
      <c r="O838">
        <v>2.7358301825645501</v>
      </c>
      <c r="P838">
        <v>3.19565678233438</v>
      </c>
      <c r="Q838">
        <v>2.51152398661212</v>
      </c>
      <c r="R838">
        <v>2.7002430962789199</v>
      </c>
      <c r="S838">
        <v>3.3994067114094002</v>
      </c>
      <c r="T838">
        <v>0</v>
      </c>
      <c r="U838">
        <v>4.4094332723948799</v>
      </c>
      <c r="V838">
        <v>1.05063596764157</v>
      </c>
      <c r="W838">
        <v>0</v>
      </c>
      <c r="X838">
        <v>2.9539371318597998</v>
      </c>
    </row>
    <row r="839" spans="1:24">
      <c r="A839">
        <v>973</v>
      </c>
      <c r="B839" t="s">
        <v>2284</v>
      </c>
      <c r="C839">
        <v>2</v>
      </c>
      <c r="D839" t="s">
        <v>2285</v>
      </c>
      <c r="E839">
        <v>10</v>
      </c>
      <c r="F839">
        <v>10</v>
      </c>
      <c r="G839">
        <v>10</v>
      </c>
      <c r="H839" t="s">
        <v>2286</v>
      </c>
      <c r="I839">
        <v>28.4</v>
      </c>
      <c r="J839">
        <v>48.633000000000003</v>
      </c>
      <c r="K839" t="str">
        <f>"PSMC2"</f>
        <v>PSMC2</v>
      </c>
      <c r="L839" t="str">
        <f>"PSMC2"</f>
        <v>PSMC2</v>
      </c>
      <c r="M839">
        <v>2.4207785504337198</v>
      </c>
      <c r="N839">
        <v>1.78900344370861</v>
      </c>
      <c r="O839">
        <v>1.8238867883763601</v>
      </c>
      <c r="P839">
        <v>2.1304378548895899</v>
      </c>
      <c r="Q839">
        <v>1.25576199330606</v>
      </c>
      <c r="R839">
        <v>2.7002430962789199</v>
      </c>
      <c r="S839">
        <v>2.2662711409396001</v>
      </c>
      <c r="T839">
        <v>1.18448996772836</v>
      </c>
      <c r="U839">
        <v>1.10235831809872</v>
      </c>
      <c r="V839">
        <v>3.1519079029246999</v>
      </c>
      <c r="W839">
        <v>1.27539809638918</v>
      </c>
      <c r="X839">
        <v>1.96929142123987</v>
      </c>
    </row>
    <row r="840" spans="1:24">
      <c r="A840">
        <v>1073</v>
      </c>
      <c r="B840" t="s">
        <v>2287</v>
      </c>
      <c r="C840">
        <v>2</v>
      </c>
      <c r="D840" t="s">
        <v>2288</v>
      </c>
      <c r="E840">
        <v>12</v>
      </c>
      <c r="F840">
        <v>12</v>
      </c>
      <c r="G840">
        <v>12</v>
      </c>
      <c r="H840" t="s">
        <v>2289</v>
      </c>
      <c r="I840">
        <v>29.3</v>
      </c>
      <c r="J840">
        <v>52.384</v>
      </c>
      <c r="K840" t="str">
        <f>"GSS"</f>
        <v>GSS</v>
      </c>
      <c r="L840" t="str">
        <f>"GSS"</f>
        <v>GSS</v>
      </c>
      <c r="M840">
        <v>1.2103892752168599</v>
      </c>
      <c r="N840">
        <v>0.89450172185430499</v>
      </c>
      <c r="O840">
        <v>0</v>
      </c>
      <c r="P840">
        <v>2.1304378548895899</v>
      </c>
      <c r="Q840">
        <v>1.25576199330606</v>
      </c>
      <c r="R840">
        <v>1.8001620641859499</v>
      </c>
      <c r="S840">
        <v>3.3994067114094002</v>
      </c>
      <c r="T840">
        <v>2.3689799354567098</v>
      </c>
      <c r="U840">
        <v>1.10235831809872</v>
      </c>
      <c r="V840">
        <v>2.1012719352831399</v>
      </c>
      <c r="W840">
        <v>5.1015923855567298</v>
      </c>
      <c r="X840">
        <v>1.96929142123987</v>
      </c>
    </row>
    <row r="841" spans="1:24">
      <c r="A841">
        <v>1291</v>
      </c>
      <c r="B841" t="s">
        <v>2290</v>
      </c>
      <c r="C841">
        <v>1</v>
      </c>
      <c r="D841" t="s">
        <v>2291</v>
      </c>
      <c r="E841">
        <v>53</v>
      </c>
      <c r="F841">
        <v>1</v>
      </c>
      <c r="G841">
        <v>1</v>
      </c>
      <c r="H841" t="s">
        <v>2290</v>
      </c>
      <c r="I841">
        <v>99.7</v>
      </c>
      <c r="J841">
        <v>41.792000000000002</v>
      </c>
      <c r="K841" t="str">
        <f>"ACTG1"</f>
        <v>ACTG1</v>
      </c>
      <c r="L841" t="str">
        <f>"ACTG1"</f>
        <v>ACTG1</v>
      </c>
      <c r="M841">
        <v>0</v>
      </c>
      <c r="N841">
        <v>2.6835051655629099</v>
      </c>
      <c r="O841">
        <v>1.8238867883763601</v>
      </c>
      <c r="P841">
        <v>2.1304378548895899</v>
      </c>
      <c r="Q841">
        <v>1.25576199330606</v>
      </c>
      <c r="R841">
        <v>1.8001620641859499</v>
      </c>
      <c r="S841">
        <v>2.2662711409396001</v>
      </c>
      <c r="T841">
        <v>1.18448996772836</v>
      </c>
      <c r="U841">
        <v>1.10235831809872</v>
      </c>
      <c r="V841">
        <v>2.1012719352831399</v>
      </c>
      <c r="W841">
        <v>2.5507961927783702</v>
      </c>
      <c r="X841">
        <v>2.9539371318597998</v>
      </c>
    </row>
    <row r="842" spans="1:24">
      <c r="A842">
        <v>1955</v>
      </c>
      <c r="B842" t="s">
        <v>2292</v>
      </c>
      <c r="C842">
        <v>2</v>
      </c>
      <c r="D842" t="s">
        <v>2293</v>
      </c>
      <c r="E842">
        <v>1</v>
      </c>
      <c r="F842">
        <v>1</v>
      </c>
      <c r="G842">
        <v>1</v>
      </c>
      <c r="H842" t="s">
        <v>2294</v>
      </c>
      <c r="I842">
        <v>8.1999999999999993</v>
      </c>
      <c r="J842">
        <v>16.963999999999999</v>
      </c>
      <c r="K842" t="str">
        <f>"LRR1"</f>
        <v>LRR1</v>
      </c>
      <c r="L842" t="str">
        <f>"LRR1"</f>
        <v>LRR1</v>
      </c>
      <c r="M842">
        <v>3.6311678256505799</v>
      </c>
      <c r="N842">
        <v>0.89450172185430499</v>
      </c>
      <c r="O842">
        <v>2.7358301825645501</v>
      </c>
      <c r="P842">
        <v>2.1304378548895899</v>
      </c>
      <c r="Q842">
        <v>5.0230479732242497</v>
      </c>
      <c r="R842">
        <v>1.8001620641859499</v>
      </c>
      <c r="S842">
        <v>1.1331355704698001</v>
      </c>
      <c r="T842">
        <v>5.9224498386417803</v>
      </c>
      <c r="U842">
        <v>0</v>
      </c>
      <c r="V842">
        <v>3.1519079029246999</v>
      </c>
      <c r="W842">
        <v>1.27539809638918</v>
      </c>
      <c r="X842">
        <v>0.984645710619934</v>
      </c>
    </row>
    <row r="843" spans="1:24">
      <c r="A843">
        <v>2038</v>
      </c>
      <c r="B843" t="s">
        <v>2295</v>
      </c>
      <c r="C843">
        <v>2</v>
      </c>
      <c r="D843" t="s">
        <v>2296</v>
      </c>
      <c r="E843">
        <v>5</v>
      </c>
      <c r="F843">
        <v>5</v>
      </c>
      <c r="G843">
        <v>5</v>
      </c>
      <c r="H843" t="s">
        <v>2297</v>
      </c>
      <c r="I843">
        <v>22.4</v>
      </c>
      <c r="J843">
        <v>41.35</v>
      </c>
      <c r="K843" t="str">
        <f>"ACAT2"</f>
        <v>ACAT2</v>
      </c>
      <c r="L843" t="str">
        <f>"ACAT2"</f>
        <v>ACAT2</v>
      </c>
      <c r="M843">
        <v>0</v>
      </c>
      <c r="N843">
        <v>1.78900344370861</v>
      </c>
      <c r="O843">
        <v>1.8238867883763601</v>
      </c>
      <c r="P843">
        <v>3.19565678233438</v>
      </c>
      <c r="Q843">
        <v>1.25576199330606</v>
      </c>
      <c r="R843">
        <v>0</v>
      </c>
      <c r="S843">
        <v>3.3994067114094002</v>
      </c>
      <c r="T843">
        <v>2.3689799354567098</v>
      </c>
      <c r="U843">
        <v>4.4094332723948799</v>
      </c>
      <c r="V843">
        <v>2.1012719352831399</v>
      </c>
      <c r="W843">
        <v>2.5507961927783702</v>
      </c>
      <c r="X843">
        <v>4.92322855309967</v>
      </c>
    </row>
    <row r="844" spans="1:24">
      <c r="A844">
        <v>2242</v>
      </c>
      <c r="B844" t="s">
        <v>2298</v>
      </c>
      <c r="C844">
        <v>2</v>
      </c>
      <c r="D844" t="s">
        <v>2299</v>
      </c>
      <c r="E844">
        <v>4</v>
      </c>
      <c r="F844">
        <v>4</v>
      </c>
      <c r="G844">
        <v>4</v>
      </c>
      <c r="H844" t="s">
        <v>2300</v>
      </c>
      <c r="I844">
        <v>9.6999999999999993</v>
      </c>
      <c r="J844">
        <v>42.054000000000002</v>
      </c>
      <c r="K844" t="str">
        <f>"FETUB"</f>
        <v>FETUB</v>
      </c>
      <c r="L844" t="str">
        <f>"FETUB"</f>
        <v>FETUB</v>
      </c>
      <c r="M844">
        <v>2.4207785504337198</v>
      </c>
      <c r="N844">
        <v>1.78900344370861</v>
      </c>
      <c r="O844">
        <v>2.7358301825645501</v>
      </c>
      <c r="P844">
        <v>2.1304378548895899</v>
      </c>
      <c r="Q844">
        <v>3.7672859799181899</v>
      </c>
      <c r="R844">
        <v>1.8001620641859499</v>
      </c>
      <c r="S844">
        <v>1.1331355704698001</v>
      </c>
      <c r="T844">
        <v>3.5534699031850701</v>
      </c>
      <c r="U844">
        <v>1.10235831809872</v>
      </c>
      <c r="V844">
        <v>3.1519079029246999</v>
      </c>
      <c r="W844">
        <v>2.5507961927783702</v>
      </c>
      <c r="X844">
        <v>1.96929142123987</v>
      </c>
    </row>
    <row r="845" spans="1:24">
      <c r="A845">
        <v>83</v>
      </c>
      <c r="B845" t="s">
        <v>2301</v>
      </c>
      <c r="C845">
        <v>3</v>
      </c>
      <c r="D845" t="s">
        <v>2302</v>
      </c>
      <c r="E845">
        <v>6</v>
      </c>
      <c r="F845">
        <v>6</v>
      </c>
      <c r="G845">
        <v>6</v>
      </c>
      <c r="H845" t="s">
        <v>2303</v>
      </c>
      <c r="I845">
        <v>28.4</v>
      </c>
      <c r="J845">
        <v>28.795999999999999</v>
      </c>
      <c r="K845" t="str">
        <f>"COPE"</f>
        <v>COPE</v>
      </c>
      <c r="L845" t="str">
        <f>"COPE"</f>
        <v>COPE</v>
      </c>
      <c r="M845">
        <v>1.2103892752168599</v>
      </c>
      <c r="N845">
        <v>0.89450172185430499</v>
      </c>
      <c r="O845">
        <v>0.91194339418818204</v>
      </c>
      <c r="P845">
        <v>2.1304378548895899</v>
      </c>
      <c r="Q845">
        <v>1.25576199330606</v>
      </c>
      <c r="R845">
        <v>2.7002430962789199</v>
      </c>
      <c r="S845">
        <v>2.2662711409396001</v>
      </c>
      <c r="T845">
        <v>0</v>
      </c>
      <c r="U845">
        <v>3.3070749542961599</v>
      </c>
      <c r="V845">
        <v>2.1012719352831399</v>
      </c>
      <c r="W845">
        <v>1.27539809638918</v>
      </c>
      <c r="X845">
        <v>3.9385828424797298</v>
      </c>
    </row>
    <row r="846" spans="1:24">
      <c r="A846">
        <v>202</v>
      </c>
      <c r="B846" t="s">
        <v>2304</v>
      </c>
      <c r="C846">
        <v>1</v>
      </c>
      <c r="D846" t="s">
        <v>2305</v>
      </c>
      <c r="E846">
        <v>7</v>
      </c>
      <c r="F846">
        <v>7</v>
      </c>
      <c r="G846">
        <v>6</v>
      </c>
      <c r="H846" t="s">
        <v>2304</v>
      </c>
      <c r="I846">
        <v>15.1</v>
      </c>
      <c r="J846">
        <v>60.13</v>
      </c>
      <c r="K846" t="str">
        <f>"CPNE3"</f>
        <v>CPNE3</v>
      </c>
      <c r="L846" t="str">
        <f>"CPNE3"</f>
        <v>CPNE3</v>
      </c>
      <c r="M846">
        <v>1.2103892752168599</v>
      </c>
      <c r="N846">
        <v>4.4725086092715198</v>
      </c>
      <c r="O846">
        <v>1.8238867883763601</v>
      </c>
      <c r="P846">
        <v>1.0652189274447901</v>
      </c>
      <c r="Q846">
        <v>2.51152398661212</v>
      </c>
      <c r="R846">
        <v>2.7002430962789199</v>
      </c>
      <c r="S846">
        <v>3.3994067114094002</v>
      </c>
      <c r="T846">
        <v>1.18448996772836</v>
      </c>
      <c r="U846">
        <v>3.3070749542961599</v>
      </c>
      <c r="V846">
        <v>2.1012719352831399</v>
      </c>
      <c r="W846">
        <v>3.82619428916755</v>
      </c>
      <c r="X846">
        <v>1.96929142123987</v>
      </c>
    </row>
    <row r="847" spans="1:24">
      <c r="A847">
        <v>856</v>
      </c>
      <c r="B847" t="s">
        <v>2306</v>
      </c>
      <c r="C847">
        <v>2</v>
      </c>
      <c r="D847" t="s">
        <v>2307</v>
      </c>
      <c r="E847">
        <v>7</v>
      </c>
      <c r="F847">
        <v>7</v>
      </c>
      <c r="G847">
        <v>7</v>
      </c>
      <c r="H847" t="s">
        <v>2308</v>
      </c>
      <c r="I847">
        <v>25.4</v>
      </c>
      <c r="J847">
        <v>29.768999999999998</v>
      </c>
      <c r="K847" t="str">
        <f>"PSMB8"</f>
        <v>PSMB8</v>
      </c>
      <c r="L847" t="str">
        <f>"PSMB8"</f>
        <v>PSMB8</v>
      </c>
      <c r="M847">
        <v>2.4207785504337198</v>
      </c>
      <c r="N847">
        <v>0.89450172185430499</v>
      </c>
      <c r="O847">
        <v>1.8238867883763601</v>
      </c>
      <c r="P847">
        <v>3.19565678233438</v>
      </c>
      <c r="Q847">
        <v>2.51152398661212</v>
      </c>
      <c r="R847">
        <v>1.8001620641859499</v>
      </c>
      <c r="S847">
        <v>1.1331355704698001</v>
      </c>
      <c r="T847">
        <v>1.18448996772836</v>
      </c>
      <c r="U847">
        <v>2.20471663619744</v>
      </c>
      <c r="V847">
        <v>1.05063596764157</v>
      </c>
      <c r="W847">
        <v>1.27539809638918</v>
      </c>
      <c r="X847">
        <v>2.9539371318597998</v>
      </c>
    </row>
    <row r="848" spans="1:24">
      <c r="A848">
        <v>1095</v>
      </c>
      <c r="B848" t="s">
        <v>2309</v>
      </c>
      <c r="C848">
        <v>1</v>
      </c>
      <c r="D848" t="s">
        <v>2310</v>
      </c>
      <c r="E848">
        <v>5</v>
      </c>
      <c r="F848">
        <v>5</v>
      </c>
      <c r="G848">
        <v>5</v>
      </c>
      <c r="H848" t="s">
        <v>2309</v>
      </c>
      <c r="I848">
        <v>25.9</v>
      </c>
      <c r="J848">
        <v>22.949000000000002</v>
      </c>
      <c r="K848" t="str">
        <f>"PSMB3"</f>
        <v>PSMB3</v>
      </c>
      <c r="L848" t="str">
        <f>"PSMB3"</f>
        <v>PSMB3</v>
      </c>
      <c r="M848">
        <v>2.4207785504337198</v>
      </c>
      <c r="N848">
        <v>1.78900344370861</v>
      </c>
      <c r="O848">
        <v>1.8238867883763601</v>
      </c>
      <c r="P848">
        <v>2.1304378548895899</v>
      </c>
      <c r="Q848">
        <v>2.51152398661212</v>
      </c>
      <c r="R848">
        <v>1.8001620641859499</v>
      </c>
      <c r="S848">
        <v>3.3994067114094002</v>
      </c>
      <c r="T848">
        <v>1.18448996772836</v>
      </c>
      <c r="U848">
        <v>3.3070749542961599</v>
      </c>
      <c r="V848">
        <v>1.05063596764157</v>
      </c>
      <c r="W848">
        <v>2.5507961927783702</v>
      </c>
      <c r="X848">
        <v>0.984645710619934</v>
      </c>
    </row>
    <row r="849" spans="1:24">
      <c r="A849">
        <v>1882</v>
      </c>
      <c r="B849" t="s">
        <v>2311</v>
      </c>
      <c r="C849">
        <v>1</v>
      </c>
      <c r="D849" t="s">
        <v>2312</v>
      </c>
      <c r="E849">
        <v>9</v>
      </c>
      <c r="F849">
        <v>9</v>
      </c>
      <c r="G849">
        <v>9</v>
      </c>
      <c r="H849" t="s">
        <v>2311</v>
      </c>
      <c r="I849">
        <v>29</v>
      </c>
      <c r="J849">
        <v>37.578000000000003</v>
      </c>
      <c r="K849" t="str">
        <f>"COPS5"</f>
        <v>COPS5</v>
      </c>
      <c r="L849" t="str">
        <f>"COPS5"</f>
        <v>COPS5</v>
      </c>
      <c r="M849">
        <v>1.2103892752168599</v>
      </c>
      <c r="N849">
        <v>2.6835051655629099</v>
      </c>
      <c r="O849">
        <v>0.91194339418818204</v>
      </c>
      <c r="P849">
        <v>1.0652189274447901</v>
      </c>
      <c r="Q849">
        <v>1.25576199330606</v>
      </c>
      <c r="R849">
        <v>1.8001620641859499</v>
      </c>
      <c r="S849">
        <v>2.2662711409396001</v>
      </c>
      <c r="T849">
        <v>2.3689799354567098</v>
      </c>
      <c r="U849">
        <v>2.20471663619744</v>
      </c>
      <c r="V849">
        <v>1.05063596764157</v>
      </c>
      <c r="W849">
        <v>1.27539809638918</v>
      </c>
      <c r="X849">
        <v>0.984645710619934</v>
      </c>
    </row>
    <row r="850" spans="1:24">
      <c r="A850">
        <v>2131</v>
      </c>
      <c r="B850" t="s">
        <v>2313</v>
      </c>
      <c r="C850">
        <v>1</v>
      </c>
      <c r="D850" t="s">
        <v>2314</v>
      </c>
      <c r="E850">
        <v>1</v>
      </c>
      <c r="F850">
        <v>1</v>
      </c>
      <c r="G850">
        <v>1</v>
      </c>
      <c r="H850" t="s">
        <v>2313</v>
      </c>
      <c r="I850">
        <v>0.7</v>
      </c>
      <c r="J850">
        <v>317.45</v>
      </c>
      <c r="K850" t="str">
        <f>"CELSR2"</f>
        <v>CELSR2</v>
      </c>
      <c r="L850" t="str">
        <f>"CELSR2"</f>
        <v>CELSR2</v>
      </c>
      <c r="M850">
        <v>4.8415571008674503</v>
      </c>
      <c r="N850">
        <v>0.89450172185430499</v>
      </c>
      <c r="O850">
        <v>0.91194339418818204</v>
      </c>
      <c r="P850">
        <v>1.0652189274447901</v>
      </c>
      <c r="Q850">
        <v>5.0230479732242497</v>
      </c>
      <c r="R850">
        <v>2.7002430962789199</v>
      </c>
      <c r="S850">
        <v>1.1331355704698001</v>
      </c>
      <c r="T850">
        <v>0</v>
      </c>
      <c r="U850">
        <v>1.10235831809872</v>
      </c>
      <c r="V850">
        <v>1.05063596764157</v>
      </c>
      <c r="W850">
        <v>5.1015923855567298</v>
      </c>
      <c r="X850">
        <v>2.9539371318597998</v>
      </c>
    </row>
    <row r="851" spans="1:24">
      <c r="A851">
        <v>2134</v>
      </c>
      <c r="B851" t="s">
        <v>2315</v>
      </c>
      <c r="C851">
        <v>2</v>
      </c>
      <c r="D851" t="s">
        <v>2316</v>
      </c>
      <c r="E851">
        <v>8</v>
      </c>
      <c r="F851">
        <v>8</v>
      </c>
      <c r="G851">
        <v>8</v>
      </c>
      <c r="H851" t="s">
        <v>2317</v>
      </c>
      <c r="I851">
        <v>23.1</v>
      </c>
      <c r="J851">
        <v>46.48</v>
      </c>
      <c r="K851" t="str">
        <f>"APMAP"</f>
        <v>APMAP</v>
      </c>
      <c r="L851" t="str">
        <f>"APMAP"</f>
        <v>APMAP</v>
      </c>
      <c r="M851">
        <v>1.2103892752168599</v>
      </c>
      <c r="N851">
        <v>3.57800688741722</v>
      </c>
      <c r="O851">
        <v>1.8238867883763601</v>
      </c>
      <c r="P851">
        <v>1.0652189274447901</v>
      </c>
      <c r="Q851">
        <v>1.25576199330606</v>
      </c>
      <c r="R851">
        <v>2.7002430962789199</v>
      </c>
      <c r="S851">
        <v>2.2662711409396001</v>
      </c>
      <c r="T851">
        <v>2.3689799354567098</v>
      </c>
      <c r="U851">
        <v>3.3070749542961599</v>
      </c>
      <c r="V851">
        <v>3.1519079029246999</v>
      </c>
      <c r="W851">
        <v>1.27539809638918</v>
      </c>
      <c r="X851">
        <v>4.92322855309967</v>
      </c>
    </row>
    <row r="852" spans="1:24">
      <c r="A852">
        <v>2296</v>
      </c>
      <c r="B852" t="s">
        <v>2318</v>
      </c>
      <c r="C852">
        <v>2</v>
      </c>
      <c r="D852" t="s">
        <v>2319</v>
      </c>
      <c r="E852">
        <v>10</v>
      </c>
      <c r="F852">
        <v>10</v>
      </c>
      <c r="G852">
        <v>10</v>
      </c>
      <c r="H852" t="s">
        <v>2320</v>
      </c>
      <c r="I852">
        <v>30.3</v>
      </c>
      <c r="J852">
        <v>42.945</v>
      </c>
      <c r="K852" t="str">
        <f>"PSMD13"</f>
        <v>PSMD13</v>
      </c>
      <c r="L852" t="str">
        <f>"PSMD13"</f>
        <v>PSMD13</v>
      </c>
      <c r="M852">
        <v>0</v>
      </c>
      <c r="N852">
        <v>1.78900344370861</v>
      </c>
      <c r="O852">
        <v>2.7358301825645501</v>
      </c>
      <c r="P852">
        <v>1.0652189274447901</v>
      </c>
      <c r="Q852">
        <v>0</v>
      </c>
      <c r="R852">
        <v>2.7002430962789199</v>
      </c>
      <c r="S852">
        <v>2.2662711409396001</v>
      </c>
      <c r="T852">
        <v>1.18448996772836</v>
      </c>
      <c r="U852">
        <v>2.20471663619744</v>
      </c>
      <c r="V852">
        <v>2.1012719352831399</v>
      </c>
      <c r="W852">
        <v>3.82619428916755</v>
      </c>
      <c r="X852">
        <v>3.9385828424797298</v>
      </c>
    </row>
    <row r="853" spans="1:24">
      <c r="A853">
        <v>104</v>
      </c>
      <c r="B853" t="s">
        <v>2321</v>
      </c>
      <c r="C853">
        <v>2</v>
      </c>
      <c r="D853" t="s">
        <v>2322</v>
      </c>
      <c r="E853">
        <v>9</v>
      </c>
      <c r="F853">
        <v>9</v>
      </c>
      <c r="G853">
        <v>9</v>
      </c>
      <c r="H853" t="s">
        <v>2323</v>
      </c>
      <c r="I853">
        <v>14.8</v>
      </c>
      <c r="J853">
        <v>76.375</v>
      </c>
      <c r="K853" t="str">
        <f>"HGS"</f>
        <v>HGS</v>
      </c>
      <c r="L853" t="str">
        <f>"HGS"</f>
        <v>HGS</v>
      </c>
      <c r="M853">
        <v>2.4207785504337198</v>
      </c>
      <c r="N853">
        <v>1.78900344370861</v>
      </c>
      <c r="O853">
        <v>2.7358301825645501</v>
      </c>
      <c r="P853">
        <v>2.1304378548895899</v>
      </c>
      <c r="Q853">
        <v>2.51152398661212</v>
      </c>
      <c r="R853">
        <v>0.90008103209297396</v>
      </c>
      <c r="S853">
        <v>1.1331355704698001</v>
      </c>
      <c r="T853">
        <v>1.18448996772836</v>
      </c>
      <c r="U853">
        <v>1.10235831809872</v>
      </c>
      <c r="V853">
        <v>3.1519079029246999</v>
      </c>
      <c r="W853">
        <v>2.5507961927783702</v>
      </c>
      <c r="X853">
        <v>2.9539371318597998</v>
      </c>
    </row>
    <row r="854" spans="1:24">
      <c r="A854">
        <v>587</v>
      </c>
      <c r="B854" t="s">
        <v>2324</v>
      </c>
      <c r="C854">
        <v>2</v>
      </c>
      <c r="D854" t="s">
        <v>2325</v>
      </c>
      <c r="E854">
        <v>7</v>
      </c>
      <c r="F854">
        <v>7</v>
      </c>
      <c r="G854">
        <v>7</v>
      </c>
      <c r="H854" t="s">
        <v>2326</v>
      </c>
      <c r="I854">
        <v>23.5</v>
      </c>
      <c r="J854">
        <v>35.881999999999998</v>
      </c>
      <c r="K854" t="str">
        <f>"ANXA4"</f>
        <v>ANXA4</v>
      </c>
      <c r="L854" t="str">
        <f>"ANXA4"</f>
        <v>ANXA4</v>
      </c>
      <c r="M854">
        <v>2.4207785504337198</v>
      </c>
      <c r="N854">
        <v>1.78900344370861</v>
      </c>
      <c r="O854">
        <v>3.64777357675273</v>
      </c>
      <c r="P854">
        <v>0</v>
      </c>
      <c r="Q854">
        <v>1.25576199330606</v>
      </c>
      <c r="R854">
        <v>4.5004051604648696</v>
      </c>
      <c r="S854">
        <v>1.1331355704698001</v>
      </c>
      <c r="T854">
        <v>0</v>
      </c>
      <c r="U854">
        <v>2.20471663619744</v>
      </c>
      <c r="V854">
        <v>2.1012719352831399</v>
      </c>
      <c r="W854">
        <v>2.5507961927783702</v>
      </c>
      <c r="X854">
        <v>2.9539371318597998</v>
      </c>
    </row>
    <row r="855" spans="1:24">
      <c r="A855">
        <v>768</v>
      </c>
      <c r="B855" t="s">
        <v>2327</v>
      </c>
      <c r="C855">
        <v>4</v>
      </c>
      <c r="D855" t="s">
        <v>2328</v>
      </c>
      <c r="E855">
        <v>13</v>
      </c>
      <c r="F855">
        <v>13</v>
      </c>
      <c r="G855">
        <v>13</v>
      </c>
      <c r="H855" t="s">
        <v>2329</v>
      </c>
      <c r="I855">
        <v>19.2</v>
      </c>
      <c r="J855">
        <v>100.4</v>
      </c>
      <c r="K855" t="str">
        <f>"RASA1"</f>
        <v>RASA1</v>
      </c>
      <c r="L855" t="str">
        <f>"RASA1"</f>
        <v>RASA1</v>
      </c>
      <c r="M855">
        <v>0</v>
      </c>
      <c r="N855">
        <v>1.78900344370861</v>
      </c>
      <c r="O855">
        <v>2.7358301825645501</v>
      </c>
      <c r="P855">
        <v>2.1304378548895899</v>
      </c>
      <c r="Q855">
        <v>0</v>
      </c>
      <c r="R855">
        <v>2.7002430962789199</v>
      </c>
      <c r="S855">
        <v>2.2662711409396001</v>
      </c>
      <c r="T855">
        <v>1.18448996772836</v>
      </c>
      <c r="U855">
        <v>1.10235831809872</v>
      </c>
      <c r="V855">
        <v>1.05063596764157</v>
      </c>
      <c r="W855">
        <v>1.27539809638918</v>
      </c>
      <c r="X855">
        <v>5.9078742637195996</v>
      </c>
    </row>
    <row r="856" spans="1:24">
      <c r="A856">
        <v>1516</v>
      </c>
      <c r="B856" t="s">
        <v>2330</v>
      </c>
      <c r="C856">
        <v>1</v>
      </c>
      <c r="D856" t="s">
        <v>2331</v>
      </c>
      <c r="E856">
        <v>16</v>
      </c>
      <c r="F856">
        <v>16</v>
      </c>
      <c r="G856">
        <v>16</v>
      </c>
      <c r="H856" t="s">
        <v>2330</v>
      </c>
      <c r="I856">
        <v>23.7</v>
      </c>
      <c r="J856">
        <v>99.325999999999993</v>
      </c>
      <c r="K856" t="str">
        <f>"MVP"</f>
        <v>MVP</v>
      </c>
      <c r="L856" t="str">
        <f>"MVP"</f>
        <v>MVP</v>
      </c>
      <c r="M856">
        <v>0</v>
      </c>
      <c r="N856">
        <v>1.78900344370861</v>
      </c>
      <c r="O856">
        <v>2.7358301825645501</v>
      </c>
      <c r="P856">
        <v>0</v>
      </c>
      <c r="Q856">
        <v>1.25576199330606</v>
      </c>
      <c r="R856">
        <v>5.4004861925578398</v>
      </c>
      <c r="S856">
        <v>1.1331355704698001</v>
      </c>
      <c r="T856">
        <v>1.18448996772836</v>
      </c>
      <c r="U856">
        <v>1.10235831809872</v>
      </c>
      <c r="V856">
        <v>0</v>
      </c>
      <c r="W856">
        <v>0</v>
      </c>
      <c r="X856">
        <v>0</v>
      </c>
    </row>
    <row r="857" spans="1:24">
      <c r="A857">
        <v>1565</v>
      </c>
      <c r="B857" t="s">
        <v>2332</v>
      </c>
      <c r="C857">
        <v>2</v>
      </c>
      <c r="D857" t="s">
        <v>2333</v>
      </c>
      <c r="E857">
        <v>5</v>
      </c>
      <c r="F857">
        <v>5</v>
      </c>
      <c r="G857">
        <v>5</v>
      </c>
      <c r="H857" t="s">
        <v>2334</v>
      </c>
      <c r="I857">
        <v>33.299999999999997</v>
      </c>
      <c r="J857">
        <v>26.183</v>
      </c>
      <c r="K857" t="str">
        <f>"TSN"</f>
        <v>TSN</v>
      </c>
      <c r="L857" t="str">
        <f>"TSN"</f>
        <v>TSN</v>
      </c>
      <c r="M857">
        <v>1.2103892752168599</v>
      </c>
      <c r="N857">
        <v>2.6835051655629099</v>
      </c>
      <c r="O857">
        <v>2.7358301825645501</v>
      </c>
      <c r="P857">
        <v>2.1304378548895899</v>
      </c>
      <c r="Q857">
        <v>0</v>
      </c>
      <c r="R857">
        <v>1.8001620641859499</v>
      </c>
      <c r="S857">
        <v>1.1331355704698001</v>
      </c>
      <c r="T857">
        <v>0</v>
      </c>
      <c r="U857">
        <v>4.4094332723948799</v>
      </c>
      <c r="V857">
        <v>2.1012719352831399</v>
      </c>
      <c r="W857">
        <v>2.5507961927783702</v>
      </c>
      <c r="X857">
        <v>0.984645710619934</v>
      </c>
    </row>
    <row r="858" spans="1:24">
      <c r="A858">
        <v>2300</v>
      </c>
      <c r="B858" t="s">
        <v>2335</v>
      </c>
      <c r="C858">
        <v>7</v>
      </c>
      <c r="D858" t="s">
        <v>2336</v>
      </c>
      <c r="E858">
        <v>26</v>
      </c>
      <c r="F858">
        <v>25</v>
      </c>
      <c r="G858">
        <v>24</v>
      </c>
      <c r="H858" t="s">
        <v>2337</v>
      </c>
      <c r="I858">
        <v>4.0999999999999996</v>
      </c>
      <c r="J858">
        <v>838.3</v>
      </c>
      <c r="K858" t="str">
        <f>"MACF1;AXIN1"</f>
        <v>MACF1;AXIN1</v>
      </c>
      <c r="L858" t="str">
        <f>"MACF1;AXIN1"</f>
        <v>MACF1;AXIN1</v>
      </c>
      <c r="M858">
        <v>3.6311678256505799</v>
      </c>
      <c r="N858">
        <v>2.6835051655629099</v>
      </c>
      <c r="O858">
        <v>4.5597169709409098</v>
      </c>
      <c r="P858">
        <v>1.0652189274447901</v>
      </c>
      <c r="Q858">
        <v>0</v>
      </c>
      <c r="R858">
        <v>4.5004051604648696</v>
      </c>
      <c r="S858">
        <v>2.2662711409396001</v>
      </c>
      <c r="T858">
        <v>1.18448996772836</v>
      </c>
      <c r="U858">
        <v>0</v>
      </c>
      <c r="V858">
        <v>1.05063596764157</v>
      </c>
      <c r="W858">
        <v>0</v>
      </c>
      <c r="X858">
        <v>0.984645710619934</v>
      </c>
    </row>
    <row r="859" spans="1:24">
      <c r="A859">
        <v>2341</v>
      </c>
      <c r="B859" t="s">
        <v>2338</v>
      </c>
      <c r="C859">
        <v>1</v>
      </c>
      <c r="D859" t="s">
        <v>2339</v>
      </c>
      <c r="E859">
        <v>8</v>
      </c>
      <c r="F859">
        <v>8</v>
      </c>
      <c r="G859">
        <v>8</v>
      </c>
      <c r="H859" t="s">
        <v>2338</v>
      </c>
      <c r="I859">
        <v>28.4</v>
      </c>
      <c r="J859">
        <v>28.763000000000002</v>
      </c>
      <c r="K859" t="str">
        <f>"SBDS"</f>
        <v>SBDS</v>
      </c>
      <c r="L859" t="str">
        <f>"SBDS"</f>
        <v>SBDS</v>
      </c>
      <c r="M859">
        <v>0</v>
      </c>
      <c r="N859">
        <v>2.6835051655629099</v>
      </c>
      <c r="O859">
        <v>3.64777357675273</v>
      </c>
      <c r="P859">
        <v>1.0652189274447901</v>
      </c>
      <c r="Q859">
        <v>0</v>
      </c>
      <c r="R859">
        <v>0.90008103209297396</v>
      </c>
      <c r="S859">
        <v>0</v>
      </c>
      <c r="T859">
        <v>1.18448996772836</v>
      </c>
      <c r="U859">
        <v>1.10235831809872</v>
      </c>
      <c r="V859">
        <v>3.1519079029246999</v>
      </c>
      <c r="W859">
        <v>1.27539809638918</v>
      </c>
      <c r="X859">
        <v>1.96929142123987</v>
      </c>
    </row>
    <row r="860" spans="1:24">
      <c r="A860">
        <v>128</v>
      </c>
      <c r="B860" t="s">
        <v>2340</v>
      </c>
      <c r="C860">
        <v>2</v>
      </c>
      <c r="D860" t="s">
        <v>2341</v>
      </c>
      <c r="E860">
        <v>16</v>
      </c>
      <c r="F860">
        <v>16</v>
      </c>
      <c r="G860">
        <v>16</v>
      </c>
      <c r="H860" t="s">
        <v>2342</v>
      </c>
      <c r="I860">
        <v>20.9</v>
      </c>
      <c r="J860">
        <v>104.74</v>
      </c>
      <c r="K860" t="str">
        <f>"INPP4B"</f>
        <v>INPP4B</v>
      </c>
      <c r="L860" t="str">
        <f>"INPP4B"</f>
        <v>INPP4B</v>
      </c>
      <c r="M860">
        <v>0</v>
      </c>
      <c r="N860">
        <v>1.78900344370861</v>
      </c>
      <c r="O860">
        <v>1.8238867883763601</v>
      </c>
      <c r="P860">
        <v>1.0652189274447901</v>
      </c>
      <c r="Q860">
        <v>1.25576199330606</v>
      </c>
      <c r="R860">
        <v>2.7002430962789199</v>
      </c>
      <c r="S860">
        <v>1.1331355704698001</v>
      </c>
      <c r="T860">
        <v>2.3689799354567098</v>
      </c>
      <c r="U860">
        <v>2.20471663619744</v>
      </c>
      <c r="V860">
        <v>2.1012719352831399</v>
      </c>
      <c r="W860">
        <v>0</v>
      </c>
      <c r="X860">
        <v>0.984645710619934</v>
      </c>
    </row>
    <row r="861" spans="1:24">
      <c r="A861">
        <v>362</v>
      </c>
      <c r="B861" t="s">
        <v>2343</v>
      </c>
      <c r="C861">
        <v>1</v>
      </c>
      <c r="D861" t="s">
        <v>2344</v>
      </c>
      <c r="E861">
        <v>1</v>
      </c>
      <c r="F861">
        <v>1</v>
      </c>
      <c r="G861">
        <v>1</v>
      </c>
      <c r="H861" t="s">
        <v>2343</v>
      </c>
      <c r="I861">
        <v>17.8</v>
      </c>
      <c r="J861">
        <v>11.516999999999999</v>
      </c>
      <c r="K861" t="s">
        <v>2345</v>
      </c>
      <c r="L861" t="s">
        <v>2345</v>
      </c>
      <c r="M861">
        <v>2.4207785504337198</v>
      </c>
      <c r="N861">
        <v>1.78900344370861</v>
      </c>
      <c r="O861">
        <v>1.8238867883763601</v>
      </c>
      <c r="P861">
        <v>4.2608757097791798</v>
      </c>
      <c r="Q861">
        <v>2.51152398661212</v>
      </c>
      <c r="R861">
        <v>1.8001620641859499</v>
      </c>
      <c r="S861">
        <v>2.2662711409396001</v>
      </c>
      <c r="T861">
        <v>2.3689799354567098</v>
      </c>
      <c r="U861">
        <v>2.20471663619744</v>
      </c>
      <c r="V861">
        <v>2.1012719352831399</v>
      </c>
      <c r="W861">
        <v>2.5507961927783702</v>
      </c>
      <c r="X861">
        <v>1.96929142123987</v>
      </c>
    </row>
    <row r="862" spans="1:24">
      <c r="A862">
        <v>610</v>
      </c>
      <c r="B862" t="s">
        <v>2346</v>
      </c>
      <c r="C862">
        <v>1</v>
      </c>
      <c r="D862" t="s">
        <v>2347</v>
      </c>
      <c r="E862">
        <v>26</v>
      </c>
      <c r="F862">
        <v>4</v>
      </c>
      <c r="G862">
        <v>0</v>
      </c>
      <c r="H862" t="s">
        <v>2346</v>
      </c>
      <c r="I862">
        <v>64.7</v>
      </c>
      <c r="J862">
        <v>40.975999999999999</v>
      </c>
      <c r="K862" t="str">
        <f>"HLA-A"</f>
        <v>HLA-A</v>
      </c>
      <c r="L862" t="str">
        <f>"HLA-A"</f>
        <v>HLA-A</v>
      </c>
      <c r="M862">
        <v>3.6311678256505799</v>
      </c>
      <c r="N862">
        <v>3.57800688741722</v>
      </c>
      <c r="O862">
        <v>0.91194339418818204</v>
      </c>
      <c r="P862">
        <v>0</v>
      </c>
      <c r="Q862">
        <v>2.51152398661212</v>
      </c>
      <c r="R862">
        <v>2.7002430962789199</v>
      </c>
      <c r="S862">
        <v>2.2662711409396001</v>
      </c>
      <c r="T862">
        <v>2.3689799354567098</v>
      </c>
      <c r="U862">
        <v>2.20471663619744</v>
      </c>
      <c r="V862">
        <v>1.05063596764157</v>
      </c>
      <c r="W862">
        <v>1.27539809638918</v>
      </c>
      <c r="X862">
        <v>1.96929142123987</v>
      </c>
    </row>
    <row r="863" spans="1:24">
      <c r="A863">
        <v>647</v>
      </c>
      <c r="B863" t="s">
        <v>2348</v>
      </c>
      <c r="C863">
        <v>6</v>
      </c>
      <c r="D863" t="s">
        <v>2349</v>
      </c>
      <c r="E863">
        <v>14</v>
      </c>
      <c r="F863">
        <v>14</v>
      </c>
      <c r="G863">
        <v>14</v>
      </c>
      <c r="H863" t="s">
        <v>2350</v>
      </c>
      <c r="I863">
        <v>31.5</v>
      </c>
      <c r="J863">
        <v>54.845999999999997</v>
      </c>
      <c r="K863" t="str">
        <f>"HARS;HARS2"</f>
        <v>HARS;HARS2</v>
      </c>
      <c r="L863" t="str">
        <f>"HARS;HARS2"</f>
        <v>HARS;HARS2</v>
      </c>
      <c r="M863">
        <v>1.2103892752168599</v>
      </c>
      <c r="N863">
        <v>4.4725086092715198</v>
      </c>
      <c r="O863">
        <v>5.4716603651290896</v>
      </c>
      <c r="P863">
        <v>0</v>
      </c>
      <c r="Q863">
        <v>0</v>
      </c>
      <c r="R863">
        <v>2.7002430962789199</v>
      </c>
      <c r="S863">
        <v>1.1331355704698001</v>
      </c>
      <c r="T863">
        <v>0</v>
      </c>
      <c r="U863">
        <v>1.10235831809872</v>
      </c>
      <c r="V863">
        <v>2.1012719352831399</v>
      </c>
      <c r="W863">
        <v>2.5507961927783702</v>
      </c>
      <c r="X863">
        <v>1.96929142123987</v>
      </c>
    </row>
    <row r="864" spans="1:24">
      <c r="A864">
        <v>1059</v>
      </c>
      <c r="B864" t="s">
        <v>2351</v>
      </c>
      <c r="C864">
        <v>2</v>
      </c>
      <c r="D864" t="s">
        <v>2352</v>
      </c>
      <c r="E864">
        <v>14</v>
      </c>
      <c r="F864">
        <v>14</v>
      </c>
      <c r="G864">
        <v>14</v>
      </c>
      <c r="H864" t="s">
        <v>2353</v>
      </c>
      <c r="I864">
        <v>20.5</v>
      </c>
      <c r="J864">
        <v>87.798000000000002</v>
      </c>
      <c r="K864" t="str">
        <f>"QARS"</f>
        <v>QARS</v>
      </c>
      <c r="L864" t="str">
        <f>"QARS"</f>
        <v>QARS</v>
      </c>
      <c r="M864">
        <v>1.2103892752168599</v>
      </c>
      <c r="N864">
        <v>3.57800688741722</v>
      </c>
      <c r="O864">
        <v>3.64777357675273</v>
      </c>
      <c r="P864">
        <v>2.1304378548895899</v>
      </c>
      <c r="Q864">
        <v>0</v>
      </c>
      <c r="R864">
        <v>2.7002430962789199</v>
      </c>
      <c r="S864">
        <v>1.1331355704698001</v>
      </c>
      <c r="T864">
        <v>0</v>
      </c>
      <c r="U864">
        <v>2.20471663619744</v>
      </c>
      <c r="V864">
        <v>2.1012719352831399</v>
      </c>
      <c r="W864">
        <v>2.5507961927783702</v>
      </c>
      <c r="X864">
        <v>1.96929142123987</v>
      </c>
    </row>
    <row r="865" spans="1:24">
      <c r="A865">
        <v>1186</v>
      </c>
      <c r="B865" t="s">
        <v>2354</v>
      </c>
      <c r="C865">
        <v>4</v>
      </c>
      <c r="D865" t="s">
        <v>2355</v>
      </c>
      <c r="E865">
        <v>11</v>
      </c>
      <c r="F865">
        <v>11</v>
      </c>
      <c r="G865">
        <v>11</v>
      </c>
      <c r="H865" t="s">
        <v>2356</v>
      </c>
      <c r="I865">
        <v>15.1</v>
      </c>
      <c r="J865">
        <v>107.78</v>
      </c>
      <c r="K865" t="str">
        <f>"CSE1L"</f>
        <v>CSE1L</v>
      </c>
      <c r="L865" t="str">
        <f>"CSE1L"</f>
        <v>CSE1L</v>
      </c>
      <c r="M865">
        <v>1.2103892752168599</v>
      </c>
      <c r="N865">
        <v>2.6835051655629099</v>
      </c>
      <c r="O865">
        <v>2.7358301825645501</v>
      </c>
      <c r="P865">
        <v>2.1304378548895899</v>
      </c>
      <c r="Q865">
        <v>0</v>
      </c>
      <c r="R865">
        <v>2.7002430962789199</v>
      </c>
      <c r="S865">
        <v>2.2662711409396001</v>
      </c>
      <c r="T865">
        <v>0</v>
      </c>
      <c r="U865">
        <v>3.3070749542961599</v>
      </c>
      <c r="V865">
        <v>3.1519079029246999</v>
      </c>
      <c r="W865">
        <v>2.5507961927783702</v>
      </c>
      <c r="X865">
        <v>2.9539371318597998</v>
      </c>
    </row>
    <row r="866" spans="1:24">
      <c r="A866">
        <v>1233</v>
      </c>
      <c r="B866" t="s">
        <v>2357</v>
      </c>
      <c r="C866">
        <v>3</v>
      </c>
      <c r="D866" t="s">
        <v>2358</v>
      </c>
      <c r="E866">
        <v>8</v>
      </c>
      <c r="F866">
        <v>8</v>
      </c>
      <c r="G866">
        <v>8</v>
      </c>
      <c r="H866" t="s">
        <v>2359</v>
      </c>
      <c r="I866">
        <v>41</v>
      </c>
      <c r="J866">
        <v>22.405999999999999</v>
      </c>
      <c r="K866" t="str">
        <f>"UBE2K"</f>
        <v>UBE2K</v>
      </c>
      <c r="L866" t="str">
        <f>"UBE2K"</f>
        <v>UBE2K</v>
      </c>
      <c r="M866">
        <v>0</v>
      </c>
      <c r="N866">
        <v>1.78900344370861</v>
      </c>
      <c r="O866">
        <v>2.7358301825645501</v>
      </c>
      <c r="P866">
        <v>1.0652189274447901</v>
      </c>
      <c r="Q866">
        <v>1.25576199330606</v>
      </c>
      <c r="R866">
        <v>2.7002430962789199</v>
      </c>
      <c r="S866">
        <v>1.1331355704698001</v>
      </c>
      <c r="T866">
        <v>2.3689799354567098</v>
      </c>
      <c r="U866">
        <v>1.10235831809872</v>
      </c>
      <c r="V866">
        <v>1.05063596764157</v>
      </c>
      <c r="W866">
        <v>2.5507961927783702</v>
      </c>
      <c r="X866">
        <v>1.96929142123987</v>
      </c>
    </row>
    <row r="867" spans="1:24">
      <c r="A867">
        <v>1363</v>
      </c>
      <c r="B867" t="s">
        <v>2360</v>
      </c>
      <c r="C867">
        <v>1</v>
      </c>
      <c r="D867" t="s">
        <v>2361</v>
      </c>
      <c r="E867">
        <v>13</v>
      </c>
      <c r="F867">
        <v>13</v>
      </c>
      <c r="G867">
        <v>13</v>
      </c>
      <c r="H867" t="s">
        <v>2360</v>
      </c>
      <c r="I867">
        <v>19.7</v>
      </c>
      <c r="J867">
        <v>80.472999999999999</v>
      </c>
      <c r="K867" t="str">
        <f>"GBE1"</f>
        <v>GBE1</v>
      </c>
      <c r="L867" t="str">
        <f>"GBE1"</f>
        <v>GBE1</v>
      </c>
      <c r="M867">
        <v>1.2103892752168599</v>
      </c>
      <c r="N867">
        <v>2.6835051655629099</v>
      </c>
      <c r="O867">
        <v>2.7358301825645501</v>
      </c>
      <c r="P867">
        <v>1.0652189274447901</v>
      </c>
      <c r="Q867">
        <v>1.25576199330606</v>
      </c>
      <c r="R867">
        <v>2.7002430962789199</v>
      </c>
      <c r="S867">
        <v>0</v>
      </c>
      <c r="T867">
        <v>0</v>
      </c>
      <c r="U867">
        <v>1.10235831809872</v>
      </c>
      <c r="V867">
        <v>2.1012719352831399</v>
      </c>
      <c r="W867">
        <v>1.27539809638918</v>
      </c>
      <c r="X867">
        <v>1.96929142123987</v>
      </c>
    </row>
    <row r="868" spans="1:24">
      <c r="A868">
        <v>1713</v>
      </c>
      <c r="B868" t="s">
        <v>2362</v>
      </c>
      <c r="C868">
        <v>4</v>
      </c>
      <c r="D868" t="s">
        <v>2363</v>
      </c>
      <c r="E868">
        <v>4</v>
      </c>
      <c r="F868">
        <v>4</v>
      </c>
      <c r="G868">
        <v>3</v>
      </c>
      <c r="H868" t="s">
        <v>2364</v>
      </c>
      <c r="I868">
        <v>10.199999999999999</v>
      </c>
      <c r="J868">
        <v>40.537999999999997</v>
      </c>
      <c r="K868" t="str">
        <f>"BZW1"</f>
        <v>BZW1</v>
      </c>
      <c r="L868" t="str">
        <f>"BZW1"</f>
        <v>BZW1</v>
      </c>
      <c r="M868">
        <v>0</v>
      </c>
      <c r="N868">
        <v>1.78900344370861</v>
      </c>
      <c r="O868">
        <v>2.7358301825645501</v>
      </c>
      <c r="P868">
        <v>2.1304378548895899</v>
      </c>
      <c r="Q868">
        <v>1.25576199330606</v>
      </c>
      <c r="R868">
        <v>3.6003241283718901</v>
      </c>
      <c r="S868">
        <v>1.1331355704698001</v>
      </c>
      <c r="T868">
        <v>1.18448996772836</v>
      </c>
      <c r="U868">
        <v>1.10235831809872</v>
      </c>
      <c r="V868">
        <v>2.1012719352831399</v>
      </c>
      <c r="W868">
        <v>1.27539809638918</v>
      </c>
      <c r="X868">
        <v>2.9539371318597998</v>
      </c>
    </row>
    <row r="869" spans="1:24">
      <c r="A869">
        <v>2313</v>
      </c>
      <c r="B869" t="s">
        <v>2365</v>
      </c>
      <c r="C869">
        <v>2</v>
      </c>
      <c r="D869" t="s">
        <v>2366</v>
      </c>
      <c r="E869">
        <v>6</v>
      </c>
      <c r="F869">
        <v>6</v>
      </c>
      <c r="G869">
        <v>6</v>
      </c>
      <c r="H869" t="s">
        <v>2367</v>
      </c>
      <c r="I869">
        <v>11.8</v>
      </c>
      <c r="J869">
        <v>61.012999999999998</v>
      </c>
      <c r="K869" t="str">
        <f>"EIF3L"</f>
        <v>EIF3L</v>
      </c>
      <c r="L869" t="str">
        <f>"EIF3L"</f>
        <v>EIF3L</v>
      </c>
      <c r="M869">
        <v>1.2103892752168599</v>
      </c>
      <c r="N869">
        <v>0.89450172185430499</v>
      </c>
      <c r="O869">
        <v>2.7358301825645501</v>
      </c>
      <c r="P869">
        <v>1.0652189274447901</v>
      </c>
      <c r="Q869">
        <v>1.25576199330606</v>
      </c>
      <c r="R869">
        <v>1.8001620641859499</v>
      </c>
      <c r="S869">
        <v>1.1331355704698001</v>
      </c>
      <c r="T869">
        <v>2.3689799354567098</v>
      </c>
      <c r="U869">
        <v>4.4094332723948799</v>
      </c>
      <c r="V869">
        <v>2.1012719352831399</v>
      </c>
      <c r="W869">
        <v>1.27539809638918</v>
      </c>
      <c r="X869">
        <v>1.96929142123987</v>
      </c>
    </row>
    <row r="870" spans="1:24">
      <c r="A870">
        <v>174</v>
      </c>
      <c r="B870" t="s">
        <v>2368</v>
      </c>
      <c r="C870">
        <v>2</v>
      </c>
      <c r="D870" t="s">
        <v>2369</v>
      </c>
      <c r="E870">
        <v>10</v>
      </c>
      <c r="F870">
        <v>10</v>
      </c>
      <c r="G870">
        <v>3</v>
      </c>
      <c r="H870" t="s">
        <v>2370</v>
      </c>
      <c r="I870">
        <v>24</v>
      </c>
      <c r="J870">
        <v>58.951000000000001</v>
      </c>
      <c r="K870" t="str">
        <f>"AHCYL1"</f>
        <v>AHCYL1</v>
      </c>
      <c r="L870" t="str">
        <f>"AHCYL1"</f>
        <v>AHCYL1</v>
      </c>
      <c r="M870">
        <v>2.4207785504337198</v>
      </c>
      <c r="N870">
        <v>1.78900344370861</v>
      </c>
      <c r="O870">
        <v>4.5597169709409098</v>
      </c>
      <c r="P870">
        <v>1.0652189274447901</v>
      </c>
      <c r="Q870">
        <v>2.51152398661212</v>
      </c>
      <c r="R870">
        <v>1.8001620641859499</v>
      </c>
      <c r="S870">
        <v>1.1331355704698001</v>
      </c>
      <c r="T870">
        <v>3.5534699031850701</v>
      </c>
      <c r="U870">
        <v>3.3070749542961599</v>
      </c>
      <c r="V870">
        <v>2.1012719352831399</v>
      </c>
      <c r="W870">
        <v>0</v>
      </c>
      <c r="X870">
        <v>2.9539371318597998</v>
      </c>
    </row>
    <row r="871" spans="1:24">
      <c r="A871">
        <v>401</v>
      </c>
      <c r="B871" t="s">
        <v>2371</v>
      </c>
      <c r="C871">
        <v>1</v>
      </c>
      <c r="D871" t="s">
        <v>2372</v>
      </c>
      <c r="E871">
        <v>5</v>
      </c>
      <c r="F871">
        <v>5</v>
      </c>
      <c r="G871">
        <v>5</v>
      </c>
      <c r="H871" t="s">
        <v>2371</v>
      </c>
      <c r="I871">
        <v>37.299999999999997</v>
      </c>
      <c r="J871">
        <v>9.3317999999999994</v>
      </c>
      <c r="K871" t="str">
        <f>"APOC1"</f>
        <v>APOC1</v>
      </c>
      <c r="L871" t="str">
        <f>"APOC1"</f>
        <v>APOC1</v>
      </c>
      <c r="M871">
        <v>6.0519463760843104</v>
      </c>
      <c r="N871">
        <v>0</v>
      </c>
      <c r="O871">
        <v>1.8238867883763601</v>
      </c>
      <c r="P871">
        <v>1.0652189274447901</v>
      </c>
      <c r="Q871">
        <v>1.25576199330606</v>
      </c>
      <c r="R871">
        <v>0</v>
      </c>
      <c r="S871">
        <v>7.9319489932885903</v>
      </c>
      <c r="T871">
        <v>2.3689799354567098</v>
      </c>
      <c r="U871">
        <v>0</v>
      </c>
      <c r="V871">
        <v>3.1519079029246999</v>
      </c>
      <c r="W871">
        <v>0</v>
      </c>
      <c r="X871">
        <v>0</v>
      </c>
    </row>
    <row r="872" spans="1:24">
      <c r="A872">
        <v>835</v>
      </c>
      <c r="B872" t="s">
        <v>2373</v>
      </c>
      <c r="C872">
        <v>1</v>
      </c>
      <c r="D872" t="s">
        <v>2374</v>
      </c>
      <c r="E872">
        <v>6</v>
      </c>
      <c r="F872">
        <v>6</v>
      </c>
      <c r="G872">
        <v>6</v>
      </c>
      <c r="H872" t="s">
        <v>2373</v>
      </c>
      <c r="I872">
        <v>45.5</v>
      </c>
      <c r="J872">
        <v>11.728</v>
      </c>
      <c r="K872" t="str">
        <f>"S100A4"</f>
        <v>S100A4</v>
      </c>
      <c r="L872" t="str">
        <f>"S100A4"</f>
        <v>S100A4</v>
      </c>
      <c r="M872">
        <v>1.2103892752168599</v>
      </c>
      <c r="N872">
        <v>1.78900344370861</v>
      </c>
      <c r="O872">
        <v>1.8238867883763601</v>
      </c>
      <c r="P872">
        <v>1.0652189274447901</v>
      </c>
      <c r="Q872">
        <v>2.51152398661212</v>
      </c>
      <c r="R872">
        <v>0.90008103209297396</v>
      </c>
      <c r="S872">
        <v>2.2662711409396001</v>
      </c>
      <c r="T872">
        <v>2.3689799354567098</v>
      </c>
      <c r="U872">
        <v>3.3070749542961599</v>
      </c>
      <c r="V872">
        <v>5.2531798382078403</v>
      </c>
      <c r="W872">
        <v>0</v>
      </c>
      <c r="X872">
        <v>1.96929142123987</v>
      </c>
    </row>
    <row r="873" spans="1:24">
      <c r="A873">
        <v>1968</v>
      </c>
      <c r="B873" t="s">
        <v>2375</v>
      </c>
      <c r="C873">
        <v>4</v>
      </c>
      <c r="D873" t="s">
        <v>2376</v>
      </c>
      <c r="E873">
        <v>17</v>
      </c>
      <c r="F873">
        <v>17</v>
      </c>
      <c r="G873">
        <v>17</v>
      </c>
      <c r="H873" t="s">
        <v>2377</v>
      </c>
      <c r="I873">
        <v>7.3</v>
      </c>
      <c r="J873">
        <v>347.67</v>
      </c>
      <c r="K873" t="str">
        <f>"VPS13A"</f>
        <v>VPS13A</v>
      </c>
      <c r="L873" t="str">
        <f>"VPS13A"</f>
        <v>VPS13A</v>
      </c>
      <c r="M873">
        <v>0</v>
      </c>
      <c r="N873">
        <v>7.1560137748344399</v>
      </c>
      <c r="O873">
        <v>1.8238867883763601</v>
      </c>
      <c r="P873">
        <v>0</v>
      </c>
      <c r="Q873">
        <v>0</v>
      </c>
      <c r="R873">
        <v>1.8001620641859499</v>
      </c>
      <c r="S873">
        <v>1.1331355704698001</v>
      </c>
      <c r="T873">
        <v>0</v>
      </c>
      <c r="U873">
        <v>5.5117915904936003</v>
      </c>
      <c r="V873">
        <v>2.1012719352831399</v>
      </c>
      <c r="W873">
        <v>2.5507961927783702</v>
      </c>
      <c r="X873">
        <v>3.9385828424797298</v>
      </c>
    </row>
    <row r="874" spans="1:24">
      <c r="A874">
        <v>496</v>
      </c>
      <c r="B874" t="s">
        <v>2378</v>
      </c>
      <c r="C874">
        <v>3</v>
      </c>
      <c r="D874" t="s">
        <v>2379</v>
      </c>
      <c r="E874">
        <v>15</v>
      </c>
      <c r="F874">
        <v>8</v>
      </c>
      <c r="G874">
        <v>8</v>
      </c>
      <c r="H874" t="s">
        <v>2380</v>
      </c>
      <c r="I874">
        <v>30.5</v>
      </c>
      <c r="J874">
        <v>60.14</v>
      </c>
      <c r="K874" t="str">
        <f>"FYN"</f>
        <v>FYN</v>
      </c>
      <c r="L874" t="str">
        <f>"FYN"</f>
        <v>FYN</v>
      </c>
      <c r="M874">
        <v>1.2103892752168599</v>
      </c>
      <c r="N874">
        <v>1.78900344370861</v>
      </c>
      <c r="O874">
        <v>1.8238867883763601</v>
      </c>
      <c r="P874">
        <v>2.1304378548895899</v>
      </c>
      <c r="Q874">
        <v>2.51152398661212</v>
      </c>
      <c r="R874">
        <v>3.6003241283718901</v>
      </c>
      <c r="S874">
        <v>1.1331355704698001</v>
      </c>
      <c r="T874">
        <v>1.18448996772836</v>
      </c>
      <c r="U874">
        <v>2.20471663619744</v>
      </c>
      <c r="V874">
        <v>2.1012719352831399</v>
      </c>
      <c r="W874">
        <v>2.5507961927783702</v>
      </c>
      <c r="X874">
        <v>2.9539371318597998</v>
      </c>
    </row>
    <row r="875" spans="1:24">
      <c r="A875">
        <v>762</v>
      </c>
      <c r="B875" t="s">
        <v>2381</v>
      </c>
      <c r="C875">
        <v>1</v>
      </c>
      <c r="D875" t="s">
        <v>2382</v>
      </c>
      <c r="E875">
        <v>8</v>
      </c>
      <c r="F875">
        <v>8</v>
      </c>
      <c r="G875">
        <v>8</v>
      </c>
      <c r="H875" t="s">
        <v>2381</v>
      </c>
      <c r="I875">
        <v>44.4</v>
      </c>
      <c r="J875">
        <v>26.489000000000001</v>
      </c>
      <c r="K875" t="str">
        <f>"PSMB1"</f>
        <v>PSMB1</v>
      </c>
      <c r="L875" t="str">
        <f>"PSMB1"</f>
        <v>PSMB1</v>
      </c>
      <c r="M875">
        <v>1.2103892752168599</v>
      </c>
      <c r="N875">
        <v>0.89450172185430499</v>
      </c>
      <c r="O875">
        <v>2.7358301825645501</v>
      </c>
      <c r="P875">
        <v>1.0652189274447901</v>
      </c>
      <c r="Q875">
        <v>1.25576199330606</v>
      </c>
      <c r="R875">
        <v>1.8001620641859499</v>
      </c>
      <c r="S875">
        <v>0</v>
      </c>
      <c r="T875">
        <v>0</v>
      </c>
      <c r="U875">
        <v>5.5117915904936003</v>
      </c>
      <c r="V875">
        <v>1.05063596764157</v>
      </c>
      <c r="W875">
        <v>1.27539809638918</v>
      </c>
      <c r="X875">
        <v>5.9078742637195996</v>
      </c>
    </row>
    <row r="876" spans="1:24">
      <c r="A876">
        <v>796</v>
      </c>
      <c r="B876" t="s">
        <v>2383</v>
      </c>
      <c r="C876">
        <v>1</v>
      </c>
      <c r="D876" t="s">
        <v>2384</v>
      </c>
      <c r="E876">
        <v>6</v>
      </c>
      <c r="F876">
        <v>6</v>
      </c>
      <c r="G876">
        <v>5</v>
      </c>
      <c r="H876" t="s">
        <v>2383</v>
      </c>
      <c r="I876">
        <v>64.099999999999994</v>
      </c>
      <c r="J876">
        <v>13.009</v>
      </c>
      <c r="K876" t="s">
        <v>2385</v>
      </c>
      <c r="L876" t="s">
        <v>2385</v>
      </c>
      <c r="M876">
        <v>4.8415571008674503</v>
      </c>
      <c r="N876">
        <v>2.6835051655629099</v>
      </c>
      <c r="O876">
        <v>0.91194339418818204</v>
      </c>
      <c r="P876">
        <v>3.19565678233438</v>
      </c>
      <c r="Q876">
        <v>3.7672859799181899</v>
      </c>
      <c r="R876">
        <v>0</v>
      </c>
      <c r="S876">
        <v>0</v>
      </c>
      <c r="T876">
        <v>4.7379598709134303</v>
      </c>
      <c r="U876">
        <v>1.10235831809872</v>
      </c>
      <c r="V876">
        <v>1.05063596764157</v>
      </c>
      <c r="W876">
        <v>0</v>
      </c>
      <c r="X876">
        <v>0</v>
      </c>
    </row>
    <row r="877" spans="1:24">
      <c r="A877">
        <v>1077</v>
      </c>
      <c r="B877" t="s">
        <v>2386</v>
      </c>
      <c r="C877">
        <v>4</v>
      </c>
      <c r="D877" t="s">
        <v>2387</v>
      </c>
      <c r="E877">
        <v>10</v>
      </c>
      <c r="F877">
        <v>10</v>
      </c>
      <c r="G877">
        <v>10</v>
      </c>
      <c r="H877" t="s">
        <v>2388</v>
      </c>
      <c r="I877">
        <v>42.8</v>
      </c>
      <c r="J877">
        <v>31.54</v>
      </c>
      <c r="K877" t="str">
        <f>"PITPNB;PITPNA"</f>
        <v>PITPNB;PITPNA</v>
      </c>
      <c r="L877" t="str">
        <f>"PITPNB;PITPNA"</f>
        <v>PITPNB;PITPNA</v>
      </c>
      <c r="M877">
        <v>1.2103892752168599</v>
      </c>
      <c r="N877">
        <v>3.57800688741722</v>
      </c>
      <c r="O877">
        <v>2.7358301825645501</v>
      </c>
      <c r="P877">
        <v>0</v>
      </c>
      <c r="Q877">
        <v>2.51152398661212</v>
      </c>
      <c r="R877">
        <v>2.7002430962789199</v>
      </c>
      <c r="S877">
        <v>4.5325422818791896</v>
      </c>
      <c r="T877">
        <v>1.18448996772836</v>
      </c>
      <c r="U877">
        <v>4.4094332723948799</v>
      </c>
      <c r="V877">
        <v>0</v>
      </c>
      <c r="W877">
        <v>2.5507961927783702</v>
      </c>
      <c r="X877">
        <v>1.96929142123987</v>
      </c>
    </row>
    <row r="878" spans="1:24">
      <c r="A878">
        <v>1648</v>
      </c>
      <c r="B878" t="s">
        <v>2389</v>
      </c>
      <c r="C878">
        <v>4</v>
      </c>
      <c r="D878" t="s">
        <v>2390</v>
      </c>
      <c r="E878">
        <v>10</v>
      </c>
      <c r="F878">
        <v>10</v>
      </c>
      <c r="G878">
        <v>10</v>
      </c>
      <c r="H878" t="s">
        <v>2391</v>
      </c>
      <c r="I878">
        <v>12.1</v>
      </c>
      <c r="J878">
        <v>123.49</v>
      </c>
      <c r="K878" t="str">
        <f>"STXBP5;STXBP5L"</f>
        <v>STXBP5;STXBP5L</v>
      </c>
      <c r="L878" t="str">
        <f>"STXBP5;STXBP5L"</f>
        <v>STXBP5;STXBP5L</v>
      </c>
      <c r="M878">
        <v>1.2103892752168599</v>
      </c>
      <c r="N878">
        <v>3.57800688741722</v>
      </c>
      <c r="O878">
        <v>1.8238867883763601</v>
      </c>
      <c r="P878">
        <v>3.19565678233438</v>
      </c>
      <c r="Q878">
        <v>2.51152398661212</v>
      </c>
      <c r="R878">
        <v>0.90008103209297396</v>
      </c>
      <c r="S878">
        <v>2.2662711409396001</v>
      </c>
      <c r="T878">
        <v>0</v>
      </c>
      <c r="U878">
        <v>0</v>
      </c>
      <c r="V878">
        <v>1.05063596764157</v>
      </c>
      <c r="W878">
        <v>1.27539809638918</v>
      </c>
      <c r="X878">
        <v>0.984645710619934</v>
      </c>
    </row>
    <row r="879" spans="1:24">
      <c r="A879">
        <v>1663</v>
      </c>
      <c r="B879" t="s">
        <v>2392</v>
      </c>
      <c r="C879">
        <v>7</v>
      </c>
      <c r="D879" t="s">
        <v>2393</v>
      </c>
      <c r="E879">
        <v>12</v>
      </c>
      <c r="F879">
        <v>12</v>
      </c>
      <c r="G879">
        <v>12</v>
      </c>
      <c r="H879" t="s">
        <v>2394</v>
      </c>
      <c r="I879">
        <v>18</v>
      </c>
      <c r="J879">
        <v>78.379000000000005</v>
      </c>
      <c r="K879" t="str">
        <f>"RAP1GAP2;RAP1GAP"</f>
        <v>RAP1GAP2;RAP1GAP</v>
      </c>
      <c r="L879" t="str">
        <f>"RAP1GAP2;RAP1GAP"</f>
        <v>RAP1GAP2;RAP1GAP</v>
      </c>
      <c r="M879">
        <v>0</v>
      </c>
      <c r="N879">
        <v>1.78900344370861</v>
      </c>
      <c r="O879">
        <v>2.7358301825645501</v>
      </c>
      <c r="P879">
        <v>2.1304378548895899</v>
      </c>
      <c r="Q879">
        <v>1.25576199330606</v>
      </c>
      <c r="R879">
        <v>0.90008103209297396</v>
      </c>
      <c r="S879">
        <v>5.6656778523489901</v>
      </c>
      <c r="T879">
        <v>1.18448996772836</v>
      </c>
      <c r="U879">
        <v>4.4094332723948799</v>
      </c>
      <c r="V879">
        <v>0</v>
      </c>
      <c r="W879">
        <v>1.27539809638918</v>
      </c>
      <c r="X879">
        <v>2.9539371318597998</v>
      </c>
    </row>
    <row r="880" spans="1:24">
      <c r="A880">
        <v>2347</v>
      </c>
      <c r="B880" t="s">
        <v>2395</v>
      </c>
      <c r="C880">
        <v>1</v>
      </c>
      <c r="D880" t="s">
        <v>2396</v>
      </c>
      <c r="E880">
        <v>7</v>
      </c>
      <c r="F880">
        <v>7</v>
      </c>
      <c r="G880">
        <v>7</v>
      </c>
      <c r="H880" t="s">
        <v>2395</v>
      </c>
      <c r="I880">
        <v>22.4</v>
      </c>
      <c r="J880">
        <v>55.21</v>
      </c>
      <c r="K880" t="str">
        <f>"RTCB"</f>
        <v>RTCB</v>
      </c>
      <c r="L880" t="str">
        <f>"RTCB"</f>
        <v>RTCB</v>
      </c>
      <c r="M880">
        <v>0</v>
      </c>
      <c r="N880">
        <v>2.6835051655629099</v>
      </c>
      <c r="O880">
        <v>2.7358301825645501</v>
      </c>
      <c r="P880">
        <v>1.0652189274447901</v>
      </c>
      <c r="Q880">
        <v>0</v>
      </c>
      <c r="R880">
        <v>1.8001620641859499</v>
      </c>
      <c r="S880">
        <v>2.2662711409396001</v>
      </c>
      <c r="T880">
        <v>0</v>
      </c>
      <c r="U880">
        <v>0</v>
      </c>
      <c r="V880">
        <v>3.1519079029246999</v>
      </c>
      <c r="W880">
        <v>1.27539809638918</v>
      </c>
      <c r="X880">
        <v>1.96929142123987</v>
      </c>
    </row>
    <row r="881" spans="1:24">
      <c r="A881">
        <v>297</v>
      </c>
      <c r="B881" t="s">
        <v>2397</v>
      </c>
      <c r="C881">
        <v>1</v>
      </c>
      <c r="D881" t="s">
        <v>2398</v>
      </c>
      <c r="E881">
        <v>5</v>
      </c>
      <c r="F881">
        <v>5</v>
      </c>
      <c r="G881">
        <v>5</v>
      </c>
      <c r="H881" t="s">
        <v>2397</v>
      </c>
      <c r="I881">
        <v>27.8</v>
      </c>
      <c r="J881">
        <v>25.565000000000001</v>
      </c>
      <c r="K881" t="str">
        <f>"MT-CO2"</f>
        <v>MT-CO2</v>
      </c>
      <c r="L881" t="str">
        <f>"MT-CO2"</f>
        <v>MT-CO2</v>
      </c>
      <c r="M881">
        <v>1.2103892752168599</v>
      </c>
      <c r="N881">
        <v>0</v>
      </c>
      <c r="O881">
        <v>0</v>
      </c>
      <c r="P881">
        <v>2.1304378548895899</v>
      </c>
      <c r="Q881">
        <v>1.25576199330606</v>
      </c>
      <c r="R881">
        <v>1.8001620641859499</v>
      </c>
      <c r="S881">
        <v>2.2662711409396001</v>
      </c>
      <c r="T881">
        <v>1.18448996772836</v>
      </c>
      <c r="U881">
        <v>2.20471663619744</v>
      </c>
      <c r="V881">
        <v>2.1012719352831399</v>
      </c>
      <c r="W881">
        <v>2.5507961927783702</v>
      </c>
      <c r="X881">
        <v>4.92322855309967</v>
      </c>
    </row>
    <row r="882" spans="1:24">
      <c r="A882">
        <v>593</v>
      </c>
      <c r="B882" t="s">
        <v>2399</v>
      </c>
      <c r="C882">
        <v>4</v>
      </c>
      <c r="D882" t="s">
        <v>2400</v>
      </c>
      <c r="E882">
        <v>10</v>
      </c>
      <c r="F882">
        <v>10</v>
      </c>
      <c r="G882">
        <v>10</v>
      </c>
      <c r="H882" t="s">
        <v>2401</v>
      </c>
      <c r="I882">
        <v>23.3</v>
      </c>
      <c r="J882">
        <v>66.850999999999999</v>
      </c>
      <c r="K882" t="str">
        <f>"LTA4H"</f>
        <v>LTA4H</v>
      </c>
      <c r="L882" t="str">
        <f>"LTA4H"</f>
        <v>LTA4H</v>
      </c>
      <c r="M882">
        <v>1.2103892752168599</v>
      </c>
      <c r="N882">
        <v>2.6835051655629099</v>
      </c>
      <c r="O882">
        <v>3.64777357675273</v>
      </c>
      <c r="P882">
        <v>0</v>
      </c>
      <c r="Q882">
        <v>2.51152398661212</v>
      </c>
      <c r="R882">
        <v>4.5004051604648696</v>
      </c>
      <c r="S882">
        <v>1.1331355704698001</v>
      </c>
      <c r="T882">
        <v>1.18448996772836</v>
      </c>
      <c r="U882">
        <v>0</v>
      </c>
      <c r="V882">
        <v>1.05063596764157</v>
      </c>
      <c r="W882">
        <v>1.27539809638918</v>
      </c>
      <c r="X882">
        <v>1.96929142123987</v>
      </c>
    </row>
    <row r="883" spans="1:24">
      <c r="A883">
        <v>989</v>
      </c>
      <c r="B883" t="s">
        <v>2402</v>
      </c>
      <c r="C883">
        <v>3</v>
      </c>
      <c r="D883" t="s">
        <v>2403</v>
      </c>
      <c r="E883">
        <v>5</v>
      </c>
      <c r="F883">
        <v>5</v>
      </c>
      <c r="G883">
        <v>5</v>
      </c>
      <c r="H883" t="s">
        <v>2404</v>
      </c>
      <c r="I883">
        <v>29.5</v>
      </c>
      <c r="J883">
        <v>22.312999999999999</v>
      </c>
      <c r="K883" t="str">
        <f>"HPCAL1;HPCA;NCALD"</f>
        <v>HPCAL1;HPCA;NCALD</v>
      </c>
      <c r="L883" t="str">
        <f>"HPCAL1;HPCA;NCALD"</f>
        <v>HPCAL1;HPCA;NCALD</v>
      </c>
      <c r="M883">
        <v>0</v>
      </c>
      <c r="N883">
        <v>1.78900344370861</v>
      </c>
      <c r="O883">
        <v>1.8238867883763601</v>
      </c>
      <c r="P883">
        <v>2.1304378548895899</v>
      </c>
      <c r="Q883">
        <v>2.51152398661212</v>
      </c>
      <c r="R883">
        <v>3.6003241283718901</v>
      </c>
      <c r="S883">
        <v>3.3994067114094002</v>
      </c>
      <c r="T883">
        <v>2.3689799354567098</v>
      </c>
      <c r="U883">
        <v>3.3070749542961599</v>
      </c>
      <c r="V883">
        <v>2.1012719352831399</v>
      </c>
      <c r="W883">
        <v>1.27539809638918</v>
      </c>
      <c r="X883">
        <v>1.96929142123987</v>
      </c>
    </row>
    <row r="884" spans="1:24">
      <c r="A884">
        <v>1267</v>
      </c>
      <c r="B884" t="s">
        <v>2405</v>
      </c>
      <c r="C884">
        <v>1</v>
      </c>
      <c r="D884" t="s">
        <v>2406</v>
      </c>
      <c r="E884">
        <v>12</v>
      </c>
      <c r="F884">
        <v>12</v>
      </c>
      <c r="G884">
        <v>12</v>
      </c>
      <c r="H884" t="s">
        <v>2405</v>
      </c>
      <c r="I884">
        <v>36.799999999999997</v>
      </c>
      <c r="J884">
        <v>44.171999999999997</v>
      </c>
      <c r="K884" t="str">
        <f>"PSMC6"</f>
        <v>PSMC6</v>
      </c>
      <c r="L884" t="str">
        <f>"PSMC6"</f>
        <v>PSMC6</v>
      </c>
      <c r="M884">
        <v>0</v>
      </c>
      <c r="N884">
        <v>2.6835051655629099</v>
      </c>
      <c r="O884">
        <v>2.7358301825645501</v>
      </c>
      <c r="P884">
        <v>2.1304378548895899</v>
      </c>
      <c r="Q884">
        <v>2.51152398661212</v>
      </c>
      <c r="R884">
        <v>1.8001620641859499</v>
      </c>
      <c r="S884">
        <v>1.1331355704698001</v>
      </c>
      <c r="T884">
        <v>0</v>
      </c>
      <c r="U884">
        <v>1.10235831809872</v>
      </c>
      <c r="V884">
        <v>2.1012719352831399</v>
      </c>
      <c r="W884">
        <v>1.27539809638918</v>
      </c>
      <c r="X884">
        <v>5.9078742637195996</v>
      </c>
    </row>
    <row r="885" spans="1:24">
      <c r="A885">
        <v>1551</v>
      </c>
      <c r="B885" t="s">
        <v>2407</v>
      </c>
      <c r="C885">
        <v>13</v>
      </c>
      <c r="D885" t="s">
        <v>2408</v>
      </c>
      <c r="E885">
        <v>10</v>
      </c>
      <c r="F885">
        <v>6</v>
      </c>
      <c r="G885">
        <v>6</v>
      </c>
      <c r="H885" t="s">
        <v>2409</v>
      </c>
      <c r="I885">
        <v>42.9</v>
      </c>
      <c r="J885">
        <v>38.15</v>
      </c>
      <c r="K885" t="str">
        <f>"PCBP2;PCBP3"</f>
        <v>PCBP2;PCBP3</v>
      </c>
      <c r="L885" t="str">
        <f>"PCBP2;PCBP3"</f>
        <v>PCBP2;PCBP3</v>
      </c>
      <c r="M885">
        <v>0</v>
      </c>
      <c r="N885">
        <v>1.78900344370861</v>
      </c>
      <c r="O885">
        <v>0.91194339418818204</v>
      </c>
      <c r="P885">
        <v>2.1304378548895899</v>
      </c>
      <c r="Q885">
        <v>1.25576199330606</v>
      </c>
      <c r="R885">
        <v>4.5004051604648696</v>
      </c>
      <c r="S885">
        <v>0</v>
      </c>
      <c r="T885">
        <v>0</v>
      </c>
      <c r="U885">
        <v>2.20471663619744</v>
      </c>
      <c r="V885">
        <v>1.05063596764157</v>
      </c>
      <c r="W885">
        <v>2.5507961927783702</v>
      </c>
      <c r="X885">
        <v>0.984645710619934</v>
      </c>
    </row>
    <row r="886" spans="1:24">
      <c r="A886">
        <v>1977</v>
      </c>
      <c r="B886" t="s">
        <v>2410</v>
      </c>
      <c r="C886">
        <v>2</v>
      </c>
      <c r="D886" t="s">
        <v>2411</v>
      </c>
      <c r="E886">
        <v>6</v>
      </c>
      <c r="F886">
        <v>6</v>
      </c>
      <c r="G886">
        <v>6</v>
      </c>
      <c r="H886" t="s">
        <v>2412</v>
      </c>
      <c r="I886">
        <v>28.7</v>
      </c>
      <c r="J886">
        <v>27.324999999999999</v>
      </c>
      <c r="K886" t="str">
        <f>"TBCB"</f>
        <v>TBCB</v>
      </c>
      <c r="L886" t="str">
        <f>"TBCB"</f>
        <v>TBCB</v>
      </c>
      <c r="M886">
        <v>1.2103892752168599</v>
      </c>
      <c r="N886">
        <v>1.78900344370861</v>
      </c>
      <c r="O886">
        <v>2.7358301825645501</v>
      </c>
      <c r="P886">
        <v>1.0652189274447901</v>
      </c>
      <c r="Q886">
        <v>2.51152398661212</v>
      </c>
      <c r="R886">
        <v>0.90008103209297396</v>
      </c>
      <c r="S886">
        <v>3.3994067114094002</v>
      </c>
      <c r="T886">
        <v>2.3689799354567098</v>
      </c>
      <c r="U886">
        <v>2.20471663619744</v>
      </c>
      <c r="V886">
        <v>1.05063596764157</v>
      </c>
      <c r="W886">
        <v>2.5507961927783702</v>
      </c>
      <c r="X886">
        <v>3.9385828424797298</v>
      </c>
    </row>
    <row r="887" spans="1:24">
      <c r="A887">
        <v>2001</v>
      </c>
      <c r="B887" t="s">
        <v>2413</v>
      </c>
      <c r="C887">
        <v>1</v>
      </c>
      <c r="D887" t="s">
        <v>2414</v>
      </c>
      <c r="E887">
        <v>5</v>
      </c>
      <c r="F887">
        <v>5</v>
      </c>
      <c r="G887">
        <v>5</v>
      </c>
      <c r="H887" t="s">
        <v>2413</v>
      </c>
      <c r="I887">
        <v>7.2</v>
      </c>
      <c r="J887">
        <v>75.775000000000006</v>
      </c>
      <c r="K887" t="str">
        <f>"TM9SF2"</f>
        <v>TM9SF2</v>
      </c>
      <c r="L887" t="str">
        <f>"TM9SF2"</f>
        <v>TM9SF2</v>
      </c>
      <c r="M887">
        <v>0</v>
      </c>
      <c r="N887">
        <v>1.78900344370861</v>
      </c>
      <c r="O887">
        <v>1.8238867883763601</v>
      </c>
      <c r="P887">
        <v>2.1304378548895899</v>
      </c>
      <c r="Q887">
        <v>0</v>
      </c>
      <c r="R887">
        <v>2.7002430962789199</v>
      </c>
      <c r="S887">
        <v>2.2662711409396001</v>
      </c>
      <c r="T887">
        <v>1.18448996772836</v>
      </c>
      <c r="U887">
        <v>2.20471663619744</v>
      </c>
      <c r="V887">
        <v>1.05063596764157</v>
      </c>
      <c r="W887">
        <v>1.27539809638918</v>
      </c>
      <c r="X887">
        <v>1.96929142123987</v>
      </c>
    </row>
    <row r="888" spans="1:24">
      <c r="A888">
        <v>2070</v>
      </c>
      <c r="B888" t="s">
        <v>2415</v>
      </c>
      <c r="C888">
        <v>5</v>
      </c>
      <c r="D888" t="s">
        <v>2416</v>
      </c>
      <c r="E888">
        <v>3</v>
      </c>
      <c r="F888">
        <v>3</v>
      </c>
      <c r="G888">
        <v>3</v>
      </c>
      <c r="H888" t="s">
        <v>2417</v>
      </c>
      <c r="I888">
        <v>32.6</v>
      </c>
      <c r="J888">
        <v>25.065999999999999</v>
      </c>
      <c r="K888" t="str">
        <f>"MFF"</f>
        <v>MFF</v>
      </c>
      <c r="L888" t="str">
        <f>"MFF"</f>
        <v>MFF</v>
      </c>
      <c r="M888">
        <v>1.2103892752168599</v>
      </c>
      <c r="N888">
        <v>1.78900344370861</v>
      </c>
      <c r="O888">
        <v>2.7358301825645501</v>
      </c>
      <c r="P888">
        <v>2.1304378548895899</v>
      </c>
      <c r="Q888">
        <v>1.25576199330606</v>
      </c>
      <c r="R888">
        <v>1.8001620641859499</v>
      </c>
      <c r="S888">
        <v>2.2662711409396001</v>
      </c>
      <c r="T888">
        <v>2.3689799354567098</v>
      </c>
      <c r="U888">
        <v>1.10235831809872</v>
      </c>
      <c r="V888">
        <v>2.1012719352831399</v>
      </c>
      <c r="W888">
        <v>1.27539809638918</v>
      </c>
      <c r="X888">
        <v>1.96929142123987</v>
      </c>
    </row>
    <row r="889" spans="1:24">
      <c r="A889">
        <v>2196</v>
      </c>
      <c r="B889" t="s">
        <v>2418</v>
      </c>
      <c r="C889">
        <v>3</v>
      </c>
      <c r="D889" t="s">
        <v>2419</v>
      </c>
      <c r="E889">
        <v>17</v>
      </c>
      <c r="F889">
        <v>17</v>
      </c>
      <c r="G889">
        <v>17</v>
      </c>
      <c r="H889" t="s">
        <v>2420</v>
      </c>
      <c r="I889">
        <v>30.7</v>
      </c>
      <c r="J889">
        <v>82.587999999999994</v>
      </c>
      <c r="K889" t="str">
        <f>"DPP3"</f>
        <v>DPP3</v>
      </c>
      <c r="L889" t="str">
        <f>"DPP3"</f>
        <v>DPP3</v>
      </c>
      <c r="M889">
        <v>2.4207785504337198</v>
      </c>
      <c r="N889">
        <v>3.57800688741722</v>
      </c>
      <c r="O889">
        <v>2.7358301825645501</v>
      </c>
      <c r="P889">
        <v>1.0652189274447901</v>
      </c>
      <c r="Q889">
        <v>0</v>
      </c>
      <c r="R889">
        <v>5.4004861925578398</v>
      </c>
      <c r="S889">
        <v>0</v>
      </c>
      <c r="T889">
        <v>0</v>
      </c>
      <c r="U889">
        <v>2.20471663619744</v>
      </c>
      <c r="V889">
        <v>2.1012719352831399</v>
      </c>
      <c r="W889">
        <v>0</v>
      </c>
      <c r="X889">
        <v>0.984645710619934</v>
      </c>
    </row>
    <row r="890" spans="1:24">
      <c r="A890">
        <v>2254</v>
      </c>
      <c r="B890" t="s">
        <v>2421</v>
      </c>
      <c r="C890">
        <v>1</v>
      </c>
      <c r="D890" t="s">
        <v>2422</v>
      </c>
      <c r="E890">
        <v>5</v>
      </c>
      <c r="F890">
        <v>5</v>
      </c>
      <c r="G890">
        <v>5</v>
      </c>
      <c r="H890" t="s">
        <v>2421</v>
      </c>
      <c r="I890">
        <v>15</v>
      </c>
      <c r="J890">
        <v>59.844000000000001</v>
      </c>
      <c r="K890" t="str">
        <f>"NRBP1"</f>
        <v>NRBP1</v>
      </c>
      <c r="L890" t="str">
        <f>"NRBP1"</f>
        <v>NRBP1</v>
      </c>
      <c r="M890">
        <v>2.4207785504337198</v>
      </c>
      <c r="N890">
        <v>1.78900344370861</v>
      </c>
      <c r="O890">
        <v>0.91194339418818204</v>
      </c>
      <c r="P890">
        <v>0</v>
      </c>
      <c r="Q890">
        <v>1.25576199330606</v>
      </c>
      <c r="R890">
        <v>2.7002430962789199</v>
      </c>
      <c r="S890">
        <v>1.1331355704698001</v>
      </c>
      <c r="T890">
        <v>2.3689799354567098</v>
      </c>
      <c r="U890">
        <v>0</v>
      </c>
      <c r="V890">
        <v>3.1519079029246999</v>
      </c>
      <c r="W890">
        <v>0</v>
      </c>
      <c r="X890">
        <v>1.96929142123987</v>
      </c>
    </row>
    <row r="891" spans="1:24">
      <c r="A891">
        <v>2265</v>
      </c>
      <c r="B891" t="s">
        <v>2423</v>
      </c>
      <c r="C891">
        <v>1</v>
      </c>
      <c r="D891" t="s">
        <v>2424</v>
      </c>
      <c r="E891">
        <v>4</v>
      </c>
      <c r="F891">
        <v>4</v>
      </c>
      <c r="G891">
        <v>4</v>
      </c>
      <c r="H891" t="s">
        <v>2423</v>
      </c>
      <c r="I891">
        <v>59.8</v>
      </c>
      <c r="J891">
        <v>12.326000000000001</v>
      </c>
      <c r="K891" t="str">
        <f>"SH3BGRL2"</f>
        <v>SH3BGRL2</v>
      </c>
      <c r="L891" t="str">
        <f>"SH3BGRL2"</f>
        <v>SH3BGRL2</v>
      </c>
      <c r="M891">
        <v>2.4207785504337198</v>
      </c>
      <c r="N891">
        <v>3.57800688741722</v>
      </c>
      <c r="O891">
        <v>2.7358301825645501</v>
      </c>
      <c r="P891">
        <v>1.0652189274447901</v>
      </c>
      <c r="Q891">
        <v>1.25576199330606</v>
      </c>
      <c r="R891">
        <v>1.8001620641859499</v>
      </c>
      <c r="S891">
        <v>3.3994067114094002</v>
      </c>
      <c r="T891">
        <v>1.18448996772836</v>
      </c>
      <c r="U891">
        <v>3.3070749542961599</v>
      </c>
      <c r="V891">
        <v>2.1012719352831399</v>
      </c>
      <c r="W891">
        <v>2.5507961927783702</v>
      </c>
      <c r="X891">
        <v>0.984645710619934</v>
      </c>
    </row>
    <row r="892" spans="1:24">
      <c r="A892">
        <v>142</v>
      </c>
      <c r="B892" t="s">
        <v>2425</v>
      </c>
      <c r="C892">
        <v>2</v>
      </c>
      <c r="D892" t="s">
        <v>2426</v>
      </c>
      <c r="E892">
        <v>12</v>
      </c>
      <c r="F892">
        <v>12</v>
      </c>
      <c r="G892">
        <v>12</v>
      </c>
      <c r="H892" t="s">
        <v>2427</v>
      </c>
      <c r="I892">
        <v>25.8</v>
      </c>
      <c r="J892">
        <v>60.976999999999997</v>
      </c>
      <c r="K892" t="str">
        <f>"PSMD3"</f>
        <v>PSMD3</v>
      </c>
      <c r="L892" t="str">
        <f>"PSMD3"</f>
        <v>PSMD3</v>
      </c>
      <c r="M892">
        <v>0</v>
      </c>
      <c r="N892">
        <v>2.6835051655629099</v>
      </c>
      <c r="O892">
        <v>2.7358301825645501</v>
      </c>
      <c r="P892">
        <v>2.1304378548895899</v>
      </c>
      <c r="Q892">
        <v>0</v>
      </c>
      <c r="R892">
        <v>1.8001620641859499</v>
      </c>
      <c r="S892">
        <v>1.1331355704698001</v>
      </c>
      <c r="T892">
        <v>0</v>
      </c>
      <c r="U892">
        <v>3.3070749542961599</v>
      </c>
      <c r="V892">
        <v>0</v>
      </c>
      <c r="W892">
        <v>0</v>
      </c>
      <c r="X892">
        <v>1.96929142123987</v>
      </c>
    </row>
    <row r="893" spans="1:24">
      <c r="A893">
        <v>348</v>
      </c>
      <c r="B893" t="s">
        <v>2428</v>
      </c>
      <c r="C893">
        <v>1</v>
      </c>
      <c r="D893" t="s">
        <v>2429</v>
      </c>
      <c r="E893">
        <v>2</v>
      </c>
      <c r="F893">
        <v>2</v>
      </c>
      <c r="G893">
        <v>2</v>
      </c>
      <c r="H893" t="s">
        <v>2428</v>
      </c>
      <c r="I893">
        <v>30.4</v>
      </c>
      <c r="J893">
        <v>11.744999999999999</v>
      </c>
      <c r="K893" t="s">
        <v>2430</v>
      </c>
      <c r="L893" t="s">
        <v>2430</v>
      </c>
      <c r="M893">
        <v>2.4207785504337198</v>
      </c>
      <c r="N893">
        <v>0</v>
      </c>
      <c r="O893">
        <v>1.8238867883763601</v>
      </c>
      <c r="P893">
        <v>4.2608757097791798</v>
      </c>
      <c r="Q893">
        <v>2.51152398661212</v>
      </c>
      <c r="R893">
        <v>0</v>
      </c>
      <c r="S893">
        <v>2.2662711409396001</v>
      </c>
      <c r="T893">
        <v>3.5534699031850701</v>
      </c>
      <c r="U893">
        <v>3.3070749542961599</v>
      </c>
      <c r="V893">
        <v>2.1012719352831399</v>
      </c>
      <c r="W893">
        <v>2.5507961927783702</v>
      </c>
      <c r="X893">
        <v>2.9539371318597998</v>
      </c>
    </row>
    <row r="894" spans="1:24">
      <c r="A894">
        <v>546</v>
      </c>
      <c r="B894" t="s">
        <v>2431</v>
      </c>
      <c r="C894">
        <v>2</v>
      </c>
      <c r="D894" t="s">
        <v>2432</v>
      </c>
      <c r="E894">
        <v>19</v>
      </c>
      <c r="F894">
        <v>19</v>
      </c>
      <c r="G894">
        <v>19</v>
      </c>
      <c r="H894" t="s">
        <v>2433</v>
      </c>
      <c r="I894">
        <v>36</v>
      </c>
      <c r="J894">
        <v>72.423000000000002</v>
      </c>
      <c r="K894" t="str">
        <f>"ANXA6"</f>
        <v>ANXA6</v>
      </c>
      <c r="L894" t="str">
        <f>"ANXA6"</f>
        <v>ANXA6</v>
      </c>
      <c r="M894">
        <v>0</v>
      </c>
      <c r="N894">
        <v>1.78900344370861</v>
      </c>
      <c r="O894">
        <v>0.91194339418818204</v>
      </c>
      <c r="P894">
        <v>0</v>
      </c>
      <c r="Q894">
        <v>0</v>
      </c>
      <c r="R894">
        <v>10.800972385115699</v>
      </c>
      <c r="S894">
        <v>1.1331355704698001</v>
      </c>
      <c r="T894">
        <v>0</v>
      </c>
      <c r="U894">
        <v>1.10235831809872</v>
      </c>
      <c r="V894">
        <v>0</v>
      </c>
      <c r="W894">
        <v>0</v>
      </c>
      <c r="X894">
        <v>0.984645710619934</v>
      </c>
    </row>
    <row r="895" spans="1:24">
      <c r="A895">
        <v>599</v>
      </c>
      <c r="B895" t="s">
        <v>2434</v>
      </c>
      <c r="C895">
        <v>2</v>
      </c>
      <c r="D895" t="s">
        <v>2435</v>
      </c>
      <c r="E895">
        <v>20</v>
      </c>
      <c r="F895">
        <v>20</v>
      </c>
      <c r="G895">
        <v>20</v>
      </c>
      <c r="H895" t="s">
        <v>2436</v>
      </c>
      <c r="I895">
        <v>23.2</v>
      </c>
      <c r="J895">
        <v>102.26</v>
      </c>
      <c r="K895" t="str">
        <f>"SLFN14"</f>
        <v>SLFN14</v>
      </c>
      <c r="L895" t="str">
        <f>"SLFN14"</f>
        <v>SLFN14</v>
      </c>
      <c r="M895">
        <v>0</v>
      </c>
      <c r="N895">
        <v>1.78900344370861</v>
      </c>
      <c r="O895">
        <v>2.7358301825645501</v>
      </c>
      <c r="P895">
        <v>2.1304378548895899</v>
      </c>
      <c r="Q895">
        <v>0</v>
      </c>
      <c r="R895">
        <v>3.6003241283718901</v>
      </c>
      <c r="S895">
        <v>3.3994067114094002</v>
      </c>
      <c r="T895">
        <v>1.18448996772836</v>
      </c>
      <c r="U895">
        <v>2.20471663619744</v>
      </c>
      <c r="V895">
        <v>1.05063596764157</v>
      </c>
      <c r="W895">
        <v>0</v>
      </c>
      <c r="X895">
        <v>1.96929142123987</v>
      </c>
    </row>
    <row r="896" spans="1:24">
      <c r="A896">
        <v>881</v>
      </c>
      <c r="B896" t="s">
        <v>2437</v>
      </c>
      <c r="C896">
        <v>1</v>
      </c>
      <c r="D896" t="s">
        <v>2438</v>
      </c>
      <c r="E896">
        <v>9</v>
      </c>
      <c r="F896">
        <v>9</v>
      </c>
      <c r="G896">
        <v>9</v>
      </c>
      <c r="H896" t="s">
        <v>2437</v>
      </c>
      <c r="I896">
        <v>67.5</v>
      </c>
      <c r="J896">
        <v>22.119</v>
      </c>
      <c r="K896" t="str">
        <f>"BLVRB"</f>
        <v>BLVRB</v>
      </c>
      <c r="L896" t="str">
        <f>"BLVRB"</f>
        <v>BLVRB</v>
      </c>
      <c r="M896">
        <v>0</v>
      </c>
      <c r="N896">
        <v>1.78900344370861</v>
      </c>
      <c r="O896">
        <v>1.8238867883763601</v>
      </c>
      <c r="P896">
        <v>3.19565678233438</v>
      </c>
      <c r="Q896">
        <v>1.25576199330606</v>
      </c>
      <c r="R896">
        <v>3.6003241283718901</v>
      </c>
      <c r="S896">
        <v>1.1331355704698001</v>
      </c>
      <c r="T896">
        <v>1.18448996772836</v>
      </c>
      <c r="U896">
        <v>4.4094332723948799</v>
      </c>
      <c r="V896">
        <v>0</v>
      </c>
      <c r="W896">
        <v>0</v>
      </c>
      <c r="X896">
        <v>0.984645710619934</v>
      </c>
    </row>
    <row r="897" spans="1:24">
      <c r="A897">
        <v>1357</v>
      </c>
      <c r="B897" t="s">
        <v>2439</v>
      </c>
      <c r="C897">
        <v>2</v>
      </c>
      <c r="D897" t="s">
        <v>2440</v>
      </c>
      <c r="E897">
        <v>7</v>
      </c>
      <c r="F897">
        <v>7</v>
      </c>
      <c r="G897">
        <v>7</v>
      </c>
      <c r="H897" t="s">
        <v>2441</v>
      </c>
      <c r="I897">
        <v>21.7</v>
      </c>
      <c r="J897">
        <v>34.061</v>
      </c>
      <c r="K897" t="str">
        <f>"SLC25A11"</f>
        <v>SLC25A11</v>
      </c>
      <c r="L897" t="str">
        <f>"SLC25A11"</f>
        <v>SLC25A11</v>
      </c>
      <c r="M897">
        <v>0</v>
      </c>
      <c r="N897">
        <v>0</v>
      </c>
      <c r="O897">
        <v>0.91194339418818204</v>
      </c>
      <c r="P897">
        <v>1.0652189274447901</v>
      </c>
      <c r="Q897">
        <v>0</v>
      </c>
      <c r="R897">
        <v>2.7002430962789199</v>
      </c>
      <c r="S897">
        <v>2.2662711409396001</v>
      </c>
      <c r="T897">
        <v>2.3689799354567098</v>
      </c>
      <c r="U897">
        <v>0</v>
      </c>
      <c r="V897">
        <v>2.1012719352831399</v>
      </c>
      <c r="W897">
        <v>2.5507961927783702</v>
      </c>
      <c r="X897">
        <v>2.9539371318597998</v>
      </c>
    </row>
    <row r="898" spans="1:24">
      <c r="A898">
        <v>1533</v>
      </c>
      <c r="B898" t="s">
        <v>2442</v>
      </c>
      <c r="C898">
        <v>2</v>
      </c>
      <c r="D898" t="s">
        <v>2443</v>
      </c>
      <c r="E898">
        <v>5</v>
      </c>
      <c r="F898">
        <v>5</v>
      </c>
      <c r="G898">
        <v>5</v>
      </c>
      <c r="H898" t="s">
        <v>2444</v>
      </c>
      <c r="I898">
        <v>24.1</v>
      </c>
      <c r="J898">
        <v>25.2</v>
      </c>
      <c r="K898" t="str">
        <f>"EIF4H"</f>
        <v>EIF4H</v>
      </c>
      <c r="L898" t="str">
        <f>"EIF4H"</f>
        <v>EIF4H</v>
      </c>
      <c r="M898">
        <v>0</v>
      </c>
      <c r="N898">
        <v>4.4725086092715198</v>
      </c>
      <c r="O898">
        <v>1.8238867883763601</v>
      </c>
      <c r="P898">
        <v>2.1304378548895899</v>
      </c>
      <c r="Q898">
        <v>0</v>
      </c>
      <c r="R898">
        <v>3.6003241283718901</v>
      </c>
      <c r="S898">
        <v>1.1331355704698001</v>
      </c>
      <c r="T898">
        <v>1.18448996772836</v>
      </c>
      <c r="U898">
        <v>1.10235831809872</v>
      </c>
      <c r="V898">
        <v>5.2531798382078403</v>
      </c>
      <c r="W898">
        <v>2.5507961927783702</v>
      </c>
      <c r="X898">
        <v>2.9539371318597998</v>
      </c>
    </row>
    <row r="899" spans="1:24">
      <c r="A899">
        <v>1570</v>
      </c>
      <c r="B899" t="s">
        <v>2445</v>
      </c>
      <c r="C899">
        <v>1</v>
      </c>
      <c r="D899" t="s">
        <v>2446</v>
      </c>
      <c r="E899">
        <v>5</v>
      </c>
      <c r="F899">
        <v>5</v>
      </c>
      <c r="G899">
        <v>5</v>
      </c>
      <c r="H899" t="s">
        <v>2445</v>
      </c>
      <c r="I899">
        <v>22.3</v>
      </c>
      <c r="J899">
        <v>38.613999999999997</v>
      </c>
      <c r="K899" t="str">
        <f>"CD226"</f>
        <v>CD226</v>
      </c>
      <c r="L899" t="str">
        <f>"CD226"</f>
        <v>CD226</v>
      </c>
      <c r="M899">
        <v>0</v>
      </c>
      <c r="N899">
        <v>1.78900344370861</v>
      </c>
      <c r="O899">
        <v>0.91194339418818204</v>
      </c>
      <c r="P899">
        <v>4.2608757097791798</v>
      </c>
      <c r="Q899">
        <v>2.51152398661212</v>
      </c>
      <c r="R899">
        <v>3.6003241283718901</v>
      </c>
      <c r="S899">
        <v>3.3994067114094002</v>
      </c>
      <c r="T899">
        <v>0</v>
      </c>
      <c r="U899">
        <v>4.4094332723948799</v>
      </c>
      <c r="V899">
        <v>4.2025438705662701</v>
      </c>
      <c r="W899">
        <v>0</v>
      </c>
      <c r="X899">
        <v>0.984645710619934</v>
      </c>
    </row>
    <row r="900" spans="1:24">
      <c r="A900">
        <v>1647</v>
      </c>
      <c r="B900" t="s">
        <v>2447</v>
      </c>
      <c r="C900">
        <v>6</v>
      </c>
      <c r="D900" t="s">
        <v>2448</v>
      </c>
      <c r="E900">
        <v>19</v>
      </c>
      <c r="F900">
        <v>19</v>
      </c>
      <c r="G900">
        <v>19</v>
      </c>
      <c r="H900" t="s">
        <v>2449</v>
      </c>
      <c r="I900">
        <v>4.2</v>
      </c>
      <c r="J900">
        <v>571.85</v>
      </c>
      <c r="K900" t="str">
        <f>"UBR4"</f>
        <v>UBR4</v>
      </c>
      <c r="L900" t="str">
        <f>"UBR4"</f>
        <v>UBR4</v>
      </c>
      <c r="M900">
        <v>1.2103892752168599</v>
      </c>
      <c r="N900">
        <v>4.4725086092715198</v>
      </c>
      <c r="O900">
        <v>3.64777357675273</v>
      </c>
      <c r="P900">
        <v>1.0652189274447901</v>
      </c>
      <c r="Q900">
        <v>0</v>
      </c>
      <c r="R900">
        <v>1.8001620641859499</v>
      </c>
      <c r="S900">
        <v>1.1331355704698001</v>
      </c>
      <c r="T900">
        <v>0</v>
      </c>
      <c r="U900">
        <v>2.20471663619744</v>
      </c>
      <c r="V900">
        <v>0</v>
      </c>
      <c r="W900">
        <v>0</v>
      </c>
      <c r="X900">
        <v>5.9078742637195996</v>
      </c>
    </row>
    <row r="901" spans="1:24">
      <c r="A901">
        <v>2002</v>
      </c>
      <c r="B901" t="s">
        <v>2450</v>
      </c>
      <c r="C901">
        <v>2</v>
      </c>
      <c r="D901" t="s">
        <v>2451</v>
      </c>
      <c r="E901">
        <v>8</v>
      </c>
      <c r="F901">
        <v>8</v>
      </c>
      <c r="G901">
        <v>8</v>
      </c>
      <c r="H901" t="s">
        <v>2452</v>
      </c>
      <c r="I901">
        <v>24.6</v>
      </c>
      <c r="J901">
        <v>43.944000000000003</v>
      </c>
      <c r="K901" t="str">
        <f>"TSG101"</f>
        <v>TSG101</v>
      </c>
      <c r="L901" t="str">
        <f>"TSG101"</f>
        <v>TSG101</v>
      </c>
      <c r="M901">
        <v>1.2103892752168599</v>
      </c>
      <c r="N901">
        <v>1.78900344370861</v>
      </c>
      <c r="O901">
        <v>5.4716603651290896</v>
      </c>
      <c r="P901">
        <v>1.0652189274447901</v>
      </c>
      <c r="Q901">
        <v>0</v>
      </c>
      <c r="R901">
        <v>3.6003241283718901</v>
      </c>
      <c r="S901">
        <v>0</v>
      </c>
      <c r="T901">
        <v>2.3689799354567098</v>
      </c>
      <c r="U901">
        <v>0</v>
      </c>
      <c r="V901">
        <v>2.1012719352831399</v>
      </c>
      <c r="W901">
        <v>0</v>
      </c>
      <c r="X901">
        <v>1.96929142123987</v>
      </c>
    </row>
    <row r="902" spans="1:24">
      <c r="A902">
        <v>2007</v>
      </c>
      <c r="B902" t="s">
        <v>2453</v>
      </c>
      <c r="C902">
        <v>1</v>
      </c>
      <c r="D902" t="s">
        <v>2454</v>
      </c>
      <c r="E902">
        <v>4</v>
      </c>
      <c r="F902">
        <v>4</v>
      </c>
      <c r="G902">
        <v>4</v>
      </c>
      <c r="H902" t="s">
        <v>2453</v>
      </c>
      <c r="I902">
        <v>27.6</v>
      </c>
      <c r="J902">
        <v>18.617000000000001</v>
      </c>
      <c r="K902" t="str">
        <f>"RARRES2"</f>
        <v>RARRES2</v>
      </c>
      <c r="L902" t="str">
        <f>"RARRES2"</f>
        <v>RARRES2</v>
      </c>
      <c r="M902">
        <v>0</v>
      </c>
      <c r="N902">
        <v>2.6835051655629099</v>
      </c>
      <c r="O902">
        <v>1.8238867883763601</v>
      </c>
      <c r="P902">
        <v>1.0652189274447901</v>
      </c>
      <c r="Q902">
        <v>1.25576199330606</v>
      </c>
      <c r="R902">
        <v>1.8001620641859499</v>
      </c>
      <c r="S902">
        <v>1.1331355704698001</v>
      </c>
      <c r="T902">
        <v>0</v>
      </c>
      <c r="U902">
        <v>1.10235831809872</v>
      </c>
      <c r="V902">
        <v>1.05063596764157</v>
      </c>
      <c r="W902">
        <v>0</v>
      </c>
      <c r="X902">
        <v>2.9539371318597998</v>
      </c>
    </row>
    <row r="903" spans="1:24">
      <c r="A903">
        <v>2028</v>
      </c>
      <c r="B903" t="s">
        <v>2455</v>
      </c>
      <c r="C903">
        <v>1</v>
      </c>
      <c r="D903" t="s">
        <v>2456</v>
      </c>
      <c r="E903">
        <v>7</v>
      </c>
      <c r="F903">
        <v>7</v>
      </c>
      <c r="G903">
        <v>7</v>
      </c>
      <c r="H903" t="s">
        <v>2455</v>
      </c>
      <c r="I903">
        <v>28.8</v>
      </c>
      <c r="J903">
        <v>44.875</v>
      </c>
      <c r="K903" t="str">
        <f>"TMEM43"</f>
        <v>TMEM43</v>
      </c>
      <c r="L903" t="str">
        <f>"TMEM43"</f>
        <v>TMEM43</v>
      </c>
      <c r="M903">
        <v>0</v>
      </c>
      <c r="N903">
        <v>1.78900344370861</v>
      </c>
      <c r="O903">
        <v>1.8238867883763601</v>
      </c>
      <c r="P903">
        <v>2.1304378548895899</v>
      </c>
      <c r="Q903">
        <v>1.25576199330606</v>
      </c>
      <c r="R903">
        <v>0.90008103209297396</v>
      </c>
      <c r="S903">
        <v>0</v>
      </c>
      <c r="T903">
        <v>2.3689799354567098</v>
      </c>
      <c r="U903">
        <v>2.20471663619744</v>
      </c>
      <c r="V903">
        <v>2.1012719352831399</v>
      </c>
      <c r="W903">
        <v>1.27539809638918</v>
      </c>
      <c r="X903">
        <v>2.9539371318597998</v>
      </c>
    </row>
    <row r="904" spans="1:24">
      <c r="A904">
        <v>2136</v>
      </c>
      <c r="B904" t="s">
        <v>2457</v>
      </c>
      <c r="C904">
        <v>3</v>
      </c>
      <c r="D904" t="s">
        <v>2458</v>
      </c>
      <c r="E904">
        <v>8</v>
      </c>
      <c r="F904">
        <v>8</v>
      </c>
      <c r="G904">
        <v>8</v>
      </c>
      <c r="H904" t="s">
        <v>2459</v>
      </c>
      <c r="I904">
        <v>42.7</v>
      </c>
      <c r="J904">
        <v>22.977</v>
      </c>
      <c r="K904" t="str">
        <f>"RAB18"</f>
        <v>RAB18</v>
      </c>
      <c r="L904" t="str">
        <f>"RAB18"</f>
        <v>RAB18</v>
      </c>
      <c r="M904">
        <v>0</v>
      </c>
      <c r="N904">
        <v>2.6835051655629099</v>
      </c>
      <c r="O904">
        <v>1.8238867883763601</v>
      </c>
      <c r="P904">
        <v>0</v>
      </c>
      <c r="Q904">
        <v>0</v>
      </c>
      <c r="R904">
        <v>3.6003241283718901</v>
      </c>
      <c r="S904">
        <v>3.3994067114094002</v>
      </c>
      <c r="T904">
        <v>0</v>
      </c>
      <c r="U904">
        <v>3.3070749542961599</v>
      </c>
      <c r="V904">
        <v>0</v>
      </c>
      <c r="W904">
        <v>2.5507961927783702</v>
      </c>
      <c r="X904">
        <v>2.9539371318597998</v>
      </c>
    </row>
    <row r="905" spans="1:24">
      <c r="A905">
        <v>2380</v>
      </c>
      <c r="B905" t="s">
        <v>2460</v>
      </c>
      <c r="C905">
        <v>1</v>
      </c>
      <c r="D905" t="s">
        <v>2461</v>
      </c>
      <c r="E905">
        <v>5</v>
      </c>
      <c r="F905">
        <v>5</v>
      </c>
      <c r="G905">
        <v>5</v>
      </c>
      <c r="H905" t="s">
        <v>2460</v>
      </c>
      <c r="I905">
        <v>20.100000000000001</v>
      </c>
      <c r="J905">
        <v>33.331000000000003</v>
      </c>
      <c r="K905" t="str">
        <f>"MTCH2"</f>
        <v>MTCH2</v>
      </c>
      <c r="L905" t="str">
        <f>"MTCH2"</f>
        <v>MTCH2</v>
      </c>
      <c r="M905">
        <v>1.2103892752168599</v>
      </c>
      <c r="N905">
        <v>0</v>
      </c>
      <c r="O905">
        <v>0</v>
      </c>
      <c r="P905">
        <v>1.0652189274447901</v>
      </c>
      <c r="Q905">
        <v>1.25576199330606</v>
      </c>
      <c r="R905">
        <v>1.8001620641859499</v>
      </c>
      <c r="S905">
        <v>2.2662711409396001</v>
      </c>
      <c r="T905">
        <v>0</v>
      </c>
      <c r="U905">
        <v>4.4094332723948799</v>
      </c>
      <c r="V905">
        <v>0</v>
      </c>
      <c r="W905">
        <v>2.5507961927783702</v>
      </c>
      <c r="X905">
        <v>2.9539371318597998</v>
      </c>
    </row>
    <row r="906" spans="1:24">
      <c r="A906">
        <v>450</v>
      </c>
      <c r="B906" t="s">
        <v>2462</v>
      </c>
      <c r="C906">
        <v>1</v>
      </c>
      <c r="D906" t="s">
        <v>2463</v>
      </c>
      <c r="E906">
        <v>4</v>
      </c>
      <c r="F906">
        <v>4</v>
      </c>
      <c r="G906">
        <v>2</v>
      </c>
      <c r="H906" t="s">
        <v>2462</v>
      </c>
      <c r="I906">
        <v>26.6</v>
      </c>
      <c r="J906">
        <v>11.725</v>
      </c>
      <c r="K906" t="s">
        <v>2464</v>
      </c>
      <c r="L906" t="s">
        <v>2464</v>
      </c>
      <c r="M906">
        <v>1.2103892752168599</v>
      </c>
      <c r="N906">
        <v>1.78900344370861</v>
      </c>
      <c r="O906">
        <v>0.91194339418818204</v>
      </c>
      <c r="P906">
        <v>2.1304378548895899</v>
      </c>
      <c r="Q906">
        <v>1.25576199330606</v>
      </c>
      <c r="R906">
        <v>1.8001620641859499</v>
      </c>
      <c r="S906">
        <v>1.1331355704698001</v>
      </c>
      <c r="T906">
        <v>1.18448996772836</v>
      </c>
      <c r="U906">
        <v>1.10235831809872</v>
      </c>
      <c r="V906">
        <v>2.1012719352831399</v>
      </c>
      <c r="W906">
        <v>2.5507961927783702</v>
      </c>
      <c r="X906">
        <v>0.984645710619934</v>
      </c>
    </row>
    <row r="907" spans="1:24">
      <c r="A907">
        <v>561</v>
      </c>
      <c r="B907" t="s">
        <v>2465</v>
      </c>
      <c r="C907">
        <v>1</v>
      </c>
      <c r="D907" t="s">
        <v>2466</v>
      </c>
      <c r="E907">
        <v>4</v>
      </c>
      <c r="F907">
        <v>4</v>
      </c>
      <c r="G907">
        <v>4</v>
      </c>
      <c r="H907" t="s">
        <v>2465</v>
      </c>
      <c r="I907">
        <v>11.1</v>
      </c>
      <c r="J907">
        <v>35.421999999999997</v>
      </c>
      <c r="K907" t="str">
        <f>"CYC1"</f>
        <v>CYC1</v>
      </c>
      <c r="L907" t="str">
        <f>"CYC1"</f>
        <v>CYC1</v>
      </c>
      <c r="M907">
        <v>0</v>
      </c>
      <c r="N907">
        <v>1.78900344370861</v>
      </c>
      <c r="O907">
        <v>1.8238867883763601</v>
      </c>
      <c r="P907">
        <v>1.0652189274447901</v>
      </c>
      <c r="Q907">
        <v>0</v>
      </c>
      <c r="R907">
        <v>2.7002430962789199</v>
      </c>
      <c r="S907">
        <v>2.2662711409396001</v>
      </c>
      <c r="T907">
        <v>1.18448996772836</v>
      </c>
      <c r="U907">
        <v>2.20471663619744</v>
      </c>
      <c r="V907">
        <v>3.1519079029246999</v>
      </c>
      <c r="W907">
        <v>1.27539809638918</v>
      </c>
      <c r="X907">
        <v>1.96929142123987</v>
      </c>
    </row>
    <row r="908" spans="1:24">
      <c r="A908">
        <v>761</v>
      </c>
      <c r="B908" t="s">
        <v>2467</v>
      </c>
      <c r="C908">
        <v>4</v>
      </c>
      <c r="D908" t="s">
        <v>2468</v>
      </c>
      <c r="E908">
        <v>12</v>
      </c>
      <c r="F908">
        <v>5</v>
      </c>
      <c r="G908">
        <v>5</v>
      </c>
      <c r="H908" t="s">
        <v>2469</v>
      </c>
      <c r="I908">
        <v>52.9</v>
      </c>
      <c r="J908">
        <v>23.547999999999998</v>
      </c>
      <c r="K908" t="str">
        <f>"RAB6A"</f>
        <v>RAB6A</v>
      </c>
      <c r="L908" t="str">
        <f>"RAB6A"</f>
        <v>RAB6A</v>
      </c>
      <c r="M908">
        <v>3.6311678256505799</v>
      </c>
      <c r="N908">
        <v>0</v>
      </c>
      <c r="O908">
        <v>1.8238867883763601</v>
      </c>
      <c r="P908">
        <v>1.0652189274447901</v>
      </c>
      <c r="Q908">
        <v>0</v>
      </c>
      <c r="R908">
        <v>1.8001620641859499</v>
      </c>
      <c r="S908">
        <v>1.1331355704698001</v>
      </c>
      <c r="T908">
        <v>1.18448996772836</v>
      </c>
      <c r="U908">
        <v>2.20471663619744</v>
      </c>
      <c r="V908">
        <v>2.1012719352831399</v>
      </c>
      <c r="W908">
        <v>0</v>
      </c>
      <c r="X908">
        <v>0.984645710619934</v>
      </c>
    </row>
    <row r="909" spans="1:24">
      <c r="A909">
        <v>1137</v>
      </c>
      <c r="B909" t="s">
        <v>2470</v>
      </c>
      <c r="C909">
        <v>1</v>
      </c>
      <c r="D909" t="s">
        <v>2471</v>
      </c>
      <c r="E909">
        <v>6</v>
      </c>
      <c r="F909">
        <v>6</v>
      </c>
      <c r="G909">
        <v>6</v>
      </c>
      <c r="H909" t="s">
        <v>2470</v>
      </c>
      <c r="I909">
        <v>27.8</v>
      </c>
      <c r="J909">
        <v>37.024999999999999</v>
      </c>
      <c r="K909" t="str">
        <f>"PSMD7"</f>
        <v>PSMD7</v>
      </c>
      <c r="L909" t="str">
        <f>"PSMD7"</f>
        <v>PSMD7</v>
      </c>
      <c r="M909">
        <v>2.4207785504337198</v>
      </c>
      <c r="N909">
        <v>0.89450172185430499</v>
      </c>
      <c r="O909">
        <v>1.8238867883763601</v>
      </c>
      <c r="P909">
        <v>1.0652189274447901</v>
      </c>
      <c r="Q909">
        <v>1.25576199330606</v>
      </c>
      <c r="R909">
        <v>2.7002430962789199</v>
      </c>
      <c r="S909">
        <v>2.2662711409396001</v>
      </c>
      <c r="T909">
        <v>1.18448996772836</v>
      </c>
      <c r="U909">
        <v>2.20471663619744</v>
      </c>
      <c r="V909">
        <v>3.1519079029246999</v>
      </c>
      <c r="W909">
        <v>0</v>
      </c>
      <c r="X909">
        <v>1.96929142123987</v>
      </c>
    </row>
    <row r="910" spans="1:24">
      <c r="A910">
        <v>2175</v>
      </c>
      <c r="B910" t="s">
        <v>2472</v>
      </c>
      <c r="C910">
        <v>2</v>
      </c>
      <c r="D910" t="s">
        <v>2473</v>
      </c>
      <c r="E910">
        <v>7</v>
      </c>
      <c r="F910">
        <v>7</v>
      </c>
      <c r="G910">
        <v>7</v>
      </c>
      <c r="H910" t="s">
        <v>2474</v>
      </c>
      <c r="I910">
        <v>34.6</v>
      </c>
      <c r="J910">
        <v>36.747999999999998</v>
      </c>
      <c r="K910" t="str">
        <f>"FAM49B"</f>
        <v>FAM49B</v>
      </c>
      <c r="L910" t="str">
        <f>"FAM49B"</f>
        <v>FAM49B</v>
      </c>
      <c r="M910">
        <v>0</v>
      </c>
      <c r="N910">
        <v>1.78900344370861</v>
      </c>
      <c r="O910">
        <v>1.8238867883763601</v>
      </c>
      <c r="P910">
        <v>2.1304378548895899</v>
      </c>
      <c r="Q910">
        <v>1.25576199330606</v>
      </c>
      <c r="R910">
        <v>1.8001620641859499</v>
      </c>
      <c r="S910">
        <v>1.1331355704698001</v>
      </c>
      <c r="T910">
        <v>2.3689799354567098</v>
      </c>
      <c r="U910">
        <v>3.3070749542961599</v>
      </c>
      <c r="V910">
        <v>2.1012719352831399</v>
      </c>
      <c r="W910">
        <v>0</v>
      </c>
      <c r="X910">
        <v>1.96929142123987</v>
      </c>
    </row>
    <row r="911" spans="1:24">
      <c r="A911">
        <v>2332</v>
      </c>
      <c r="B911" t="s">
        <v>2475</v>
      </c>
      <c r="C911">
        <v>14</v>
      </c>
      <c r="D911" t="s">
        <v>2476</v>
      </c>
      <c r="E911">
        <v>10</v>
      </c>
      <c r="F911">
        <v>10</v>
      </c>
      <c r="G911">
        <v>10</v>
      </c>
      <c r="H911" t="s">
        <v>2477</v>
      </c>
      <c r="I911">
        <v>16.7</v>
      </c>
      <c r="J911">
        <v>84.34</v>
      </c>
      <c r="K911" t="str">
        <f>"GIT1;GIT2"</f>
        <v>GIT1;GIT2</v>
      </c>
      <c r="L911" t="str">
        <f>"GIT1;GIT2"</f>
        <v>GIT1;GIT2</v>
      </c>
      <c r="M911">
        <v>1.2103892752168599</v>
      </c>
      <c r="N911">
        <v>1.78900344370861</v>
      </c>
      <c r="O911">
        <v>1.8238867883763601</v>
      </c>
      <c r="P911">
        <v>0</v>
      </c>
      <c r="Q911">
        <v>0</v>
      </c>
      <c r="R911">
        <v>2.7002430962789199</v>
      </c>
      <c r="S911">
        <v>1.1331355704698001</v>
      </c>
      <c r="T911">
        <v>1.18448996772836</v>
      </c>
      <c r="U911">
        <v>1.10235831809872</v>
      </c>
      <c r="V911">
        <v>1.05063596764157</v>
      </c>
      <c r="W911">
        <v>1.27539809638918</v>
      </c>
      <c r="X911">
        <v>3.9385828424797298</v>
      </c>
    </row>
    <row r="912" spans="1:24">
      <c r="A912">
        <v>2369</v>
      </c>
      <c r="B912" t="s">
        <v>2478</v>
      </c>
      <c r="C912">
        <v>1</v>
      </c>
      <c r="D912" t="s">
        <v>2479</v>
      </c>
      <c r="E912">
        <v>11</v>
      </c>
      <c r="F912">
        <v>11</v>
      </c>
      <c r="G912">
        <v>11</v>
      </c>
      <c r="H912" t="s">
        <v>2478</v>
      </c>
      <c r="I912">
        <v>20.7</v>
      </c>
      <c r="J912">
        <v>66.590999999999994</v>
      </c>
      <c r="K912" t="str">
        <f>"SNX9"</f>
        <v>SNX9</v>
      </c>
      <c r="L912" t="str">
        <f>"SNX9"</f>
        <v>SNX9</v>
      </c>
      <c r="M912">
        <v>0</v>
      </c>
      <c r="N912">
        <v>1.78900344370861</v>
      </c>
      <c r="O912">
        <v>0.91194339418818204</v>
      </c>
      <c r="P912">
        <v>1.0652189274447901</v>
      </c>
      <c r="Q912">
        <v>0</v>
      </c>
      <c r="R912">
        <v>2.7002430962789199</v>
      </c>
      <c r="S912">
        <v>4.5325422818791896</v>
      </c>
      <c r="T912">
        <v>2.3689799354567098</v>
      </c>
      <c r="U912">
        <v>0</v>
      </c>
      <c r="V912">
        <v>0</v>
      </c>
      <c r="W912">
        <v>1.27539809638918</v>
      </c>
      <c r="X912">
        <v>1.96929142123987</v>
      </c>
    </row>
    <row r="913" spans="1:24">
      <c r="A913">
        <v>58</v>
      </c>
      <c r="B913" t="s">
        <v>2480</v>
      </c>
      <c r="C913">
        <v>5</v>
      </c>
      <c r="D913" t="s">
        <v>2481</v>
      </c>
      <c r="E913">
        <v>10</v>
      </c>
      <c r="F913">
        <v>10</v>
      </c>
      <c r="G913">
        <v>10</v>
      </c>
      <c r="H913" t="s">
        <v>2482</v>
      </c>
      <c r="I913">
        <v>9.4</v>
      </c>
      <c r="J913">
        <v>116.19</v>
      </c>
      <c r="K913" t="str">
        <f>"AP3B1;AP3B2"</f>
        <v>AP3B1;AP3B2</v>
      </c>
      <c r="L913" t="str">
        <f>"AP3B1;AP3B2"</f>
        <v>AP3B1;AP3B2</v>
      </c>
      <c r="M913">
        <v>0</v>
      </c>
      <c r="N913">
        <v>3.57800688741722</v>
      </c>
      <c r="O913">
        <v>3.64777357675273</v>
      </c>
      <c r="P913">
        <v>1.0652189274447901</v>
      </c>
      <c r="Q913">
        <v>0</v>
      </c>
      <c r="R913">
        <v>0.90008103209297396</v>
      </c>
      <c r="S913">
        <v>2.2662711409396001</v>
      </c>
      <c r="T913">
        <v>0</v>
      </c>
      <c r="U913">
        <v>3.3070749542961599</v>
      </c>
      <c r="V913">
        <v>0</v>
      </c>
      <c r="W913">
        <v>0</v>
      </c>
      <c r="X913">
        <v>4.92322855309967</v>
      </c>
    </row>
    <row r="914" spans="1:24">
      <c r="A914">
        <v>85</v>
      </c>
      <c r="B914" t="s">
        <v>2483</v>
      </c>
      <c r="C914">
        <v>1</v>
      </c>
      <c r="D914" t="s">
        <v>2484</v>
      </c>
      <c r="E914">
        <v>6</v>
      </c>
      <c r="F914">
        <v>6</v>
      </c>
      <c r="G914">
        <v>6</v>
      </c>
      <c r="H914" t="s">
        <v>2483</v>
      </c>
      <c r="I914">
        <v>21.5</v>
      </c>
      <c r="J914">
        <v>29.04</v>
      </c>
      <c r="K914" t="str">
        <f>"CCS"</f>
        <v>CCS</v>
      </c>
      <c r="L914" t="str">
        <f>"CCS"</f>
        <v>CCS</v>
      </c>
      <c r="M914">
        <v>0</v>
      </c>
      <c r="N914">
        <v>1.78900344370861</v>
      </c>
      <c r="O914">
        <v>2.7358301825645501</v>
      </c>
      <c r="P914">
        <v>2.1304378548895899</v>
      </c>
      <c r="Q914">
        <v>1.25576199330606</v>
      </c>
      <c r="R914">
        <v>2.7002430962789199</v>
      </c>
      <c r="S914">
        <v>1.1331355704698001</v>
      </c>
      <c r="T914">
        <v>1.18448996772836</v>
      </c>
      <c r="U914">
        <v>1.10235831809872</v>
      </c>
      <c r="V914">
        <v>1.05063596764157</v>
      </c>
      <c r="W914">
        <v>3.82619428916755</v>
      </c>
      <c r="X914">
        <v>1.96929142123987</v>
      </c>
    </row>
    <row r="915" spans="1:24">
      <c r="A915">
        <v>310</v>
      </c>
      <c r="B915" t="s">
        <v>2485</v>
      </c>
      <c r="C915">
        <v>2</v>
      </c>
      <c r="D915" t="s">
        <v>2486</v>
      </c>
      <c r="E915">
        <v>8</v>
      </c>
      <c r="F915">
        <v>8</v>
      </c>
      <c r="G915">
        <v>8</v>
      </c>
      <c r="H915" t="s">
        <v>2487</v>
      </c>
      <c r="I915">
        <v>26</v>
      </c>
      <c r="J915">
        <v>47.616999999999997</v>
      </c>
      <c r="K915" t="str">
        <f>"F9"</f>
        <v>F9</v>
      </c>
      <c r="L915" t="str">
        <f>"F9"</f>
        <v>F9</v>
      </c>
      <c r="M915">
        <v>3.6311678256505799</v>
      </c>
      <c r="N915">
        <v>1.78900344370861</v>
      </c>
      <c r="O915">
        <v>0.91194339418818204</v>
      </c>
      <c r="P915">
        <v>0</v>
      </c>
      <c r="Q915">
        <v>2.51152398661212</v>
      </c>
      <c r="R915">
        <v>1.8001620641859499</v>
      </c>
      <c r="S915">
        <v>3.3994067114094002</v>
      </c>
      <c r="T915">
        <v>4.7379598709134303</v>
      </c>
      <c r="U915">
        <v>0</v>
      </c>
      <c r="V915">
        <v>2.1012719352831399</v>
      </c>
      <c r="W915">
        <v>0</v>
      </c>
      <c r="X915">
        <v>0.984645710619934</v>
      </c>
    </row>
    <row r="916" spans="1:24">
      <c r="A916">
        <v>620</v>
      </c>
      <c r="B916" t="s">
        <v>2488</v>
      </c>
      <c r="C916">
        <v>1</v>
      </c>
      <c r="D916" t="s">
        <v>2489</v>
      </c>
      <c r="E916">
        <v>10</v>
      </c>
      <c r="F916">
        <v>5</v>
      </c>
      <c r="G916">
        <v>5</v>
      </c>
      <c r="H916" t="s">
        <v>2488</v>
      </c>
      <c r="I916">
        <v>60.6</v>
      </c>
      <c r="J916">
        <v>11.553000000000001</v>
      </c>
      <c r="K916" t="str">
        <f>"PF4V1"</f>
        <v>PF4V1</v>
      </c>
      <c r="L916" t="str">
        <f>"PF4V1"</f>
        <v>PF4V1</v>
      </c>
      <c r="M916">
        <v>0</v>
      </c>
      <c r="N916">
        <v>1.78900344370861</v>
      </c>
      <c r="O916">
        <v>4.5597169709409098</v>
      </c>
      <c r="P916">
        <v>1.0652189274447901</v>
      </c>
      <c r="Q916">
        <v>1.25576199330606</v>
      </c>
      <c r="R916">
        <v>1.8001620641859499</v>
      </c>
      <c r="S916">
        <v>0</v>
      </c>
      <c r="T916">
        <v>3.5534699031850701</v>
      </c>
      <c r="U916">
        <v>2.20471663619744</v>
      </c>
      <c r="V916">
        <v>2.1012719352831399</v>
      </c>
      <c r="W916">
        <v>0</v>
      </c>
      <c r="X916">
        <v>0</v>
      </c>
    </row>
    <row r="917" spans="1:24">
      <c r="A917">
        <v>630</v>
      </c>
      <c r="B917" t="s">
        <v>2490</v>
      </c>
      <c r="C917">
        <v>3</v>
      </c>
      <c r="D917" t="s">
        <v>2491</v>
      </c>
      <c r="E917">
        <v>8</v>
      </c>
      <c r="F917">
        <v>8</v>
      </c>
      <c r="G917">
        <v>8</v>
      </c>
      <c r="H917" t="s">
        <v>2492</v>
      </c>
      <c r="I917">
        <v>33.1</v>
      </c>
      <c r="J917">
        <v>37.200000000000003</v>
      </c>
      <c r="K917" t="str">
        <f>"PDHB"</f>
        <v>PDHB</v>
      </c>
      <c r="L917" t="str">
        <f>"PDHB"</f>
        <v>PDHB</v>
      </c>
      <c r="M917">
        <v>0</v>
      </c>
      <c r="N917">
        <v>2.6835051655629099</v>
      </c>
      <c r="O917">
        <v>1.8238867883763601</v>
      </c>
      <c r="P917">
        <v>0</v>
      </c>
      <c r="Q917">
        <v>1.25576199330606</v>
      </c>
      <c r="R917">
        <v>3.6003241283718901</v>
      </c>
      <c r="S917">
        <v>1.1331355704698001</v>
      </c>
      <c r="T917">
        <v>0</v>
      </c>
      <c r="U917">
        <v>1.10235831809872</v>
      </c>
      <c r="V917">
        <v>1.05063596764157</v>
      </c>
      <c r="W917">
        <v>1.27539809638918</v>
      </c>
      <c r="X917">
        <v>1.96929142123987</v>
      </c>
    </row>
    <row r="918" spans="1:24">
      <c r="A918">
        <v>867</v>
      </c>
      <c r="B918" t="s">
        <v>2493</v>
      </c>
      <c r="C918">
        <v>8</v>
      </c>
      <c r="D918" t="s">
        <v>2494</v>
      </c>
      <c r="E918">
        <v>14</v>
      </c>
      <c r="F918">
        <v>14</v>
      </c>
      <c r="G918">
        <v>14</v>
      </c>
      <c r="H918" t="s">
        <v>2495</v>
      </c>
      <c r="I918">
        <v>20.100000000000001</v>
      </c>
      <c r="J918">
        <v>105.12</v>
      </c>
      <c r="K918" t="str">
        <f>"PCSK6"</f>
        <v>PCSK6</v>
      </c>
      <c r="L918" t="str">
        <f>"PCSK6"</f>
        <v>PCSK6</v>
      </c>
      <c r="M918">
        <v>1.2103892752168599</v>
      </c>
      <c r="N918">
        <v>0.89450172185430499</v>
      </c>
      <c r="O918">
        <v>2.7358301825645501</v>
      </c>
      <c r="P918">
        <v>0</v>
      </c>
      <c r="Q918">
        <v>1.25576199330606</v>
      </c>
      <c r="R918">
        <v>1.8001620641859499</v>
      </c>
      <c r="S918">
        <v>2.2662711409396001</v>
      </c>
      <c r="T918">
        <v>0</v>
      </c>
      <c r="U918">
        <v>1.10235831809872</v>
      </c>
      <c r="V918">
        <v>1.05063596764157</v>
      </c>
      <c r="W918">
        <v>0</v>
      </c>
      <c r="X918">
        <v>2.9539371318597998</v>
      </c>
    </row>
    <row r="919" spans="1:24">
      <c r="A919">
        <v>1205</v>
      </c>
      <c r="B919" t="s">
        <v>2496</v>
      </c>
      <c r="C919">
        <v>1</v>
      </c>
      <c r="D919" t="s">
        <v>2497</v>
      </c>
      <c r="E919">
        <v>8</v>
      </c>
      <c r="F919">
        <v>8</v>
      </c>
      <c r="G919">
        <v>8</v>
      </c>
      <c r="H919" t="s">
        <v>2496</v>
      </c>
      <c r="I919">
        <v>34.299999999999997</v>
      </c>
      <c r="J919">
        <v>42.12</v>
      </c>
      <c r="K919" t="str">
        <f>"CTSW"</f>
        <v>CTSW</v>
      </c>
      <c r="L919" t="str">
        <f>"CTSW"</f>
        <v>CTSW</v>
      </c>
      <c r="M919">
        <v>0</v>
      </c>
      <c r="N919">
        <v>0</v>
      </c>
      <c r="O919">
        <v>1.8238867883763601</v>
      </c>
      <c r="P919">
        <v>2.1304378548895899</v>
      </c>
      <c r="Q919">
        <v>0</v>
      </c>
      <c r="R919">
        <v>5.4004861925578398</v>
      </c>
      <c r="S919">
        <v>0</v>
      </c>
      <c r="T919">
        <v>3.5534699031850701</v>
      </c>
      <c r="U919">
        <v>1.10235831809872</v>
      </c>
      <c r="V919">
        <v>3.1519079029246999</v>
      </c>
      <c r="W919">
        <v>0</v>
      </c>
      <c r="X919">
        <v>2.9539371318597998</v>
      </c>
    </row>
    <row r="920" spans="1:24">
      <c r="A920">
        <v>1673</v>
      </c>
      <c r="B920" t="s">
        <v>2498</v>
      </c>
      <c r="C920">
        <v>6</v>
      </c>
      <c r="D920" t="s">
        <v>2499</v>
      </c>
      <c r="E920">
        <v>7</v>
      </c>
      <c r="F920">
        <v>7</v>
      </c>
      <c r="G920">
        <v>7</v>
      </c>
      <c r="H920" t="s">
        <v>2500</v>
      </c>
      <c r="I920">
        <v>32.6</v>
      </c>
      <c r="J920">
        <v>30.344999999999999</v>
      </c>
      <c r="K920" t="str">
        <f>"TANGO2"</f>
        <v>TANGO2</v>
      </c>
      <c r="L920" t="str">
        <f>"TANGO2"</f>
        <v>TANGO2</v>
      </c>
      <c r="M920">
        <v>0</v>
      </c>
      <c r="N920">
        <v>0.89450172185430499</v>
      </c>
      <c r="O920">
        <v>1.8238867883763601</v>
      </c>
      <c r="P920">
        <v>1.0652189274447901</v>
      </c>
      <c r="Q920">
        <v>0</v>
      </c>
      <c r="R920">
        <v>2.7002430962789199</v>
      </c>
      <c r="S920">
        <v>1.1331355704698001</v>
      </c>
      <c r="T920">
        <v>1.18448996772836</v>
      </c>
      <c r="U920">
        <v>3.3070749542961599</v>
      </c>
      <c r="V920">
        <v>3.1519079029246999</v>
      </c>
      <c r="W920">
        <v>2.5507961927783702</v>
      </c>
      <c r="X920">
        <v>3.9385828424797298</v>
      </c>
    </row>
    <row r="921" spans="1:24">
      <c r="A921">
        <v>1974</v>
      </c>
      <c r="B921" t="s">
        <v>2501</v>
      </c>
      <c r="C921">
        <v>7</v>
      </c>
      <c r="D921" t="s">
        <v>2502</v>
      </c>
      <c r="E921">
        <v>13</v>
      </c>
      <c r="F921">
        <v>13</v>
      </c>
      <c r="G921">
        <v>12</v>
      </c>
      <c r="H921" t="s">
        <v>2503</v>
      </c>
      <c r="I921">
        <v>28.4</v>
      </c>
      <c r="J921">
        <v>79.816999999999993</v>
      </c>
      <c r="K921" t="str">
        <f>"RUFY1;RUFY3"</f>
        <v>RUFY1;RUFY3</v>
      </c>
      <c r="L921" t="str">
        <f>"RUFY1;RUFY3"</f>
        <v>RUFY1;RUFY3</v>
      </c>
      <c r="M921">
        <v>1.2103892752168599</v>
      </c>
      <c r="N921">
        <v>0.89450172185430499</v>
      </c>
      <c r="O921">
        <v>1.8238867883763601</v>
      </c>
      <c r="P921">
        <v>1.0652189274447901</v>
      </c>
      <c r="Q921">
        <v>0</v>
      </c>
      <c r="R921">
        <v>2.7002430962789199</v>
      </c>
      <c r="S921">
        <v>0</v>
      </c>
      <c r="T921">
        <v>1.18448996772836</v>
      </c>
      <c r="U921">
        <v>2.20471663619744</v>
      </c>
      <c r="V921">
        <v>4.2025438705662701</v>
      </c>
      <c r="W921">
        <v>0</v>
      </c>
      <c r="X921">
        <v>2.9539371318597998</v>
      </c>
    </row>
    <row r="922" spans="1:24">
      <c r="A922">
        <v>2036</v>
      </c>
      <c r="B922" t="s">
        <v>2504</v>
      </c>
      <c r="C922">
        <v>1</v>
      </c>
      <c r="D922" t="s">
        <v>2505</v>
      </c>
      <c r="E922">
        <v>5</v>
      </c>
      <c r="F922">
        <v>5</v>
      </c>
      <c r="G922">
        <v>5</v>
      </c>
      <c r="H922" t="s">
        <v>2504</v>
      </c>
      <c r="I922">
        <v>20.399999999999999</v>
      </c>
      <c r="J922">
        <v>27.277000000000001</v>
      </c>
      <c r="K922" t="str">
        <f>"TMED9"</f>
        <v>TMED9</v>
      </c>
      <c r="L922" t="str">
        <f>"TMED9"</f>
        <v>TMED9</v>
      </c>
      <c r="M922">
        <v>2.4207785504337198</v>
      </c>
      <c r="N922">
        <v>0.89450172185430499</v>
      </c>
      <c r="O922">
        <v>1.8238867883763601</v>
      </c>
      <c r="P922">
        <v>1.0652189274447901</v>
      </c>
      <c r="Q922">
        <v>2.51152398661212</v>
      </c>
      <c r="R922">
        <v>2.7002430962789199</v>
      </c>
      <c r="S922">
        <v>2.2662711409396001</v>
      </c>
      <c r="T922">
        <v>1.18448996772836</v>
      </c>
      <c r="U922">
        <v>1.10235831809872</v>
      </c>
      <c r="V922">
        <v>3.1519079029246999</v>
      </c>
      <c r="W922">
        <v>2.5507961927783702</v>
      </c>
      <c r="X922">
        <v>1.96929142123987</v>
      </c>
    </row>
    <row r="923" spans="1:24">
      <c r="A923">
        <v>2317</v>
      </c>
      <c r="B923" t="s">
        <v>2506</v>
      </c>
      <c r="C923">
        <v>2</v>
      </c>
      <c r="D923" t="s">
        <v>2507</v>
      </c>
      <c r="E923">
        <v>5</v>
      </c>
      <c r="F923">
        <v>5</v>
      </c>
      <c r="G923">
        <v>5</v>
      </c>
      <c r="H923" t="s">
        <v>2508</v>
      </c>
      <c r="I923">
        <v>14.2</v>
      </c>
      <c r="J923">
        <v>38.213000000000001</v>
      </c>
      <c r="K923" t="str">
        <f>"ST3GAL6"</f>
        <v>ST3GAL6</v>
      </c>
      <c r="L923" t="str">
        <f>"ST3GAL6"</f>
        <v>ST3GAL6</v>
      </c>
      <c r="M923">
        <v>3.6311678256505799</v>
      </c>
      <c r="N923">
        <v>0</v>
      </c>
      <c r="O923">
        <v>0</v>
      </c>
      <c r="P923">
        <v>2.1304378548895899</v>
      </c>
      <c r="Q923">
        <v>1.25576199330606</v>
      </c>
      <c r="R923">
        <v>3.6003241283718901</v>
      </c>
      <c r="S923">
        <v>3.3994067114094002</v>
      </c>
      <c r="T923">
        <v>3.5534699031850701</v>
      </c>
      <c r="U923">
        <v>4.4094332723948799</v>
      </c>
      <c r="V923">
        <v>1.05063596764157</v>
      </c>
      <c r="W923">
        <v>1.27539809638918</v>
      </c>
      <c r="X923">
        <v>0.984645710619934</v>
      </c>
    </row>
    <row r="924" spans="1:24">
      <c r="A924">
        <v>278</v>
      </c>
      <c r="B924" t="s">
        <v>2509</v>
      </c>
      <c r="C924">
        <v>1</v>
      </c>
      <c r="D924" t="s">
        <v>2510</v>
      </c>
      <c r="E924">
        <v>7</v>
      </c>
      <c r="F924">
        <v>7</v>
      </c>
      <c r="G924">
        <v>3</v>
      </c>
      <c r="H924" t="s">
        <v>2509</v>
      </c>
      <c r="I924">
        <v>13.1</v>
      </c>
      <c r="J924">
        <v>58.021999999999998</v>
      </c>
      <c r="K924" t="str">
        <f>"OXSR1"</f>
        <v>OXSR1</v>
      </c>
      <c r="L924" t="str">
        <f>"OXSR1"</f>
        <v>OXSR1</v>
      </c>
      <c r="M924">
        <v>0</v>
      </c>
      <c r="N924">
        <v>0.89450172185430499</v>
      </c>
      <c r="O924">
        <v>1.8238867883763601</v>
      </c>
      <c r="P924">
        <v>0</v>
      </c>
      <c r="Q924">
        <v>1.25576199330606</v>
      </c>
      <c r="R924">
        <v>2.7002430962789199</v>
      </c>
      <c r="S924">
        <v>1.1331355704698001</v>
      </c>
      <c r="T924">
        <v>1.18448996772836</v>
      </c>
      <c r="U924">
        <v>1.10235831809872</v>
      </c>
      <c r="V924">
        <v>2.1012719352831399</v>
      </c>
      <c r="W924">
        <v>1.27539809638918</v>
      </c>
      <c r="X924">
        <v>2.9539371318597998</v>
      </c>
    </row>
    <row r="925" spans="1:24">
      <c r="A925">
        <v>938</v>
      </c>
      <c r="B925" t="s">
        <v>2511</v>
      </c>
      <c r="C925">
        <v>6</v>
      </c>
      <c r="D925" t="s">
        <v>2512</v>
      </c>
      <c r="E925">
        <v>10</v>
      </c>
      <c r="F925">
        <v>10</v>
      </c>
      <c r="G925">
        <v>10</v>
      </c>
      <c r="H925" t="s">
        <v>2513</v>
      </c>
      <c r="I925">
        <v>19.8</v>
      </c>
      <c r="J925">
        <v>57.488</v>
      </c>
      <c r="K925" t="str">
        <f>"GK;GK3P;GK2"</f>
        <v>GK;GK3P;GK2</v>
      </c>
      <c r="L925" t="str">
        <f>"GK;GK3P;GK2"</f>
        <v>GK;GK3P;GK2</v>
      </c>
      <c r="M925">
        <v>2.4207785504337198</v>
      </c>
      <c r="N925">
        <v>2.6835051655629099</v>
      </c>
      <c r="O925">
        <v>1.8238867883763601</v>
      </c>
      <c r="P925">
        <v>3.19565678233438</v>
      </c>
      <c r="Q925">
        <v>1.25576199330606</v>
      </c>
      <c r="R925">
        <v>0.90008103209297396</v>
      </c>
      <c r="S925">
        <v>1.1331355704698001</v>
      </c>
      <c r="T925">
        <v>2.3689799354567098</v>
      </c>
      <c r="U925">
        <v>0</v>
      </c>
      <c r="V925">
        <v>2.1012719352831399</v>
      </c>
      <c r="W925">
        <v>2.5507961927783702</v>
      </c>
      <c r="X925">
        <v>2.9539371318597998</v>
      </c>
    </row>
    <row r="926" spans="1:24">
      <c r="A926">
        <v>1134</v>
      </c>
      <c r="B926" t="s">
        <v>2514</v>
      </c>
      <c r="C926">
        <v>1</v>
      </c>
      <c r="D926" t="s">
        <v>2515</v>
      </c>
      <c r="E926">
        <v>4</v>
      </c>
      <c r="F926">
        <v>4</v>
      </c>
      <c r="G926">
        <v>4</v>
      </c>
      <c r="H926" t="s">
        <v>2514</v>
      </c>
      <c r="I926">
        <v>12</v>
      </c>
      <c r="J926">
        <v>44.98</v>
      </c>
      <c r="K926" t="str">
        <f>"P2RX1"</f>
        <v>P2RX1</v>
      </c>
      <c r="L926" t="str">
        <f>"P2RX1"</f>
        <v>P2RX1</v>
      </c>
      <c r="M926">
        <v>1.2103892752168599</v>
      </c>
      <c r="N926">
        <v>1.78900344370861</v>
      </c>
      <c r="O926">
        <v>3.64777357675273</v>
      </c>
      <c r="P926">
        <v>3.19565678233438</v>
      </c>
      <c r="Q926">
        <v>1.25576199330606</v>
      </c>
      <c r="R926">
        <v>0.90008103209297396</v>
      </c>
      <c r="S926">
        <v>0</v>
      </c>
      <c r="T926">
        <v>2.3689799354567098</v>
      </c>
      <c r="U926">
        <v>1.10235831809872</v>
      </c>
      <c r="V926">
        <v>0</v>
      </c>
      <c r="W926">
        <v>1.27539809638918</v>
      </c>
      <c r="X926">
        <v>0.984645710619934</v>
      </c>
    </row>
    <row r="927" spans="1:24">
      <c r="A927">
        <v>1520</v>
      </c>
      <c r="B927" t="s">
        <v>2516</v>
      </c>
      <c r="C927">
        <v>1</v>
      </c>
      <c r="D927" t="s">
        <v>2517</v>
      </c>
      <c r="E927">
        <v>2</v>
      </c>
      <c r="F927">
        <v>1</v>
      </c>
      <c r="G927">
        <v>1</v>
      </c>
      <c r="H927" t="s">
        <v>2516</v>
      </c>
      <c r="I927">
        <v>6</v>
      </c>
      <c r="J927">
        <v>25.006</v>
      </c>
      <c r="K927" t="str">
        <f>"RAB39A"</f>
        <v>RAB39A</v>
      </c>
      <c r="L927" t="str">
        <f>"RAB39A"</f>
        <v>RAB39A</v>
      </c>
      <c r="M927">
        <v>2.4207785504337198</v>
      </c>
      <c r="N927">
        <v>1.78900344370861</v>
      </c>
      <c r="O927">
        <v>1.8238867883763601</v>
      </c>
      <c r="P927">
        <v>2.1304378548895899</v>
      </c>
      <c r="Q927">
        <v>0</v>
      </c>
      <c r="R927">
        <v>1.8001620641859499</v>
      </c>
      <c r="S927">
        <v>2.2662711409396001</v>
      </c>
      <c r="T927">
        <v>2.3689799354567098</v>
      </c>
      <c r="U927">
        <v>0</v>
      </c>
      <c r="V927">
        <v>2.1012719352831399</v>
      </c>
      <c r="W927">
        <v>1.27539809638918</v>
      </c>
      <c r="X927">
        <v>1.96929142123987</v>
      </c>
    </row>
    <row r="928" spans="1:24">
      <c r="A928">
        <v>1545</v>
      </c>
      <c r="B928" t="s">
        <v>2518</v>
      </c>
      <c r="C928">
        <v>1</v>
      </c>
      <c r="D928" t="s">
        <v>2519</v>
      </c>
      <c r="E928">
        <v>9</v>
      </c>
      <c r="F928">
        <v>9</v>
      </c>
      <c r="G928">
        <v>9</v>
      </c>
      <c r="H928" t="s">
        <v>2518</v>
      </c>
      <c r="I928">
        <v>27.7</v>
      </c>
      <c r="J928">
        <v>54.19</v>
      </c>
      <c r="K928" t="str">
        <f>"STK38"</f>
        <v>STK38</v>
      </c>
      <c r="L928" t="str">
        <f>"STK38"</f>
        <v>STK38</v>
      </c>
      <c r="M928">
        <v>1.2103892752168599</v>
      </c>
      <c r="N928">
        <v>0.89450172185430499</v>
      </c>
      <c r="O928">
        <v>2.7358301825645501</v>
      </c>
      <c r="P928">
        <v>3.19565678233438</v>
      </c>
      <c r="Q928">
        <v>1.25576199330606</v>
      </c>
      <c r="R928">
        <v>0</v>
      </c>
      <c r="S928">
        <v>2.2662711409396001</v>
      </c>
      <c r="T928">
        <v>0</v>
      </c>
      <c r="U928">
        <v>3.3070749542961599</v>
      </c>
      <c r="V928">
        <v>2.1012719352831399</v>
      </c>
      <c r="W928">
        <v>0</v>
      </c>
      <c r="X928">
        <v>1.96929142123987</v>
      </c>
    </row>
    <row r="929" spans="1:24">
      <c r="A929">
        <v>1782</v>
      </c>
      <c r="B929" t="s">
        <v>2520</v>
      </c>
      <c r="C929">
        <v>1</v>
      </c>
      <c r="D929" t="s">
        <v>2521</v>
      </c>
      <c r="E929">
        <v>5</v>
      </c>
      <c r="F929">
        <v>5</v>
      </c>
      <c r="G929">
        <v>5</v>
      </c>
      <c r="H929" t="s">
        <v>2520</v>
      </c>
      <c r="I929">
        <v>27.9</v>
      </c>
      <c r="J929">
        <v>29.443000000000001</v>
      </c>
      <c r="K929" t="str">
        <f>"CA13"</f>
        <v>CA13</v>
      </c>
      <c r="L929" t="str">
        <f>"CA13"</f>
        <v>CA13</v>
      </c>
      <c r="M929">
        <v>1.2103892752168599</v>
      </c>
      <c r="N929">
        <v>2.6835051655629099</v>
      </c>
      <c r="O929">
        <v>0.91194339418818204</v>
      </c>
      <c r="P929">
        <v>2.1304378548895899</v>
      </c>
      <c r="Q929">
        <v>1.25576199330606</v>
      </c>
      <c r="R929">
        <v>1.8001620641859499</v>
      </c>
      <c r="S929">
        <v>3.3994067114094002</v>
      </c>
      <c r="T929">
        <v>1.18448996772836</v>
      </c>
      <c r="U929">
        <v>3.3070749542961599</v>
      </c>
      <c r="V929">
        <v>1.05063596764157</v>
      </c>
      <c r="W929">
        <v>2.5507961927783702</v>
      </c>
      <c r="X929">
        <v>2.9539371318597998</v>
      </c>
    </row>
    <row r="930" spans="1:24">
      <c r="A930">
        <v>1853</v>
      </c>
      <c r="B930" t="s">
        <v>2522</v>
      </c>
      <c r="C930">
        <v>1</v>
      </c>
      <c r="D930" t="s">
        <v>2523</v>
      </c>
      <c r="E930">
        <v>2</v>
      </c>
      <c r="F930">
        <v>2</v>
      </c>
      <c r="G930">
        <v>2</v>
      </c>
      <c r="H930" t="s">
        <v>2522</v>
      </c>
      <c r="I930">
        <v>0.7</v>
      </c>
      <c r="J930">
        <v>2284.3000000000002</v>
      </c>
      <c r="K930" t="str">
        <f>"MUC16"</f>
        <v>MUC16</v>
      </c>
      <c r="L930" t="str">
        <f>"MUC16"</f>
        <v>MUC16</v>
      </c>
      <c r="M930">
        <v>3.6311678256505799</v>
      </c>
      <c r="N930">
        <v>1.78900344370861</v>
      </c>
      <c r="O930">
        <v>2.7358301825645501</v>
      </c>
      <c r="P930">
        <v>3.19565678233438</v>
      </c>
      <c r="Q930">
        <v>1.25576199330606</v>
      </c>
      <c r="R930">
        <v>0.90008103209297396</v>
      </c>
      <c r="S930">
        <v>1.1331355704698001</v>
      </c>
      <c r="T930">
        <v>2.3689799354567098</v>
      </c>
      <c r="U930">
        <v>1.10235831809872</v>
      </c>
      <c r="V930">
        <v>2.1012719352831399</v>
      </c>
      <c r="W930">
        <v>1.27539809638918</v>
      </c>
      <c r="X930">
        <v>1.96929142123987</v>
      </c>
    </row>
    <row r="931" spans="1:24">
      <c r="A931">
        <v>1903</v>
      </c>
      <c r="B931" t="s">
        <v>2524</v>
      </c>
      <c r="C931">
        <v>1</v>
      </c>
      <c r="D931" t="s">
        <v>2525</v>
      </c>
      <c r="E931">
        <v>4</v>
      </c>
      <c r="F931">
        <v>4</v>
      </c>
      <c r="G931">
        <v>4</v>
      </c>
      <c r="H931" t="s">
        <v>2524</v>
      </c>
      <c r="I931">
        <v>25.3</v>
      </c>
      <c r="J931">
        <v>17.341999999999999</v>
      </c>
      <c r="K931" t="str">
        <f>"FAM162A"</f>
        <v>FAM162A</v>
      </c>
      <c r="L931" t="str">
        <f>"FAM162A"</f>
        <v>FAM162A</v>
      </c>
      <c r="M931">
        <v>1.2103892752168599</v>
      </c>
      <c r="N931">
        <v>1.78900344370861</v>
      </c>
      <c r="O931">
        <v>1.8238867883763601</v>
      </c>
      <c r="P931">
        <v>2.1304378548895899</v>
      </c>
      <c r="Q931">
        <v>1.25576199330606</v>
      </c>
      <c r="R931">
        <v>1.8001620641859499</v>
      </c>
      <c r="S931">
        <v>2.2662711409396001</v>
      </c>
      <c r="T931">
        <v>1.18448996772836</v>
      </c>
      <c r="U931">
        <v>1.10235831809872</v>
      </c>
      <c r="V931">
        <v>1.05063596764157</v>
      </c>
      <c r="W931">
        <v>1.27539809638918</v>
      </c>
      <c r="X931">
        <v>0.984645710619934</v>
      </c>
    </row>
    <row r="932" spans="1:24">
      <c r="A932">
        <v>2281</v>
      </c>
      <c r="B932" t="s">
        <v>2526</v>
      </c>
      <c r="C932">
        <v>1</v>
      </c>
      <c r="D932" t="s">
        <v>2527</v>
      </c>
      <c r="E932">
        <v>12</v>
      </c>
      <c r="F932">
        <v>12</v>
      </c>
      <c r="G932">
        <v>12</v>
      </c>
      <c r="H932" t="s">
        <v>2526</v>
      </c>
      <c r="I932">
        <v>49.4</v>
      </c>
      <c r="J932">
        <v>27.401</v>
      </c>
      <c r="K932" t="str">
        <f>"PSME2"</f>
        <v>PSME2</v>
      </c>
      <c r="L932" t="str">
        <f>"PSME2"</f>
        <v>PSME2</v>
      </c>
      <c r="M932">
        <v>0</v>
      </c>
      <c r="N932">
        <v>1.78900344370861</v>
      </c>
      <c r="O932">
        <v>0</v>
      </c>
      <c r="P932">
        <v>2.1304378548895899</v>
      </c>
      <c r="Q932">
        <v>1.25576199330606</v>
      </c>
      <c r="R932">
        <v>1.8001620641859499</v>
      </c>
      <c r="S932">
        <v>2.2662711409396001</v>
      </c>
      <c r="T932">
        <v>1.18448996772836</v>
      </c>
      <c r="U932">
        <v>2.20471663619744</v>
      </c>
      <c r="V932">
        <v>2.1012719352831399</v>
      </c>
      <c r="W932">
        <v>1.27539809638918</v>
      </c>
      <c r="X932">
        <v>0.984645710619934</v>
      </c>
    </row>
    <row r="933" spans="1:24">
      <c r="A933">
        <v>2284</v>
      </c>
      <c r="B933" t="s">
        <v>2528</v>
      </c>
      <c r="C933">
        <v>3</v>
      </c>
      <c r="D933" t="s">
        <v>2529</v>
      </c>
      <c r="E933">
        <v>11</v>
      </c>
      <c r="F933">
        <v>11</v>
      </c>
      <c r="G933">
        <v>11</v>
      </c>
      <c r="H933" t="s">
        <v>2530</v>
      </c>
      <c r="I933">
        <v>22</v>
      </c>
      <c r="J933">
        <v>73.277000000000001</v>
      </c>
      <c r="K933" t="str">
        <f>"ACSL5"</f>
        <v>ACSL5</v>
      </c>
      <c r="L933" t="str">
        <f>"ACSL5"</f>
        <v>ACSL5</v>
      </c>
      <c r="M933">
        <v>0</v>
      </c>
      <c r="N933">
        <v>0</v>
      </c>
      <c r="O933">
        <v>0.91194339418818204</v>
      </c>
      <c r="P933">
        <v>2.1304378548895899</v>
      </c>
      <c r="Q933">
        <v>1.25576199330606</v>
      </c>
      <c r="R933">
        <v>4.5004051604648696</v>
      </c>
      <c r="S933">
        <v>1.1331355704698001</v>
      </c>
      <c r="T933">
        <v>0</v>
      </c>
      <c r="U933">
        <v>2.20471663619744</v>
      </c>
      <c r="V933">
        <v>1.05063596764157</v>
      </c>
      <c r="W933">
        <v>0</v>
      </c>
      <c r="X933">
        <v>0.984645710619934</v>
      </c>
    </row>
    <row r="934" spans="1:24">
      <c r="A934">
        <v>2299</v>
      </c>
      <c r="B934" t="s">
        <v>2531</v>
      </c>
      <c r="C934">
        <v>4</v>
      </c>
      <c r="D934" t="s">
        <v>2532</v>
      </c>
      <c r="E934">
        <v>12</v>
      </c>
      <c r="F934">
        <v>12</v>
      </c>
      <c r="G934">
        <v>12</v>
      </c>
      <c r="H934" t="s">
        <v>2533</v>
      </c>
      <c r="I934">
        <v>42.2</v>
      </c>
      <c r="J934">
        <v>40.572000000000003</v>
      </c>
      <c r="K934" t="str">
        <f>"NSFL1C"</f>
        <v>NSFL1C</v>
      </c>
      <c r="L934" t="str">
        <f>"NSFL1C"</f>
        <v>NSFL1C</v>
      </c>
      <c r="M934">
        <v>0</v>
      </c>
      <c r="N934">
        <v>0.89450172185430499</v>
      </c>
      <c r="O934">
        <v>1.8238867883763601</v>
      </c>
      <c r="P934">
        <v>1.0652189274447901</v>
      </c>
      <c r="Q934">
        <v>0</v>
      </c>
      <c r="R934">
        <v>2.7002430962789199</v>
      </c>
      <c r="S934">
        <v>1.1331355704698001</v>
      </c>
      <c r="T934">
        <v>0</v>
      </c>
      <c r="U934">
        <v>4.4094332723948799</v>
      </c>
      <c r="V934">
        <v>1.05063596764157</v>
      </c>
      <c r="W934">
        <v>0</v>
      </c>
      <c r="X934">
        <v>2.9539371318597998</v>
      </c>
    </row>
    <row r="935" spans="1:24">
      <c r="A935">
        <v>2381</v>
      </c>
      <c r="B935" t="s">
        <v>2534</v>
      </c>
      <c r="C935">
        <v>2</v>
      </c>
      <c r="D935" t="s">
        <v>2535</v>
      </c>
      <c r="E935">
        <v>13</v>
      </c>
      <c r="F935">
        <v>13</v>
      </c>
      <c r="G935">
        <v>13</v>
      </c>
      <c r="H935" t="s">
        <v>2536</v>
      </c>
      <c r="I935">
        <v>10.199999999999999</v>
      </c>
      <c r="J935">
        <v>208.76</v>
      </c>
      <c r="K935" t="str">
        <f>"ARFGEF1;ARFGEF2"</f>
        <v>ARFGEF1;ARFGEF2</v>
      </c>
      <c r="L935" t="str">
        <f>"ARFGEF1;ARFGEF2"</f>
        <v>ARFGEF1;ARFGEF2</v>
      </c>
      <c r="M935">
        <v>0</v>
      </c>
      <c r="N935">
        <v>3.57800688741722</v>
      </c>
      <c r="O935">
        <v>1.8238867883763601</v>
      </c>
      <c r="P935">
        <v>0</v>
      </c>
      <c r="Q935">
        <v>0</v>
      </c>
      <c r="R935">
        <v>1.8001620641859499</v>
      </c>
      <c r="S935">
        <v>1.1331355704698001</v>
      </c>
      <c r="T935">
        <v>1.18448996772836</v>
      </c>
      <c r="U935">
        <v>1.10235831809872</v>
      </c>
      <c r="V935">
        <v>1.05063596764157</v>
      </c>
      <c r="W935">
        <v>0</v>
      </c>
      <c r="X935">
        <v>2.9539371318597998</v>
      </c>
    </row>
    <row r="936" spans="1:24">
      <c r="A936">
        <v>7</v>
      </c>
      <c r="B936" t="s">
        <v>2537</v>
      </c>
      <c r="C936">
        <v>2</v>
      </c>
      <c r="D936" t="s">
        <v>2538</v>
      </c>
      <c r="E936">
        <v>10</v>
      </c>
      <c r="F936">
        <v>10</v>
      </c>
      <c r="G936">
        <v>10</v>
      </c>
      <c r="H936" t="s">
        <v>2539</v>
      </c>
      <c r="I936">
        <v>10.6</v>
      </c>
      <c r="J936">
        <v>135.88999999999999</v>
      </c>
      <c r="K936" t="str">
        <f>"DENND3"</f>
        <v>DENND3</v>
      </c>
      <c r="L936" t="str">
        <f>"DENND3"</f>
        <v>DENND3</v>
      </c>
      <c r="M936">
        <v>1.2103892752168599</v>
      </c>
      <c r="N936">
        <v>1.78900344370861</v>
      </c>
      <c r="O936">
        <v>2.7358301825645501</v>
      </c>
      <c r="P936">
        <v>2.1304378548895899</v>
      </c>
      <c r="Q936">
        <v>1.25576199330606</v>
      </c>
      <c r="R936">
        <v>1.8001620641859499</v>
      </c>
      <c r="S936">
        <v>1.1331355704698001</v>
      </c>
      <c r="T936">
        <v>2.3689799354567098</v>
      </c>
      <c r="U936">
        <v>1.10235831809872</v>
      </c>
      <c r="V936">
        <v>1.05063596764157</v>
      </c>
      <c r="W936">
        <v>1.27539809638918</v>
      </c>
      <c r="X936">
        <v>0.984645710619934</v>
      </c>
    </row>
    <row r="937" spans="1:24">
      <c r="A937">
        <v>55</v>
      </c>
      <c r="B937" t="s">
        <v>2540</v>
      </c>
      <c r="C937">
        <v>1</v>
      </c>
      <c r="D937" t="s">
        <v>2541</v>
      </c>
      <c r="E937">
        <v>11</v>
      </c>
      <c r="F937">
        <v>11</v>
      </c>
      <c r="G937">
        <v>11</v>
      </c>
      <c r="H937" t="s">
        <v>2540</v>
      </c>
      <c r="I937">
        <v>21.5</v>
      </c>
      <c r="J937">
        <v>67.763999999999996</v>
      </c>
      <c r="K937" t="str">
        <f>"STXBP3"</f>
        <v>STXBP3</v>
      </c>
      <c r="L937" t="str">
        <f>"STXBP3"</f>
        <v>STXBP3</v>
      </c>
      <c r="M937">
        <v>0</v>
      </c>
      <c r="N937">
        <v>1.78900344370861</v>
      </c>
      <c r="O937">
        <v>1.8238867883763601</v>
      </c>
      <c r="P937">
        <v>1.0652189274447901</v>
      </c>
      <c r="Q937">
        <v>1.25576199330606</v>
      </c>
      <c r="R937">
        <v>1.8001620641859499</v>
      </c>
      <c r="S937">
        <v>1.1331355704698001</v>
      </c>
      <c r="T937">
        <v>1.18448996772836</v>
      </c>
      <c r="U937">
        <v>2.20471663619744</v>
      </c>
      <c r="V937">
        <v>3.1519079029246999</v>
      </c>
      <c r="W937">
        <v>2.5507961927783702</v>
      </c>
      <c r="X937">
        <v>2.9539371318597998</v>
      </c>
    </row>
    <row r="938" spans="1:24">
      <c r="A938">
        <v>441</v>
      </c>
      <c r="B938" t="s">
        <v>2542</v>
      </c>
      <c r="C938">
        <v>1</v>
      </c>
      <c r="D938" t="s">
        <v>2543</v>
      </c>
      <c r="E938">
        <v>11</v>
      </c>
      <c r="F938">
        <v>11</v>
      </c>
      <c r="G938">
        <v>11</v>
      </c>
      <c r="H938" t="s">
        <v>2542</v>
      </c>
      <c r="I938">
        <v>38.700000000000003</v>
      </c>
      <c r="J938">
        <v>38.713999999999999</v>
      </c>
      <c r="K938" t="str">
        <f>"ANXA1"</f>
        <v>ANXA1</v>
      </c>
      <c r="L938" t="str">
        <f>"ANXA1"</f>
        <v>ANXA1</v>
      </c>
      <c r="M938">
        <v>1.2103892752168599</v>
      </c>
      <c r="N938">
        <v>0</v>
      </c>
      <c r="O938">
        <v>0</v>
      </c>
      <c r="P938">
        <v>1.0652189274447901</v>
      </c>
      <c r="Q938">
        <v>0</v>
      </c>
      <c r="R938">
        <v>6.3005672246508198</v>
      </c>
      <c r="S938">
        <v>2.2662711409396001</v>
      </c>
      <c r="T938">
        <v>0</v>
      </c>
      <c r="U938">
        <v>4.4094332723948799</v>
      </c>
      <c r="V938">
        <v>2.1012719352831399</v>
      </c>
      <c r="W938">
        <v>1.27539809638918</v>
      </c>
      <c r="X938">
        <v>0</v>
      </c>
    </row>
    <row r="939" spans="1:24">
      <c r="A939">
        <v>560</v>
      </c>
      <c r="B939" t="s">
        <v>2544</v>
      </c>
      <c r="C939">
        <v>1</v>
      </c>
      <c r="D939" t="s">
        <v>2545</v>
      </c>
      <c r="E939">
        <v>7</v>
      </c>
      <c r="F939">
        <v>7</v>
      </c>
      <c r="G939">
        <v>7</v>
      </c>
      <c r="H939" t="s">
        <v>2544</v>
      </c>
      <c r="I939">
        <v>31.5</v>
      </c>
      <c r="J939">
        <v>40.076000000000001</v>
      </c>
      <c r="K939" t="str">
        <f>"CD14"</f>
        <v>CD14</v>
      </c>
      <c r="L939" t="str">
        <f>"CD14"</f>
        <v>CD14</v>
      </c>
      <c r="M939">
        <v>3.6311678256505799</v>
      </c>
      <c r="N939">
        <v>1.78900344370861</v>
      </c>
      <c r="O939">
        <v>0</v>
      </c>
      <c r="P939">
        <v>2.1304378548895899</v>
      </c>
      <c r="Q939">
        <v>2.51152398661212</v>
      </c>
      <c r="R939">
        <v>2.7002430962789199</v>
      </c>
      <c r="S939">
        <v>0</v>
      </c>
      <c r="T939">
        <v>1.18448996772836</v>
      </c>
      <c r="U939">
        <v>0</v>
      </c>
      <c r="V939">
        <v>3.1519079029246999</v>
      </c>
      <c r="W939">
        <v>1.27539809638918</v>
      </c>
      <c r="X939">
        <v>0.984645710619934</v>
      </c>
    </row>
    <row r="940" spans="1:24">
      <c r="A940">
        <v>682</v>
      </c>
      <c r="B940" t="s">
        <v>2546</v>
      </c>
      <c r="C940">
        <v>2</v>
      </c>
      <c r="D940" t="s">
        <v>2547</v>
      </c>
      <c r="E940">
        <v>11</v>
      </c>
      <c r="F940">
        <v>11</v>
      </c>
      <c r="G940">
        <v>11</v>
      </c>
      <c r="H940" t="s">
        <v>2548</v>
      </c>
      <c r="I940">
        <v>30.2</v>
      </c>
      <c r="J940">
        <v>54.012999999999998</v>
      </c>
      <c r="K940" t="str">
        <f>"HCLS1"</f>
        <v>HCLS1</v>
      </c>
      <c r="L940" t="str">
        <f>"HCLS1"</f>
        <v>HCLS1</v>
      </c>
      <c r="M940">
        <v>1.2103892752168599</v>
      </c>
      <c r="N940">
        <v>1.78900344370861</v>
      </c>
      <c r="O940">
        <v>0.91194339418818204</v>
      </c>
      <c r="P940">
        <v>3.19565678233438</v>
      </c>
      <c r="Q940">
        <v>2.51152398661212</v>
      </c>
      <c r="R940">
        <v>5.4004861925578398</v>
      </c>
      <c r="S940">
        <v>0</v>
      </c>
      <c r="T940">
        <v>0</v>
      </c>
      <c r="U940">
        <v>3.3070749542961599</v>
      </c>
      <c r="V940">
        <v>2.1012719352831399</v>
      </c>
      <c r="W940">
        <v>3.82619428916755</v>
      </c>
      <c r="X940">
        <v>1.96929142123987</v>
      </c>
    </row>
    <row r="941" spans="1:24">
      <c r="A941">
        <v>891</v>
      </c>
      <c r="B941" t="s">
        <v>2549</v>
      </c>
      <c r="C941">
        <v>1</v>
      </c>
      <c r="D941" t="s">
        <v>2550</v>
      </c>
      <c r="E941">
        <v>4</v>
      </c>
      <c r="F941">
        <v>4</v>
      </c>
      <c r="G941">
        <v>4</v>
      </c>
      <c r="H941" t="s">
        <v>2549</v>
      </c>
      <c r="I941">
        <v>39.5</v>
      </c>
      <c r="J941">
        <v>9.6674000000000007</v>
      </c>
      <c r="K941" t="str">
        <f>"FCER1G"</f>
        <v>FCER1G</v>
      </c>
      <c r="L941" t="str">
        <f>"FCER1G"</f>
        <v>FCER1G</v>
      </c>
      <c r="M941">
        <v>1.2103892752168599</v>
      </c>
      <c r="N941">
        <v>1.78900344370861</v>
      </c>
      <c r="O941">
        <v>3.64777357675273</v>
      </c>
      <c r="P941">
        <v>1.0652189274447901</v>
      </c>
      <c r="Q941">
        <v>1.25576199330606</v>
      </c>
      <c r="R941">
        <v>1.8001620641859499</v>
      </c>
      <c r="S941">
        <v>1.1331355704698001</v>
      </c>
      <c r="T941">
        <v>1.18448996772836</v>
      </c>
      <c r="U941">
        <v>0</v>
      </c>
      <c r="V941">
        <v>2.1012719352831399</v>
      </c>
      <c r="W941">
        <v>0</v>
      </c>
      <c r="X941">
        <v>0</v>
      </c>
    </row>
    <row r="942" spans="1:24">
      <c r="A942">
        <v>972</v>
      </c>
      <c r="B942" t="s">
        <v>2551</v>
      </c>
      <c r="C942">
        <v>3</v>
      </c>
      <c r="D942" t="s">
        <v>2552</v>
      </c>
      <c r="E942">
        <v>7</v>
      </c>
      <c r="F942">
        <v>7</v>
      </c>
      <c r="G942">
        <v>7</v>
      </c>
      <c r="H942" t="s">
        <v>2553</v>
      </c>
      <c r="I942">
        <v>25.5</v>
      </c>
      <c r="J942">
        <v>34.36</v>
      </c>
      <c r="K942" t="str">
        <f>"HMGCL"</f>
        <v>HMGCL</v>
      </c>
      <c r="L942" t="str">
        <f>"HMGCL"</f>
        <v>HMGCL</v>
      </c>
      <c r="M942">
        <v>0</v>
      </c>
      <c r="N942">
        <v>1.78900344370861</v>
      </c>
      <c r="O942">
        <v>0.91194339418818204</v>
      </c>
      <c r="P942">
        <v>1.0652189274447901</v>
      </c>
      <c r="Q942">
        <v>1.25576199330606</v>
      </c>
      <c r="R942">
        <v>0.90008103209297396</v>
      </c>
      <c r="S942">
        <v>2.2662711409396001</v>
      </c>
      <c r="T942">
        <v>1.18448996772836</v>
      </c>
      <c r="U942">
        <v>1.10235831809872</v>
      </c>
      <c r="V942">
        <v>1.05063596764157</v>
      </c>
      <c r="W942">
        <v>3.82619428916755</v>
      </c>
      <c r="X942">
        <v>0.984645710619934</v>
      </c>
    </row>
    <row r="943" spans="1:24">
      <c r="A943">
        <v>1017</v>
      </c>
      <c r="B943" t="s">
        <v>2554</v>
      </c>
      <c r="C943">
        <v>2</v>
      </c>
      <c r="D943" t="s">
        <v>2555</v>
      </c>
      <c r="E943">
        <v>14</v>
      </c>
      <c r="F943">
        <v>14</v>
      </c>
      <c r="G943">
        <v>14</v>
      </c>
      <c r="H943" t="s">
        <v>2556</v>
      </c>
      <c r="I943">
        <v>23.3</v>
      </c>
      <c r="J943">
        <v>87.334000000000003</v>
      </c>
      <c r="K943" t="str">
        <f>"STAT1"</f>
        <v>STAT1</v>
      </c>
      <c r="L943" t="str">
        <f>"STAT1"</f>
        <v>STAT1</v>
      </c>
      <c r="M943">
        <v>1.2103892752168599</v>
      </c>
      <c r="N943">
        <v>0</v>
      </c>
      <c r="O943">
        <v>2.7358301825645501</v>
      </c>
      <c r="P943">
        <v>1.0652189274447901</v>
      </c>
      <c r="Q943">
        <v>0</v>
      </c>
      <c r="R943">
        <v>0.90008103209297396</v>
      </c>
      <c r="S943">
        <v>2.2662711409396001</v>
      </c>
      <c r="T943">
        <v>1.18448996772836</v>
      </c>
      <c r="U943">
        <v>5.5117915904936003</v>
      </c>
      <c r="V943">
        <v>0</v>
      </c>
      <c r="W943">
        <v>0</v>
      </c>
      <c r="X943">
        <v>1.96929142123987</v>
      </c>
    </row>
    <row r="944" spans="1:24">
      <c r="A944">
        <v>1055</v>
      </c>
      <c r="B944" t="s">
        <v>2557</v>
      </c>
      <c r="C944">
        <v>2</v>
      </c>
      <c r="D944" t="s">
        <v>2558</v>
      </c>
      <c r="E944">
        <v>9</v>
      </c>
      <c r="F944">
        <v>9</v>
      </c>
      <c r="G944">
        <v>9</v>
      </c>
      <c r="H944" t="s">
        <v>2559</v>
      </c>
      <c r="I944">
        <v>11.5</v>
      </c>
      <c r="J944">
        <v>80.528999999999996</v>
      </c>
      <c r="K944" t="str">
        <f>"STT3A"</f>
        <v>STT3A</v>
      </c>
      <c r="L944" t="str">
        <f>"STT3A"</f>
        <v>STT3A</v>
      </c>
      <c r="M944">
        <v>1.2103892752168599</v>
      </c>
      <c r="N944">
        <v>3.57800688741722</v>
      </c>
      <c r="O944">
        <v>4.5597169709409098</v>
      </c>
      <c r="P944">
        <v>2.1304378548895899</v>
      </c>
      <c r="Q944">
        <v>0</v>
      </c>
      <c r="R944">
        <v>1.8001620641859499</v>
      </c>
      <c r="S944">
        <v>3.3994067114094002</v>
      </c>
      <c r="T944">
        <v>0</v>
      </c>
      <c r="U944">
        <v>1.10235831809872</v>
      </c>
      <c r="V944">
        <v>2.1012719352831399</v>
      </c>
      <c r="W944">
        <v>0</v>
      </c>
      <c r="X944">
        <v>1.96929142123987</v>
      </c>
    </row>
    <row r="945" spans="1:24">
      <c r="A945">
        <v>1700</v>
      </c>
      <c r="B945" t="s">
        <v>2560</v>
      </c>
      <c r="C945">
        <v>7</v>
      </c>
      <c r="D945" t="s">
        <v>2561</v>
      </c>
      <c r="E945">
        <v>3</v>
      </c>
      <c r="F945">
        <v>3</v>
      </c>
      <c r="G945">
        <v>3</v>
      </c>
      <c r="H945" t="s">
        <v>2562</v>
      </c>
      <c r="I945">
        <v>21.5</v>
      </c>
      <c r="J945">
        <v>22.495999999999999</v>
      </c>
      <c r="K945" t="str">
        <f>"RBPMS2;RBPMS"</f>
        <v>RBPMS2;RBPMS</v>
      </c>
      <c r="L945" t="str">
        <f>"RBPMS2;RBPMS"</f>
        <v>RBPMS2;RBPMS</v>
      </c>
      <c r="M945">
        <v>1.2103892752168599</v>
      </c>
      <c r="N945">
        <v>1.78900344370861</v>
      </c>
      <c r="O945">
        <v>1.8238867883763601</v>
      </c>
      <c r="P945">
        <v>2.1304378548895899</v>
      </c>
      <c r="Q945">
        <v>0</v>
      </c>
      <c r="R945">
        <v>1.8001620641859499</v>
      </c>
      <c r="S945">
        <v>2.2662711409396001</v>
      </c>
      <c r="T945">
        <v>2.3689799354567098</v>
      </c>
      <c r="U945">
        <v>2.20471663619744</v>
      </c>
      <c r="V945">
        <v>2.1012719352831399</v>
      </c>
      <c r="W945">
        <v>1.27539809638918</v>
      </c>
      <c r="X945">
        <v>1.96929142123987</v>
      </c>
    </row>
    <row r="946" spans="1:24">
      <c r="A946">
        <v>1834</v>
      </c>
      <c r="B946" t="s">
        <v>2563</v>
      </c>
      <c r="C946">
        <v>4</v>
      </c>
      <c r="D946" t="s">
        <v>2564</v>
      </c>
      <c r="E946">
        <v>12</v>
      </c>
      <c r="F946">
        <v>12</v>
      </c>
      <c r="G946">
        <v>12</v>
      </c>
      <c r="H946" t="s">
        <v>2565</v>
      </c>
      <c r="I946">
        <v>14.6</v>
      </c>
      <c r="J946">
        <v>117.87</v>
      </c>
      <c r="K946" t="str">
        <f>"MICAL1"</f>
        <v>MICAL1</v>
      </c>
      <c r="L946" t="str">
        <f>"MICAL1"</f>
        <v>MICAL1</v>
      </c>
      <c r="M946">
        <v>0</v>
      </c>
      <c r="N946">
        <v>2.6835051655629099</v>
      </c>
      <c r="O946">
        <v>2.7358301825645501</v>
      </c>
      <c r="P946">
        <v>1.0652189274447901</v>
      </c>
      <c r="Q946">
        <v>1.25576199330606</v>
      </c>
      <c r="R946">
        <v>2.7002430962789199</v>
      </c>
      <c r="S946">
        <v>1.1331355704698001</v>
      </c>
      <c r="T946">
        <v>2.3689799354567098</v>
      </c>
      <c r="U946">
        <v>1.10235831809872</v>
      </c>
      <c r="V946">
        <v>2.1012719352831399</v>
      </c>
      <c r="W946">
        <v>1.27539809638918</v>
      </c>
      <c r="X946">
        <v>1.96929142123987</v>
      </c>
    </row>
    <row r="947" spans="1:24">
      <c r="A947">
        <v>1933</v>
      </c>
      <c r="B947" t="s">
        <v>2566</v>
      </c>
      <c r="C947">
        <v>1</v>
      </c>
      <c r="D947" t="s">
        <v>2567</v>
      </c>
      <c r="E947">
        <v>3</v>
      </c>
      <c r="F947">
        <v>3</v>
      </c>
      <c r="G947">
        <v>3</v>
      </c>
      <c r="H947" t="s">
        <v>2566</v>
      </c>
      <c r="I947">
        <v>7.1</v>
      </c>
      <c r="J947">
        <v>44.875999999999998</v>
      </c>
      <c r="K947" t="str">
        <f>"CERS2"</f>
        <v>CERS2</v>
      </c>
      <c r="L947" t="str">
        <f>"CERS2"</f>
        <v>CERS2</v>
      </c>
      <c r="M947">
        <v>2.4207785504337198</v>
      </c>
      <c r="N947">
        <v>1.78900344370861</v>
      </c>
      <c r="O947">
        <v>0.91194339418818204</v>
      </c>
      <c r="P947">
        <v>1.0652189274447901</v>
      </c>
      <c r="Q947">
        <v>2.51152398661212</v>
      </c>
      <c r="R947">
        <v>2.7002430962789199</v>
      </c>
      <c r="S947">
        <v>2.2662711409396001</v>
      </c>
      <c r="T947">
        <v>1.18448996772836</v>
      </c>
      <c r="U947">
        <v>2.20471663619744</v>
      </c>
      <c r="V947">
        <v>1.05063596764157</v>
      </c>
      <c r="W947">
        <v>1.27539809638918</v>
      </c>
      <c r="X947">
        <v>0.984645710619934</v>
      </c>
    </row>
    <row r="948" spans="1:24">
      <c r="A948">
        <v>2089</v>
      </c>
      <c r="B948" t="s">
        <v>2568</v>
      </c>
      <c r="C948">
        <v>1</v>
      </c>
      <c r="D948" t="s">
        <v>2569</v>
      </c>
      <c r="E948">
        <v>15</v>
      </c>
      <c r="F948">
        <v>12</v>
      </c>
      <c r="G948">
        <v>12</v>
      </c>
      <c r="H948" t="s">
        <v>2568</v>
      </c>
      <c r="I948">
        <v>19.7</v>
      </c>
      <c r="J948">
        <v>105.4</v>
      </c>
      <c r="K948" t="str">
        <f>"TAOK3"</f>
        <v>TAOK3</v>
      </c>
      <c r="L948" t="str">
        <f>"TAOK3"</f>
        <v>TAOK3</v>
      </c>
      <c r="M948">
        <v>0</v>
      </c>
      <c r="N948">
        <v>0.89450172185430499</v>
      </c>
      <c r="O948">
        <v>3.64777357675273</v>
      </c>
      <c r="P948">
        <v>3.19565678233438</v>
      </c>
      <c r="Q948">
        <v>0</v>
      </c>
      <c r="R948">
        <v>2.7002430962789199</v>
      </c>
      <c r="S948">
        <v>1.1331355704698001</v>
      </c>
      <c r="T948">
        <v>0</v>
      </c>
      <c r="U948">
        <v>1.10235831809872</v>
      </c>
      <c r="V948">
        <v>1.05063596764157</v>
      </c>
      <c r="W948">
        <v>1.27539809638918</v>
      </c>
      <c r="X948">
        <v>0.984645710619934</v>
      </c>
    </row>
    <row r="949" spans="1:24">
      <c r="A949">
        <v>51</v>
      </c>
      <c r="B949" t="s">
        <v>2570</v>
      </c>
      <c r="C949">
        <v>3</v>
      </c>
      <c r="D949" t="s">
        <v>2571</v>
      </c>
      <c r="E949">
        <v>12</v>
      </c>
      <c r="F949">
        <v>12</v>
      </c>
      <c r="G949">
        <v>12</v>
      </c>
      <c r="H949" t="s">
        <v>2572</v>
      </c>
      <c r="I949">
        <v>13.5</v>
      </c>
      <c r="J949">
        <v>117.91</v>
      </c>
      <c r="K949" t="str">
        <f>"MYO1C"</f>
        <v>MYO1C</v>
      </c>
      <c r="L949" t="str">
        <f>"MYO1C"</f>
        <v>MYO1C</v>
      </c>
      <c r="M949">
        <v>0</v>
      </c>
      <c r="N949">
        <v>3.57800688741722</v>
      </c>
      <c r="O949">
        <v>2.7358301825645501</v>
      </c>
      <c r="P949">
        <v>0</v>
      </c>
      <c r="Q949">
        <v>0</v>
      </c>
      <c r="R949">
        <v>1.8001620641859499</v>
      </c>
      <c r="S949">
        <v>0</v>
      </c>
      <c r="T949">
        <v>1.18448996772836</v>
      </c>
      <c r="U949">
        <v>2.20471663619744</v>
      </c>
      <c r="V949">
        <v>2.1012719352831399</v>
      </c>
      <c r="W949">
        <v>1.27539809638918</v>
      </c>
      <c r="X949">
        <v>1.96929142123987</v>
      </c>
    </row>
    <row r="950" spans="1:24">
      <c r="A950">
        <v>913</v>
      </c>
      <c r="B950" t="s">
        <v>2573</v>
      </c>
      <c r="C950">
        <v>2</v>
      </c>
      <c r="D950" t="s">
        <v>2574</v>
      </c>
      <c r="E950">
        <v>6</v>
      </c>
      <c r="F950">
        <v>6</v>
      </c>
      <c r="G950">
        <v>6</v>
      </c>
      <c r="H950" t="s">
        <v>2575</v>
      </c>
      <c r="I950">
        <v>21.9</v>
      </c>
      <c r="J950">
        <v>48.328000000000003</v>
      </c>
      <c r="K950" t="str">
        <f>"ADSL"</f>
        <v>ADSL</v>
      </c>
      <c r="L950" t="str">
        <f>"ADSL"</f>
        <v>ADSL</v>
      </c>
      <c r="M950">
        <v>1.2103892752168599</v>
      </c>
      <c r="N950">
        <v>2.6835051655629099</v>
      </c>
      <c r="O950">
        <v>1.8238867883763601</v>
      </c>
      <c r="P950">
        <v>1.0652189274447901</v>
      </c>
      <c r="Q950">
        <v>1.25576199330606</v>
      </c>
      <c r="R950">
        <v>1.8001620641859499</v>
      </c>
      <c r="S950">
        <v>1.1331355704698001</v>
      </c>
      <c r="T950">
        <v>2.3689799354567098</v>
      </c>
      <c r="U950">
        <v>1.10235831809872</v>
      </c>
      <c r="V950">
        <v>2.1012719352831399</v>
      </c>
      <c r="W950">
        <v>1.27539809638918</v>
      </c>
      <c r="X950">
        <v>1.96929142123987</v>
      </c>
    </row>
    <row r="951" spans="1:24">
      <c r="A951">
        <v>1096</v>
      </c>
      <c r="B951" t="s">
        <v>2576</v>
      </c>
      <c r="C951">
        <v>1</v>
      </c>
      <c r="D951" t="s">
        <v>2577</v>
      </c>
      <c r="E951">
        <v>5</v>
      </c>
      <c r="F951">
        <v>5</v>
      </c>
      <c r="G951">
        <v>5</v>
      </c>
      <c r="H951" t="s">
        <v>2576</v>
      </c>
      <c r="I951">
        <v>30.8</v>
      </c>
      <c r="J951">
        <v>22.835999999999999</v>
      </c>
      <c r="K951" t="str">
        <f>"PSMB2"</f>
        <v>PSMB2</v>
      </c>
      <c r="L951" t="str">
        <f>"PSMB2"</f>
        <v>PSMB2</v>
      </c>
      <c r="M951">
        <v>1.2103892752168599</v>
      </c>
      <c r="N951">
        <v>1.78900344370861</v>
      </c>
      <c r="O951">
        <v>1.8238867883763601</v>
      </c>
      <c r="P951">
        <v>1.0652189274447901</v>
      </c>
      <c r="Q951">
        <v>0</v>
      </c>
      <c r="R951">
        <v>3.6003241283718901</v>
      </c>
      <c r="S951">
        <v>1.1331355704698001</v>
      </c>
      <c r="T951">
        <v>0</v>
      </c>
      <c r="U951">
        <v>2.20471663619744</v>
      </c>
      <c r="V951">
        <v>0</v>
      </c>
      <c r="W951">
        <v>1.27539809638918</v>
      </c>
      <c r="X951">
        <v>0.984645710619934</v>
      </c>
    </row>
    <row r="952" spans="1:24">
      <c r="A952">
        <v>1174</v>
      </c>
      <c r="B952" t="s">
        <v>2578</v>
      </c>
      <c r="C952">
        <v>2</v>
      </c>
      <c r="D952" t="s">
        <v>2579</v>
      </c>
      <c r="E952">
        <v>10</v>
      </c>
      <c r="F952">
        <v>10</v>
      </c>
      <c r="G952">
        <v>10</v>
      </c>
      <c r="H952" t="s">
        <v>2580</v>
      </c>
      <c r="I952">
        <v>19.899999999999999</v>
      </c>
      <c r="J952">
        <v>67.14</v>
      </c>
      <c r="K952" t="str">
        <f>"RARS"</f>
        <v>RARS</v>
      </c>
      <c r="L952" t="str">
        <f>"RARS"</f>
        <v>RARS</v>
      </c>
      <c r="M952">
        <v>0</v>
      </c>
      <c r="N952">
        <v>1.78900344370861</v>
      </c>
      <c r="O952">
        <v>2.7358301825645501</v>
      </c>
      <c r="P952">
        <v>2.1304378548895899</v>
      </c>
      <c r="Q952">
        <v>1.25576199330606</v>
      </c>
      <c r="R952">
        <v>1.8001620641859499</v>
      </c>
      <c r="S952">
        <v>2.2662711409396001</v>
      </c>
      <c r="T952">
        <v>1.18448996772836</v>
      </c>
      <c r="U952">
        <v>2.20471663619744</v>
      </c>
      <c r="V952">
        <v>0</v>
      </c>
      <c r="W952">
        <v>1.27539809638918</v>
      </c>
      <c r="X952">
        <v>0.984645710619934</v>
      </c>
    </row>
    <row r="953" spans="1:24">
      <c r="A953">
        <v>1502</v>
      </c>
      <c r="B953" t="s">
        <v>2581</v>
      </c>
      <c r="C953">
        <v>3</v>
      </c>
      <c r="D953" t="s">
        <v>2582</v>
      </c>
      <c r="E953">
        <v>10</v>
      </c>
      <c r="F953">
        <v>10</v>
      </c>
      <c r="G953">
        <v>10</v>
      </c>
      <c r="H953" t="s">
        <v>2583</v>
      </c>
      <c r="I953">
        <v>11.7</v>
      </c>
      <c r="J953">
        <v>124.98</v>
      </c>
      <c r="K953" t="str">
        <f>"PDE3A;PDE3B"</f>
        <v>PDE3A;PDE3B</v>
      </c>
      <c r="L953" t="str">
        <f>"PDE3A;PDE3B"</f>
        <v>PDE3A;PDE3B</v>
      </c>
      <c r="M953">
        <v>0</v>
      </c>
      <c r="N953">
        <v>4.4725086092715198</v>
      </c>
      <c r="O953">
        <v>2.7358301825645501</v>
      </c>
      <c r="P953">
        <v>2.1304378548895899</v>
      </c>
      <c r="Q953">
        <v>1.25576199330606</v>
      </c>
      <c r="R953">
        <v>2.7002430962789199</v>
      </c>
      <c r="S953">
        <v>1.1331355704698001</v>
      </c>
      <c r="T953">
        <v>0</v>
      </c>
      <c r="U953">
        <v>2.20471663619744</v>
      </c>
      <c r="V953">
        <v>1.05063596764157</v>
      </c>
      <c r="W953">
        <v>2.5507961927783702</v>
      </c>
      <c r="X953">
        <v>1.96929142123987</v>
      </c>
    </row>
    <row r="954" spans="1:24">
      <c r="A954">
        <v>1792</v>
      </c>
      <c r="B954" t="s">
        <v>2584</v>
      </c>
      <c r="C954">
        <v>1</v>
      </c>
      <c r="D954" t="s">
        <v>2585</v>
      </c>
      <c r="E954">
        <v>5</v>
      </c>
      <c r="F954">
        <v>5</v>
      </c>
      <c r="G954">
        <v>5</v>
      </c>
      <c r="H954" t="s">
        <v>2584</v>
      </c>
      <c r="I954">
        <v>22.6</v>
      </c>
      <c r="J954">
        <v>26.591999999999999</v>
      </c>
      <c r="K954" t="str">
        <f>"MYCT1"</f>
        <v>MYCT1</v>
      </c>
      <c r="L954" t="str">
        <f>"MYCT1"</f>
        <v>MYCT1</v>
      </c>
      <c r="M954">
        <v>0</v>
      </c>
      <c r="N954">
        <v>3.57800688741722</v>
      </c>
      <c r="O954">
        <v>0.91194339418818204</v>
      </c>
      <c r="P954">
        <v>3.19565678233438</v>
      </c>
      <c r="Q954">
        <v>0</v>
      </c>
      <c r="R954">
        <v>0.90008103209297396</v>
      </c>
      <c r="S954">
        <v>2.2662711409396001</v>
      </c>
      <c r="T954">
        <v>0</v>
      </c>
      <c r="U954">
        <v>4.4094332723948799</v>
      </c>
      <c r="V954">
        <v>0</v>
      </c>
      <c r="W954">
        <v>1.27539809638918</v>
      </c>
      <c r="X954">
        <v>3.9385828424797298</v>
      </c>
    </row>
    <row r="955" spans="1:24">
      <c r="A955">
        <v>276</v>
      </c>
      <c r="B955" t="s">
        <v>2586</v>
      </c>
      <c r="C955">
        <v>1</v>
      </c>
      <c r="D955" t="s">
        <v>2587</v>
      </c>
      <c r="E955">
        <v>5</v>
      </c>
      <c r="F955">
        <v>5</v>
      </c>
      <c r="G955">
        <v>5</v>
      </c>
      <c r="H955" t="s">
        <v>2586</v>
      </c>
      <c r="I955">
        <v>16</v>
      </c>
      <c r="J955">
        <v>51.417000000000002</v>
      </c>
      <c r="K955" t="str">
        <f>"CDS2"</f>
        <v>CDS2</v>
      </c>
      <c r="L955" t="str">
        <f>"CDS2"</f>
        <v>CDS2</v>
      </c>
      <c r="M955">
        <v>2.4207785504337198</v>
      </c>
      <c r="N955">
        <v>1.78900344370861</v>
      </c>
      <c r="O955">
        <v>0</v>
      </c>
      <c r="P955">
        <v>1.0652189274447901</v>
      </c>
      <c r="Q955">
        <v>1.25576199330606</v>
      </c>
      <c r="R955">
        <v>2.7002430962789199</v>
      </c>
      <c r="S955">
        <v>0</v>
      </c>
      <c r="T955">
        <v>2.3689799354567098</v>
      </c>
      <c r="U955">
        <v>1.10235831809872</v>
      </c>
      <c r="V955">
        <v>2.1012719352831399</v>
      </c>
      <c r="W955">
        <v>0</v>
      </c>
      <c r="X955">
        <v>2.9539371318597998</v>
      </c>
    </row>
    <row r="956" spans="1:24">
      <c r="A956">
        <v>373</v>
      </c>
      <c r="B956" t="s">
        <v>2588</v>
      </c>
      <c r="C956">
        <v>1</v>
      </c>
      <c r="D956" t="s">
        <v>2589</v>
      </c>
      <c r="E956">
        <v>5</v>
      </c>
      <c r="F956">
        <v>3</v>
      </c>
      <c r="G956">
        <v>3</v>
      </c>
      <c r="H956" t="s">
        <v>2588</v>
      </c>
      <c r="I956">
        <v>30.2</v>
      </c>
      <c r="J956">
        <v>13.718</v>
      </c>
      <c r="K956" t="s">
        <v>2070</v>
      </c>
      <c r="L956" t="s">
        <v>2070</v>
      </c>
      <c r="M956">
        <v>0</v>
      </c>
      <c r="N956">
        <v>1.78900344370861</v>
      </c>
      <c r="O956">
        <v>1.8238867883763601</v>
      </c>
      <c r="P956">
        <v>2.1304378548895899</v>
      </c>
      <c r="Q956">
        <v>6.2788099665303099</v>
      </c>
      <c r="R956">
        <v>1.8001620641859499</v>
      </c>
      <c r="S956">
        <v>1.1331355704698001</v>
      </c>
      <c r="T956">
        <v>1.18448996772836</v>
      </c>
      <c r="U956">
        <v>1.10235831809872</v>
      </c>
      <c r="V956">
        <v>2.1012719352831399</v>
      </c>
      <c r="W956">
        <v>1.27539809638918</v>
      </c>
      <c r="X956">
        <v>0.984645710619934</v>
      </c>
    </row>
    <row r="957" spans="1:24">
      <c r="A957">
        <v>734</v>
      </c>
      <c r="B957" t="s">
        <v>2590</v>
      </c>
      <c r="C957">
        <v>1</v>
      </c>
      <c r="D957" t="s">
        <v>2591</v>
      </c>
      <c r="E957">
        <v>15</v>
      </c>
      <c r="F957">
        <v>15</v>
      </c>
      <c r="G957">
        <v>15</v>
      </c>
      <c r="H957" t="s">
        <v>2590</v>
      </c>
      <c r="I957">
        <v>40</v>
      </c>
      <c r="J957">
        <v>49.966000000000001</v>
      </c>
      <c r="K957" t="str">
        <f>"PTPN1"</f>
        <v>PTPN1</v>
      </c>
      <c r="L957" t="str">
        <f>"PTPN1"</f>
        <v>PTPN1</v>
      </c>
      <c r="M957">
        <v>0</v>
      </c>
      <c r="N957">
        <v>2.6835051655629099</v>
      </c>
      <c r="O957">
        <v>4.5597169709409098</v>
      </c>
      <c r="P957">
        <v>1.0652189274447901</v>
      </c>
      <c r="Q957">
        <v>1.25576199330606</v>
      </c>
      <c r="R957">
        <v>1.8001620641859499</v>
      </c>
      <c r="S957">
        <v>2.2662711409396001</v>
      </c>
      <c r="T957">
        <v>0</v>
      </c>
      <c r="U957">
        <v>3.3070749542961599</v>
      </c>
      <c r="V957">
        <v>2.1012719352831399</v>
      </c>
      <c r="W957">
        <v>2.5507961927783702</v>
      </c>
      <c r="X957">
        <v>2.9539371318597998</v>
      </c>
    </row>
    <row r="958" spans="1:24">
      <c r="A958">
        <v>901</v>
      </c>
      <c r="B958" t="s">
        <v>2592</v>
      </c>
      <c r="C958">
        <v>2</v>
      </c>
      <c r="D958" t="s">
        <v>2593</v>
      </c>
      <c r="E958">
        <v>17</v>
      </c>
      <c r="F958">
        <v>4</v>
      </c>
      <c r="G958">
        <v>0</v>
      </c>
      <c r="H958" t="s">
        <v>2594</v>
      </c>
      <c r="I958">
        <v>55.5</v>
      </c>
      <c r="J958">
        <v>40.387999999999998</v>
      </c>
      <c r="K958" t="str">
        <f>"HLA-B"</f>
        <v>HLA-B</v>
      </c>
      <c r="L958" t="str">
        <f>"HLA-B"</f>
        <v>HLA-B</v>
      </c>
      <c r="M958">
        <v>0</v>
      </c>
      <c r="N958">
        <v>0</v>
      </c>
      <c r="O958">
        <v>3.64777357675273</v>
      </c>
      <c r="P958">
        <v>0</v>
      </c>
      <c r="Q958">
        <v>0</v>
      </c>
      <c r="R958">
        <v>0</v>
      </c>
      <c r="S958">
        <v>2.2662711409396001</v>
      </c>
      <c r="T958">
        <v>0</v>
      </c>
      <c r="U958">
        <v>3.3070749542961599</v>
      </c>
      <c r="V958">
        <v>2.1012719352831399</v>
      </c>
      <c r="W958">
        <v>1.27539809638918</v>
      </c>
      <c r="X958">
        <v>3.9385828424797298</v>
      </c>
    </row>
    <row r="959" spans="1:24">
      <c r="A959">
        <v>1092</v>
      </c>
      <c r="B959" t="s">
        <v>2595</v>
      </c>
      <c r="C959">
        <v>2</v>
      </c>
      <c r="D959" t="s">
        <v>2596</v>
      </c>
      <c r="E959">
        <v>11</v>
      </c>
      <c r="F959">
        <v>11</v>
      </c>
      <c r="G959">
        <v>11</v>
      </c>
      <c r="H959" t="s">
        <v>2597</v>
      </c>
      <c r="I959">
        <v>38</v>
      </c>
      <c r="J959">
        <v>38.518000000000001</v>
      </c>
      <c r="K959" t="str">
        <f>"PPM1F"</f>
        <v>PPM1F</v>
      </c>
      <c r="L959" t="str">
        <f>"PPM1F"</f>
        <v>PPM1F</v>
      </c>
      <c r="M959">
        <v>1.2103892752168599</v>
      </c>
      <c r="N959">
        <v>1.78900344370861</v>
      </c>
      <c r="O959">
        <v>0.91194339418818204</v>
      </c>
      <c r="P959">
        <v>1.0652189274447901</v>
      </c>
      <c r="Q959">
        <v>0</v>
      </c>
      <c r="R959">
        <v>2.7002430962789199</v>
      </c>
      <c r="S959">
        <v>3.3994067114094002</v>
      </c>
      <c r="T959">
        <v>1.18448996772836</v>
      </c>
      <c r="U959">
        <v>0</v>
      </c>
      <c r="V959">
        <v>2.1012719352831399</v>
      </c>
      <c r="W959">
        <v>1.27539809638918</v>
      </c>
      <c r="X959">
        <v>0.984645710619934</v>
      </c>
    </row>
    <row r="960" spans="1:24">
      <c r="A960">
        <v>1167</v>
      </c>
      <c r="B960" t="s">
        <v>2598</v>
      </c>
      <c r="C960">
        <v>3</v>
      </c>
      <c r="D960" t="s">
        <v>2599</v>
      </c>
      <c r="E960">
        <v>4</v>
      </c>
      <c r="F960">
        <v>4</v>
      </c>
      <c r="G960">
        <v>4</v>
      </c>
      <c r="H960" t="s">
        <v>2600</v>
      </c>
      <c r="I960">
        <v>8.1999999999999993</v>
      </c>
      <c r="J960">
        <v>51.853000000000002</v>
      </c>
      <c r="K960" t="str">
        <f>"CTSC"</f>
        <v>CTSC</v>
      </c>
      <c r="L960" t="str">
        <f>"CTSC"</f>
        <v>CTSC</v>
      </c>
      <c r="M960">
        <v>2.4207785504337198</v>
      </c>
      <c r="N960">
        <v>1.78900344370861</v>
      </c>
      <c r="O960">
        <v>1.8238867883763601</v>
      </c>
      <c r="P960">
        <v>2.1304378548895899</v>
      </c>
      <c r="Q960">
        <v>2.51152398661212</v>
      </c>
      <c r="R960">
        <v>1.8001620641859499</v>
      </c>
      <c r="S960">
        <v>1.1331355704698001</v>
      </c>
      <c r="T960">
        <v>1.18448996772836</v>
      </c>
      <c r="U960">
        <v>1.10235831809872</v>
      </c>
      <c r="V960">
        <v>2.1012719352831399</v>
      </c>
      <c r="W960">
        <v>0</v>
      </c>
      <c r="X960">
        <v>2.9539371318597998</v>
      </c>
    </row>
    <row r="961" spans="1:24">
      <c r="A961">
        <v>1308</v>
      </c>
      <c r="B961" t="s">
        <v>2601</v>
      </c>
      <c r="C961">
        <v>4</v>
      </c>
      <c r="D961" t="s">
        <v>2602</v>
      </c>
      <c r="E961">
        <v>2</v>
      </c>
      <c r="F961">
        <v>2</v>
      </c>
      <c r="G961">
        <v>2</v>
      </c>
      <c r="H961" t="s">
        <v>2603</v>
      </c>
      <c r="I961">
        <v>12.2</v>
      </c>
      <c r="J961">
        <v>25.568999999999999</v>
      </c>
      <c r="K961" t="str">
        <f>"PAFAH1B2"</f>
        <v>PAFAH1B2</v>
      </c>
      <c r="L961" t="str">
        <f>"PAFAH1B2"</f>
        <v>PAFAH1B2</v>
      </c>
      <c r="M961">
        <v>1.2103892752168599</v>
      </c>
      <c r="N961">
        <v>1.78900344370861</v>
      </c>
      <c r="O961">
        <v>1.8238867883763601</v>
      </c>
      <c r="P961">
        <v>1.0652189274447901</v>
      </c>
      <c r="Q961">
        <v>1.25576199330606</v>
      </c>
      <c r="R961">
        <v>1.8001620641859499</v>
      </c>
      <c r="S961">
        <v>1.1331355704698001</v>
      </c>
      <c r="T961">
        <v>1.18448996772836</v>
      </c>
      <c r="U961">
        <v>2.20471663619744</v>
      </c>
      <c r="V961">
        <v>2.1012719352831399</v>
      </c>
      <c r="W961">
        <v>1.27539809638918</v>
      </c>
      <c r="X961">
        <v>1.96929142123987</v>
      </c>
    </row>
    <row r="962" spans="1:24">
      <c r="A962">
        <v>1584</v>
      </c>
      <c r="B962" t="s">
        <v>2604</v>
      </c>
      <c r="C962">
        <v>3</v>
      </c>
      <c r="D962" t="s">
        <v>2605</v>
      </c>
      <c r="E962">
        <v>6</v>
      </c>
      <c r="F962">
        <v>6</v>
      </c>
      <c r="G962">
        <v>6</v>
      </c>
      <c r="H962" t="s">
        <v>2606</v>
      </c>
      <c r="I962">
        <v>8.3000000000000007</v>
      </c>
      <c r="J962">
        <v>103.93</v>
      </c>
      <c r="K962" t="str">
        <f>"PKN1"</f>
        <v>PKN1</v>
      </c>
      <c r="L962" t="str">
        <f>"PKN1"</f>
        <v>PKN1</v>
      </c>
      <c r="M962">
        <v>1.2103892752168599</v>
      </c>
      <c r="N962">
        <v>0.89450172185430499</v>
      </c>
      <c r="O962">
        <v>1.8238867883763601</v>
      </c>
      <c r="P962">
        <v>2.1304378548895899</v>
      </c>
      <c r="Q962">
        <v>0</v>
      </c>
      <c r="R962">
        <v>2.7002430962789199</v>
      </c>
      <c r="S962">
        <v>1.1331355704698001</v>
      </c>
      <c r="T962">
        <v>1.18448996772836</v>
      </c>
      <c r="U962">
        <v>1.10235831809872</v>
      </c>
      <c r="V962">
        <v>0</v>
      </c>
      <c r="W962">
        <v>1.27539809638918</v>
      </c>
      <c r="X962">
        <v>0</v>
      </c>
    </row>
    <row r="963" spans="1:24">
      <c r="A963">
        <v>1900</v>
      </c>
      <c r="B963" t="s">
        <v>2607</v>
      </c>
      <c r="C963">
        <v>1</v>
      </c>
      <c r="D963" t="s">
        <v>2608</v>
      </c>
      <c r="E963">
        <v>2</v>
      </c>
      <c r="F963">
        <v>2</v>
      </c>
      <c r="G963">
        <v>2</v>
      </c>
      <c r="H963" t="s">
        <v>2607</v>
      </c>
      <c r="I963">
        <v>4.8</v>
      </c>
      <c r="J963">
        <v>34.606999999999999</v>
      </c>
      <c r="K963" t="str">
        <f>"TMBIM1"</f>
        <v>TMBIM1</v>
      </c>
      <c r="L963" t="str">
        <f>"TMBIM1"</f>
        <v>TMBIM1</v>
      </c>
      <c r="M963">
        <v>2.4207785504337198</v>
      </c>
      <c r="N963">
        <v>0.89450172185430499</v>
      </c>
      <c r="O963">
        <v>1.8238867883763601</v>
      </c>
      <c r="P963">
        <v>2.1304378548895899</v>
      </c>
      <c r="Q963">
        <v>2.51152398661212</v>
      </c>
      <c r="R963">
        <v>1.8001620641859499</v>
      </c>
      <c r="S963">
        <v>2.2662711409396001</v>
      </c>
      <c r="T963">
        <v>2.3689799354567098</v>
      </c>
      <c r="U963">
        <v>1.10235831809872</v>
      </c>
      <c r="V963">
        <v>2.1012719352831399</v>
      </c>
      <c r="W963">
        <v>1.27539809638918</v>
      </c>
      <c r="X963">
        <v>0.984645710619934</v>
      </c>
    </row>
    <row r="964" spans="1:24">
      <c r="A964">
        <v>2074</v>
      </c>
      <c r="B964" t="s">
        <v>2609</v>
      </c>
      <c r="C964">
        <v>4</v>
      </c>
      <c r="D964" t="s">
        <v>2610</v>
      </c>
      <c r="E964">
        <v>11</v>
      </c>
      <c r="F964">
        <v>11</v>
      </c>
      <c r="G964">
        <v>11</v>
      </c>
      <c r="H964" t="s">
        <v>2611</v>
      </c>
      <c r="I964">
        <v>44.2</v>
      </c>
      <c r="J964">
        <v>32.558</v>
      </c>
      <c r="K964" t="str">
        <f>"NT5C3A"</f>
        <v>NT5C3A</v>
      </c>
      <c r="L964" t="str">
        <f>"NT5C3A"</f>
        <v>NT5C3A</v>
      </c>
      <c r="M964">
        <v>2.4207785504337198</v>
      </c>
      <c r="N964">
        <v>0.89450172185430499</v>
      </c>
      <c r="O964">
        <v>0.91194339418818204</v>
      </c>
      <c r="P964">
        <v>1.0652189274447901</v>
      </c>
      <c r="Q964">
        <v>0</v>
      </c>
      <c r="R964">
        <v>0</v>
      </c>
      <c r="S964">
        <v>0</v>
      </c>
      <c r="T964">
        <v>2.3689799354567098</v>
      </c>
      <c r="U964">
        <v>4.4094332723948799</v>
      </c>
      <c r="V964">
        <v>4.2025438705662701</v>
      </c>
      <c r="W964">
        <v>0</v>
      </c>
      <c r="X964">
        <v>0.984645710619934</v>
      </c>
    </row>
    <row r="965" spans="1:24">
      <c r="A965">
        <v>2168</v>
      </c>
      <c r="B965" t="s">
        <v>2612</v>
      </c>
      <c r="C965">
        <v>2</v>
      </c>
      <c r="D965" t="s">
        <v>2613</v>
      </c>
      <c r="E965">
        <v>10</v>
      </c>
      <c r="F965">
        <v>10</v>
      </c>
      <c r="G965">
        <v>10</v>
      </c>
      <c r="H965" t="s">
        <v>2614</v>
      </c>
      <c r="I965">
        <v>20.9</v>
      </c>
      <c r="J965">
        <v>66.114999999999995</v>
      </c>
      <c r="K965" t="str">
        <f>"FARSB"</f>
        <v>FARSB</v>
      </c>
      <c r="L965" t="str">
        <f>"FARSB"</f>
        <v>FARSB</v>
      </c>
      <c r="M965">
        <v>0</v>
      </c>
      <c r="N965">
        <v>0.89450172185430499</v>
      </c>
      <c r="O965">
        <v>2.7358301825645501</v>
      </c>
      <c r="P965">
        <v>0</v>
      </c>
      <c r="Q965">
        <v>0</v>
      </c>
      <c r="R965">
        <v>1.8001620641859499</v>
      </c>
      <c r="S965">
        <v>1.1331355704698001</v>
      </c>
      <c r="T965">
        <v>0</v>
      </c>
      <c r="U965">
        <v>1.10235831809872</v>
      </c>
      <c r="V965">
        <v>1.05063596764157</v>
      </c>
      <c r="W965">
        <v>1.27539809638918</v>
      </c>
      <c r="X965">
        <v>0.984645710619934</v>
      </c>
    </row>
    <row r="966" spans="1:24">
      <c r="A966">
        <v>214</v>
      </c>
      <c r="B966" t="s">
        <v>2615</v>
      </c>
      <c r="C966">
        <v>1</v>
      </c>
      <c r="D966" t="s">
        <v>2616</v>
      </c>
      <c r="E966">
        <v>5</v>
      </c>
      <c r="F966">
        <v>5</v>
      </c>
      <c r="G966">
        <v>5</v>
      </c>
      <c r="H966" t="s">
        <v>2615</v>
      </c>
      <c r="I966">
        <v>70.2</v>
      </c>
      <c r="J966">
        <v>12.773999999999999</v>
      </c>
      <c r="K966" t="str">
        <f>"SH3BGRL"</f>
        <v>SH3BGRL</v>
      </c>
      <c r="L966" t="str">
        <f>"SH3BGRL"</f>
        <v>SH3BGRL</v>
      </c>
      <c r="M966">
        <v>1.2103892752168599</v>
      </c>
      <c r="N966">
        <v>0.89450172185430499</v>
      </c>
      <c r="O966">
        <v>0.91194339418818204</v>
      </c>
      <c r="P966">
        <v>1.0652189274447901</v>
      </c>
      <c r="Q966">
        <v>0</v>
      </c>
      <c r="R966">
        <v>3.6003241283718901</v>
      </c>
      <c r="S966">
        <v>3.3994067114094002</v>
      </c>
      <c r="T966">
        <v>0</v>
      </c>
      <c r="U966">
        <v>2.20471663619744</v>
      </c>
      <c r="V966">
        <v>3.1519079029246999</v>
      </c>
      <c r="W966">
        <v>1.27539809638918</v>
      </c>
      <c r="X966">
        <v>0</v>
      </c>
    </row>
    <row r="967" spans="1:24">
      <c r="A967">
        <v>408</v>
      </c>
      <c r="B967" t="s">
        <v>2617</v>
      </c>
      <c r="C967">
        <v>1</v>
      </c>
      <c r="D967" t="s">
        <v>2618</v>
      </c>
      <c r="E967">
        <v>12</v>
      </c>
      <c r="F967">
        <v>12</v>
      </c>
      <c r="G967">
        <v>12</v>
      </c>
      <c r="H967" t="s">
        <v>2617</v>
      </c>
      <c r="I967">
        <v>20</v>
      </c>
      <c r="J967">
        <v>101.79</v>
      </c>
      <c r="K967" t="str">
        <f>"SLC4A1"</f>
        <v>SLC4A1</v>
      </c>
      <c r="L967" t="str">
        <f>"SLC4A1"</f>
        <v>SLC4A1</v>
      </c>
      <c r="M967">
        <v>0</v>
      </c>
      <c r="N967">
        <v>1.78900344370861</v>
      </c>
      <c r="O967">
        <v>1.8238867883763601</v>
      </c>
      <c r="P967">
        <v>3.19565678233438</v>
      </c>
      <c r="Q967">
        <v>0</v>
      </c>
      <c r="R967">
        <v>4.5004051604648696</v>
      </c>
      <c r="S967">
        <v>2.2662711409396001</v>
      </c>
      <c r="T967">
        <v>0</v>
      </c>
      <c r="U967">
        <v>0</v>
      </c>
      <c r="V967">
        <v>0</v>
      </c>
      <c r="W967">
        <v>2.5507961927783702</v>
      </c>
      <c r="X967">
        <v>0</v>
      </c>
    </row>
    <row r="968" spans="1:24">
      <c r="A968">
        <v>926</v>
      </c>
      <c r="B968" t="s">
        <v>2619</v>
      </c>
      <c r="C968">
        <v>2</v>
      </c>
      <c r="D968" t="s">
        <v>2620</v>
      </c>
      <c r="E968">
        <v>9</v>
      </c>
      <c r="F968">
        <v>9</v>
      </c>
      <c r="G968">
        <v>8</v>
      </c>
      <c r="H968" t="s">
        <v>2621</v>
      </c>
      <c r="I968">
        <v>26.9</v>
      </c>
      <c r="J968">
        <v>51.082999999999998</v>
      </c>
      <c r="K968" t="str">
        <f>"AKT2"</f>
        <v>AKT2</v>
      </c>
      <c r="L968" t="str">
        <f>"AKT2"</f>
        <v>AKT2</v>
      </c>
      <c r="M968">
        <v>0</v>
      </c>
      <c r="N968">
        <v>3.57800688741722</v>
      </c>
      <c r="O968">
        <v>4.5597169709409098</v>
      </c>
      <c r="P968">
        <v>1.0652189274447901</v>
      </c>
      <c r="Q968">
        <v>0</v>
      </c>
      <c r="R968">
        <v>1.8001620641859499</v>
      </c>
      <c r="S968">
        <v>1.1331355704698001</v>
      </c>
      <c r="T968">
        <v>2.3689799354567098</v>
      </c>
      <c r="U968">
        <v>0</v>
      </c>
      <c r="V968">
        <v>1.05063596764157</v>
      </c>
      <c r="W968">
        <v>0</v>
      </c>
      <c r="X968">
        <v>3.9385828424797298</v>
      </c>
    </row>
    <row r="969" spans="1:24">
      <c r="A969">
        <v>975</v>
      </c>
      <c r="B969" t="s">
        <v>2622</v>
      </c>
      <c r="C969">
        <v>1</v>
      </c>
      <c r="D969" t="s">
        <v>2623</v>
      </c>
      <c r="E969">
        <v>8</v>
      </c>
      <c r="F969">
        <v>8</v>
      </c>
      <c r="G969">
        <v>5</v>
      </c>
      <c r="H969" t="s">
        <v>2622</v>
      </c>
      <c r="I969">
        <v>27.8</v>
      </c>
      <c r="J969">
        <v>44.423999999999999</v>
      </c>
      <c r="K969" t="str">
        <f>"MAP2K2"</f>
        <v>MAP2K2</v>
      </c>
      <c r="L969" t="str">
        <f>"MAP2K2"</f>
        <v>MAP2K2</v>
      </c>
      <c r="M969">
        <v>0</v>
      </c>
      <c r="N969">
        <v>1.78900344370861</v>
      </c>
      <c r="O969">
        <v>1.8238867883763601</v>
      </c>
      <c r="P969">
        <v>1.0652189274447901</v>
      </c>
      <c r="Q969">
        <v>3.7672859799181899</v>
      </c>
      <c r="R969">
        <v>0.90008103209297396</v>
      </c>
      <c r="S969">
        <v>1.1331355704698001</v>
      </c>
      <c r="T969">
        <v>0</v>
      </c>
      <c r="U969">
        <v>0</v>
      </c>
      <c r="V969">
        <v>1.05063596764157</v>
      </c>
      <c r="W969">
        <v>1.27539809638918</v>
      </c>
      <c r="X969">
        <v>1.96929142123987</v>
      </c>
    </row>
    <row r="970" spans="1:24">
      <c r="A970">
        <v>1328</v>
      </c>
      <c r="B970" t="s">
        <v>2624</v>
      </c>
      <c r="C970">
        <v>1</v>
      </c>
      <c r="D970" t="s">
        <v>2625</v>
      </c>
      <c r="E970">
        <v>7</v>
      </c>
      <c r="F970">
        <v>7</v>
      </c>
      <c r="G970">
        <v>7</v>
      </c>
      <c r="H970" t="s">
        <v>2624</v>
      </c>
      <c r="I970">
        <v>32.4</v>
      </c>
      <c r="J970">
        <v>38.006</v>
      </c>
      <c r="K970" t="str">
        <f>"EFNB1"</f>
        <v>EFNB1</v>
      </c>
      <c r="L970" t="str">
        <f>"EFNB1"</f>
        <v>EFNB1</v>
      </c>
      <c r="M970">
        <v>0</v>
      </c>
      <c r="N970">
        <v>2.6835051655629099</v>
      </c>
      <c r="O970">
        <v>2.7358301825645501</v>
      </c>
      <c r="P970">
        <v>2.1304378548895899</v>
      </c>
      <c r="Q970">
        <v>0</v>
      </c>
      <c r="R970">
        <v>3.6003241283718901</v>
      </c>
      <c r="S970">
        <v>0</v>
      </c>
      <c r="T970">
        <v>0</v>
      </c>
      <c r="U970">
        <v>0</v>
      </c>
      <c r="V970">
        <v>0</v>
      </c>
      <c r="W970">
        <v>1.27539809638918</v>
      </c>
      <c r="X970">
        <v>2.9539371318597998</v>
      </c>
    </row>
    <row r="971" spans="1:24">
      <c r="A971">
        <v>1395</v>
      </c>
      <c r="B971" t="s">
        <v>2626</v>
      </c>
      <c r="C971">
        <v>4</v>
      </c>
      <c r="D971" t="s">
        <v>2627</v>
      </c>
      <c r="E971">
        <v>3</v>
      </c>
      <c r="F971">
        <v>3</v>
      </c>
      <c r="G971">
        <v>3</v>
      </c>
      <c r="H971" t="s">
        <v>2628</v>
      </c>
      <c r="I971">
        <v>9.6</v>
      </c>
      <c r="J971">
        <v>31.742000000000001</v>
      </c>
      <c r="K971" t="str">
        <f>"CD47"</f>
        <v>CD47</v>
      </c>
      <c r="L971" t="str">
        <f>"CD47"</f>
        <v>CD47</v>
      </c>
      <c r="M971">
        <v>0</v>
      </c>
      <c r="N971">
        <v>1.78900344370861</v>
      </c>
      <c r="O971">
        <v>1.8238867883763601</v>
      </c>
      <c r="P971">
        <v>3.19565678233438</v>
      </c>
      <c r="Q971">
        <v>1.25576199330606</v>
      </c>
      <c r="R971">
        <v>0.90008103209297396</v>
      </c>
      <c r="S971">
        <v>2.2662711409396001</v>
      </c>
      <c r="T971">
        <v>2.3689799354567098</v>
      </c>
      <c r="U971">
        <v>3.3070749542961599</v>
      </c>
      <c r="V971">
        <v>1.05063596764157</v>
      </c>
      <c r="W971">
        <v>0</v>
      </c>
      <c r="X971">
        <v>2.9539371318597998</v>
      </c>
    </row>
    <row r="972" spans="1:24">
      <c r="A972">
        <v>1427</v>
      </c>
      <c r="B972" t="s">
        <v>2629</v>
      </c>
      <c r="C972">
        <v>7</v>
      </c>
      <c r="D972" t="s">
        <v>2630</v>
      </c>
      <c r="E972">
        <v>4</v>
      </c>
      <c r="F972">
        <v>4</v>
      </c>
      <c r="G972">
        <v>4</v>
      </c>
      <c r="H972" t="s">
        <v>2631</v>
      </c>
      <c r="I972">
        <v>22.2</v>
      </c>
      <c r="J972">
        <v>26.277999999999999</v>
      </c>
      <c r="K972" t="str">
        <f>"MTAP"</f>
        <v>MTAP</v>
      </c>
      <c r="L972" t="str">
        <f>"MTAP"</f>
        <v>MTAP</v>
      </c>
      <c r="M972">
        <v>1.2103892752168599</v>
      </c>
      <c r="N972">
        <v>0.89450172185430499</v>
      </c>
      <c r="O972">
        <v>1.8238867883763601</v>
      </c>
      <c r="P972">
        <v>1.0652189274447901</v>
      </c>
      <c r="Q972">
        <v>1.25576199330606</v>
      </c>
      <c r="R972">
        <v>2.7002430962789199</v>
      </c>
      <c r="S972">
        <v>2.2662711409396001</v>
      </c>
      <c r="T972">
        <v>1.18448996772836</v>
      </c>
      <c r="U972">
        <v>0</v>
      </c>
      <c r="V972">
        <v>2.1012719352831399</v>
      </c>
      <c r="W972">
        <v>1.27539809638918</v>
      </c>
      <c r="X972">
        <v>1.96929142123987</v>
      </c>
    </row>
    <row r="973" spans="1:24">
      <c r="A973">
        <v>1523</v>
      </c>
      <c r="B973" t="s">
        <v>2632</v>
      </c>
      <c r="C973">
        <v>7</v>
      </c>
      <c r="D973" t="s">
        <v>2633</v>
      </c>
      <c r="E973">
        <v>12</v>
      </c>
      <c r="F973">
        <v>12</v>
      </c>
      <c r="G973">
        <v>3</v>
      </c>
      <c r="H973" t="s">
        <v>2634</v>
      </c>
      <c r="I973">
        <v>19.5</v>
      </c>
      <c r="J973">
        <v>90.828000000000003</v>
      </c>
      <c r="K973" t="str">
        <f>"SLMAP"</f>
        <v>SLMAP</v>
      </c>
      <c r="L973" t="str">
        <f>"SLMAP"</f>
        <v>SLMAP</v>
      </c>
      <c r="M973">
        <v>0</v>
      </c>
      <c r="N973">
        <v>1.78900344370861</v>
      </c>
      <c r="O973">
        <v>1.8238867883763601</v>
      </c>
      <c r="P973">
        <v>1.0652189274447901</v>
      </c>
      <c r="Q973">
        <v>0</v>
      </c>
      <c r="R973">
        <v>3.6003241283718901</v>
      </c>
      <c r="S973">
        <v>0</v>
      </c>
      <c r="T973">
        <v>1.18448996772836</v>
      </c>
      <c r="U973">
        <v>2.20471663619744</v>
      </c>
      <c r="V973">
        <v>1.05063596764157</v>
      </c>
      <c r="W973">
        <v>0</v>
      </c>
      <c r="X973">
        <v>0.984645710619934</v>
      </c>
    </row>
    <row r="974" spans="1:24">
      <c r="A974">
        <v>1848</v>
      </c>
      <c r="B974" t="s">
        <v>2635</v>
      </c>
      <c r="C974">
        <v>3</v>
      </c>
      <c r="D974" t="s">
        <v>2636</v>
      </c>
      <c r="E974">
        <v>8</v>
      </c>
      <c r="F974">
        <v>8</v>
      </c>
      <c r="G974">
        <v>8</v>
      </c>
      <c r="H974" t="s">
        <v>2637</v>
      </c>
      <c r="I974">
        <v>16</v>
      </c>
      <c r="J974">
        <v>73.010999999999996</v>
      </c>
      <c r="K974" t="str">
        <f>"SLC44A1"</f>
        <v>SLC44A1</v>
      </c>
      <c r="L974" t="str">
        <f>"SLC44A1"</f>
        <v>SLC44A1</v>
      </c>
      <c r="M974">
        <v>2.4207785504337198</v>
      </c>
      <c r="N974">
        <v>1.78900344370861</v>
      </c>
      <c r="O974">
        <v>0.91194339418818204</v>
      </c>
      <c r="P974">
        <v>1.0652189274447901</v>
      </c>
      <c r="Q974">
        <v>1.25576199330606</v>
      </c>
      <c r="R974">
        <v>1.8001620641859499</v>
      </c>
      <c r="S974">
        <v>2.2662711409396001</v>
      </c>
      <c r="T974">
        <v>1.18448996772836</v>
      </c>
      <c r="U974">
        <v>1.10235831809872</v>
      </c>
      <c r="V974">
        <v>2.1012719352831399</v>
      </c>
      <c r="W974">
        <v>2.5507961927783702</v>
      </c>
      <c r="X974">
        <v>1.96929142123987</v>
      </c>
    </row>
    <row r="975" spans="1:24">
      <c r="A975">
        <v>1914</v>
      </c>
      <c r="B975" t="s">
        <v>2638</v>
      </c>
      <c r="C975">
        <v>3</v>
      </c>
      <c r="D975" t="s">
        <v>2639</v>
      </c>
      <c r="E975">
        <v>17</v>
      </c>
      <c r="F975">
        <v>16</v>
      </c>
      <c r="G975">
        <v>16</v>
      </c>
      <c r="H975" t="s">
        <v>2640</v>
      </c>
      <c r="I975">
        <v>9</v>
      </c>
      <c r="J975">
        <v>249.49</v>
      </c>
      <c r="K975" t="str">
        <f>"DOCK10"</f>
        <v>DOCK10</v>
      </c>
      <c r="L975" t="str">
        <f>"DOCK10"</f>
        <v>DOCK10</v>
      </c>
      <c r="M975">
        <v>0</v>
      </c>
      <c r="N975">
        <v>0.89450172185430499</v>
      </c>
      <c r="O975">
        <v>3.64777357675273</v>
      </c>
      <c r="P975">
        <v>2.1304378548895899</v>
      </c>
      <c r="Q975">
        <v>0</v>
      </c>
      <c r="R975">
        <v>1.8001620641859499</v>
      </c>
      <c r="S975">
        <v>0</v>
      </c>
      <c r="T975">
        <v>1.18448996772836</v>
      </c>
      <c r="U975">
        <v>0</v>
      </c>
      <c r="V975">
        <v>1.05063596764157</v>
      </c>
      <c r="W975">
        <v>0</v>
      </c>
      <c r="X975">
        <v>0</v>
      </c>
    </row>
    <row r="976" spans="1:24">
      <c r="A976">
        <v>1949</v>
      </c>
      <c r="B976" t="s">
        <v>2641</v>
      </c>
      <c r="C976">
        <v>4</v>
      </c>
      <c r="D976" t="s">
        <v>2642</v>
      </c>
      <c r="E976">
        <v>17</v>
      </c>
      <c r="F976">
        <v>17</v>
      </c>
      <c r="G976">
        <v>17</v>
      </c>
      <c r="H976" t="s">
        <v>2643</v>
      </c>
      <c r="I976">
        <v>15.9</v>
      </c>
      <c r="J976">
        <v>147.22</v>
      </c>
      <c r="K976" t="str">
        <f>"USP47"</f>
        <v>USP47</v>
      </c>
      <c r="L976" t="str">
        <f>"USP47"</f>
        <v>USP47</v>
      </c>
      <c r="M976">
        <v>0</v>
      </c>
      <c r="N976">
        <v>3.57800688741722</v>
      </c>
      <c r="O976">
        <v>4.5597169709409098</v>
      </c>
      <c r="P976">
        <v>0</v>
      </c>
      <c r="Q976">
        <v>0</v>
      </c>
      <c r="R976">
        <v>2.7002430962789199</v>
      </c>
      <c r="S976">
        <v>4.5325422818791896</v>
      </c>
      <c r="T976">
        <v>1.18448996772836</v>
      </c>
      <c r="U976">
        <v>2.20471663619744</v>
      </c>
      <c r="V976">
        <v>1.05063596764157</v>
      </c>
      <c r="W976">
        <v>1.27539809638918</v>
      </c>
      <c r="X976">
        <v>1.96929142123987</v>
      </c>
    </row>
    <row r="977" spans="1:24">
      <c r="A977">
        <v>2075</v>
      </c>
      <c r="B977" t="s">
        <v>2644</v>
      </c>
      <c r="C977">
        <v>2</v>
      </c>
      <c r="D977" t="s">
        <v>2645</v>
      </c>
      <c r="E977">
        <v>3</v>
      </c>
      <c r="F977">
        <v>3</v>
      </c>
      <c r="G977">
        <v>3</v>
      </c>
      <c r="H977" t="s">
        <v>2646</v>
      </c>
      <c r="I977">
        <v>10.8</v>
      </c>
      <c r="J977">
        <v>28.536000000000001</v>
      </c>
      <c r="K977" t="str">
        <f>"HDHD2"</f>
        <v>HDHD2</v>
      </c>
      <c r="L977" t="str">
        <f>"HDHD2"</f>
        <v>HDHD2</v>
      </c>
      <c r="M977">
        <v>1.2103892752168599</v>
      </c>
      <c r="N977">
        <v>0.89450172185430499</v>
      </c>
      <c r="O977">
        <v>1.8238867883763601</v>
      </c>
      <c r="P977">
        <v>2.1304378548895899</v>
      </c>
      <c r="Q977">
        <v>2.51152398661212</v>
      </c>
      <c r="R977">
        <v>1.8001620641859499</v>
      </c>
      <c r="S977">
        <v>2.2662711409396001</v>
      </c>
      <c r="T977">
        <v>2.3689799354567098</v>
      </c>
      <c r="U977">
        <v>2.20471663619744</v>
      </c>
      <c r="V977">
        <v>2.1012719352831399</v>
      </c>
      <c r="W977">
        <v>1.27539809638918</v>
      </c>
      <c r="X977">
        <v>1.96929142123987</v>
      </c>
    </row>
    <row r="978" spans="1:24">
      <c r="A978">
        <v>2088</v>
      </c>
      <c r="B978" t="s">
        <v>2647</v>
      </c>
      <c r="C978">
        <v>2</v>
      </c>
      <c r="D978" t="s">
        <v>2648</v>
      </c>
      <c r="E978">
        <v>12</v>
      </c>
      <c r="F978">
        <v>12</v>
      </c>
      <c r="G978">
        <v>11</v>
      </c>
      <c r="H978" t="s">
        <v>2649</v>
      </c>
      <c r="I978">
        <v>10.199999999999999</v>
      </c>
      <c r="J978">
        <v>138.99</v>
      </c>
      <c r="K978" t="str">
        <f>"SLK"</f>
        <v>SLK</v>
      </c>
      <c r="L978" t="str">
        <f>"SLK"</f>
        <v>SLK</v>
      </c>
      <c r="M978">
        <v>2.4207785504337198</v>
      </c>
      <c r="N978">
        <v>2.6835051655629099</v>
      </c>
      <c r="O978">
        <v>0.91194339418818204</v>
      </c>
      <c r="P978">
        <v>0</v>
      </c>
      <c r="Q978">
        <v>1.25576199330606</v>
      </c>
      <c r="R978">
        <v>1.8001620641859499</v>
      </c>
      <c r="S978">
        <v>0</v>
      </c>
      <c r="T978">
        <v>0</v>
      </c>
      <c r="U978">
        <v>0</v>
      </c>
      <c r="V978">
        <v>1.05063596764157</v>
      </c>
      <c r="W978">
        <v>1.27539809638918</v>
      </c>
      <c r="X978">
        <v>0.984645710619934</v>
      </c>
    </row>
    <row r="979" spans="1:24">
      <c r="A979">
        <v>2295</v>
      </c>
      <c r="B979" t="s">
        <v>2650</v>
      </c>
      <c r="C979">
        <v>2</v>
      </c>
      <c r="D979" t="s">
        <v>2651</v>
      </c>
      <c r="E979">
        <v>11</v>
      </c>
      <c r="F979">
        <v>11</v>
      </c>
      <c r="G979">
        <v>11</v>
      </c>
      <c r="H979" t="s">
        <v>2652</v>
      </c>
      <c r="I979">
        <v>29.1</v>
      </c>
      <c r="J979">
        <v>46.648000000000003</v>
      </c>
      <c r="K979" t="str">
        <f>"SNX6"</f>
        <v>SNX6</v>
      </c>
      <c r="L979" t="str">
        <f>"SNX6"</f>
        <v>SNX6</v>
      </c>
      <c r="M979">
        <v>0</v>
      </c>
      <c r="N979">
        <v>1.78900344370861</v>
      </c>
      <c r="O979">
        <v>1.8238867883763601</v>
      </c>
      <c r="P979">
        <v>2.1304378548895899</v>
      </c>
      <c r="Q979">
        <v>2.51152398661212</v>
      </c>
      <c r="R979">
        <v>0</v>
      </c>
      <c r="S979">
        <v>0</v>
      </c>
      <c r="T979">
        <v>1.18448996772836</v>
      </c>
      <c r="U979">
        <v>2.20471663619744</v>
      </c>
      <c r="V979">
        <v>1.05063596764157</v>
      </c>
      <c r="W979">
        <v>2.5507961927783702</v>
      </c>
      <c r="X979">
        <v>1.96929142123987</v>
      </c>
    </row>
    <row r="980" spans="1:24">
      <c r="A980">
        <v>140</v>
      </c>
      <c r="B980" t="s">
        <v>2653</v>
      </c>
      <c r="C980">
        <v>1</v>
      </c>
      <c r="D980" t="s">
        <v>2654</v>
      </c>
      <c r="E980">
        <v>3</v>
      </c>
      <c r="F980">
        <v>3</v>
      </c>
      <c r="G980">
        <v>3</v>
      </c>
      <c r="H980" t="s">
        <v>2653</v>
      </c>
      <c r="I980">
        <v>21.9</v>
      </c>
      <c r="J980">
        <v>16.332000000000001</v>
      </c>
      <c r="K980" t="str">
        <f>"CYB5B"</f>
        <v>CYB5B</v>
      </c>
      <c r="L980" t="str">
        <f>"CYB5B"</f>
        <v>CYB5B</v>
      </c>
      <c r="M980">
        <v>1.2103892752168599</v>
      </c>
      <c r="N980">
        <v>2.6835051655629099</v>
      </c>
      <c r="O980">
        <v>0.91194339418818204</v>
      </c>
      <c r="P980">
        <v>1.0652189274447901</v>
      </c>
      <c r="Q980">
        <v>0</v>
      </c>
      <c r="R980">
        <v>1.8001620641859499</v>
      </c>
      <c r="S980">
        <v>2.2662711409396001</v>
      </c>
      <c r="T980">
        <v>0</v>
      </c>
      <c r="U980">
        <v>2.20471663619744</v>
      </c>
      <c r="V980">
        <v>2.1012719352831399</v>
      </c>
      <c r="W980">
        <v>0</v>
      </c>
      <c r="X980">
        <v>0.984645710619934</v>
      </c>
    </row>
    <row r="981" spans="1:24">
      <c r="A981">
        <v>582</v>
      </c>
      <c r="B981" t="s">
        <v>2655</v>
      </c>
      <c r="C981">
        <v>5</v>
      </c>
      <c r="D981" t="s">
        <v>2656</v>
      </c>
      <c r="E981">
        <v>36</v>
      </c>
      <c r="F981">
        <v>6</v>
      </c>
      <c r="G981">
        <v>2</v>
      </c>
      <c r="H981" t="s">
        <v>2657</v>
      </c>
      <c r="I981">
        <v>71.099999999999994</v>
      </c>
      <c r="J981">
        <v>32.875999999999998</v>
      </c>
      <c r="K981" t="str">
        <f>"TPM1"</f>
        <v>TPM1</v>
      </c>
      <c r="L981" t="str">
        <f>"TPM1"</f>
        <v>TPM1</v>
      </c>
      <c r="M981">
        <v>3.6311678256505799</v>
      </c>
      <c r="N981">
        <v>1.78900344370861</v>
      </c>
      <c r="O981">
        <v>0.91194339418818204</v>
      </c>
      <c r="P981">
        <v>3.19565678233438</v>
      </c>
      <c r="Q981">
        <v>0</v>
      </c>
      <c r="R981">
        <v>0</v>
      </c>
      <c r="S981">
        <v>2.2662711409396001</v>
      </c>
      <c r="T981">
        <v>1.18448996772836</v>
      </c>
      <c r="U981">
        <v>2.20471663619744</v>
      </c>
      <c r="V981">
        <v>1.05063596764157</v>
      </c>
      <c r="W981">
        <v>1.27539809638918</v>
      </c>
      <c r="X981">
        <v>1.96929142123987</v>
      </c>
    </row>
    <row r="982" spans="1:24">
      <c r="A982">
        <v>614</v>
      </c>
      <c r="B982" t="s">
        <v>2658</v>
      </c>
      <c r="C982">
        <v>2</v>
      </c>
      <c r="D982" t="s">
        <v>2659</v>
      </c>
      <c r="E982">
        <v>6</v>
      </c>
      <c r="F982">
        <v>6</v>
      </c>
      <c r="G982">
        <v>6</v>
      </c>
      <c r="H982" t="s">
        <v>2660</v>
      </c>
      <c r="I982">
        <v>42.9</v>
      </c>
      <c r="J982">
        <v>11.737</v>
      </c>
      <c r="K982" t="str">
        <f>"TXN"</f>
        <v>TXN</v>
      </c>
      <c r="L982" t="str">
        <f>"TXN"</f>
        <v>TXN</v>
      </c>
      <c r="M982">
        <v>1.2103892752168599</v>
      </c>
      <c r="N982">
        <v>0.89450172185430499</v>
      </c>
      <c r="O982">
        <v>0.91194339418818204</v>
      </c>
      <c r="P982">
        <v>3.19565678233438</v>
      </c>
      <c r="Q982">
        <v>1.25576199330606</v>
      </c>
      <c r="R982">
        <v>2.7002430962789199</v>
      </c>
      <c r="S982">
        <v>4.5325422818791896</v>
      </c>
      <c r="T982">
        <v>1.18448996772836</v>
      </c>
      <c r="U982">
        <v>1.10235831809872</v>
      </c>
      <c r="V982">
        <v>1.05063596764157</v>
      </c>
      <c r="W982">
        <v>1.27539809638918</v>
      </c>
      <c r="X982">
        <v>0</v>
      </c>
    </row>
    <row r="983" spans="1:24">
      <c r="A983">
        <v>1389</v>
      </c>
      <c r="B983" t="s">
        <v>2661</v>
      </c>
      <c r="C983">
        <v>12</v>
      </c>
      <c r="D983" t="s">
        <v>2662</v>
      </c>
      <c r="E983">
        <v>9</v>
      </c>
      <c r="F983">
        <v>9</v>
      </c>
      <c r="G983">
        <v>9</v>
      </c>
      <c r="H983" t="s">
        <v>2663</v>
      </c>
      <c r="I983">
        <v>18.2</v>
      </c>
      <c r="J983">
        <v>57.658000000000001</v>
      </c>
      <c r="K983" t="str">
        <f>"PPP3CA;PPP3CB;PPP3CC"</f>
        <v>PPP3CA;PPP3CB;PPP3CC</v>
      </c>
      <c r="L983" t="str">
        <f>"PPP3CA;PPP3CB;PPP3CC"</f>
        <v>PPP3CA;PPP3CB;PPP3CC</v>
      </c>
      <c r="M983">
        <v>0</v>
      </c>
      <c r="N983">
        <v>2.6835051655629099</v>
      </c>
      <c r="O983">
        <v>0.91194339418818204</v>
      </c>
      <c r="P983">
        <v>1.0652189274447901</v>
      </c>
      <c r="Q983">
        <v>1.25576199330606</v>
      </c>
      <c r="R983">
        <v>2.7002430962789199</v>
      </c>
      <c r="S983">
        <v>0</v>
      </c>
      <c r="T983">
        <v>2.3689799354567098</v>
      </c>
      <c r="U983">
        <v>1.10235831809872</v>
      </c>
      <c r="V983">
        <v>3.1519079029246999</v>
      </c>
      <c r="W983">
        <v>2.5507961927783702</v>
      </c>
      <c r="X983">
        <v>2.9539371318597998</v>
      </c>
    </row>
    <row r="984" spans="1:24">
      <c r="A984">
        <v>1531</v>
      </c>
      <c r="B984" t="s">
        <v>2664</v>
      </c>
      <c r="C984">
        <v>3</v>
      </c>
      <c r="D984" t="s">
        <v>2665</v>
      </c>
      <c r="E984">
        <v>7</v>
      </c>
      <c r="F984">
        <v>7</v>
      </c>
      <c r="G984">
        <v>7</v>
      </c>
      <c r="H984" t="s">
        <v>2666</v>
      </c>
      <c r="I984">
        <v>9.8000000000000007</v>
      </c>
      <c r="J984">
        <v>110.52</v>
      </c>
      <c r="K984" t="str">
        <f>"RAB3GAP1"</f>
        <v>RAB3GAP1</v>
      </c>
      <c r="L984" t="str">
        <f>"RAB3GAP1"</f>
        <v>RAB3GAP1</v>
      </c>
      <c r="M984">
        <v>0</v>
      </c>
      <c r="N984">
        <v>1.78900344370861</v>
      </c>
      <c r="O984">
        <v>1.8238867883763601</v>
      </c>
      <c r="P984">
        <v>2.1304378548895899</v>
      </c>
      <c r="Q984">
        <v>1.25576199330606</v>
      </c>
      <c r="R984">
        <v>3.6003241283718901</v>
      </c>
      <c r="S984">
        <v>0</v>
      </c>
      <c r="T984">
        <v>0</v>
      </c>
      <c r="U984">
        <v>0</v>
      </c>
      <c r="V984">
        <v>1.05063596764157</v>
      </c>
      <c r="W984">
        <v>1.27539809638918</v>
      </c>
      <c r="X984">
        <v>1.96929142123987</v>
      </c>
    </row>
    <row r="985" spans="1:24">
      <c r="A985">
        <v>1601</v>
      </c>
      <c r="B985" t="s">
        <v>2667</v>
      </c>
      <c r="C985">
        <v>3</v>
      </c>
      <c r="D985" t="s">
        <v>2668</v>
      </c>
      <c r="E985">
        <v>8</v>
      </c>
      <c r="F985">
        <v>8</v>
      </c>
      <c r="G985">
        <v>8</v>
      </c>
      <c r="H985" t="s">
        <v>2669</v>
      </c>
      <c r="I985">
        <v>14.9</v>
      </c>
      <c r="J985">
        <v>83.617000000000004</v>
      </c>
      <c r="K985" t="str">
        <f>"RTN1"</f>
        <v>RTN1</v>
      </c>
      <c r="L985" t="str">
        <f>"RTN1"</f>
        <v>RTN1</v>
      </c>
      <c r="M985">
        <v>0</v>
      </c>
      <c r="N985">
        <v>0.89450172185430499</v>
      </c>
      <c r="O985">
        <v>0.91194339418818204</v>
      </c>
      <c r="P985">
        <v>1.0652189274447901</v>
      </c>
      <c r="Q985">
        <v>0</v>
      </c>
      <c r="R985">
        <v>1.8001620641859499</v>
      </c>
      <c r="S985">
        <v>3.3994067114094002</v>
      </c>
      <c r="T985">
        <v>1.18448996772836</v>
      </c>
      <c r="U985">
        <v>1.10235831809872</v>
      </c>
      <c r="V985">
        <v>1.05063596764157</v>
      </c>
      <c r="W985">
        <v>0</v>
      </c>
      <c r="X985">
        <v>3.9385828424797298</v>
      </c>
    </row>
    <row r="986" spans="1:24">
      <c r="A986">
        <v>2030</v>
      </c>
      <c r="B986" t="s">
        <v>2670</v>
      </c>
      <c r="C986">
        <v>1</v>
      </c>
      <c r="D986" t="s">
        <v>2671</v>
      </c>
      <c r="E986">
        <v>12</v>
      </c>
      <c r="F986">
        <v>2</v>
      </c>
      <c r="G986">
        <v>2</v>
      </c>
      <c r="H986" t="s">
        <v>2670</v>
      </c>
      <c r="I986">
        <v>29.8</v>
      </c>
      <c r="J986">
        <v>49.856999999999999</v>
      </c>
      <c r="K986" t="str">
        <f>"TUBB6"</f>
        <v>TUBB6</v>
      </c>
      <c r="L986" t="str">
        <f>"TUBB6"</f>
        <v>TUBB6</v>
      </c>
      <c r="M986">
        <v>2.4207785504337198</v>
      </c>
      <c r="N986">
        <v>0.89450172185430499</v>
      </c>
      <c r="O986">
        <v>0.91194339418818204</v>
      </c>
      <c r="P986">
        <v>1.0652189274447901</v>
      </c>
      <c r="Q986">
        <v>1.25576199330606</v>
      </c>
      <c r="R986">
        <v>2.7002430962789199</v>
      </c>
      <c r="S986">
        <v>0</v>
      </c>
      <c r="T986">
        <v>3.5534699031850701</v>
      </c>
      <c r="U986">
        <v>0</v>
      </c>
      <c r="V986">
        <v>1.05063596764157</v>
      </c>
      <c r="W986">
        <v>0</v>
      </c>
      <c r="X986">
        <v>0</v>
      </c>
    </row>
    <row r="987" spans="1:24">
      <c r="A987">
        <v>2122</v>
      </c>
      <c r="B987" t="s">
        <v>2672</v>
      </c>
      <c r="C987">
        <v>2</v>
      </c>
      <c r="D987" t="s">
        <v>2673</v>
      </c>
      <c r="E987">
        <v>5</v>
      </c>
      <c r="F987">
        <v>5</v>
      </c>
      <c r="G987">
        <v>5</v>
      </c>
      <c r="H987" t="s">
        <v>2674</v>
      </c>
      <c r="I987">
        <v>29.9</v>
      </c>
      <c r="J987">
        <v>23.625</v>
      </c>
      <c r="K987" t="str">
        <f>"RHOF"</f>
        <v>RHOF</v>
      </c>
      <c r="L987" t="str">
        <f>"RHOF"</f>
        <v>RHOF</v>
      </c>
      <c r="M987">
        <v>0</v>
      </c>
      <c r="N987">
        <v>0.89450172185430499</v>
      </c>
      <c r="O987">
        <v>0.91194339418818204</v>
      </c>
      <c r="P987">
        <v>2.1304378548895899</v>
      </c>
      <c r="Q987">
        <v>1.25576199330606</v>
      </c>
      <c r="R987">
        <v>2.7002430962789199</v>
      </c>
      <c r="S987">
        <v>1.1331355704698001</v>
      </c>
      <c r="T987">
        <v>0</v>
      </c>
      <c r="U987">
        <v>2.20471663619744</v>
      </c>
      <c r="V987">
        <v>0</v>
      </c>
      <c r="W987">
        <v>2.5507961927783702</v>
      </c>
      <c r="X987">
        <v>1.96929142123987</v>
      </c>
    </row>
    <row r="988" spans="1:24">
      <c r="A988">
        <v>2137</v>
      </c>
      <c r="B988" t="s">
        <v>2675</v>
      </c>
      <c r="C988">
        <v>2</v>
      </c>
      <c r="D988" t="s">
        <v>2676</v>
      </c>
      <c r="E988">
        <v>5</v>
      </c>
      <c r="F988">
        <v>5</v>
      </c>
      <c r="G988">
        <v>5</v>
      </c>
      <c r="H988" t="s">
        <v>2677</v>
      </c>
      <c r="I988">
        <v>21.2</v>
      </c>
      <c r="J988">
        <v>33.878999999999998</v>
      </c>
      <c r="K988" t="str">
        <f>"VTA1"</f>
        <v>VTA1</v>
      </c>
      <c r="L988" t="str">
        <f>"VTA1"</f>
        <v>VTA1</v>
      </c>
      <c r="M988">
        <v>0</v>
      </c>
      <c r="N988">
        <v>0</v>
      </c>
      <c r="O988">
        <v>3.64777357675273</v>
      </c>
      <c r="P988">
        <v>2.1304378548895899</v>
      </c>
      <c r="Q988">
        <v>0</v>
      </c>
      <c r="R988">
        <v>2.7002430962789199</v>
      </c>
      <c r="S988">
        <v>0</v>
      </c>
      <c r="T988">
        <v>0</v>
      </c>
      <c r="U988">
        <v>1.10235831809872</v>
      </c>
      <c r="V988">
        <v>2.1012719352831399</v>
      </c>
      <c r="W988">
        <v>0</v>
      </c>
      <c r="X988">
        <v>0.984645710619934</v>
      </c>
    </row>
    <row r="989" spans="1:24">
      <c r="A989">
        <v>363</v>
      </c>
      <c r="B989" t="s">
        <v>2678</v>
      </c>
      <c r="C989">
        <v>2</v>
      </c>
      <c r="D989" t="s">
        <v>2679</v>
      </c>
      <c r="E989">
        <v>3</v>
      </c>
      <c r="F989">
        <v>3</v>
      </c>
      <c r="G989">
        <v>3</v>
      </c>
      <c r="H989" t="s">
        <v>2680</v>
      </c>
      <c r="I989">
        <v>38.9</v>
      </c>
      <c r="J989">
        <v>11.342000000000001</v>
      </c>
      <c r="K989" t="s">
        <v>1903</v>
      </c>
      <c r="L989" t="s">
        <v>1903</v>
      </c>
      <c r="M989">
        <v>2.4207785504337198</v>
      </c>
      <c r="N989">
        <v>0</v>
      </c>
      <c r="O989">
        <v>0.91194339418818204</v>
      </c>
      <c r="P989">
        <v>3.19565678233438</v>
      </c>
      <c r="Q989">
        <v>2.51152398661212</v>
      </c>
      <c r="R989">
        <v>0.90008103209297396</v>
      </c>
      <c r="S989">
        <v>1.1331355704698001</v>
      </c>
      <c r="T989">
        <v>3.5534699031850701</v>
      </c>
      <c r="U989">
        <v>0</v>
      </c>
      <c r="V989">
        <v>1.05063596764157</v>
      </c>
      <c r="W989">
        <v>2.5507961927783702</v>
      </c>
      <c r="X989">
        <v>0</v>
      </c>
    </row>
    <row r="990" spans="1:24">
      <c r="A990">
        <v>908</v>
      </c>
      <c r="B990" t="s">
        <v>2681</v>
      </c>
      <c r="C990">
        <v>2</v>
      </c>
      <c r="D990" t="s">
        <v>2682</v>
      </c>
      <c r="E990">
        <v>17</v>
      </c>
      <c r="F990">
        <v>3</v>
      </c>
      <c r="G990">
        <v>0</v>
      </c>
      <c r="H990" t="s">
        <v>2683</v>
      </c>
      <c r="I990">
        <v>53.9</v>
      </c>
      <c r="J990">
        <v>40.454999999999998</v>
      </c>
      <c r="K990" t="str">
        <f>"HLA-B"</f>
        <v>HLA-B</v>
      </c>
      <c r="L990" t="str">
        <f>"HLA-B"</f>
        <v>HLA-B</v>
      </c>
      <c r="M990">
        <v>0</v>
      </c>
      <c r="N990">
        <v>0.89450172185430499</v>
      </c>
      <c r="O990">
        <v>4.5597169709409098</v>
      </c>
      <c r="P990">
        <v>1.0652189274447901</v>
      </c>
      <c r="Q990">
        <v>0</v>
      </c>
      <c r="R990">
        <v>1.8001620641859499</v>
      </c>
      <c r="S990">
        <v>1.1331355704698001</v>
      </c>
      <c r="T990">
        <v>0</v>
      </c>
      <c r="U990">
        <v>0</v>
      </c>
      <c r="V990">
        <v>2.1012719352831399</v>
      </c>
      <c r="W990">
        <v>2.5507961927783702</v>
      </c>
      <c r="X990">
        <v>0</v>
      </c>
    </row>
    <row r="991" spans="1:24">
      <c r="A991">
        <v>1043</v>
      </c>
      <c r="B991" t="s">
        <v>2684</v>
      </c>
      <c r="C991">
        <v>2</v>
      </c>
      <c r="D991" t="s">
        <v>2685</v>
      </c>
      <c r="E991">
        <v>6</v>
      </c>
      <c r="F991">
        <v>6</v>
      </c>
      <c r="G991">
        <v>6</v>
      </c>
      <c r="H991" t="s">
        <v>2686</v>
      </c>
      <c r="I991">
        <v>26.7</v>
      </c>
      <c r="J991">
        <v>36.024999999999999</v>
      </c>
      <c r="K991" t="str">
        <f>"ACADSB"</f>
        <v>ACADSB</v>
      </c>
      <c r="L991" t="str">
        <f>"ACADSB"</f>
        <v>ACADSB</v>
      </c>
      <c r="M991">
        <v>1.2103892752168599</v>
      </c>
      <c r="N991">
        <v>0</v>
      </c>
      <c r="O991">
        <v>1.8238867883763601</v>
      </c>
      <c r="P991">
        <v>0</v>
      </c>
      <c r="Q991">
        <v>2.51152398661212</v>
      </c>
      <c r="R991">
        <v>1.8001620641859499</v>
      </c>
      <c r="S991">
        <v>1.1331355704698001</v>
      </c>
      <c r="T991">
        <v>1.18448996772836</v>
      </c>
      <c r="U991">
        <v>2.20471663619744</v>
      </c>
      <c r="V991">
        <v>0</v>
      </c>
      <c r="W991">
        <v>1.27539809638918</v>
      </c>
      <c r="X991">
        <v>1.96929142123987</v>
      </c>
    </row>
    <row r="992" spans="1:24">
      <c r="A992">
        <v>1172</v>
      </c>
      <c r="B992" t="s">
        <v>2687</v>
      </c>
      <c r="C992">
        <v>2</v>
      </c>
      <c r="D992" t="s">
        <v>2688</v>
      </c>
      <c r="E992">
        <v>5</v>
      </c>
      <c r="F992">
        <v>5</v>
      </c>
      <c r="G992">
        <v>5</v>
      </c>
      <c r="H992" t="s">
        <v>2689</v>
      </c>
      <c r="I992">
        <v>5.7</v>
      </c>
      <c r="J992">
        <v>118.32</v>
      </c>
      <c r="K992" t="str">
        <f>"SEC24C"</f>
        <v>SEC24C</v>
      </c>
      <c r="L992" t="str">
        <f>"SEC24C"</f>
        <v>SEC24C</v>
      </c>
      <c r="M992">
        <v>1.2103892752168599</v>
      </c>
      <c r="N992">
        <v>1.78900344370861</v>
      </c>
      <c r="O992">
        <v>2.7358301825645501</v>
      </c>
      <c r="P992">
        <v>1.0652189274447901</v>
      </c>
      <c r="Q992">
        <v>0</v>
      </c>
      <c r="R992">
        <v>0.90008103209297396</v>
      </c>
      <c r="S992">
        <v>1.1331355704698001</v>
      </c>
      <c r="T992">
        <v>0</v>
      </c>
      <c r="U992">
        <v>2.20471663619744</v>
      </c>
      <c r="V992">
        <v>0</v>
      </c>
      <c r="W992">
        <v>2.5507961927783702</v>
      </c>
      <c r="X992">
        <v>1.96929142123987</v>
      </c>
    </row>
    <row r="993" spans="1:24">
      <c r="A993">
        <v>1338</v>
      </c>
      <c r="B993" t="s">
        <v>2690</v>
      </c>
      <c r="C993">
        <v>1</v>
      </c>
      <c r="D993" t="s">
        <v>2691</v>
      </c>
      <c r="E993">
        <v>8</v>
      </c>
      <c r="F993">
        <v>8</v>
      </c>
      <c r="G993">
        <v>8</v>
      </c>
      <c r="H993" t="s">
        <v>2690</v>
      </c>
      <c r="I993">
        <v>35.700000000000003</v>
      </c>
      <c r="J993">
        <v>25.177</v>
      </c>
      <c r="K993" t="str">
        <f>"FKBP3"</f>
        <v>FKBP3</v>
      </c>
      <c r="L993" t="str">
        <f>"FKBP3"</f>
        <v>FKBP3</v>
      </c>
      <c r="M993">
        <v>0</v>
      </c>
      <c r="N993">
        <v>0</v>
      </c>
      <c r="O993">
        <v>0.91194339418818204</v>
      </c>
      <c r="P993">
        <v>2.1304378548895899</v>
      </c>
      <c r="Q993">
        <v>0</v>
      </c>
      <c r="R993">
        <v>2.7002430962789199</v>
      </c>
      <c r="S993">
        <v>1.1331355704698001</v>
      </c>
      <c r="T993">
        <v>2.3689799354567098</v>
      </c>
      <c r="U993">
        <v>2.20471663619744</v>
      </c>
      <c r="V993">
        <v>2.1012719352831399</v>
      </c>
      <c r="W993">
        <v>1.27539809638918</v>
      </c>
      <c r="X993">
        <v>2.9539371318597998</v>
      </c>
    </row>
    <row r="994" spans="1:24">
      <c r="A994">
        <v>1539</v>
      </c>
      <c r="B994" t="s">
        <v>2692</v>
      </c>
      <c r="C994">
        <v>1</v>
      </c>
      <c r="D994" t="s">
        <v>2693</v>
      </c>
      <c r="E994">
        <v>8</v>
      </c>
      <c r="F994">
        <v>8</v>
      </c>
      <c r="G994">
        <v>8</v>
      </c>
      <c r="H994" t="s">
        <v>2692</v>
      </c>
      <c r="I994">
        <v>42.7</v>
      </c>
      <c r="J994">
        <v>21.995000000000001</v>
      </c>
      <c r="K994" t="str">
        <f>"PMVK"</f>
        <v>PMVK</v>
      </c>
      <c r="L994" t="str">
        <f>"PMVK"</f>
        <v>PMVK</v>
      </c>
      <c r="M994">
        <v>0</v>
      </c>
      <c r="N994">
        <v>2.6835051655629099</v>
      </c>
      <c r="O994">
        <v>1.8238867883763601</v>
      </c>
      <c r="P994">
        <v>3.19565678233438</v>
      </c>
      <c r="Q994">
        <v>0</v>
      </c>
      <c r="R994">
        <v>1.8001620641859499</v>
      </c>
      <c r="S994">
        <v>0</v>
      </c>
      <c r="T994">
        <v>0</v>
      </c>
      <c r="U994">
        <v>1.10235831809872</v>
      </c>
      <c r="V994">
        <v>3.1519079029246999</v>
      </c>
      <c r="W994">
        <v>1.27539809638918</v>
      </c>
      <c r="X994">
        <v>1.96929142123987</v>
      </c>
    </row>
    <row r="995" spans="1:24">
      <c r="A995">
        <v>1605</v>
      </c>
      <c r="B995" t="s">
        <v>2694</v>
      </c>
      <c r="C995">
        <v>7</v>
      </c>
      <c r="D995" t="s">
        <v>2695</v>
      </c>
      <c r="E995">
        <v>9</v>
      </c>
      <c r="F995">
        <v>9</v>
      </c>
      <c r="G995">
        <v>9</v>
      </c>
      <c r="H995" t="s">
        <v>2696</v>
      </c>
      <c r="I995">
        <v>27.1</v>
      </c>
      <c r="J995">
        <v>54.753</v>
      </c>
      <c r="K995" t="str">
        <f>"TXNRD1"</f>
        <v>TXNRD1</v>
      </c>
      <c r="L995" t="str">
        <f>"TXNRD1"</f>
        <v>TXNRD1</v>
      </c>
      <c r="M995">
        <v>1.2103892752168599</v>
      </c>
      <c r="N995">
        <v>2.6835051655629099</v>
      </c>
      <c r="O995">
        <v>2.7358301825645501</v>
      </c>
      <c r="P995">
        <v>3.19565678233438</v>
      </c>
      <c r="Q995">
        <v>0</v>
      </c>
      <c r="R995">
        <v>3.6003241283718901</v>
      </c>
      <c r="S995">
        <v>1.1331355704698001</v>
      </c>
      <c r="T995">
        <v>0</v>
      </c>
      <c r="U995">
        <v>2.20471663619744</v>
      </c>
      <c r="V995">
        <v>1.05063596764157</v>
      </c>
      <c r="W995">
        <v>0</v>
      </c>
      <c r="X995">
        <v>0.984645710619934</v>
      </c>
    </row>
    <row r="996" spans="1:24">
      <c r="A996">
        <v>1802</v>
      </c>
      <c r="B996" t="s">
        <v>2697</v>
      </c>
      <c r="C996">
        <v>1</v>
      </c>
      <c r="D996" t="s">
        <v>2698</v>
      </c>
      <c r="E996">
        <v>7</v>
      </c>
      <c r="F996">
        <v>7</v>
      </c>
      <c r="G996">
        <v>7</v>
      </c>
      <c r="H996" t="s">
        <v>2697</v>
      </c>
      <c r="I996">
        <v>22.8</v>
      </c>
      <c r="J996">
        <v>47.151000000000003</v>
      </c>
      <c r="K996" t="str">
        <f>"SCCPDH"</f>
        <v>SCCPDH</v>
      </c>
      <c r="L996" t="str">
        <f>"SCCPDH"</f>
        <v>SCCPDH</v>
      </c>
      <c r="M996">
        <v>1.2103892752168599</v>
      </c>
      <c r="N996">
        <v>1.78900344370861</v>
      </c>
      <c r="O996">
        <v>1.8238867883763601</v>
      </c>
      <c r="P996">
        <v>2.1304378548895899</v>
      </c>
      <c r="Q996">
        <v>1.25576199330606</v>
      </c>
      <c r="R996">
        <v>0.90008103209297396</v>
      </c>
      <c r="S996">
        <v>1.1331355704698001</v>
      </c>
      <c r="T996">
        <v>1.18448996772836</v>
      </c>
      <c r="U996">
        <v>3.3070749542961599</v>
      </c>
      <c r="V996">
        <v>1.05063596764157</v>
      </c>
      <c r="W996">
        <v>0</v>
      </c>
      <c r="X996">
        <v>0.984645710619934</v>
      </c>
    </row>
    <row r="997" spans="1:24">
      <c r="A997">
        <v>1831</v>
      </c>
      <c r="B997" t="s">
        <v>2699</v>
      </c>
      <c r="C997">
        <v>2</v>
      </c>
      <c r="D997" t="s">
        <v>2700</v>
      </c>
      <c r="E997">
        <v>10</v>
      </c>
      <c r="F997">
        <v>10</v>
      </c>
      <c r="G997">
        <v>10</v>
      </c>
      <c r="H997" t="s">
        <v>2701</v>
      </c>
      <c r="I997">
        <v>10.5</v>
      </c>
      <c r="J997">
        <v>107.17</v>
      </c>
      <c r="K997" t="str">
        <f>"NEK9"</f>
        <v>NEK9</v>
      </c>
      <c r="L997" t="str">
        <f>"NEK9"</f>
        <v>NEK9</v>
      </c>
      <c r="M997">
        <v>0</v>
      </c>
      <c r="N997">
        <v>2.6835051655629099</v>
      </c>
      <c r="O997">
        <v>1.8238867883763601</v>
      </c>
      <c r="P997">
        <v>1.0652189274447901</v>
      </c>
      <c r="Q997">
        <v>0</v>
      </c>
      <c r="R997">
        <v>1.8001620641859499</v>
      </c>
      <c r="S997">
        <v>1.1331355704698001</v>
      </c>
      <c r="T997">
        <v>1.18448996772836</v>
      </c>
      <c r="U997">
        <v>0</v>
      </c>
      <c r="V997">
        <v>0</v>
      </c>
      <c r="W997">
        <v>0</v>
      </c>
      <c r="X997">
        <v>0.984645710619934</v>
      </c>
    </row>
    <row r="998" spans="1:24">
      <c r="A998">
        <v>1928</v>
      </c>
      <c r="B998" t="s">
        <v>2702</v>
      </c>
      <c r="C998">
        <v>1</v>
      </c>
      <c r="D998" t="s">
        <v>2703</v>
      </c>
      <c r="E998">
        <v>3</v>
      </c>
      <c r="F998">
        <v>3</v>
      </c>
      <c r="G998">
        <v>2</v>
      </c>
      <c r="H998" t="s">
        <v>2702</v>
      </c>
      <c r="I998">
        <v>25.8</v>
      </c>
      <c r="J998">
        <v>10.35</v>
      </c>
      <c r="K998" t="str">
        <f>"DYNLL2"</f>
        <v>DYNLL2</v>
      </c>
      <c r="L998" t="str">
        <f>"DYNLL2"</f>
        <v>DYNLL2</v>
      </c>
      <c r="M998">
        <v>2.4207785504337198</v>
      </c>
      <c r="N998">
        <v>1.78900344370861</v>
      </c>
      <c r="O998">
        <v>0.91194339418818204</v>
      </c>
      <c r="P998">
        <v>2.1304378548895899</v>
      </c>
      <c r="Q998">
        <v>1.25576199330606</v>
      </c>
      <c r="R998">
        <v>0.90008103209297396</v>
      </c>
      <c r="S998">
        <v>1.1331355704698001</v>
      </c>
      <c r="T998">
        <v>2.3689799354567098</v>
      </c>
      <c r="U998">
        <v>1.10235831809872</v>
      </c>
      <c r="V998">
        <v>3.1519079029246999</v>
      </c>
      <c r="W998">
        <v>0</v>
      </c>
      <c r="X998">
        <v>0</v>
      </c>
    </row>
    <row r="999" spans="1:24">
      <c r="A999">
        <v>2224</v>
      </c>
      <c r="B999" t="s">
        <v>2704</v>
      </c>
      <c r="C999">
        <v>2</v>
      </c>
      <c r="D999" t="s">
        <v>2705</v>
      </c>
      <c r="E999">
        <v>7</v>
      </c>
      <c r="F999">
        <v>7</v>
      </c>
      <c r="G999">
        <v>7</v>
      </c>
      <c r="H999" t="s">
        <v>2706</v>
      </c>
      <c r="I999">
        <v>17.7</v>
      </c>
      <c r="J999">
        <v>48.039000000000001</v>
      </c>
      <c r="K999" t="str">
        <f>"SUCLA2"</f>
        <v>SUCLA2</v>
      </c>
      <c r="L999" t="str">
        <f>"SUCLA2"</f>
        <v>SUCLA2</v>
      </c>
      <c r="M999">
        <v>0</v>
      </c>
      <c r="N999">
        <v>2.6835051655629099</v>
      </c>
      <c r="O999">
        <v>1.8238867883763601</v>
      </c>
      <c r="P999">
        <v>1.0652189274447901</v>
      </c>
      <c r="Q999">
        <v>2.51152398661212</v>
      </c>
      <c r="R999">
        <v>1.8001620641859499</v>
      </c>
      <c r="S999">
        <v>2.2662711409396001</v>
      </c>
      <c r="T999">
        <v>0</v>
      </c>
      <c r="U999">
        <v>2.20471663619744</v>
      </c>
      <c r="V999">
        <v>0</v>
      </c>
      <c r="W999">
        <v>1.27539809638918</v>
      </c>
      <c r="X999">
        <v>0.984645710619934</v>
      </c>
    </row>
    <row r="1000" spans="1:24">
      <c r="A1000">
        <v>2360</v>
      </c>
      <c r="B1000" t="s">
        <v>2707</v>
      </c>
      <c r="C1000">
        <v>1</v>
      </c>
      <c r="D1000" t="s">
        <v>2708</v>
      </c>
      <c r="E1000">
        <v>4</v>
      </c>
      <c r="F1000">
        <v>4</v>
      </c>
      <c r="G1000">
        <v>4</v>
      </c>
      <c r="H1000" t="s">
        <v>2707</v>
      </c>
      <c r="I1000">
        <v>8.6999999999999993</v>
      </c>
      <c r="J1000">
        <v>51.975999999999999</v>
      </c>
      <c r="K1000" t="str">
        <f>"SAMM50"</f>
        <v>SAMM50</v>
      </c>
      <c r="L1000" t="str">
        <f>"SAMM50"</f>
        <v>SAMM50</v>
      </c>
      <c r="M1000">
        <v>1.2103892752168599</v>
      </c>
      <c r="N1000">
        <v>1.78900344370861</v>
      </c>
      <c r="O1000">
        <v>0.91194339418818204</v>
      </c>
      <c r="P1000">
        <v>0</v>
      </c>
      <c r="Q1000">
        <v>0</v>
      </c>
      <c r="R1000">
        <v>2.7002430962789199</v>
      </c>
      <c r="S1000">
        <v>1.1331355704698001</v>
      </c>
      <c r="T1000">
        <v>0</v>
      </c>
      <c r="U1000">
        <v>1.10235831809872</v>
      </c>
      <c r="V1000">
        <v>1.05063596764157</v>
      </c>
      <c r="W1000">
        <v>0</v>
      </c>
      <c r="X1000">
        <v>0.984645710619934</v>
      </c>
    </row>
    <row r="1001" spans="1:24">
      <c r="A1001">
        <v>75</v>
      </c>
      <c r="B1001" t="s">
        <v>2709</v>
      </c>
      <c r="C1001">
        <v>4</v>
      </c>
      <c r="D1001" t="s">
        <v>2710</v>
      </c>
      <c r="E1001">
        <v>10</v>
      </c>
      <c r="F1001">
        <v>10</v>
      </c>
      <c r="G1001">
        <v>10</v>
      </c>
      <c r="H1001" t="s">
        <v>2711</v>
      </c>
      <c r="I1001">
        <v>15.1</v>
      </c>
      <c r="J1001">
        <v>86.488</v>
      </c>
      <c r="K1001" t="str">
        <f>"VWA5A"</f>
        <v>VWA5A</v>
      </c>
      <c r="L1001" t="str">
        <f>"VWA5A"</f>
        <v>VWA5A</v>
      </c>
      <c r="M1001">
        <v>0</v>
      </c>
      <c r="N1001">
        <v>2.6835051655629099</v>
      </c>
      <c r="O1001">
        <v>2.7358301825645501</v>
      </c>
      <c r="P1001">
        <v>0</v>
      </c>
      <c r="Q1001">
        <v>0</v>
      </c>
      <c r="R1001">
        <v>0</v>
      </c>
      <c r="S1001">
        <v>0</v>
      </c>
      <c r="T1001">
        <v>1.18448996772836</v>
      </c>
      <c r="U1001">
        <v>1.10235831809872</v>
      </c>
      <c r="V1001">
        <v>1.05063596764157</v>
      </c>
      <c r="W1001">
        <v>0</v>
      </c>
      <c r="X1001">
        <v>0</v>
      </c>
    </row>
    <row r="1002" spans="1:24">
      <c r="A1002">
        <v>977</v>
      </c>
      <c r="B1002" t="s">
        <v>2712</v>
      </c>
      <c r="C1002">
        <v>4</v>
      </c>
      <c r="D1002" t="s">
        <v>2713</v>
      </c>
      <c r="E1002">
        <v>6</v>
      </c>
      <c r="F1002">
        <v>6</v>
      </c>
      <c r="G1002">
        <v>6</v>
      </c>
      <c r="H1002" t="s">
        <v>2714</v>
      </c>
      <c r="I1002">
        <v>27.5</v>
      </c>
      <c r="J1002">
        <v>23.587</v>
      </c>
      <c r="K1002" t="str">
        <f>"ATP6V1E1;ATP6V1E2"</f>
        <v>ATP6V1E1;ATP6V1E2</v>
      </c>
      <c r="L1002" t="str">
        <f>"ATP6V1E1;ATP6V1E2"</f>
        <v>ATP6V1E1;ATP6V1E2</v>
      </c>
      <c r="M1002">
        <v>1.2103892752168599</v>
      </c>
      <c r="N1002">
        <v>0.89450172185430499</v>
      </c>
      <c r="O1002">
        <v>0.91194339418818204</v>
      </c>
      <c r="P1002">
        <v>1.0652189274447901</v>
      </c>
      <c r="Q1002">
        <v>0</v>
      </c>
      <c r="R1002">
        <v>1.8001620641859499</v>
      </c>
      <c r="S1002">
        <v>1.1331355704698001</v>
      </c>
      <c r="T1002">
        <v>0</v>
      </c>
      <c r="U1002">
        <v>1.10235831809872</v>
      </c>
      <c r="V1002">
        <v>1.05063596764157</v>
      </c>
      <c r="W1002">
        <v>1.27539809638918</v>
      </c>
      <c r="X1002">
        <v>1.96929142123987</v>
      </c>
    </row>
    <row r="1003" spans="1:24">
      <c r="A1003">
        <v>1022</v>
      </c>
      <c r="B1003" t="s">
        <v>2715</v>
      </c>
      <c r="C1003">
        <v>2</v>
      </c>
      <c r="D1003" t="s">
        <v>2716</v>
      </c>
      <c r="E1003">
        <v>12</v>
      </c>
      <c r="F1003">
        <v>12</v>
      </c>
      <c r="G1003">
        <v>12</v>
      </c>
      <c r="H1003" t="s">
        <v>2717</v>
      </c>
      <c r="I1003">
        <v>13.6</v>
      </c>
      <c r="J1003">
        <v>122.76</v>
      </c>
      <c r="K1003" t="str">
        <f>"PIK3CB;PIK3CD"</f>
        <v>PIK3CB;PIK3CD</v>
      </c>
      <c r="L1003" t="str">
        <f>"PIK3CB;PIK3CD"</f>
        <v>PIK3CB;PIK3CD</v>
      </c>
      <c r="M1003">
        <v>0</v>
      </c>
      <c r="N1003">
        <v>2.6835051655629099</v>
      </c>
      <c r="O1003">
        <v>1.8238867883763601</v>
      </c>
      <c r="P1003">
        <v>0</v>
      </c>
      <c r="Q1003">
        <v>0</v>
      </c>
      <c r="R1003">
        <v>0</v>
      </c>
      <c r="S1003">
        <v>0</v>
      </c>
      <c r="T1003">
        <v>2.3689799354567098</v>
      </c>
      <c r="U1003">
        <v>0</v>
      </c>
      <c r="V1003">
        <v>1.05063596764157</v>
      </c>
      <c r="W1003">
        <v>1.27539809638918</v>
      </c>
      <c r="X1003">
        <v>2.9539371318597998</v>
      </c>
    </row>
    <row r="1004" spans="1:24">
      <c r="A1004">
        <v>1132</v>
      </c>
      <c r="B1004" t="s">
        <v>2718</v>
      </c>
      <c r="C1004">
        <v>1</v>
      </c>
      <c r="D1004" t="s">
        <v>2719</v>
      </c>
      <c r="E1004">
        <v>5</v>
      </c>
      <c r="F1004">
        <v>5</v>
      </c>
      <c r="G1004">
        <v>5</v>
      </c>
      <c r="H1004" t="s">
        <v>2718</v>
      </c>
      <c r="I1004">
        <v>36.4</v>
      </c>
      <c r="J1004">
        <v>18.998000000000001</v>
      </c>
      <c r="K1004" t="str">
        <f>"SSR4"</f>
        <v>SSR4</v>
      </c>
      <c r="L1004" t="str">
        <f>"SSR4"</f>
        <v>SSR4</v>
      </c>
      <c r="M1004">
        <v>2.4207785504337198</v>
      </c>
      <c r="N1004">
        <v>0.89450172185430499</v>
      </c>
      <c r="O1004">
        <v>0</v>
      </c>
      <c r="P1004">
        <v>1.0652189274447901</v>
      </c>
      <c r="Q1004">
        <v>0</v>
      </c>
      <c r="R1004">
        <v>1.8001620641859499</v>
      </c>
      <c r="S1004">
        <v>1.1331355704698001</v>
      </c>
      <c r="T1004">
        <v>0</v>
      </c>
      <c r="U1004">
        <v>1.10235831809872</v>
      </c>
      <c r="V1004">
        <v>1.05063596764157</v>
      </c>
      <c r="W1004">
        <v>2.5507961927783702</v>
      </c>
      <c r="X1004">
        <v>2.9539371318597998</v>
      </c>
    </row>
    <row r="1005" spans="1:24">
      <c r="A1005">
        <v>1246</v>
      </c>
      <c r="B1005" t="s">
        <v>2720</v>
      </c>
      <c r="C1005">
        <v>1</v>
      </c>
      <c r="D1005" t="s">
        <v>2721</v>
      </c>
      <c r="E1005">
        <v>4</v>
      </c>
      <c r="F1005">
        <v>4</v>
      </c>
      <c r="G1005">
        <v>4</v>
      </c>
      <c r="H1005" t="s">
        <v>2720</v>
      </c>
      <c r="I1005">
        <v>29.4</v>
      </c>
      <c r="J1005">
        <v>10.932</v>
      </c>
      <c r="K1005" t="str">
        <f>"HSPE1"</f>
        <v>HSPE1</v>
      </c>
      <c r="L1005" t="str">
        <f>"HSPE1"</f>
        <v>HSPE1</v>
      </c>
      <c r="M1005">
        <v>2.4207785504337198</v>
      </c>
      <c r="N1005">
        <v>0</v>
      </c>
      <c r="O1005">
        <v>0</v>
      </c>
      <c r="P1005">
        <v>1.0652189274447901</v>
      </c>
      <c r="Q1005">
        <v>0</v>
      </c>
      <c r="R1005">
        <v>2.7002430962789199</v>
      </c>
      <c r="S1005">
        <v>2.2662711409396001</v>
      </c>
      <c r="T1005">
        <v>2.3689799354567098</v>
      </c>
      <c r="U1005">
        <v>4.4094332723948799</v>
      </c>
      <c r="V1005">
        <v>3.1519079029246999</v>
      </c>
      <c r="W1005">
        <v>0</v>
      </c>
      <c r="X1005">
        <v>0</v>
      </c>
    </row>
    <row r="1006" spans="1:24">
      <c r="A1006">
        <v>1288</v>
      </c>
      <c r="B1006" t="s">
        <v>2722</v>
      </c>
      <c r="C1006">
        <v>1</v>
      </c>
      <c r="D1006" t="s">
        <v>2723</v>
      </c>
      <c r="E1006">
        <v>3</v>
      </c>
      <c r="F1006">
        <v>2</v>
      </c>
      <c r="G1006">
        <v>2</v>
      </c>
      <c r="H1006" t="s">
        <v>2722</v>
      </c>
      <c r="I1006">
        <v>27</v>
      </c>
      <c r="J1006">
        <v>10.366</v>
      </c>
      <c r="K1006" t="str">
        <f>"DYNLL1"</f>
        <v>DYNLL1</v>
      </c>
      <c r="L1006" t="str">
        <f>"DYNLL1"</f>
        <v>DYNLL1</v>
      </c>
      <c r="M1006">
        <v>1.2103892752168599</v>
      </c>
      <c r="N1006">
        <v>1.78900344370861</v>
      </c>
      <c r="O1006">
        <v>1.8238867883763601</v>
      </c>
      <c r="P1006">
        <v>2.1304378548895899</v>
      </c>
      <c r="Q1006">
        <v>2.51152398661212</v>
      </c>
      <c r="R1006">
        <v>1.8001620641859499</v>
      </c>
      <c r="S1006">
        <v>2.2662711409396001</v>
      </c>
      <c r="T1006">
        <v>2.3689799354567098</v>
      </c>
      <c r="U1006">
        <v>2.20471663619744</v>
      </c>
      <c r="V1006">
        <v>2.1012719352831399</v>
      </c>
      <c r="W1006">
        <v>0</v>
      </c>
      <c r="X1006">
        <v>0</v>
      </c>
    </row>
    <row r="1007" spans="1:24">
      <c r="A1007">
        <v>1340</v>
      </c>
      <c r="B1007" t="s">
        <v>2724</v>
      </c>
      <c r="C1007">
        <v>2</v>
      </c>
      <c r="D1007" t="s">
        <v>2725</v>
      </c>
      <c r="E1007">
        <v>6</v>
      </c>
      <c r="F1007">
        <v>6</v>
      </c>
      <c r="G1007">
        <v>6</v>
      </c>
      <c r="H1007" t="s">
        <v>2726</v>
      </c>
      <c r="I1007">
        <v>24.9</v>
      </c>
      <c r="J1007">
        <v>21.492999999999999</v>
      </c>
      <c r="K1007" t="str">
        <f>"REEP5"</f>
        <v>REEP5</v>
      </c>
      <c r="L1007" t="str">
        <f>"REEP5"</f>
        <v>REEP5</v>
      </c>
      <c r="M1007">
        <v>1.2103892752168599</v>
      </c>
      <c r="N1007">
        <v>0</v>
      </c>
      <c r="O1007">
        <v>0.91194339418818204</v>
      </c>
      <c r="P1007">
        <v>1.0652189274447901</v>
      </c>
      <c r="Q1007">
        <v>2.51152398661212</v>
      </c>
      <c r="R1007">
        <v>0.90008103209297396</v>
      </c>
      <c r="S1007">
        <v>1.1331355704698001</v>
      </c>
      <c r="T1007">
        <v>1.18448996772836</v>
      </c>
      <c r="U1007">
        <v>1.10235831809872</v>
      </c>
      <c r="V1007">
        <v>2.1012719352831399</v>
      </c>
      <c r="W1007">
        <v>1.27539809638918</v>
      </c>
      <c r="X1007">
        <v>1.96929142123987</v>
      </c>
    </row>
    <row r="1008" spans="1:24">
      <c r="A1008">
        <v>1408</v>
      </c>
      <c r="B1008" t="s">
        <v>2727</v>
      </c>
      <c r="C1008">
        <v>5</v>
      </c>
      <c r="D1008" t="s">
        <v>2728</v>
      </c>
      <c r="E1008">
        <v>8</v>
      </c>
      <c r="F1008">
        <v>8</v>
      </c>
      <c r="G1008">
        <v>8</v>
      </c>
      <c r="H1008" t="s">
        <v>2729</v>
      </c>
      <c r="I1008">
        <v>19.8</v>
      </c>
      <c r="J1008">
        <v>53.722000000000001</v>
      </c>
      <c r="K1008" t="str">
        <f>"EFEMP1"</f>
        <v>EFEMP1</v>
      </c>
      <c r="L1008" t="str">
        <f>"EFEMP1"</f>
        <v>EFEMP1</v>
      </c>
      <c r="M1008">
        <v>1.2103892752168599</v>
      </c>
      <c r="N1008">
        <v>4.4725086092715198</v>
      </c>
      <c r="O1008">
        <v>1.8238867883763601</v>
      </c>
      <c r="P1008">
        <v>1.0652189274447901</v>
      </c>
      <c r="Q1008">
        <v>0</v>
      </c>
      <c r="R1008">
        <v>1.8001620641859499</v>
      </c>
      <c r="S1008">
        <v>2.2662711409396001</v>
      </c>
      <c r="T1008">
        <v>1.18448996772836</v>
      </c>
      <c r="U1008">
        <v>0</v>
      </c>
      <c r="V1008">
        <v>3.1519079029246999</v>
      </c>
      <c r="W1008">
        <v>1.27539809638918</v>
      </c>
      <c r="X1008">
        <v>0.984645710619934</v>
      </c>
    </row>
    <row r="1009" spans="1:24">
      <c r="A1009">
        <v>1741</v>
      </c>
      <c r="B1009" t="s">
        <v>2730</v>
      </c>
      <c r="C1009">
        <v>2</v>
      </c>
      <c r="D1009" t="s">
        <v>2731</v>
      </c>
      <c r="E1009">
        <v>7</v>
      </c>
      <c r="F1009">
        <v>7</v>
      </c>
      <c r="G1009">
        <v>7</v>
      </c>
      <c r="H1009" t="s">
        <v>2732</v>
      </c>
      <c r="I1009">
        <v>8</v>
      </c>
      <c r="J1009">
        <v>107.61</v>
      </c>
      <c r="K1009" t="str">
        <f>"NLRX1"</f>
        <v>NLRX1</v>
      </c>
      <c r="L1009" t="str">
        <f>"NLRX1"</f>
        <v>NLRX1</v>
      </c>
      <c r="M1009">
        <v>0</v>
      </c>
      <c r="N1009">
        <v>1.78900344370861</v>
      </c>
      <c r="O1009">
        <v>1.8238867883763601</v>
      </c>
      <c r="P1009">
        <v>1.0652189274447901</v>
      </c>
      <c r="Q1009">
        <v>1.25576199330606</v>
      </c>
      <c r="R1009">
        <v>0.90008103209297396</v>
      </c>
      <c r="S1009">
        <v>3.3994067114094002</v>
      </c>
      <c r="T1009">
        <v>1.18448996772836</v>
      </c>
      <c r="U1009">
        <v>1.10235831809872</v>
      </c>
      <c r="V1009">
        <v>1.05063596764157</v>
      </c>
      <c r="W1009">
        <v>1.27539809638918</v>
      </c>
      <c r="X1009">
        <v>2.9539371318597998</v>
      </c>
    </row>
    <row r="1010" spans="1:24">
      <c r="A1010">
        <v>1791</v>
      </c>
      <c r="B1010" t="s">
        <v>2733</v>
      </c>
      <c r="C1010">
        <v>1</v>
      </c>
      <c r="D1010" t="s">
        <v>2734</v>
      </c>
      <c r="E1010">
        <v>6</v>
      </c>
      <c r="F1010">
        <v>6</v>
      </c>
      <c r="G1010">
        <v>6</v>
      </c>
      <c r="H1010" t="s">
        <v>2733</v>
      </c>
      <c r="I1010">
        <v>42.2</v>
      </c>
      <c r="J1010">
        <v>15.278</v>
      </c>
      <c r="K1010" t="str">
        <f>"CISD2"</f>
        <v>CISD2</v>
      </c>
      <c r="L1010" t="str">
        <f>"CISD2"</f>
        <v>CISD2</v>
      </c>
      <c r="M1010">
        <v>0</v>
      </c>
      <c r="N1010">
        <v>0.89450172185430499</v>
      </c>
      <c r="O1010">
        <v>1.8238867883763601</v>
      </c>
      <c r="P1010">
        <v>1.0652189274447901</v>
      </c>
      <c r="Q1010">
        <v>0</v>
      </c>
      <c r="R1010">
        <v>2.7002430962789199</v>
      </c>
      <c r="S1010">
        <v>0</v>
      </c>
      <c r="T1010">
        <v>1.18448996772836</v>
      </c>
      <c r="U1010">
        <v>2.20471663619744</v>
      </c>
      <c r="V1010">
        <v>2.1012719352831399</v>
      </c>
      <c r="W1010">
        <v>0</v>
      </c>
      <c r="X1010">
        <v>0.984645710619934</v>
      </c>
    </row>
    <row r="1011" spans="1:24">
      <c r="A1011">
        <v>1795</v>
      </c>
      <c r="B1011" t="s">
        <v>2735</v>
      </c>
      <c r="C1011">
        <v>2</v>
      </c>
      <c r="D1011" t="s">
        <v>2736</v>
      </c>
      <c r="E1011">
        <v>11</v>
      </c>
      <c r="F1011">
        <v>11</v>
      </c>
      <c r="G1011">
        <v>11</v>
      </c>
      <c r="H1011" t="s">
        <v>2737</v>
      </c>
      <c r="I1011">
        <v>27.5</v>
      </c>
      <c r="J1011">
        <v>47.947000000000003</v>
      </c>
      <c r="K1011" t="str">
        <f>"TC2N"</f>
        <v>TC2N</v>
      </c>
      <c r="L1011" t="str">
        <f>"TC2N"</f>
        <v>TC2N</v>
      </c>
      <c r="M1011">
        <v>0</v>
      </c>
      <c r="N1011">
        <v>2.6835051655629099</v>
      </c>
      <c r="O1011">
        <v>0</v>
      </c>
      <c r="P1011">
        <v>3.19565678233438</v>
      </c>
      <c r="Q1011">
        <v>0</v>
      </c>
      <c r="R1011">
        <v>2.7002430962789199</v>
      </c>
      <c r="S1011">
        <v>0</v>
      </c>
      <c r="T1011">
        <v>0</v>
      </c>
      <c r="U1011">
        <v>2.20471663619744</v>
      </c>
      <c r="V1011">
        <v>0</v>
      </c>
      <c r="W1011">
        <v>2.5507961927783702</v>
      </c>
      <c r="X1011">
        <v>3.9385828424797298</v>
      </c>
    </row>
    <row r="1012" spans="1:24">
      <c r="A1012">
        <v>1850</v>
      </c>
      <c r="B1012" t="s">
        <v>2738</v>
      </c>
      <c r="C1012">
        <v>2</v>
      </c>
      <c r="D1012" t="s">
        <v>2739</v>
      </c>
      <c r="E1012">
        <v>8</v>
      </c>
      <c r="F1012">
        <v>8</v>
      </c>
      <c r="G1012">
        <v>8</v>
      </c>
      <c r="H1012" t="s">
        <v>2740</v>
      </c>
      <c r="I1012">
        <v>9.8000000000000007</v>
      </c>
      <c r="J1012">
        <v>101.16</v>
      </c>
      <c r="K1012" t="str">
        <f>"STON2"</f>
        <v>STON2</v>
      </c>
      <c r="L1012" t="str">
        <f>"STON2"</f>
        <v>STON2</v>
      </c>
      <c r="M1012">
        <v>1.2103892752168599</v>
      </c>
      <c r="N1012">
        <v>0.89450172185430499</v>
      </c>
      <c r="O1012">
        <v>3.64777357675273</v>
      </c>
      <c r="P1012">
        <v>1.0652189274447901</v>
      </c>
      <c r="Q1012">
        <v>0</v>
      </c>
      <c r="R1012">
        <v>1.8001620641859499</v>
      </c>
      <c r="S1012">
        <v>1.1331355704698001</v>
      </c>
      <c r="T1012">
        <v>0</v>
      </c>
      <c r="U1012">
        <v>1.10235831809872</v>
      </c>
      <c r="V1012">
        <v>1.05063596764157</v>
      </c>
      <c r="W1012">
        <v>3.82619428916755</v>
      </c>
      <c r="X1012">
        <v>2.9539371318597998</v>
      </c>
    </row>
    <row r="1013" spans="1:24">
      <c r="A1013">
        <v>2073</v>
      </c>
      <c r="B1013" t="s">
        <v>2741</v>
      </c>
      <c r="C1013">
        <v>2</v>
      </c>
      <c r="D1013" t="s">
        <v>2742</v>
      </c>
      <c r="E1013">
        <v>8</v>
      </c>
      <c r="F1013">
        <v>8</v>
      </c>
      <c r="G1013">
        <v>8</v>
      </c>
      <c r="H1013" t="s">
        <v>2743</v>
      </c>
      <c r="I1013">
        <v>33.9</v>
      </c>
      <c r="J1013">
        <v>30.280999999999999</v>
      </c>
      <c r="K1013" t="str">
        <f>"TOLLIP"</f>
        <v>TOLLIP</v>
      </c>
      <c r="L1013" t="str">
        <f>"TOLLIP"</f>
        <v>TOLLIP</v>
      </c>
      <c r="M1013">
        <v>1.2103892752168599</v>
      </c>
      <c r="N1013">
        <v>2.6835051655629099</v>
      </c>
      <c r="O1013">
        <v>1.8238867883763601</v>
      </c>
      <c r="P1013">
        <v>2.1304378548895899</v>
      </c>
      <c r="Q1013">
        <v>1.25576199330606</v>
      </c>
      <c r="R1013">
        <v>2.7002430962789199</v>
      </c>
      <c r="S1013">
        <v>0</v>
      </c>
      <c r="T1013">
        <v>2.3689799354567098</v>
      </c>
      <c r="U1013">
        <v>0</v>
      </c>
      <c r="V1013">
        <v>2.1012719352831399</v>
      </c>
      <c r="W1013">
        <v>0</v>
      </c>
      <c r="X1013">
        <v>0.984645710619934</v>
      </c>
    </row>
    <row r="1014" spans="1:24">
      <c r="A1014">
        <v>2152</v>
      </c>
      <c r="B1014" t="s">
        <v>2744</v>
      </c>
      <c r="C1014">
        <v>2</v>
      </c>
      <c r="D1014" t="s">
        <v>2745</v>
      </c>
      <c r="E1014">
        <v>7</v>
      </c>
      <c r="F1014">
        <v>6</v>
      </c>
      <c r="G1014">
        <v>6</v>
      </c>
      <c r="H1014" t="s">
        <v>2746</v>
      </c>
      <c r="I1014">
        <v>19.7</v>
      </c>
      <c r="J1014">
        <v>43.972999999999999</v>
      </c>
      <c r="K1014" t="str">
        <f>"SH3GLB2"</f>
        <v>SH3GLB2</v>
      </c>
      <c r="L1014" t="str">
        <f>"SH3GLB2"</f>
        <v>SH3GLB2</v>
      </c>
      <c r="M1014">
        <v>1.2103892752168599</v>
      </c>
      <c r="N1014">
        <v>1.78900344370861</v>
      </c>
      <c r="O1014">
        <v>1.8238867883763601</v>
      </c>
      <c r="P1014">
        <v>1.0652189274447901</v>
      </c>
      <c r="Q1014">
        <v>1.25576199330606</v>
      </c>
      <c r="R1014">
        <v>1.8001620641859499</v>
      </c>
      <c r="S1014">
        <v>1.1331355704698001</v>
      </c>
      <c r="T1014">
        <v>1.18448996772836</v>
      </c>
      <c r="U1014">
        <v>1.10235831809872</v>
      </c>
      <c r="V1014">
        <v>2.1012719352831399</v>
      </c>
      <c r="W1014">
        <v>0</v>
      </c>
      <c r="X1014">
        <v>1.96929142123987</v>
      </c>
    </row>
    <row r="1015" spans="1:24">
      <c r="A1015">
        <v>62</v>
      </c>
      <c r="B1015" t="s">
        <v>2747</v>
      </c>
      <c r="C1015">
        <v>2</v>
      </c>
      <c r="D1015" t="s">
        <v>2748</v>
      </c>
      <c r="E1015">
        <v>7</v>
      </c>
      <c r="F1015">
        <v>7</v>
      </c>
      <c r="G1015">
        <v>7</v>
      </c>
      <c r="H1015" t="s">
        <v>2749</v>
      </c>
      <c r="I1015">
        <v>14.7</v>
      </c>
      <c r="J1015">
        <v>50.578000000000003</v>
      </c>
      <c r="K1015" t="str">
        <f>"PSMD12"</f>
        <v>PSMD12</v>
      </c>
      <c r="L1015" t="str">
        <f>"PSMD12"</f>
        <v>PSMD12</v>
      </c>
      <c r="M1015">
        <v>1.2103892752168599</v>
      </c>
      <c r="N1015">
        <v>2.6835051655629099</v>
      </c>
      <c r="O1015">
        <v>2.7358301825645501</v>
      </c>
      <c r="P1015">
        <v>1.0652189274447901</v>
      </c>
      <c r="Q1015">
        <v>1.25576199330606</v>
      </c>
      <c r="R1015">
        <v>1.8001620641859499</v>
      </c>
      <c r="S1015">
        <v>1.1331355704698001</v>
      </c>
      <c r="T1015">
        <v>2.3689799354567098</v>
      </c>
      <c r="U1015">
        <v>1.10235831809872</v>
      </c>
      <c r="V1015">
        <v>2.1012719352831399</v>
      </c>
      <c r="W1015">
        <v>1.27539809638918</v>
      </c>
      <c r="X1015">
        <v>0.984645710619934</v>
      </c>
    </row>
    <row r="1016" spans="1:24">
      <c r="A1016">
        <v>67</v>
      </c>
      <c r="B1016" t="s">
        <v>2750</v>
      </c>
      <c r="C1016">
        <v>2</v>
      </c>
      <c r="D1016" t="s">
        <v>2751</v>
      </c>
      <c r="E1016">
        <v>9</v>
      </c>
      <c r="F1016">
        <v>9</v>
      </c>
      <c r="G1016">
        <v>9</v>
      </c>
      <c r="H1016" t="s">
        <v>2752</v>
      </c>
      <c r="I1016">
        <v>20.399999999999999</v>
      </c>
      <c r="J1016">
        <v>66.86</v>
      </c>
      <c r="K1016" t="str">
        <f>"QSOX1"</f>
        <v>QSOX1</v>
      </c>
      <c r="L1016" t="str">
        <f>"QSOX1"</f>
        <v>QSOX1</v>
      </c>
      <c r="M1016">
        <v>1.2103892752168599</v>
      </c>
      <c r="N1016">
        <v>0.89450172185430499</v>
      </c>
      <c r="O1016">
        <v>0.91194339418818204</v>
      </c>
      <c r="P1016">
        <v>1.0652189274447901</v>
      </c>
      <c r="Q1016">
        <v>0</v>
      </c>
      <c r="R1016">
        <v>0.90008103209297396</v>
      </c>
      <c r="S1016">
        <v>1.1331355704698001</v>
      </c>
      <c r="T1016">
        <v>1.18448996772836</v>
      </c>
      <c r="U1016">
        <v>1.10235831809872</v>
      </c>
      <c r="V1016">
        <v>3.1519079029246999</v>
      </c>
      <c r="W1016">
        <v>1.27539809638918</v>
      </c>
      <c r="X1016">
        <v>1.96929142123987</v>
      </c>
    </row>
    <row r="1017" spans="1:24">
      <c r="A1017">
        <v>728</v>
      </c>
      <c r="B1017" t="s">
        <v>2753</v>
      </c>
      <c r="C1017">
        <v>2</v>
      </c>
      <c r="D1017" t="s">
        <v>2754</v>
      </c>
      <c r="E1017">
        <v>16</v>
      </c>
      <c r="F1017">
        <v>7</v>
      </c>
      <c r="G1017">
        <v>7</v>
      </c>
      <c r="H1017" t="s">
        <v>2755</v>
      </c>
      <c r="I1017">
        <v>28.2</v>
      </c>
      <c r="J1017">
        <v>40.588999999999999</v>
      </c>
      <c r="K1017" t="str">
        <f>"PRKACA"</f>
        <v>PRKACA</v>
      </c>
      <c r="L1017" t="str">
        <f>"PRKACA"</f>
        <v>PRKACA</v>
      </c>
      <c r="M1017">
        <v>1.2103892752168599</v>
      </c>
      <c r="N1017">
        <v>0.89450172185430499</v>
      </c>
      <c r="O1017">
        <v>1.8238867883763601</v>
      </c>
      <c r="P1017">
        <v>1.0652189274447901</v>
      </c>
      <c r="Q1017">
        <v>0</v>
      </c>
      <c r="R1017">
        <v>4.5004051604648696</v>
      </c>
      <c r="S1017">
        <v>2.2662711409396001</v>
      </c>
      <c r="T1017">
        <v>1.18448996772836</v>
      </c>
      <c r="U1017">
        <v>3.3070749542961599</v>
      </c>
      <c r="V1017">
        <v>0</v>
      </c>
      <c r="W1017">
        <v>0</v>
      </c>
      <c r="X1017">
        <v>5.9078742637195996</v>
      </c>
    </row>
    <row r="1018" spans="1:24">
      <c r="A1018">
        <v>1081</v>
      </c>
      <c r="B1018" t="s">
        <v>2756</v>
      </c>
      <c r="C1018">
        <v>1</v>
      </c>
      <c r="D1018" t="s">
        <v>2757</v>
      </c>
      <c r="E1018">
        <v>4</v>
      </c>
      <c r="F1018">
        <v>4</v>
      </c>
      <c r="G1018">
        <v>4</v>
      </c>
      <c r="H1018" t="s">
        <v>2756</v>
      </c>
      <c r="I1018">
        <v>17.399999999999999</v>
      </c>
      <c r="J1018">
        <v>33.268999999999998</v>
      </c>
      <c r="K1018" t="str">
        <f>"RPIA"</f>
        <v>RPIA</v>
      </c>
      <c r="L1018" t="str">
        <f>"RPIA"</f>
        <v>RPIA</v>
      </c>
      <c r="M1018">
        <v>0</v>
      </c>
      <c r="N1018">
        <v>1.78900344370861</v>
      </c>
      <c r="O1018">
        <v>0.91194339418818204</v>
      </c>
      <c r="P1018">
        <v>1.0652189274447901</v>
      </c>
      <c r="Q1018">
        <v>0</v>
      </c>
      <c r="R1018">
        <v>2.7002430962789199</v>
      </c>
      <c r="S1018">
        <v>0</v>
      </c>
      <c r="T1018">
        <v>1.18448996772836</v>
      </c>
      <c r="U1018">
        <v>2.20471663619744</v>
      </c>
      <c r="V1018">
        <v>3.1519079029246999</v>
      </c>
      <c r="W1018">
        <v>1.27539809638918</v>
      </c>
      <c r="X1018">
        <v>0.984645710619934</v>
      </c>
    </row>
    <row r="1019" spans="1:24">
      <c r="A1019">
        <v>1101</v>
      </c>
      <c r="B1019" t="s">
        <v>2758</v>
      </c>
      <c r="C1019">
        <v>1</v>
      </c>
      <c r="D1019" t="s">
        <v>2759</v>
      </c>
      <c r="E1019">
        <v>5</v>
      </c>
      <c r="F1019">
        <v>5</v>
      </c>
      <c r="G1019">
        <v>5</v>
      </c>
      <c r="H1019" t="s">
        <v>2758</v>
      </c>
      <c r="I1019">
        <v>71.400000000000006</v>
      </c>
      <c r="J1019">
        <v>13.802</v>
      </c>
      <c r="K1019" t="str">
        <f>"HINT1"</f>
        <v>HINT1</v>
      </c>
      <c r="L1019" t="str">
        <f>"HINT1"</f>
        <v>HINT1</v>
      </c>
      <c r="M1019">
        <v>2.4207785504337198</v>
      </c>
      <c r="N1019">
        <v>0</v>
      </c>
      <c r="O1019">
        <v>2.7358301825645501</v>
      </c>
      <c r="P1019">
        <v>2.1304378548895899</v>
      </c>
      <c r="Q1019">
        <v>0</v>
      </c>
      <c r="R1019">
        <v>2.7002430962789199</v>
      </c>
      <c r="S1019">
        <v>1.1331355704698001</v>
      </c>
      <c r="T1019">
        <v>3.5534699031850701</v>
      </c>
      <c r="U1019">
        <v>0</v>
      </c>
      <c r="V1019">
        <v>3.1519079029246999</v>
      </c>
      <c r="W1019">
        <v>0</v>
      </c>
      <c r="X1019">
        <v>0.984645710619934</v>
      </c>
    </row>
    <row r="1020" spans="1:24">
      <c r="A1020">
        <v>1309</v>
      </c>
      <c r="B1020" t="s">
        <v>2760</v>
      </c>
      <c r="C1020">
        <v>5</v>
      </c>
      <c r="D1020" t="s">
        <v>2761</v>
      </c>
      <c r="E1020">
        <v>5</v>
      </c>
      <c r="F1020">
        <v>5</v>
      </c>
      <c r="G1020">
        <v>5</v>
      </c>
      <c r="H1020" t="s">
        <v>2762</v>
      </c>
      <c r="I1020">
        <v>25</v>
      </c>
      <c r="J1020">
        <v>15.388</v>
      </c>
      <c r="K1020" t="str">
        <f>"HIST2H3A;HIST3H3;H3F3A;HIST1H3A;H3F3C"</f>
        <v>HIST2H3A;HIST3H3;H3F3A;HIST1H3A;H3F3C</v>
      </c>
      <c r="L1020" t="str">
        <f>"HIST2H3A;HIST3H3;H3F3A;HIST1H3A;H3F3C"</f>
        <v>HIST2H3A;HIST3H3;H3F3A;HIST1H3A;H3F3C</v>
      </c>
      <c r="M1020">
        <v>0</v>
      </c>
      <c r="N1020">
        <v>0</v>
      </c>
      <c r="O1020">
        <v>0.91194339418818204</v>
      </c>
      <c r="P1020">
        <v>1.0652189274447901</v>
      </c>
      <c r="Q1020">
        <v>1.25576199330606</v>
      </c>
      <c r="R1020">
        <v>4.5004051604648696</v>
      </c>
      <c r="S1020">
        <v>2.2662711409396001</v>
      </c>
      <c r="T1020">
        <v>1.18448996772836</v>
      </c>
      <c r="U1020">
        <v>3.3070749542961599</v>
      </c>
      <c r="V1020">
        <v>1.05063596764157</v>
      </c>
      <c r="W1020">
        <v>2.5507961927783702</v>
      </c>
      <c r="X1020">
        <v>0</v>
      </c>
    </row>
    <row r="1021" spans="1:24">
      <c r="A1021">
        <v>1544</v>
      </c>
      <c r="B1021" t="s">
        <v>2763</v>
      </c>
      <c r="C1021">
        <v>4</v>
      </c>
      <c r="D1021" t="s">
        <v>2764</v>
      </c>
      <c r="E1021">
        <v>6</v>
      </c>
      <c r="F1021">
        <v>6</v>
      </c>
      <c r="G1021">
        <v>6</v>
      </c>
      <c r="H1021" t="s">
        <v>2765</v>
      </c>
      <c r="I1021">
        <v>43.9</v>
      </c>
      <c r="J1021">
        <v>16.475999999999999</v>
      </c>
      <c r="K1021" t="str">
        <f>"PTGES3"</f>
        <v>PTGES3</v>
      </c>
      <c r="L1021" t="str">
        <f>"PTGES3"</f>
        <v>PTGES3</v>
      </c>
      <c r="M1021">
        <v>0</v>
      </c>
      <c r="N1021">
        <v>0.89450172185430499</v>
      </c>
      <c r="O1021">
        <v>1.8238867883763601</v>
      </c>
      <c r="P1021">
        <v>1.0652189274447901</v>
      </c>
      <c r="Q1021">
        <v>0</v>
      </c>
      <c r="R1021">
        <v>1.8001620641859499</v>
      </c>
      <c r="S1021">
        <v>1.1331355704698001</v>
      </c>
      <c r="T1021">
        <v>0</v>
      </c>
      <c r="U1021">
        <v>0</v>
      </c>
      <c r="V1021">
        <v>0</v>
      </c>
      <c r="W1021">
        <v>0</v>
      </c>
      <c r="X1021">
        <v>1.96929142123987</v>
      </c>
    </row>
    <row r="1022" spans="1:24">
      <c r="A1022">
        <v>1982</v>
      </c>
      <c r="B1022" t="s">
        <v>2766</v>
      </c>
      <c r="C1022">
        <v>2</v>
      </c>
      <c r="D1022" t="s">
        <v>2767</v>
      </c>
      <c r="E1022">
        <v>10</v>
      </c>
      <c r="F1022">
        <v>10</v>
      </c>
      <c r="G1022">
        <v>10</v>
      </c>
      <c r="H1022" t="s">
        <v>2768</v>
      </c>
      <c r="I1022">
        <v>15.8</v>
      </c>
      <c r="J1022">
        <v>102.26</v>
      </c>
      <c r="K1022" t="str">
        <f>"PSMD1"</f>
        <v>PSMD1</v>
      </c>
      <c r="L1022" t="str">
        <f>"PSMD1"</f>
        <v>PSMD1</v>
      </c>
      <c r="M1022">
        <v>2.4207785504337198</v>
      </c>
      <c r="N1022">
        <v>2.6835051655629099</v>
      </c>
      <c r="O1022">
        <v>0.91194339418818204</v>
      </c>
      <c r="P1022">
        <v>1.0652189274447901</v>
      </c>
      <c r="Q1022">
        <v>0</v>
      </c>
      <c r="R1022">
        <v>2.7002430962789199</v>
      </c>
      <c r="S1022">
        <v>0</v>
      </c>
      <c r="T1022">
        <v>1.18448996772836</v>
      </c>
      <c r="U1022">
        <v>1.10235831809872</v>
      </c>
      <c r="V1022">
        <v>1.05063596764157</v>
      </c>
      <c r="W1022">
        <v>1.27539809638918</v>
      </c>
      <c r="X1022">
        <v>0.984645710619934</v>
      </c>
    </row>
    <row r="1023" spans="1:24">
      <c r="A1023">
        <v>227</v>
      </c>
      <c r="B1023" t="s">
        <v>2769</v>
      </c>
      <c r="C1023">
        <v>1</v>
      </c>
      <c r="D1023" t="s">
        <v>2770</v>
      </c>
      <c r="E1023">
        <v>6</v>
      </c>
      <c r="F1023">
        <v>6</v>
      </c>
      <c r="G1023">
        <v>6</v>
      </c>
      <c r="H1023" t="s">
        <v>2769</v>
      </c>
      <c r="I1023">
        <v>14.3</v>
      </c>
      <c r="J1023">
        <v>39.640999999999998</v>
      </c>
      <c r="K1023" t="str">
        <f>"RP2"</f>
        <v>RP2</v>
      </c>
      <c r="L1023" t="str">
        <f>"RP2"</f>
        <v>RP2</v>
      </c>
      <c r="M1023">
        <v>0</v>
      </c>
      <c r="N1023">
        <v>1.78900344370861</v>
      </c>
      <c r="O1023">
        <v>0.91194339418818204</v>
      </c>
      <c r="P1023">
        <v>2.1304378548895899</v>
      </c>
      <c r="Q1023">
        <v>1.25576199330606</v>
      </c>
      <c r="R1023">
        <v>0.90008103209297396</v>
      </c>
      <c r="S1023">
        <v>1.1331355704698001</v>
      </c>
      <c r="T1023">
        <v>1.18448996772836</v>
      </c>
      <c r="U1023">
        <v>2.20471663619744</v>
      </c>
      <c r="V1023">
        <v>1.05063596764157</v>
      </c>
      <c r="W1023">
        <v>0</v>
      </c>
      <c r="X1023">
        <v>0.984645710619934</v>
      </c>
    </row>
    <row r="1024" spans="1:24">
      <c r="A1024">
        <v>336</v>
      </c>
      <c r="B1024" t="s">
        <v>2771</v>
      </c>
      <c r="C1024">
        <v>1</v>
      </c>
      <c r="D1024" t="s">
        <v>2772</v>
      </c>
      <c r="E1024">
        <v>1</v>
      </c>
      <c r="F1024">
        <v>1</v>
      </c>
      <c r="G1024">
        <v>1</v>
      </c>
      <c r="H1024" t="s">
        <v>2771</v>
      </c>
      <c r="I1024">
        <v>10.199999999999999</v>
      </c>
      <c r="J1024">
        <v>11.417999999999999</v>
      </c>
      <c r="K1024" t="s">
        <v>2773</v>
      </c>
      <c r="L1024" t="s">
        <v>2773</v>
      </c>
      <c r="M1024">
        <v>0</v>
      </c>
      <c r="N1024">
        <v>1.78900344370861</v>
      </c>
      <c r="O1024">
        <v>1.8238867883763601</v>
      </c>
      <c r="P1024">
        <v>3.19565678233438</v>
      </c>
      <c r="Q1024">
        <v>2.51152398661212</v>
      </c>
      <c r="R1024">
        <v>1.8001620641859499</v>
      </c>
      <c r="S1024">
        <v>1.1331355704698001</v>
      </c>
      <c r="T1024">
        <v>2.3689799354567098</v>
      </c>
      <c r="U1024">
        <v>1.10235831809872</v>
      </c>
      <c r="V1024">
        <v>0</v>
      </c>
      <c r="W1024">
        <v>2.5507961927783702</v>
      </c>
      <c r="X1024">
        <v>0.984645710619934</v>
      </c>
    </row>
    <row r="1025" spans="1:24">
      <c r="A1025">
        <v>510</v>
      </c>
      <c r="B1025" t="s">
        <v>2774</v>
      </c>
      <c r="C1025">
        <v>3</v>
      </c>
      <c r="D1025" t="s">
        <v>2775</v>
      </c>
      <c r="E1025">
        <v>4</v>
      </c>
      <c r="F1025">
        <v>4</v>
      </c>
      <c r="G1025">
        <v>4</v>
      </c>
      <c r="H1025" t="s">
        <v>2776</v>
      </c>
      <c r="I1025">
        <v>18</v>
      </c>
      <c r="J1025">
        <v>25.097000000000001</v>
      </c>
      <c r="K1025" t="str">
        <f>"EIF4E"</f>
        <v>EIF4E</v>
      </c>
      <c r="L1025" t="str">
        <f>"EIF4E"</f>
        <v>EIF4E</v>
      </c>
      <c r="M1025">
        <v>1.2103892752168599</v>
      </c>
      <c r="N1025">
        <v>0.89450172185430499</v>
      </c>
      <c r="O1025">
        <v>0.91194339418818204</v>
      </c>
      <c r="P1025">
        <v>1.0652189274447901</v>
      </c>
      <c r="Q1025">
        <v>0</v>
      </c>
      <c r="R1025">
        <v>0.90008103209297396</v>
      </c>
      <c r="S1025">
        <v>1.1331355704698001</v>
      </c>
      <c r="T1025">
        <v>1.18448996772836</v>
      </c>
      <c r="U1025">
        <v>2.20471663619744</v>
      </c>
      <c r="V1025">
        <v>1.05063596764157</v>
      </c>
      <c r="W1025">
        <v>1.27539809638918</v>
      </c>
      <c r="X1025">
        <v>1.96929142123987</v>
      </c>
    </row>
    <row r="1026" spans="1:24">
      <c r="A1026">
        <v>782</v>
      </c>
      <c r="B1026" t="s">
        <v>2777</v>
      </c>
      <c r="C1026">
        <v>2</v>
      </c>
      <c r="D1026" t="s">
        <v>2778</v>
      </c>
      <c r="E1026">
        <v>13</v>
      </c>
      <c r="F1026">
        <v>13</v>
      </c>
      <c r="G1026">
        <v>13</v>
      </c>
      <c r="H1026" t="s">
        <v>2779</v>
      </c>
      <c r="I1026">
        <v>15.4</v>
      </c>
      <c r="J1026">
        <v>107.77</v>
      </c>
      <c r="K1026" t="str">
        <f>"GART"</f>
        <v>GART</v>
      </c>
      <c r="L1026" t="str">
        <f>"GART"</f>
        <v>GART</v>
      </c>
      <c r="M1026">
        <v>1.2103892752168599</v>
      </c>
      <c r="N1026">
        <v>0.89450172185430499</v>
      </c>
      <c r="O1026">
        <v>1.8238867883763601</v>
      </c>
      <c r="P1026">
        <v>0</v>
      </c>
      <c r="Q1026">
        <v>1.25576199330606</v>
      </c>
      <c r="R1026">
        <v>1.8001620641859499</v>
      </c>
      <c r="S1026">
        <v>0</v>
      </c>
      <c r="T1026">
        <v>0</v>
      </c>
      <c r="U1026">
        <v>1.10235831809872</v>
      </c>
      <c r="V1026">
        <v>1.05063596764157</v>
      </c>
      <c r="W1026">
        <v>1.27539809638918</v>
      </c>
      <c r="X1026">
        <v>0.984645710619934</v>
      </c>
    </row>
    <row r="1027" spans="1:24">
      <c r="A1027">
        <v>827</v>
      </c>
      <c r="B1027" t="s">
        <v>2780</v>
      </c>
      <c r="C1027">
        <v>1</v>
      </c>
      <c r="D1027" t="s">
        <v>2781</v>
      </c>
      <c r="E1027">
        <v>6</v>
      </c>
      <c r="F1027">
        <v>6</v>
      </c>
      <c r="G1027">
        <v>6</v>
      </c>
      <c r="H1027" t="s">
        <v>2780</v>
      </c>
      <c r="I1027">
        <v>33.299999999999997</v>
      </c>
      <c r="J1027">
        <v>25.898</v>
      </c>
      <c r="K1027" t="str">
        <f>"PSMA2"</f>
        <v>PSMA2</v>
      </c>
      <c r="L1027" t="str">
        <f>"PSMA2"</f>
        <v>PSMA2</v>
      </c>
      <c r="M1027">
        <v>1.2103892752168599</v>
      </c>
      <c r="N1027">
        <v>0.89450172185430499</v>
      </c>
      <c r="O1027">
        <v>0</v>
      </c>
      <c r="P1027">
        <v>1.0652189274447901</v>
      </c>
      <c r="Q1027">
        <v>2.51152398661212</v>
      </c>
      <c r="R1027">
        <v>1.8001620641859499</v>
      </c>
      <c r="S1027">
        <v>2.2662711409396001</v>
      </c>
      <c r="T1027">
        <v>1.18448996772836</v>
      </c>
      <c r="U1027">
        <v>1.10235831809872</v>
      </c>
      <c r="V1027">
        <v>2.1012719352831399</v>
      </c>
      <c r="W1027">
        <v>0</v>
      </c>
      <c r="X1027">
        <v>0</v>
      </c>
    </row>
    <row r="1028" spans="1:24">
      <c r="A1028">
        <v>1274</v>
      </c>
      <c r="B1028" t="s">
        <v>2782</v>
      </c>
      <c r="C1028">
        <v>1</v>
      </c>
      <c r="D1028" t="s">
        <v>2783</v>
      </c>
      <c r="E1028">
        <v>15</v>
      </c>
      <c r="F1028">
        <v>2</v>
      </c>
      <c r="G1028">
        <v>2</v>
      </c>
      <c r="H1028" t="s">
        <v>2782</v>
      </c>
      <c r="I1028">
        <v>69</v>
      </c>
      <c r="J1028">
        <v>20.986999999999998</v>
      </c>
      <c r="K1028" t="str">
        <f>"RAP1A"</f>
        <v>RAP1A</v>
      </c>
      <c r="L1028" t="str">
        <f>"RAP1A"</f>
        <v>RAP1A</v>
      </c>
      <c r="M1028">
        <v>0</v>
      </c>
      <c r="N1028">
        <v>0.89450172185430499</v>
      </c>
      <c r="O1028">
        <v>0.91194339418818204</v>
      </c>
      <c r="P1028">
        <v>1.0652189274447901</v>
      </c>
      <c r="Q1028">
        <v>1.25576199330606</v>
      </c>
      <c r="R1028">
        <v>1.8001620641859499</v>
      </c>
      <c r="S1028">
        <v>0</v>
      </c>
      <c r="T1028">
        <v>1.18448996772836</v>
      </c>
      <c r="U1028">
        <v>1.10235831809872</v>
      </c>
      <c r="V1028">
        <v>3.1519079029246999</v>
      </c>
      <c r="W1028">
        <v>2.5507961927783702</v>
      </c>
      <c r="X1028">
        <v>0.984645710619934</v>
      </c>
    </row>
    <row r="1029" spans="1:24">
      <c r="A1029">
        <v>1756</v>
      </c>
      <c r="B1029" t="s">
        <v>2784</v>
      </c>
      <c r="C1029">
        <v>2</v>
      </c>
      <c r="D1029" t="s">
        <v>2785</v>
      </c>
      <c r="E1029">
        <v>4</v>
      </c>
      <c r="F1029">
        <v>4</v>
      </c>
      <c r="G1029">
        <v>4</v>
      </c>
      <c r="H1029" t="s">
        <v>2786</v>
      </c>
      <c r="I1029">
        <v>43.8</v>
      </c>
      <c r="J1029">
        <v>20.402000000000001</v>
      </c>
      <c r="K1029" t="str">
        <f>"TDRP"</f>
        <v>TDRP</v>
      </c>
      <c r="L1029" t="str">
        <f>"TDRP"</f>
        <v>TDRP</v>
      </c>
      <c r="M1029">
        <v>0</v>
      </c>
      <c r="N1029">
        <v>0.89450172185430499</v>
      </c>
      <c r="O1029">
        <v>1.8238867883763601</v>
      </c>
      <c r="P1029">
        <v>1.0652189274447901</v>
      </c>
      <c r="Q1029">
        <v>0</v>
      </c>
      <c r="R1029">
        <v>0.90008103209297396</v>
      </c>
      <c r="S1029">
        <v>0</v>
      </c>
      <c r="T1029">
        <v>1.18448996772836</v>
      </c>
      <c r="U1029">
        <v>0</v>
      </c>
      <c r="V1029">
        <v>1.05063596764157</v>
      </c>
      <c r="W1029">
        <v>0</v>
      </c>
      <c r="X1029">
        <v>0.984645710619934</v>
      </c>
    </row>
    <row r="1030" spans="1:24">
      <c r="A1030">
        <v>1781</v>
      </c>
      <c r="B1030" t="s">
        <v>2787</v>
      </c>
      <c r="C1030">
        <v>1</v>
      </c>
      <c r="D1030" t="s">
        <v>2788</v>
      </c>
      <c r="E1030">
        <v>10</v>
      </c>
      <c r="F1030">
        <v>10</v>
      </c>
      <c r="G1030">
        <v>10</v>
      </c>
      <c r="H1030" t="s">
        <v>2787</v>
      </c>
      <c r="I1030">
        <v>20.6</v>
      </c>
      <c r="J1030">
        <v>63.472000000000001</v>
      </c>
      <c r="K1030" t="str">
        <f>"LRRC47"</f>
        <v>LRRC47</v>
      </c>
      <c r="L1030" t="str">
        <f>"LRRC47"</f>
        <v>LRRC47</v>
      </c>
      <c r="M1030">
        <v>0</v>
      </c>
      <c r="N1030">
        <v>0.89450172185430499</v>
      </c>
      <c r="O1030">
        <v>1.8238867883763601</v>
      </c>
      <c r="P1030">
        <v>2.1304378548895899</v>
      </c>
      <c r="Q1030">
        <v>2.51152398661212</v>
      </c>
      <c r="R1030">
        <v>0.90008103209297396</v>
      </c>
      <c r="S1030">
        <v>1.1331355704698001</v>
      </c>
      <c r="T1030">
        <v>0</v>
      </c>
      <c r="U1030">
        <v>3.3070749542961599</v>
      </c>
      <c r="V1030">
        <v>0</v>
      </c>
      <c r="W1030">
        <v>0</v>
      </c>
      <c r="X1030">
        <v>0.984645710619934</v>
      </c>
    </row>
    <row r="1031" spans="1:24">
      <c r="A1031">
        <v>1835</v>
      </c>
      <c r="B1031" t="s">
        <v>2789</v>
      </c>
      <c r="C1031">
        <v>1</v>
      </c>
      <c r="D1031" t="s">
        <v>2790</v>
      </c>
      <c r="E1031">
        <v>3</v>
      </c>
      <c r="F1031">
        <v>3</v>
      </c>
      <c r="G1031">
        <v>3</v>
      </c>
      <c r="H1031" t="s">
        <v>2789</v>
      </c>
      <c r="I1031">
        <v>26.3</v>
      </c>
      <c r="J1031">
        <v>23.422999999999998</v>
      </c>
      <c r="K1031" t="str">
        <f>"DTD1"</f>
        <v>DTD1</v>
      </c>
      <c r="L1031" t="str">
        <f>"DTD1"</f>
        <v>DTD1</v>
      </c>
      <c r="M1031">
        <v>1.2103892752168599</v>
      </c>
      <c r="N1031">
        <v>2.6835051655629099</v>
      </c>
      <c r="O1031">
        <v>1.8238867883763601</v>
      </c>
      <c r="P1031">
        <v>2.1304378548895899</v>
      </c>
      <c r="Q1031">
        <v>1.25576199330606</v>
      </c>
      <c r="R1031">
        <v>1.8001620641859499</v>
      </c>
      <c r="S1031">
        <v>0</v>
      </c>
      <c r="T1031">
        <v>1.18448996772836</v>
      </c>
      <c r="U1031">
        <v>0</v>
      </c>
      <c r="V1031">
        <v>2.1012719352831399</v>
      </c>
      <c r="W1031">
        <v>0</v>
      </c>
      <c r="X1031">
        <v>0.984645710619934</v>
      </c>
    </row>
    <row r="1032" spans="1:24">
      <c r="A1032">
        <v>1911</v>
      </c>
      <c r="B1032" t="s">
        <v>2791</v>
      </c>
      <c r="C1032">
        <v>4</v>
      </c>
      <c r="D1032" t="s">
        <v>2792</v>
      </c>
      <c r="E1032">
        <v>8</v>
      </c>
      <c r="F1032">
        <v>8</v>
      </c>
      <c r="G1032">
        <v>8</v>
      </c>
      <c r="H1032" t="s">
        <v>2793</v>
      </c>
      <c r="I1032">
        <v>39</v>
      </c>
      <c r="J1032">
        <v>24.815000000000001</v>
      </c>
      <c r="K1032" t="str">
        <f>"RAB37"</f>
        <v>RAB37</v>
      </c>
      <c r="L1032" t="str">
        <f>"RAB37"</f>
        <v>RAB37</v>
      </c>
      <c r="M1032">
        <v>2.4207785504337198</v>
      </c>
      <c r="N1032">
        <v>1.78900344370861</v>
      </c>
      <c r="O1032">
        <v>0</v>
      </c>
      <c r="P1032">
        <v>2.1304378548895899</v>
      </c>
      <c r="Q1032">
        <v>1.25576199330606</v>
      </c>
      <c r="R1032">
        <v>1.8001620641859499</v>
      </c>
      <c r="S1032">
        <v>0</v>
      </c>
      <c r="T1032">
        <v>1.18448996772836</v>
      </c>
      <c r="U1032">
        <v>1.10235831809872</v>
      </c>
      <c r="V1032">
        <v>1.05063596764157</v>
      </c>
      <c r="W1032">
        <v>1.27539809638918</v>
      </c>
      <c r="X1032">
        <v>0.984645710619934</v>
      </c>
    </row>
    <row r="1033" spans="1:24">
      <c r="A1033">
        <v>2061</v>
      </c>
      <c r="B1033" t="s">
        <v>2794</v>
      </c>
      <c r="C1033">
        <v>3</v>
      </c>
      <c r="D1033" t="s">
        <v>2795</v>
      </c>
      <c r="E1033">
        <v>2</v>
      </c>
      <c r="F1033">
        <v>2</v>
      </c>
      <c r="G1033">
        <v>2</v>
      </c>
      <c r="H1033" t="s">
        <v>2796</v>
      </c>
      <c r="I1033">
        <v>3.5</v>
      </c>
      <c r="J1033">
        <v>61.345999999999997</v>
      </c>
      <c r="K1033" t="str">
        <f>"TRIM9"</f>
        <v>TRIM9</v>
      </c>
      <c r="L1033" t="str">
        <f>"TRIM9"</f>
        <v>TRIM9</v>
      </c>
      <c r="M1033">
        <v>1.2103892752168599</v>
      </c>
      <c r="N1033">
        <v>0.89450172185430499</v>
      </c>
      <c r="O1033">
        <v>1.8238867883763601</v>
      </c>
      <c r="P1033">
        <v>2.1304378548895899</v>
      </c>
      <c r="Q1033">
        <v>1.25576199330606</v>
      </c>
      <c r="R1033">
        <v>0.90008103209297396</v>
      </c>
      <c r="S1033">
        <v>0</v>
      </c>
      <c r="T1033">
        <v>2.3689799354567098</v>
      </c>
      <c r="U1033">
        <v>0</v>
      </c>
      <c r="V1033">
        <v>2.1012719352831399</v>
      </c>
      <c r="W1033">
        <v>0</v>
      </c>
      <c r="X1033">
        <v>0.984645710619934</v>
      </c>
    </row>
    <row r="1034" spans="1:24">
      <c r="A1034">
        <v>262</v>
      </c>
      <c r="B1034" t="s">
        <v>2797</v>
      </c>
      <c r="C1034">
        <v>2</v>
      </c>
      <c r="D1034" t="s">
        <v>2798</v>
      </c>
      <c r="E1034">
        <v>5</v>
      </c>
      <c r="F1034">
        <v>5</v>
      </c>
      <c r="G1034">
        <v>5</v>
      </c>
      <c r="H1034" t="s">
        <v>2799</v>
      </c>
      <c r="I1034">
        <v>29.2</v>
      </c>
      <c r="J1034">
        <v>27.228000000000002</v>
      </c>
      <c r="K1034" t="str">
        <f>"VAPB"</f>
        <v>VAPB</v>
      </c>
      <c r="L1034" t="str">
        <f>"VAPB"</f>
        <v>VAPB</v>
      </c>
      <c r="M1034">
        <v>1.2103892752168599</v>
      </c>
      <c r="N1034">
        <v>0.89450172185430499</v>
      </c>
      <c r="O1034">
        <v>0.91194339418818204</v>
      </c>
      <c r="P1034">
        <v>0</v>
      </c>
      <c r="Q1034">
        <v>1.25576199330606</v>
      </c>
      <c r="R1034">
        <v>1.8001620641859499</v>
      </c>
      <c r="S1034">
        <v>0</v>
      </c>
      <c r="T1034">
        <v>1.18448996772836</v>
      </c>
      <c r="U1034">
        <v>2.20471663619744</v>
      </c>
      <c r="V1034">
        <v>1.05063596764157</v>
      </c>
      <c r="W1034">
        <v>2.5507961927783702</v>
      </c>
      <c r="X1034">
        <v>1.96929142123987</v>
      </c>
    </row>
    <row r="1035" spans="1:24">
      <c r="A1035">
        <v>380</v>
      </c>
      <c r="B1035" t="s">
        <v>2800</v>
      </c>
      <c r="C1035">
        <v>1</v>
      </c>
      <c r="D1035" t="s">
        <v>2801</v>
      </c>
      <c r="E1035">
        <v>12</v>
      </c>
      <c r="F1035">
        <v>12</v>
      </c>
      <c r="G1035">
        <v>12</v>
      </c>
      <c r="H1035" t="s">
        <v>2800</v>
      </c>
      <c r="I1035">
        <v>20.2</v>
      </c>
      <c r="J1035">
        <v>83.283000000000001</v>
      </c>
      <c r="K1035" t="str">
        <f>"PIGR"</f>
        <v>PIGR</v>
      </c>
      <c r="L1035" t="str">
        <f>"PIGR"</f>
        <v>PIGR</v>
      </c>
      <c r="M1035">
        <v>0</v>
      </c>
      <c r="N1035">
        <v>3.57800688741722</v>
      </c>
      <c r="O1035">
        <v>4.5597169709409098</v>
      </c>
      <c r="P1035">
        <v>0</v>
      </c>
      <c r="Q1035">
        <v>0</v>
      </c>
      <c r="R1035">
        <v>0.90008103209297396</v>
      </c>
      <c r="S1035">
        <v>4.5325422818791896</v>
      </c>
      <c r="T1035">
        <v>0</v>
      </c>
      <c r="U1035">
        <v>4.4094332723948799</v>
      </c>
      <c r="V1035">
        <v>0</v>
      </c>
      <c r="W1035">
        <v>0</v>
      </c>
      <c r="X1035">
        <v>0.984645710619934</v>
      </c>
    </row>
    <row r="1036" spans="1:24">
      <c r="A1036">
        <v>863</v>
      </c>
      <c r="B1036" t="s">
        <v>2802</v>
      </c>
      <c r="C1036">
        <v>5</v>
      </c>
      <c r="D1036" t="s">
        <v>2803</v>
      </c>
      <c r="E1036">
        <v>11</v>
      </c>
      <c r="F1036">
        <v>11</v>
      </c>
      <c r="G1036">
        <v>11</v>
      </c>
      <c r="H1036" t="s">
        <v>2804</v>
      </c>
      <c r="I1036">
        <v>30.5</v>
      </c>
      <c r="J1036">
        <v>67.524000000000001</v>
      </c>
      <c r="K1036" t="str">
        <f>"NDUFS1"</f>
        <v>NDUFS1</v>
      </c>
      <c r="L1036" t="str">
        <f>"NDUFS1"</f>
        <v>NDUFS1</v>
      </c>
      <c r="M1036">
        <v>0</v>
      </c>
      <c r="N1036">
        <v>0.89450172185430499</v>
      </c>
      <c r="O1036">
        <v>1.8238867883763601</v>
      </c>
      <c r="P1036">
        <v>1.0652189274447901</v>
      </c>
      <c r="Q1036">
        <v>0</v>
      </c>
      <c r="R1036">
        <v>1.8001620641859499</v>
      </c>
      <c r="S1036">
        <v>1.1331355704698001</v>
      </c>
      <c r="T1036">
        <v>0</v>
      </c>
      <c r="U1036">
        <v>3.3070749542961599</v>
      </c>
      <c r="V1036">
        <v>1.05063596764157</v>
      </c>
      <c r="W1036">
        <v>1.27539809638918</v>
      </c>
      <c r="X1036">
        <v>3.9385828424797298</v>
      </c>
    </row>
    <row r="1037" spans="1:24">
      <c r="A1037">
        <v>936</v>
      </c>
      <c r="B1037" t="s">
        <v>2805</v>
      </c>
      <c r="C1037">
        <v>4</v>
      </c>
      <c r="D1037" t="s">
        <v>2806</v>
      </c>
      <c r="E1037">
        <v>7</v>
      </c>
      <c r="F1037">
        <v>7</v>
      </c>
      <c r="G1037">
        <v>7</v>
      </c>
      <c r="H1037" t="s">
        <v>2807</v>
      </c>
      <c r="I1037">
        <v>12.6</v>
      </c>
      <c r="J1037">
        <v>85.62</v>
      </c>
      <c r="K1037" t="str">
        <f>"INPP5B"</f>
        <v>INPP5B</v>
      </c>
      <c r="L1037" t="str">
        <f>"INPP5B"</f>
        <v>INPP5B</v>
      </c>
      <c r="M1037">
        <v>1.2103892752168599</v>
      </c>
      <c r="N1037">
        <v>0.89450172185430499</v>
      </c>
      <c r="O1037">
        <v>2.7358301825645501</v>
      </c>
      <c r="P1037">
        <v>1.0652189274447901</v>
      </c>
      <c r="Q1037">
        <v>0</v>
      </c>
      <c r="R1037">
        <v>0.90008103209297396</v>
      </c>
      <c r="S1037">
        <v>1.1331355704698001</v>
      </c>
      <c r="T1037">
        <v>0</v>
      </c>
      <c r="U1037">
        <v>1.10235831809872</v>
      </c>
      <c r="V1037">
        <v>1.05063596764157</v>
      </c>
      <c r="W1037">
        <v>1.27539809638918</v>
      </c>
      <c r="X1037">
        <v>0.984645710619934</v>
      </c>
    </row>
    <row r="1038" spans="1:24">
      <c r="A1038">
        <v>1202</v>
      </c>
      <c r="B1038" t="s">
        <v>2808</v>
      </c>
      <c r="C1038">
        <v>3</v>
      </c>
      <c r="D1038" t="s">
        <v>2809</v>
      </c>
      <c r="E1038">
        <v>4</v>
      </c>
      <c r="F1038">
        <v>4</v>
      </c>
      <c r="G1038">
        <v>4</v>
      </c>
      <c r="H1038" t="s">
        <v>2810</v>
      </c>
      <c r="I1038">
        <v>27.7</v>
      </c>
      <c r="J1038">
        <v>21.994</v>
      </c>
      <c r="K1038" t="str">
        <f>"BID"</f>
        <v>BID</v>
      </c>
      <c r="L1038" t="str">
        <f>"BID"</f>
        <v>BID</v>
      </c>
      <c r="M1038">
        <v>0</v>
      </c>
      <c r="N1038">
        <v>0</v>
      </c>
      <c r="O1038">
        <v>1.8238867883763601</v>
      </c>
      <c r="P1038">
        <v>1.0652189274447901</v>
      </c>
      <c r="Q1038">
        <v>0</v>
      </c>
      <c r="R1038">
        <v>0.90008103209297396</v>
      </c>
      <c r="S1038">
        <v>2.2662711409396001</v>
      </c>
      <c r="T1038">
        <v>1.18448996772836</v>
      </c>
      <c r="U1038">
        <v>3.3070749542961599</v>
      </c>
      <c r="V1038">
        <v>1.05063596764157</v>
      </c>
      <c r="W1038">
        <v>2.5507961927783702</v>
      </c>
      <c r="X1038">
        <v>3.9385828424797298</v>
      </c>
    </row>
    <row r="1039" spans="1:24">
      <c r="A1039">
        <v>1279</v>
      </c>
      <c r="B1039" t="s">
        <v>2811</v>
      </c>
      <c r="C1039">
        <v>1</v>
      </c>
      <c r="D1039" t="s">
        <v>2812</v>
      </c>
      <c r="E1039">
        <v>3</v>
      </c>
      <c r="F1039">
        <v>3</v>
      </c>
      <c r="G1039">
        <v>3</v>
      </c>
      <c r="H1039" t="s">
        <v>2811</v>
      </c>
      <c r="I1039">
        <v>41.7</v>
      </c>
      <c r="J1039">
        <v>11.951000000000001</v>
      </c>
      <c r="K1039" t="str">
        <f>"FKBP1A"</f>
        <v>FKBP1A</v>
      </c>
      <c r="L1039" t="str">
        <f>"FKBP1A"</f>
        <v>FKBP1A</v>
      </c>
      <c r="M1039">
        <v>0</v>
      </c>
      <c r="N1039">
        <v>0</v>
      </c>
      <c r="O1039">
        <v>0</v>
      </c>
      <c r="P1039">
        <v>2.1304378548895899</v>
      </c>
      <c r="Q1039">
        <v>2.51152398661212</v>
      </c>
      <c r="R1039">
        <v>1.8001620641859499</v>
      </c>
      <c r="S1039">
        <v>4.5325422818791896</v>
      </c>
      <c r="T1039">
        <v>1.18448996772836</v>
      </c>
      <c r="U1039">
        <v>2.20471663619744</v>
      </c>
      <c r="V1039">
        <v>2.1012719352831399</v>
      </c>
      <c r="W1039">
        <v>0</v>
      </c>
      <c r="X1039">
        <v>0.984645710619934</v>
      </c>
    </row>
    <row r="1040" spans="1:24">
      <c r="A1040">
        <v>1307</v>
      </c>
      <c r="B1040" t="s">
        <v>2813</v>
      </c>
      <c r="C1040">
        <v>3</v>
      </c>
      <c r="D1040" t="s">
        <v>2814</v>
      </c>
      <c r="E1040">
        <v>6</v>
      </c>
      <c r="F1040">
        <v>6</v>
      </c>
      <c r="G1040">
        <v>6</v>
      </c>
      <c r="H1040" t="s">
        <v>2815</v>
      </c>
      <c r="I1040">
        <v>24.3</v>
      </c>
      <c r="J1040">
        <v>45.143000000000001</v>
      </c>
      <c r="K1040" t="str">
        <f>"CSNK2A1;CSNK2A3"</f>
        <v>CSNK2A1;CSNK2A3</v>
      </c>
      <c r="L1040" t="str">
        <f>"CSNK2A1;CSNK2A3"</f>
        <v>CSNK2A1;CSNK2A3</v>
      </c>
      <c r="M1040">
        <v>1.2103892752168599</v>
      </c>
      <c r="N1040">
        <v>0.89450172185430499</v>
      </c>
      <c r="O1040">
        <v>2.7358301825645501</v>
      </c>
      <c r="P1040">
        <v>1.0652189274447901</v>
      </c>
      <c r="Q1040">
        <v>0</v>
      </c>
      <c r="R1040">
        <v>0.90008103209297396</v>
      </c>
      <c r="S1040">
        <v>1.1331355704698001</v>
      </c>
      <c r="T1040">
        <v>1.18448996772836</v>
      </c>
      <c r="U1040">
        <v>2.20471663619744</v>
      </c>
      <c r="V1040">
        <v>2.1012719352831399</v>
      </c>
      <c r="W1040">
        <v>1.27539809638918</v>
      </c>
      <c r="X1040">
        <v>0.984645710619934</v>
      </c>
    </row>
    <row r="1041" spans="1:24">
      <c r="A1041">
        <v>1752</v>
      </c>
      <c r="B1041" t="s">
        <v>2816</v>
      </c>
      <c r="C1041">
        <v>3</v>
      </c>
      <c r="D1041" t="s">
        <v>2817</v>
      </c>
      <c r="E1041">
        <v>4</v>
      </c>
      <c r="F1041">
        <v>4</v>
      </c>
      <c r="G1041">
        <v>4</v>
      </c>
      <c r="H1041" t="s">
        <v>2818</v>
      </c>
      <c r="I1041">
        <v>11.6</v>
      </c>
      <c r="J1041">
        <v>46.171999999999997</v>
      </c>
      <c r="K1041" t="str">
        <f>"TICAM2;TMED7"</f>
        <v>TICAM2;TMED7</v>
      </c>
      <c r="L1041" t="str">
        <f>"TICAM2;TMED7"</f>
        <v>TICAM2;TMED7</v>
      </c>
      <c r="M1041">
        <v>0</v>
      </c>
      <c r="N1041">
        <v>2.6835051655629099</v>
      </c>
      <c r="O1041">
        <v>2.7358301825645501</v>
      </c>
      <c r="P1041">
        <v>1.0652189274447901</v>
      </c>
      <c r="Q1041">
        <v>1.25576199330606</v>
      </c>
      <c r="R1041">
        <v>1.8001620641859499</v>
      </c>
      <c r="S1041">
        <v>2.2662711409396001</v>
      </c>
      <c r="T1041">
        <v>0</v>
      </c>
      <c r="U1041">
        <v>2.20471663619744</v>
      </c>
      <c r="V1041">
        <v>1.05063596764157</v>
      </c>
      <c r="W1041">
        <v>2.5507961927783702</v>
      </c>
      <c r="X1041">
        <v>1.96929142123987</v>
      </c>
    </row>
    <row r="1042" spans="1:24">
      <c r="A1042">
        <v>1873</v>
      </c>
      <c r="B1042" t="s">
        <v>2819</v>
      </c>
      <c r="C1042">
        <v>2</v>
      </c>
      <c r="D1042" t="s">
        <v>2820</v>
      </c>
      <c r="E1042">
        <v>7</v>
      </c>
      <c r="F1042">
        <v>6</v>
      </c>
      <c r="G1042">
        <v>6</v>
      </c>
      <c r="H1042" t="s">
        <v>2821</v>
      </c>
      <c r="I1042">
        <v>25.4</v>
      </c>
      <c r="J1042">
        <v>41.569000000000003</v>
      </c>
      <c r="K1042" t="str">
        <f>"ARPC1A"</f>
        <v>ARPC1A</v>
      </c>
      <c r="L1042" t="str">
        <f>"ARPC1A"</f>
        <v>ARPC1A</v>
      </c>
      <c r="M1042">
        <v>0</v>
      </c>
      <c r="N1042">
        <v>5.3670103311258304</v>
      </c>
      <c r="O1042">
        <v>2.7358301825645501</v>
      </c>
      <c r="P1042">
        <v>2.1304378548895899</v>
      </c>
      <c r="Q1042">
        <v>0</v>
      </c>
      <c r="R1042">
        <v>1.8001620641859499</v>
      </c>
      <c r="S1042">
        <v>0</v>
      </c>
      <c r="T1042">
        <v>1.18448996772836</v>
      </c>
      <c r="U1042">
        <v>0</v>
      </c>
      <c r="V1042">
        <v>1.05063596764157</v>
      </c>
      <c r="W1042">
        <v>0</v>
      </c>
      <c r="X1042">
        <v>0.984645710619934</v>
      </c>
    </row>
    <row r="1043" spans="1:24">
      <c r="A1043">
        <v>1889</v>
      </c>
      <c r="B1043" t="s">
        <v>2822</v>
      </c>
      <c r="C1043">
        <v>4</v>
      </c>
      <c r="D1043" t="s">
        <v>2823</v>
      </c>
      <c r="E1043">
        <v>18</v>
      </c>
      <c r="F1043">
        <v>18</v>
      </c>
      <c r="G1043">
        <v>18</v>
      </c>
      <c r="H1043" t="s">
        <v>2824</v>
      </c>
      <c r="I1043">
        <v>8.6999999999999993</v>
      </c>
      <c r="J1043">
        <v>290.45999999999998</v>
      </c>
      <c r="K1043" t="str">
        <f>"USP9X;USP9Y"</f>
        <v>USP9X;USP9Y</v>
      </c>
      <c r="L1043" t="str">
        <f>"USP9X;USP9Y"</f>
        <v>USP9X;USP9Y</v>
      </c>
      <c r="M1043">
        <v>0</v>
      </c>
      <c r="N1043">
        <v>1.78900344370861</v>
      </c>
      <c r="O1043">
        <v>0.91194339418818204</v>
      </c>
      <c r="P1043">
        <v>2.1304378548895899</v>
      </c>
      <c r="Q1043">
        <v>0</v>
      </c>
      <c r="R1043">
        <v>0.90008103209297396</v>
      </c>
      <c r="S1043">
        <v>0</v>
      </c>
      <c r="T1043">
        <v>0</v>
      </c>
      <c r="U1043">
        <v>3.3070749542961599</v>
      </c>
      <c r="V1043">
        <v>1.05063596764157</v>
      </c>
      <c r="W1043">
        <v>0</v>
      </c>
      <c r="X1043">
        <v>0.984645710619934</v>
      </c>
    </row>
    <row r="1044" spans="1:24">
      <c r="A1044">
        <v>2275</v>
      </c>
      <c r="B1044" t="s">
        <v>2825</v>
      </c>
      <c r="C1044">
        <v>1</v>
      </c>
      <c r="D1044" t="s">
        <v>2826</v>
      </c>
      <c r="E1044">
        <v>7</v>
      </c>
      <c r="F1044">
        <v>7</v>
      </c>
      <c r="G1044">
        <v>7</v>
      </c>
      <c r="H1044" t="s">
        <v>2825</v>
      </c>
      <c r="I1044">
        <v>34.200000000000003</v>
      </c>
      <c r="J1044">
        <v>24.327000000000002</v>
      </c>
      <c r="K1044" t="str">
        <f>"NUDT5"</f>
        <v>NUDT5</v>
      </c>
      <c r="L1044" t="str">
        <f>"NUDT5"</f>
        <v>NUDT5</v>
      </c>
      <c r="M1044">
        <v>0</v>
      </c>
      <c r="N1044">
        <v>1.78900344370861</v>
      </c>
      <c r="O1044">
        <v>1.8238867883763601</v>
      </c>
      <c r="P1044">
        <v>1.0652189274447901</v>
      </c>
      <c r="Q1044">
        <v>0</v>
      </c>
      <c r="R1044">
        <v>0.90008103209297396</v>
      </c>
      <c r="S1044">
        <v>3.3994067114094002</v>
      </c>
      <c r="T1044">
        <v>0</v>
      </c>
      <c r="U1044">
        <v>2.20471663619744</v>
      </c>
      <c r="V1044">
        <v>1.05063596764157</v>
      </c>
      <c r="W1044">
        <v>2.5507961927783702</v>
      </c>
      <c r="X1044">
        <v>2.9539371318597998</v>
      </c>
    </row>
    <row r="1045" spans="1:24">
      <c r="A1045">
        <v>2333</v>
      </c>
      <c r="B1045" t="s">
        <v>2827</v>
      </c>
      <c r="C1045">
        <v>2</v>
      </c>
      <c r="D1045" t="s">
        <v>2828</v>
      </c>
      <c r="E1045">
        <v>5</v>
      </c>
      <c r="F1045">
        <v>5</v>
      </c>
      <c r="G1045">
        <v>5</v>
      </c>
      <c r="H1045" t="s">
        <v>2829</v>
      </c>
      <c r="I1045">
        <v>19.8</v>
      </c>
      <c r="J1045">
        <v>37.804000000000002</v>
      </c>
      <c r="K1045" t="str">
        <f>"SUGT1"</f>
        <v>SUGT1</v>
      </c>
      <c r="L1045" t="str">
        <f>"SUGT1"</f>
        <v>SUGT1</v>
      </c>
      <c r="M1045">
        <v>0</v>
      </c>
      <c r="N1045">
        <v>1.78900344370861</v>
      </c>
      <c r="O1045">
        <v>1.8238867883763601</v>
      </c>
      <c r="P1045">
        <v>2.1304378548895899</v>
      </c>
      <c r="Q1045">
        <v>0</v>
      </c>
      <c r="R1045">
        <v>0.90008103209297396</v>
      </c>
      <c r="S1045">
        <v>1.1331355704698001</v>
      </c>
      <c r="T1045">
        <v>0</v>
      </c>
      <c r="U1045">
        <v>1.10235831809872</v>
      </c>
      <c r="V1045">
        <v>0</v>
      </c>
      <c r="W1045">
        <v>1.27539809638918</v>
      </c>
      <c r="X1045">
        <v>0.984645710619934</v>
      </c>
    </row>
    <row r="1046" spans="1:24">
      <c r="A1046">
        <v>896</v>
      </c>
      <c r="B1046" t="s">
        <v>2830</v>
      </c>
      <c r="C1046">
        <v>2</v>
      </c>
      <c r="D1046" t="s">
        <v>2831</v>
      </c>
      <c r="E1046">
        <v>20</v>
      </c>
      <c r="F1046">
        <v>4</v>
      </c>
      <c r="G1046">
        <v>0</v>
      </c>
      <c r="H1046" t="s">
        <v>2832</v>
      </c>
      <c r="I1046">
        <v>54.2</v>
      </c>
      <c r="J1046">
        <v>41.054000000000002</v>
      </c>
      <c r="K1046" t="str">
        <f>"HLA-A"</f>
        <v>HLA-A</v>
      </c>
      <c r="L1046" t="str">
        <f>"HLA-A"</f>
        <v>HLA-A</v>
      </c>
      <c r="M1046">
        <v>0</v>
      </c>
      <c r="N1046">
        <v>3.57800688741722</v>
      </c>
      <c r="O1046">
        <v>0</v>
      </c>
      <c r="P1046">
        <v>1.0652189274447901</v>
      </c>
      <c r="Q1046">
        <v>1.25576199330606</v>
      </c>
      <c r="R1046">
        <v>3.6003241283718901</v>
      </c>
      <c r="S1046">
        <v>1.1331355704698001</v>
      </c>
      <c r="T1046">
        <v>1.18448996772836</v>
      </c>
      <c r="U1046">
        <v>2.20471663619744</v>
      </c>
      <c r="V1046">
        <v>2.1012719352831399</v>
      </c>
      <c r="W1046">
        <v>0</v>
      </c>
      <c r="X1046">
        <v>2.9539371318597998</v>
      </c>
    </row>
    <row r="1047" spans="1:24">
      <c r="A1047">
        <v>1026</v>
      </c>
      <c r="B1047" t="s">
        <v>2833</v>
      </c>
      <c r="C1047">
        <v>1</v>
      </c>
      <c r="D1047" t="s">
        <v>2834</v>
      </c>
      <c r="E1047">
        <v>10</v>
      </c>
      <c r="F1047">
        <v>10</v>
      </c>
      <c r="G1047">
        <v>10</v>
      </c>
      <c r="H1047" t="s">
        <v>2833</v>
      </c>
      <c r="I1047">
        <v>7.5</v>
      </c>
      <c r="J1047">
        <v>157.9</v>
      </c>
      <c r="K1047" t="str">
        <f>"LRPPRC"</f>
        <v>LRPPRC</v>
      </c>
      <c r="L1047" t="str">
        <f>"LRPPRC"</f>
        <v>LRPPRC</v>
      </c>
      <c r="M1047">
        <v>0</v>
      </c>
      <c r="N1047">
        <v>1.78900344370861</v>
      </c>
      <c r="O1047">
        <v>1.8238867883763601</v>
      </c>
      <c r="P1047">
        <v>1.0652189274447901</v>
      </c>
      <c r="Q1047">
        <v>0</v>
      </c>
      <c r="R1047">
        <v>2.7002430962789199</v>
      </c>
      <c r="S1047">
        <v>0</v>
      </c>
      <c r="T1047">
        <v>0</v>
      </c>
      <c r="U1047">
        <v>1.10235831809872</v>
      </c>
      <c r="V1047">
        <v>1.05063596764157</v>
      </c>
      <c r="W1047">
        <v>0</v>
      </c>
      <c r="X1047">
        <v>2.9539371318597998</v>
      </c>
    </row>
    <row r="1048" spans="1:24">
      <c r="A1048">
        <v>1140</v>
      </c>
      <c r="B1048" t="s">
        <v>2835</v>
      </c>
      <c r="C1048">
        <v>3</v>
      </c>
      <c r="D1048" t="s">
        <v>2836</v>
      </c>
      <c r="E1048">
        <v>8</v>
      </c>
      <c r="F1048">
        <v>8</v>
      </c>
      <c r="G1048">
        <v>8</v>
      </c>
      <c r="H1048" t="s">
        <v>2837</v>
      </c>
      <c r="I1048">
        <v>41.8</v>
      </c>
      <c r="J1048">
        <v>24.934999999999999</v>
      </c>
      <c r="K1048" t="str">
        <f>"VAMP7"</f>
        <v>VAMP7</v>
      </c>
      <c r="L1048" t="str">
        <f>"VAMP7"</f>
        <v>VAMP7</v>
      </c>
      <c r="M1048">
        <v>0</v>
      </c>
      <c r="N1048">
        <v>0.89450172185430499</v>
      </c>
      <c r="O1048">
        <v>0</v>
      </c>
      <c r="P1048">
        <v>2.1304378548895899</v>
      </c>
      <c r="Q1048">
        <v>2.51152398661212</v>
      </c>
      <c r="R1048">
        <v>0.90008103209297396</v>
      </c>
      <c r="S1048">
        <v>0</v>
      </c>
      <c r="T1048">
        <v>1.18448996772836</v>
      </c>
      <c r="U1048">
        <v>0</v>
      </c>
      <c r="V1048">
        <v>1.05063596764157</v>
      </c>
      <c r="W1048">
        <v>1.27539809638918</v>
      </c>
      <c r="X1048">
        <v>0.984645710619934</v>
      </c>
    </row>
    <row r="1049" spans="1:24">
      <c r="A1049">
        <v>1162</v>
      </c>
      <c r="B1049" t="s">
        <v>2838</v>
      </c>
      <c r="C1049">
        <v>1</v>
      </c>
      <c r="D1049" t="s">
        <v>2839</v>
      </c>
      <c r="E1049">
        <v>9</v>
      </c>
      <c r="F1049">
        <v>9</v>
      </c>
      <c r="G1049">
        <v>9</v>
      </c>
      <c r="H1049" t="s">
        <v>2838</v>
      </c>
      <c r="I1049">
        <v>38.1</v>
      </c>
      <c r="J1049">
        <v>43.215000000000003</v>
      </c>
      <c r="K1049" t="str">
        <f>"METAP1"</f>
        <v>METAP1</v>
      </c>
      <c r="L1049" t="str">
        <f>"METAP1"</f>
        <v>METAP1</v>
      </c>
      <c r="M1049">
        <v>0</v>
      </c>
      <c r="N1049">
        <v>1.78900344370861</v>
      </c>
      <c r="O1049">
        <v>0.91194339418818204</v>
      </c>
      <c r="P1049">
        <v>0</v>
      </c>
      <c r="Q1049">
        <v>1.25576199330606</v>
      </c>
      <c r="R1049">
        <v>2.7002430962789199</v>
      </c>
      <c r="S1049">
        <v>0</v>
      </c>
      <c r="T1049">
        <v>0</v>
      </c>
      <c r="U1049">
        <v>0</v>
      </c>
      <c r="V1049">
        <v>1.05063596764157</v>
      </c>
      <c r="W1049">
        <v>0</v>
      </c>
      <c r="X1049">
        <v>0.984645710619934</v>
      </c>
    </row>
    <row r="1050" spans="1:24">
      <c r="A1050">
        <v>1646</v>
      </c>
      <c r="B1050" t="s">
        <v>2840</v>
      </c>
      <c r="C1050">
        <v>1</v>
      </c>
      <c r="D1050" t="s">
        <v>2841</v>
      </c>
      <c r="E1050">
        <v>5</v>
      </c>
      <c r="F1050">
        <v>5</v>
      </c>
      <c r="G1050">
        <v>5</v>
      </c>
      <c r="H1050" t="s">
        <v>2840</v>
      </c>
      <c r="I1050">
        <v>8.6999999999999993</v>
      </c>
      <c r="J1050">
        <v>97.111999999999995</v>
      </c>
      <c r="K1050" t="str">
        <f>"HECTD3"</f>
        <v>HECTD3</v>
      </c>
      <c r="L1050" t="str">
        <f>"HECTD3"</f>
        <v>HECTD3</v>
      </c>
      <c r="M1050">
        <v>0</v>
      </c>
      <c r="N1050">
        <v>1.78900344370861</v>
      </c>
      <c r="O1050">
        <v>0.91194339418818204</v>
      </c>
      <c r="P1050">
        <v>0</v>
      </c>
      <c r="Q1050">
        <v>0</v>
      </c>
      <c r="R1050">
        <v>1.8001620641859499</v>
      </c>
      <c r="S1050">
        <v>1.1331355704698001</v>
      </c>
      <c r="T1050">
        <v>1.18448996772836</v>
      </c>
      <c r="U1050">
        <v>2.20471663619744</v>
      </c>
      <c r="V1050">
        <v>1.05063596764157</v>
      </c>
      <c r="W1050">
        <v>1.27539809638918</v>
      </c>
      <c r="X1050">
        <v>2.9539371318597998</v>
      </c>
    </row>
    <row r="1051" spans="1:24">
      <c r="A1051">
        <v>1655</v>
      </c>
      <c r="B1051" t="s">
        <v>2842</v>
      </c>
      <c r="C1051">
        <v>2</v>
      </c>
      <c r="D1051" t="s">
        <v>2843</v>
      </c>
      <c r="E1051">
        <v>4</v>
      </c>
      <c r="F1051">
        <v>4</v>
      </c>
      <c r="G1051">
        <v>4</v>
      </c>
      <c r="H1051" t="s">
        <v>2844</v>
      </c>
      <c r="I1051">
        <v>24.9</v>
      </c>
      <c r="J1051">
        <v>26.315999999999999</v>
      </c>
      <c r="K1051" t="str">
        <f>"LYPLAL1"</f>
        <v>LYPLAL1</v>
      </c>
      <c r="L1051" t="str">
        <f>"LYPLAL1"</f>
        <v>LYPLAL1</v>
      </c>
      <c r="M1051">
        <v>1.2103892752168599</v>
      </c>
      <c r="N1051">
        <v>0.89450172185430499</v>
      </c>
      <c r="O1051">
        <v>0.91194339418818204</v>
      </c>
      <c r="P1051">
        <v>0</v>
      </c>
      <c r="Q1051">
        <v>0</v>
      </c>
      <c r="R1051">
        <v>2.7002430962789199</v>
      </c>
      <c r="S1051">
        <v>1.1331355704698001</v>
      </c>
      <c r="T1051">
        <v>1.18448996772836</v>
      </c>
      <c r="U1051">
        <v>2.20471663619744</v>
      </c>
      <c r="V1051">
        <v>1.05063596764157</v>
      </c>
      <c r="W1051">
        <v>1.27539809638918</v>
      </c>
      <c r="X1051">
        <v>1.96929142123987</v>
      </c>
    </row>
    <row r="1052" spans="1:24">
      <c r="A1052">
        <v>1697</v>
      </c>
      <c r="B1052" t="s">
        <v>2845</v>
      </c>
      <c r="C1052">
        <v>4</v>
      </c>
      <c r="D1052" t="s">
        <v>2846</v>
      </c>
      <c r="E1052">
        <v>7</v>
      </c>
      <c r="F1052">
        <v>7</v>
      </c>
      <c r="G1052">
        <v>7</v>
      </c>
      <c r="H1052" t="s">
        <v>2847</v>
      </c>
      <c r="I1052">
        <v>5.5</v>
      </c>
      <c r="J1052">
        <v>159.69</v>
      </c>
      <c r="K1052" t="str">
        <f>"CD109"</f>
        <v>CD109</v>
      </c>
      <c r="L1052" t="str">
        <f>"CD109"</f>
        <v>CD109</v>
      </c>
      <c r="M1052">
        <v>1.2103892752168599</v>
      </c>
      <c r="N1052">
        <v>1.78900344370861</v>
      </c>
      <c r="O1052">
        <v>0.91194339418818204</v>
      </c>
      <c r="P1052">
        <v>2.1304378548895899</v>
      </c>
      <c r="Q1052">
        <v>1.25576199330606</v>
      </c>
      <c r="R1052">
        <v>0.90008103209297396</v>
      </c>
      <c r="S1052">
        <v>2.2662711409396001</v>
      </c>
      <c r="T1052">
        <v>2.3689799354567098</v>
      </c>
      <c r="U1052">
        <v>2.20471663619744</v>
      </c>
      <c r="V1052">
        <v>1.05063596764157</v>
      </c>
      <c r="W1052">
        <v>0</v>
      </c>
      <c r="X1052">
        <v>2.9539371318597998</v>
      </c>
    </row>
    <row r="1053" spans="1:24">
      <c r="A1053">
        <v>2315</v>
      </c>
      <c r="B1053" t="s">
        <v>2848</v>
      </c>
      <c r="C1053">
        <v>2</v>
      </c>
      <c r="D1053" t="s">
        <v>2849</v>
      </c>
      <c r="E1053">
        <v>7</v>
      </c>
      <c r="F1053">
        <v>7</v>
      </c>
      <c r="G1053">
        <v>7</v>
      </c>
      <c r="H1053" t="s">
        <v>2850</v>
      </c>
      <c r="I1053">
        <v>22.8</v>
      </c>
      <c r="J1053">
        <v>50.226999999999997</v>
      </c>
      <c r="K1053" t="str">
        <f>"RUVBL1"</f>
        <v>RUVBL1</v>
      </c>
      <c r="L1053" t="str">
        <f>"RUVBL1"</f>
        <v>RUVBL1</v>
      </c>
      <c r="M1053">
        <v>0</v>
      </c>
      <c r="N1053">
        <v>1.78900344370861</v>
      </c>
      <c r="O1053">
        <v>1.8238867883763601</v>
      </c>
      <c r="P1053">
        <v>0</v>
      </c>
      <c r="Q1053">
        <v>0</v>
      </c>
      <c r="R1053">
        <v>0.90008103209297396</v>
      </c>
      <c r="S1053">
        <v>1.1331355704698001</v>
      </c>
      <c r="T1053">
        <v>1.18448996772836</v>
      </c>
      <c r="U1053">
        <v>2.20471663619744</v>
      </c>
      <c r="V1053">
        <v>2.1012719352831399</v>
      </c>
      <c r="W1053">
        <v>0</v>
      </c>
      <c r="X1053">
        <v>2.9539371318597998</v>
      </c>
    </row>
    <row r="1054" spans="1:24">
      <c r="A1054">
        <v>111</v>
      </c>
      <c r="B1054" t="s">
        <v>2851</v>
      </c>
      <c r="C1054">
        <v>2</v>
      </c>
      <c r="D1054" t="s">
        <v>2852</v>
      </c>
      <c r="E1054">
        <v>2</v>
      </c>
      <c r="F1054">
        <v>2</v>
      </c>
      <c r="G1054">
        <v>2</v>
      </c>
      <c r="H1054" t="s">
        <v>2853</v>
      </c>
      <c r="I1054">
        <v>0.6</v>
      </c>
      <c r="J1054">
        <v>290.38</v>
      </c>
      <c r="K1054" t="str">
        <f>"CEP290"</f>
        <v>CEP290</v>
      </c>
      <c r="L1054" t="str">
        <f>"CEP290"</f>
        <v>CEP290</v>
      </c>
      <c r="M1054">
        <v>1.2103892752168599</v>
      </c>
      <c r="N1054">
        <v>0.89450172185430499</v>
      </c>
      <c r="O1054">
        <v>0</v>
      </c>
      <c r="P1054">
        <v>2.1304378548895899</v>
      </c>
      <c r="Q1054">
        <v>1.25576199330606</v>
      </c>
      <c r="R1054">
        <v>0.90008103209297396</v>
      </c>
      <c r="S1054">
        <v>2.2662711409396001</v>
      </c>
      <c r="T1054">
        <v>1.18448996772836</v>
      </c>
      <c r="U1054">
        <v>2.20471663619744</v>
      </c>
      <c r="V1054">
        <v>2.1012719352831399</v>
      </c>
      <c r="W1054">
        <v>0</v>
      </c>
      <c r="X1054">
        <v>0</v>
      </c>
    </row>
    <row r="1055" spans="1:24">
      <c r="A1055">
        <v>628</v>
      </c>
      <c r="B1055" t="s">
        <v>2854</v>
      </c>
      <c r="C1055">
        <v>7</v>
      </c>
      <c r="D1055" t="s">
        <v>2855</v>
      </c>
      <c r="E1055">
        <v>8</v>
      </c>
      <c r="F1055">
        <v>8</v>
      </c>
      <c r="G1055">
        <v>7</v>
      </c>
      <c r="H1055" t="s">
        <v>2856</v>
      </c>
      <c r="I1055">
        <v>10.6</v>
      </c>
      <c r="J1055">
        <v>81.233999999999995</v>
      </c>
      <c r="K1055" t="str">
        <f>"EPB41"</f>
        <v>EPB41</v>
      </c>
      <c r="L1055" t="str">
        <f>"EPB41"</f>
        <v>EPB41</v>
      </c>
      <c r="M1055">
        <v>0</v>
      </c>
      <c r="N1055">
        <v>3.57800688741722</v>
      </c>
      <c r="O1055">
        <v>2.7358301825645501</v>
      </c>
      <c r="P1055">
        <v>1.0652189274447901</v>
      </c>
      <c r="Q1055">
        <v>0</v>
      </c>
      <c r="R1055">
        <v>1.8001620641859499</v>
      </c>
      <c r="S1055">
        <v>0</v>
      </c>
      <c r="T1055">
        <v>0</v>
      </c>
      <c r="U1055">
        <v>0</v>
      </c>
      <c r="V1055">
        <v>1.05063596764157</v>
      </c>
      <c r="W1055">
        <v>1.27539809638918</v>
      </c>
      <c r="X1055">
        <v>2.9539371318597998</v>
      </c>
    </row>
    <row r="1056" spans="1:24">
      <c r="A1056">
        <v>832</v>
      </c>
      <c r="B1056" t="s">
        <v>2857</v>
      </c>
      <c r="C1056">
        <v>1</v>
      </c>
      <c r="D1056" t="s">
        <v>2858</v>
      </c>
      <c r="E1056">
        <v>8</v>
      </c>
      <c r="F1056">
        <v>8</v>
      </c>
      <c r="G1056">
        <v>8</v>
      </c>
      <c r="H1056" t="s">
        <v>2857</v>
      </c>
      <c r="I1056">
        <v>21.7</v>
      </c>
      <c r="J1056">
        <v>54.415999999999997</v>
      </c>
      <c r="K1056" t="str">
        <f>"DDX6"</f>
        <v>DDX6</v>
      </c>
      <c r="L1056" t="str">
        <f>"DDX6"</f>
        <v>DDX6</v>
      </c>
      <c r="M1056">
        <v>0</v>
      </c>
      <c r="N1056">
        <v>1.78900344370861</v>
      </c>
      <c r="O1056">
        <v>1.8238867883763601</v>
      </c>
      <c r="P1056">
        <v>0</v>
      </c>
      <c r="Q1056">
        <v>0</v>
      </c>
      <c r="R1056">
        <v>1.8001620641859499</v>
      </c>
      <c r="S1056">
        <v>1.1331355704698001</v>
      </c>
      <c r="T1056">
        <v>0</v>
      </c>
      <c r="U1056">
        <v>2.20471663619744</v>
      </c>
      <c r="V1056">
        <v>3.1519079029246999</v>
      </c>
      <c r="W1056">
        <v>0</v>
      </c>
      <c r="X1056">
        <v>1.96929142123987</v>
      </c>
    </row>
    <row r="1057" spans="1:24">
      <c r="A1057">
        <v>1070</v>
      </c>
      <c r="B1057" t="s">
        <v>2859</v>
      </c>
      <c r="C1057">
        <v>1</v>
      </c>
      <c r="D1057" t="s">
        <v>2860</v>
      </c>
      <c r="E1057">
        <v>5</v>
      </c>
      <c r="F1057">
        <v>5</v>
      </c>
      <c r="G1057">
        <v>5</v>
      </c>
      <c r="H1057" t="s">
        <v>2859</v>
      </c>
      <c r="I1057">
        <v>13.8</v>
      </c>
      <c r="J1057">
        <v>28.295000000000002</v>
      </c>
      <c r="K1057" t="str">
        <f>"CD151"</f>
        <v>CD151</v>
      </c>
      <c r="L1057" t="str">
        <f>"CD151"</f>
        <v>CD151</v>
      </c>
      <c r="M1057">
        <v>0</v>
      </c>
      <c r="N1057">
        <v>1.78900344370861</v>
      </c>
      <c r="O1057">
        <v>0.91194339418818204</v>
      </c>
      <c r="P1057">
        <v>1.0652189274447901</v>
      </c>
      <c r="Q1057">
        <v>1.25576199330606</v>
      </c>
      <c r="R1057">
        <v>1.8001620641859499</v>
      </c>
      <c r="S1057">
        <v>1.1331355704698001</v>
      </c>
      <c r="T1057">
        <v>2.3689799354567098</v>
      </c>
      <c r="U1057">
        <v>1.10235831809872</v>
      </c>
      <c r="V1057">
        <v>1.05063596764157</v>
      </c>
      <c r="W1057">
        <v>1.27539809638918</v>
      </c>
      <c r="X1057">
        <v>0.984645710619934</v>
      </c>
    </row>
    <row r="1058" spans="1:24">
      <c r="A1058">
        <v>1287</v>
      </c>
      <c r="B1058" t="s">
        <v>2861</v>
      </c>
      <c r="C1058">
        <v>10</v>
      </c>
      <c r="D1058" t="s">
        <v>2862</v>
      </c>
      <c r="E1058">
        <v>6</v>
      </c>
      <c r="F1058">
        <v>6</v>
      </c>
      <c r="G1058">
        <v>6</v>
      </c>
      <c r="H1058" t="s">
        <v>2863</v>
      </c>
      <c r="I1058">
        <v>17.7</v>
      </c>
      <c r="J1058">
        <v>51.691000000000003</v>
      </c>
      <c r="K1058" t="str">
        <f>"PPP2R2A;PPP2R2D;PPP2R2B"</f>
        <v>PPP2R2A;PPP2R2D;PPP2R2B</v>
      </c>
      <c r="L1058" t="str">
        <f>"PPP2R2A;PPP2R2D;PPP2R2B"</f>
        <v>PPP2R2A;PPP2R2D;PPP2R2B</v>
      </c>
      <c r="M1058">
        <v>0</v>
      </c>
      <c r="N1058">
        <v>1.78900344370861</v>
      </c>
      <c r="O1058">
        <v>3.64777357675273</v>
      </c>
      <c r="P1058">
        <v>1.0652189274447901</v>
      </c>
      <c r="Q1058">
        <v>0</v>
      </c>
      <c r="R1058">
        <v>0</v>
      </c>
      <c r="S1058">
        <v>1.1331355704698001</v>
      </c>
      <c r="T1058">
        <v>0</v>
      </c>
      <c r="U1058">
        <v>1.10235831809872</v>
      </c>
      <c r="V1058">
        <v>1.05063596764157</v>
      </c>
      <c r="W1058">
        <v>2.5507961927783702</v>
      </c>
      <c r="X1058">
        <v>0.984645710619934</v>
      </c>
    </row>
    <row r="1059" spans="1:24">
      <c r="A1059">
        <v>1629</v>
      </c>
      <c r="B1059" t="s">
        <v>2864</v>
      </c>
      <c r="C1059">
        <v>1</v>
      </c>
      <c r="D1059" t="s">
        <v>2865</v>
      </c>
      <c r="E1059">
        <v>13</v>
      </c>
      <c r="F1059">
        <v>2</v>
      </c>
      <c r="G1059">
        <v>2</v>
      </c>
      <c r="H1059" t="s">
        <v>2864</v>
      </c>
      <c r="I1059">
        <v>23.1</v>
      </c>
      <c r="J1059">
        <v>44.347999999999999</v>
      </c>
      <c r="K1059" t="str">
        <f>"HSP90AB2P"</f>
        <v>HSP90AB2P</v>
      </c>
      <c r="L1059" t="str">
        <f>"HSP90AB2P"</f>
        <v>HSP90AB2P</v>
      </c>
      <c r="M1059">
        <v>1.2103892752168599</v>
      </c>
      <c r="N1059">
        <v>1.78900344370861</v>
      </c>
      <c r="O1059">
        <v>0.91194339418818204</v>
      </c>
      <c r="P1059">
        <v>2.1304378548895899</v>
      </c>
      <c r="Q1059">
        <v>2.51152398661212</v>
      </c>
      <c r="R1059">
        <v>2.7002430962789199</v>
      </c>
      <c r="S1059">
        <v>2.2662711409396001</v>
      </c>
      <c r="T1059">
        <v>0</v>
      </c>
      <c r="U1059">
        <v>2.20471663619744</v>
      </c>
      <c r="V1059">
        <v>0</v>
      </c>
      <c r="W1059">
        <v>2.5507961927783702</v>
      </c>
      <c r="X1059">
        <v>0.984645710619934</v>
      </c>
    </row>
    <row r="1060" spans="1:24">
      <c r="A1060">
        <v>2006</v>
      </c>
      <c r="B1060" t="s">
        <v>2866</v>
      </c>
      <c r="C1060">
        <v>4</v>
      </c>
      <c r="D1060" t="s">
        <v>2867</v>
      </c>
      <c r="E1060">
        <v>9</v>
      </c>
      <c r="F1060">
        <v>9</v>
      </c>
      <c r="G1060">
        <v>9</v>
      </c>
      <c r="H1060" t="s">
        <v>2868</v>
      </c>
      <c r="I1060">
        <v>25</v>
      </c>
      <c r="J1060">
        <v>41.488999999999997</v>
      </c>
      <c r="K1060" t="str">
        <f>"SH3GL1;SH3GL2"</f>
        <v>SH3GL1;SH3GL2</v>
      </c>
      <c r="L1060" t="str">
        <f>"SH3GL1;SH3GL2"</f>
        <v>SH3GL1;SH3GL2</v>
      </c>
      <c r="M1060">
        <v>0</v>
      </c>
      <c r="N1060">
        <v>2.6835051655629099</v>
      </c>
      <c r="O1060">
        <v>1.8238867883763601</v>
      </c>
      <c r="P1060">
        <v>0</v>
      </c>
      <c r="Q1060">
        <v>0</v>
      </c>
      <c r="R1060">
        <v>2.7002430962789199</v>
      </c>
      <c r="S1060">
        <v>0</v>
      </c>
      <c r="T1060">
        <v>0</v>
      </c>
      <c r="U1060">
        <v>0</v>
      </c>
      <c r="V1060">
        <v>3.1519079029246999</v>
      </c>
      <c r="W1060">
        <v>0</v>
      </c>
      <c r="X1060">
        <v>1.96929142123987</v>
      </c>
    </row>
    <row r="1061" spans="1:24">
      <c r="A1061">
        <v>2039</v>
      </c>
      <c r="B1061" t="s">
        <v>2869</v>
      </c>
      <c r="C1061">
        <v>1</v>
      </c>
      <c r="D1061" t="s">
        <v>2870</v>
      </c>
      <c r="E1061">
        <v>10</v>
      </c>
      <c r="F1061">
        <v>10</v>
      </c>
      <c r="G1061">
        <v>10</v>
      </c>
      <c r="H1061" t="s">
        <v>2869</v>
      </c>
      <c r="I1061">
        <v>38.799999999999997</v>
      </c>
      <c r="J1061">
        <v>35.978000000000002</v>
      </c>
      <c r="K1061" t="str">
        <f>"SFXN3"</f>
        <v>SFXN3</v>
      </c>
      <c r="L1061" t="str">
        <f>"SFXN3"</f>
        <v>SFXN3</v>
      </c>
      <c r="M1061">
        <v>1.2103892752168599</v>
      </c>
      <c r="N1061">
        <v>0.89450172185430499</v>
      </c>
      <c r="O1061">
        <v>0.91194339418818204</v>
      </c>
      <c r="P1061">
        <v>3.19565678233438</v>
      </c>
      <c r="Q1061">
        <v>0</v>
      </c>
      <c r="R1061">
        <v>2.7002430962789199</v>
      </c>
      <c r="S1061">
        <v>1.1331355704698001</v>
      </c>
      <c r="T1061">
        <v>0</v>
      </c>
      <c r="U1061">
        <v>1.10235831809872</v>
      </c>
      <c r="V1061">
        <v>1.05063596764157</v>
      </c>
      <c r="W1061">
        <v>1.27539809638918</v>
      </c>
      <c r="X1061">
        <v>0.984645710619934</v>
      </c>
    </row>
    <row r="1062" spans="1:24">
      <c r="A1062">
        <v>263</v>
      </c>
      <c r="B1062" t="s">
        <v>2871</v>
      </c>
      <c r="C1062">
        <v>2</v>
      </c>
      <c r="D1062" t="s">
        <v>2872</v>
      </c>
      <c r="E1062">
        <v>6</v>
      </c>
      <c r="F1062">
        <v>6</v>
      </c>
      <c r="G1062">
        <v>6</v>
      </c>
      <c r="H1062" t="s">
        <v>2873</v>
      </c>
      <c r="I1062">
        <v>18.3</v>
      </c>
      <c r="J1062">
        <v>40.75</v>
      </c>
      <c r="K1062" t="str">
        <f>"NDUFA10"</f>
        <v>NDUFA10</v>
      </c>
      <c r="L1062" t="str">
        <f>"NDUFA10"</f>
        <v>NDUFA10</v>
      </c>
      <c r="M1062">
        <v>0</v>
      </c>
      <c r="N1062">
        <v>0.89450172185430499</v>
      </c>
      <c r="O1062">
        <v>1.8238867883763601</v>
      </c>
      <c r="P1062">
        <v>1.0652189274447901</v>
      </c>
      <c r="Q1062">
        <v>1.25576199330606</v>
      </c>
      <c r="R1062">
        <v>2.7002430962789199</v>
      </c>
      <c r="S1062">
        <v>1.1331355704698001</v>
      </c>
      <c r="T1062">
        <v>0</v>
      </c>
      <c r="U1062">
        <v>0</v>
      </c>
      <c r="V1062">
        <v>0</v>
      </c>
      <c r="W1062">
        <v>0</v>
      </c>
      <c r="X1062">
        <v>1.96929142123987</v>
      </c>
    </row>
    <row r="1063" spans="1:24">
      <c r="A1063">
        <v>409</v>
      </c>
      <c r="B1063" t="s">
        <v>2874</v>
      </c>
      <c r="C1063">
        <v>2</v>
      </c>
      <c r="D1063" t="s">
        <v>2875</v>
      </c>
      <c r="E1063">
        <v>11</v>
      </c>
      <c r="F1063">
        <v>11</v>
      </c>
      <c r="G1063">
        <v>11</v>
      </c>
      <c r="H1063" t="s">
        <v>2876</v>
      </c>
      <c r="I1063">
        <v>36.200000000000003</v>
      </c>
      <c r="J1063">
        <v>25.038</v>
      </c>
      <c r="K1063" t="str">
        <f>"CRP"</f>
        <v>CRP</v>
      </c>
      <c r="L1063" t="str">
        <f>"CRP"</f>
        <v>CRP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0.90008103209297396</v>
      </c>
      <c r="S1063">
        <v>2.2662711409396001</v>
      </c>
      <c r="T1063">
        <v>0</v>
      </c>
      <c r="U1063">
        <v>1.10235831809872</v>
      </c>
      <c r="V1063">
        <v>0</v>
      </c>
      <c r="W1063">
        <v>0</v>
      </c>
      <c r="X1063">
        <v>6.8925199743395398</v>
      </c>
    </row>
    <row r="1064" spans="1:24">
      <c r="A1064">
        <v>533</v>
      </c>
      <c r="B1064" t="s">
        <v>2877</v>
      </c>
      <c r="C1064">
        <v>3</v>
      </c>
      <c r="D1064" t="s">
        <v>2878</v>
      </c>
      <c r="E1064">
        <v>7</v>
      </c>
      <c r="F1064">
        <v>7</v>
      </c>
      <c r="G1064">
        <v>7</v>
      </c>
      <c r="H1064" t="s">
        <v>2879</v>
      </c>
      <c r="I1064">
        <v>14.9</v>
      </c>
      <c r="J1064">
        <v>58.112000000000002</v>
      </c>
      <c r="K1064" t="str">
        <f>"PSAP"</f>
        <v>PSAP</v>
      </c>
      <c r="L1064" t="str">
        <f>"PSAP"</f>
        <v>PSAP</v>
      </c>
      <c r="M1064">
        <v>1.2103892752168599</v>
      </c>
      <c r="N1064">
        <v>0</v>
      </c>
      <c r="O1064">
        <v>0.91194339418818204</v>
      </c>
      <c r="P1064">
        <v>1.0652189274447901</v>
      </c>
      <c r="Q1064">
        <v>0</v>
      </c>
      <c r="R1064">
        <v>1.8001620641859499</v>
      </c>
      <c r="S1064">
        <v>1.1331355704698001</v>
      </c>
      <c r="T1064">
        <v>0</v>
      </c>
      <c r="U1064">
        <v>2.20471663619744</v>
      </c>
      <c r="V1064">
        <v>1.05063596764157</v>
      </c>
      <c r="W1064">
        <v>0</v>
      </c>
      <c r="X1064">
        <v>1.96929142123987</v>
      </c>
    </row>
    <row r="1065" spans="1:24">
      <c r="A1065">
        <v>732</v>
      </c>
      <c r="B1065" t="s">
        <v>2880</v>
      </c>
      <c r="C1065">
        <v>1</v>
      </c>
      <c r="D1065" t="s">
        <v>2881</v>
      </c>
      <c r="E1065">
        <v>11</v>
      </c>
      <c r="F1065">
        <v>11</v>
      </c>
      <c r="G1065">
        <v>11</v>
      </c>
      <c r="H1065" t="s">
        <v>2880</v>
      </c>
      <c r="I1065">
        <v>33.299999999999997</v>
      </c>
      <c r="J1065">
        <v>49.203000000000003</v>
      </c>
      <c r="K1065" t="str">
        <f>"PSMC3"</f>
        <v>PSMC3</v>
      </c>
      <c r="L1065" t="str">
        <f>"PSMC3"</f>
        <v>PSMC3</v>
      </c>
      <c r="M1065">
        <v>0</v>
      </c>
      <c r="N1065">
        <v>1.78900344370861</v>
      </c>
      <c r="O1065">
        <v>0.91194339418818204</v>
      </c>
      <c r="P1065">
        <v>1.0652189274447901</v>
      </c>
      <c r="Q1065">
        <v>0</v>
      </c>
      <c r="R1065">
        <v>1.8001620641859499</v>
      </c>
      <c r="S1065">
        <v>3.3994067114094002</v>
      </c>
      <c r="T1065">
        <v>0</v>
      </c>
      <c r="U1065">
        <v>1.10235831809872</v>
      </c>
      <c r="V1065">
        <v>1.05063596764157</v>
      </c>
      <c r="W1065">
        <v>1.27539809638918</v>
      </c>
      <c r="X1065">
        <v>1.96929142123987</v>
      </c>
    </row>
    <row r="1066" spans="1:24">
      <c r="A1066">
        <v>738</v>
      </c>
      <c r="B1066" t="s">
        <v>2882</v>
      </c>
      <c r="C1066">
        <v>2</v>
      </c>
      <c r="D1066" t="s">
        <v>2883</v>
      </c>
      <c r="E1066">
        <v>6</v>
      </c>
      <c r="F1066">
        <v>2</v>
      </c>
      <c r="G1066">
        <v>0</v>
      </c>
      <c r="H1066" t="s">
        <v>2884</v>
      </c>
      <c r="I1066">
        <v>47.3</v>
      </c>
      <c r="J1066">
        <v>14.073</v>
      </c>
      <c r="K1066" t="s">
        <v>476</v>
      </c>
      <c r="L1066" t="s">
        <v>476</v>
      </c>
      <c r="M1066">
        <v>1.2103892752168599</v>
      </c>
      <c r="N1066">
        <v>1.78900344370861</v>
      </c>
      <c r="O1066">
        <v>0</v>
      </c>
      <c r="P1066">
        <v>1.0652189274447901</v>
      </c>
      <c r="Q1066">
        <v>1.25576199330606</v>
      </c>
      <c r="R1066">
        <v>0.90008103209297396</v>
      </c>
      <c r="S1066">
        <v>1.1331355704698001</v>
      </c>
      <c r="T1066">
        <v>2.3689799354567098</v>
      </c>
      <c r="U1066">
        <v>3.3070749542961599</v>
      </c>
      <c r="V1066">
        <v>2.1012719352831399</v>
      </c>
      <c r="W1066">
        <v>1.27539809638918</v>
      </c>
      <c r="X1066">
        <v>1.96929142123987</v>
      </c>
    </row>
    <row r="1067" spans="1:24">
      <c r="A1067">
        <v>763</v>
      </c>
      <c r="B1067" t="s">
        <v>2885</v>
      </c>
      <c r="C1067">
        <v>1</v>
      </c>
      <c r="D1067" t="s">
        <v>2886</v>
      </c>
      <c r="E1067">
        <v>3</v>
      </c>
      <c r="F1067">
        <v>3</v>
      </c>
      <c r="G1067">
        <v>3</v>
      </c>
      <c r="H1067" t="s">
        <v>2885</v>
      </c>
      <c r="I1067">
        <v>17</v>
      </c>
      <c r="J1067">
        <v>30.992999999999999</v>
      </c>
      <c r="K1067" t="str">
        <f>"M6PR"</f>
        <v>M6PR</v>
      </c>
      <c r="L1067" t="str">
        <f>"M6PR"</f>
        <v>M6PR</v>
      </c>
      <c r="M1067">
        <v>0</v>
      </c>
      <c r="N1067">
        <v>0.89450172185430499</v>
      </c>
      <c r="O1067">
        <v>0.91194339418818204</v>
      </c>
      <c r="P1067">
        <v>3.19565678233438</v>
      </c>
      <c r="Q1067">
        <v>1.25576199330606</v>
      </c>
      <c r="R1067">
        <v>0.90008103209297396</v>
      </c>
      <c r="S1067">
        <v>1.1331355704698001</v>
      </c>
      <c r="T1067">
        <v>1.18448996772836</v>
      </c>
      <c r="U1067">
        <v>2.20471663619744</v>
      </c>
      <c r="V1067">
        <v>2.1012719352831399</v>
      </c>
      <c r="W1067">
        <v>0</v>
      </c>
      <c r="X1067">
        <v>0.984645710619934</v>
      </c>
    </row>
    <row r="1068" spans="1:24">
      <c r="A1068">
        <v>883</v>
      </c>
      <c r="B1068" t="s">
        <v>2887</v>
      </c>
      <c r="C1068">
        <v>3</v>
      </c>
      <c r="D1068" t="s">
        <v>2888</v>
      </c>
      <c r="E1068">
        <v>4</v>
      </c>
      <c r="F1068">
        <v>4</v>
      </c>
      <c r="G1068">
        <v>4</v>
      </c>
      <c r="H1068" t="s">
        <v>2889</v>
      </c>
      <c r="I1068">
        <v>36.4</v>
      </c>
      <c r="J1068">
        <v>12.712</v>
      </c>
      <c r="K1068" t="str">
        <f>"DDT;DDTL"</f>
        <v>DDT;DDTL</v>
      </c>
      <c r="L1068" t="str">
        <f>"DDT;DDTL"</f>
        <v>DDT;DDTL</v>
      </c>
      <c r="M1068">
        <v>0</v>
      </c>
      <c r="N1068">
        <v>0.89450172185430499</v>
      </c>
      <c r="O1068">
        <v>0.91194339418818204</v>
      </c>
      <c r="P1068">
        <v>2.1304378548895899</v>
      </c>
      <c r="Q1068">
        <v>2.51152398661212</v>
      </c>
      <c r="R1068">
        <v>0.90008103209297396</v>
      </c>
      <c r="S1068">
        <v>3.3994067114094002</v>
      </c>
      <c r="T1068">
        <v>2.3689799354567098</v>
      </c>
      <c r="U1068">
        <v>2.20471663619744</v>
      </c>
      <c r="V1068">
        <v>1.05063596764157</v>
      </c>
      <c r="W1068">
        <v>0</v>
      </c>
      <c r="X1068">
        <v>0</v>
      </c>
    </row>
    <row r="1069" spans="1:24">
      <c r="A1069">
        <v>905</v>
      </c>
      <c r="B1069" t="s">
        <v>2890</v>
      </c>
      <c r="C1069">
        <v>1</v>
      </c>
      <c r="D1069" t="s">
        <v>2891</v>
      </c>
      <c r="E1069">
        <v>19</v>
      </c>
      <c r="F1069">
        <v>3</v>
      </c>
      <c r="G1069">
        <v>0</v>
      </c>
      <c r="H1069" t="s">
        <v>2890</v>
      </c>
      <c r="I1069">
        <v>51.1</v>
      </c>
      <c r="J1069">
        <v>40.332000000000001</v>
      </c>
      <c r="K1069" t="str">
        <f>"HLA-B"</f>
        <v>HLA-B</v>
      </c>
      <c r="L1069" t="str">
        <f>"HLA-B"</f>
        <v>HLA-B</v>
      </c>
      <c r="M1069">
        <v>2.4207785504337198</v>
      </c>
      <c r="N1069">
        <v>0.89450172185430499</v>
      </c>
      <c r="O1069">
        <v>0</v>
      </c>
      <c r="P1069">
        <v>1.0652189274447901</v>
      </c>
      <c r="Q1069">
        <v>0</v>
      </c>
      <c r="R1069">
        <v>2.7002430962789199</v>
      </c>
      <c r="S1069">
        <v>1.1331355704698001</v>
      </c>
      <c r="T1069">
        <v>1.18448996772836</v>
      </c>
      <c r="U1069">
        <v>1.10235831809872</v>
      </c>
      <c r="V1069">
        <v>1.05063596764157</v>
      </c>
      <c r="W1069">
        <v>0</v>
      </c>
      <c r="X1069">
        <v>0</v>
      </c>
    </row>
    <row r="1070" spans="1:24">
      <c r="A1070">
        <v>948</v>
      </c>
      <c r="B1070" t="s">
        <v>2892</v>
      </c>
      <c r="C1070">
        <v>3</v>
      </c>
      <c r="D1070" t="s">
        <v>2893</v>
      </c>
      <c r="E1070">
        <v>6</v>
      </c>
      <c r="F1070">
        <v>6</v>
      </c>
      <c r="G1070">
        <v>6</v>
      </c>
      <c r="H1070" t="s">
        <v>2894</v>
      </c>
      <c r="I1070">
        <v>17.7</v>
      </c>
      <c r="J1070">
        <v>62.615000000000002</v>
      </c>
      <c r="K1070" t="str">
        <f>"EPHX2"</f>
        <v>EPHX2</v>
      </c>
      <c r="L1070" t="str">
        <f>"EPHX2"</f>
        <v>EPHX2</v>
      </c>
      <c r="M1070">
        <v>1.2103892752168599</v>
      </c>
      <c r="N1070">
        <v>0.89450172185430499</v>
      </c>
      <c r="O1070">
        <v>3.64777357675273</v>
      </c>
      <c r="P1070">
        <v>0</v>
      </c>
      <c r="Q1070">
        <v>0</v>
      </c>
      <c r="R1070">
        <v>2.7002430962789199</v>
      </c>
      <c r="S1070">
        <v>2.2662711409396001</v>
      </c>
      <c r="T1070">
        <v>1.18448996772836</v>
      </c>
      <c r="U1070">
        <v>1.10235831809872</v>
      </c>
      <c r="V1070">
        <v>1.05063596764157</v>
      </c>
      <c r="W1070">
        <v>0</v>
      </c>
      <c r="X1070">
        <v>0.984645710619934</v>
      </c>
    </row>
    <row r="1071" spans="1:24">
      <c r="A1071">
        <v>1216</v>
      </c>
      <c r="B1071" t="s">
        <v>2895</v>
      </c>
      <c r="C1071">
        <v>1</v>
      </c>
      <c r="D1071" t="s">
        <v>2896</v>
      </c>
      <c r="E1071">
        <v>8</v>
      </c>
      <c r="F1071">
        <v>8</v>
      </c>
      <c r="G1071">
        <v>8</v>
      </c>
      <c r="H1071" t="s">
        <v>2895</v>
      </c>
      <c r="I1071">
        <v>19.8</v>
      </c>
      <c r="J1071">
        <v>52.22</v>
      </c>
      <c r="K1071" t="str">
        <f>"EIF3E"</f>
        <v>EIF3E</v>
      </c>
      <c r="L1071" t="str">
        <f>"EIF3E"</f>
        <v>EIF3E</v>
      </c>
      <c r="M1071">
        <v>0</v>
      </c>
      <c r="N1071">
        <v>0</v>
      </c>
      <c r="O1071">
        <v>1.8238867883763601</v>
      </c>
      <c r="P1071">
        <v>1.0652189274447901</v>
      </c>
      <c r="Q1071">
        <v>0</v>
      </c>
      <c r="R1071">
        <v>1.8001620641859499</v>
      </c>
      <c r="S1071">
        <v>1.1331355704698001</v>
      </c>
      <c r="T1071">
        <v>0</v>
      </c>
      <c r="U1071">
        <v>1.10235831809872</v>
      </c>
      <c r="V1071">
        <v>1.05063596764157</v>
      </c>
      <c r="W1071">
        <v>1.27539809638918</v>
      </c>
      <c r="X1071">
        <v>0.984645710619934</v>
      </c>
    </row>
    <row r="1072" spans="1:24">
      <c r="A1072">
        <v>1466</v>
      </c>
      <c r="B1072" t="s">
        <v>2897</v>
      </c>
      <c r="C1072">
        <v>3</v>
      </c>
      <c r="D1072" t="s">
        <v>2898</v>
      </c>
      <c r="E1072">
        <v>30</v>
      </c>
      <c r="F1072">
        <v>2</v>
      </c>
      <c r="G1072">
        <v>0</v>
      </c>
      <c r="H1072" t="s">
        <v>2899</v>
      </c>
      <c r="I1072">
        <v>67.3</v>
      </c>
      <c r="J1072">
        <v>49.959000000000003</v>
      </c>
      <c r="K1072" t="str">
        <f>"TUBA3C;TUBA3E"</f>
        <v>TUBA3C;TUBA3E</v>
      </c>
      <c r="L1072" t="str">
        <f>"TUBA3C;TUBA3E"</f>
        <v>TUBA3C;TUBA3E</v>
      </c>
      <c r="M1072">
        <v>0</v>
      </c>
      <c r="N1072">
        <v>2.6835051655629099</v>
      </c>
      <c r="O1072">
        <v>1.8238867883763601</v>
      </c>
      <c r="P1072">
        <v>0</v>
      </c>
      <c r="Q1072">
        <v>0</v>
      </c>
      <c r="R1072">
        <v>1.8001620641859499</v>
      </c>
      <c r="S1072">
        <v>2.2662711409396001</v>
      </c>
      <c r="T1072">
        <v>1.18448996772836</v>
      </c>
      <c r="U1072">
        <v>0</v>
      </c>
      <c r="V1072">
        <v>1.05063596764157</v>
      </c>
      <c r="W1072">
        <v>1.27539809638918</v>
      </c>
      <c r="X1072">
        <v>1.96929142123987</v>
      </c>
    </row>
    <row r="1073" spans="1:24">
      <c r="A1073">
        <v>1906</v>
      </c>
      <c r="B1073" t="s">
        <v>2900</v>
      </c>
      <c r="C1073">
        <v>2</v>
      </c>
      <c r="D1073" t="s">
        <v>2901</v>
      </c>
      <c r="E1073">
        <v>10</v>
      </c>
      <c r="F1073">
        <v>10</v>
      </c>
      <c r="G1073">
        <v>10</v>
      </c>
      <c r="H1073" t="s">
        <v>2902</v>
      </c>
      <c r="I1073">
        <v>12.5</v>
      </c>
      <c r="J1073">
        <v>110.5</v>
      </c>
      <c r="K1073" t="str">
        <f>"EXOC4"</f>
        <v>EXOC4</v>
      </c>
      <c r="L1073" t="str">
        <f>"EXOC4"</f>
        <v>EXOC4</v>
      </c>
      <c r="M1073">
        <v>0</v>
      </c>
      <c r="N1073">
        <v>1.78900344370861</v>
      </c>
      <c r="O1073">
        <v>1.8238867883763601</v>
      </c>
      <c r="P1073">
        <v>0</v>
      </c>
      <c r="Q1073">
        <v>0</v>
      </c>
      <c r="R1073">
        <v>1.8001620641859499</v>
      </c>
      <c r="S1073">
        <v>1.1331355704698001</v>
      </c>
      <c r="T1073">
        <v>0</v>
      </c>
      <c r="U1073">
        <v>2.20471663619744</v>
      </c>
      <c r="V1073">
        <v>0</v>
      </c>
      <c r="W1073">
        <v>1.27539809638918</v>
      </c>
      <c r="X1073">
        <v>2.9539371318597998</v>
      </c>
    </row>
    <row r="1074" spans="1:24">
      <c r="A1074">
        <v>2141</v>
      </c>
      <c r="B1074" t="s">
        <v>2903</v>
      </c>
      <c r="C1074">
        <v>2</v>
      </c>
      <c r="D1074" t="s">
        <v>2904</v>
      </c>
      <c r="E1074">
        <v>7</v>
      </c>
      <c r="F1074">
        <v>2</v>
      </c>
      <c r="G1074">
        <v>2</v>
      </c>
      <c r="H1074" t="s">
        <v>2905</v>
      </c>
      <c r="I1074">
        <v>35.200000000000003</v>
      </c>
      <c r="J1074">
        <v>22.395</v>
      </c>
      <c r="K1074" t="str">
        <f>"RTN4"</f>
        <v>RTN4</v>
      </c>
      <c r="L1074" t="str">
        <f>"RTN4"</f>
        <v>RTN4</v>
      </c>
      <c r="M1074">
        <v>0</v>
      </c>
      <c r="N1074">
        <v>1.78900344370861</v>
      </c>
      <c r="O1074">
        <v>2.7358301825645501</v>
      </c>
      <c r="P1074">
        <v>0</v>
      </c>
      <c r="Q1074">
        <v>0</v>
      </c>
      <c r="R1074">
        <v>0.90008103209297396</v>
      </c>
      <c r="S1074">
        <v>3.3994067114094002</v>
      </c>
      <c r="T1074">
        <v>0</v>
      </c>
      <c r="U1074">
        <v>3.3070749542961599</v>
      </c>
      <c r="V1074">
        <v>0</v>
      </c>
      <c r="W1074">
        <v>1.27539809638918</v>
      </c>
      <c r="X1074">
        <v>1.96929142123987</v>
      </c>
    </row>
    <row r="1075" spans="1:24">
      <c r="A1075">
        <v>2349</v>
      </c>
      <c r="B1075" t="s">
        <v>2906</v>
      </c>
      <c r="C1075">
        <v>2</v>
      </c>
      <c r="D1075" t="s">
        <v>2907</v>
      </c>
      <c r="E1075">
        <v>4</v>
      </c>
      <c r="F1075">
        <v>4</v>
      </c>
      <c r="G1075">
        <v>4</v>
      </c>
      <c r="H1075" t="s">
        <v>2908</v>
      </c>
      <c r="I1075">
        <v>14.9</v>
      </c>
      <c r="J1075">
        <v>41.026000000000003</v>
      </c>
      <c r="K1075" t="str">
        <f>"TSC22D4"</f>
        <v>TSC22D4</v>
      </c>
      <c r="L1075" t="str">
        <f>"TSC22D4"</f>
        <v>TSC22D4</v>
      </c>
      <c r="M1075">
        <v>0</v>
      </c>
      <c r="N1075">
        <v>1.78900344370861</v>
      </c>
      <c r="O1075">
        <v>0.91194339418818204</v>
      </c>
      <c r="P1075">
        <v>0</v>
      </c>
      <c r="Q1075">
        <v>1.25576199330606</v>
      </c>
      <c r="R1075">
        <v>0.90008103209297396</v>
      </c>
      <c r="S1075">
        <v>0</v>
      </c>
      <c r="T1075">
        <v>0</v>
      </c>
      <c r="U1075">
        <v>1.10235831809872</v>
      </c>
      <c r="V1075">
        <v>1.05063596764157</v>
      </c>
      <c r="W1075">
        <v>2.5507961927783702</v>
      </c>
      <c r="X1075">
        <v>0.984645710619934</v>
      </c>
    </row>
    <row r="1076" spans="1:24">
      <c r="A1076">
        <v>2390</v>
      </c>
      <c r="B1076" t="s">
        <v>2909</v>
      </c>
      <c r="C1076">
        <v>2</v>
      </c>
      <c r="D1076" t="s">
        <v>2910</v>
      </c>
      <c r="E1076">
        <v>6</v>
      </c>
      <c r="F1076">
        <v>6</v>
      </c>
      <c r="G1076">
        <v>6</v>
      </c>
      <c r="H1076" t="s">
        <v>2911</v>
      </c>
      <c r="I1076">
        <v>13.1</v>
      </c>
      <c r="J1076">
        <v>54.283000000000001</v>
      </c>
      <c r="K1076" t="str">
        <f>"WASF2"</f>
        <v>WASF2</v>
      </c>
      <c r="L1076" t="str">
        <f>"WASF2"</f>
        <v>WASF2</v>
      </c>
      <c r="M1076">
        <v>1.2103892752168599</v>
      </c>
      <c r="N1076">
        <v>0.89450172185430499</v>
      </c>
      <c r="O1076">
        <v>1.8238867883763601</v>
      </c>
      <c r="P1076">
        <v>1.0652189274447901</v>
      </c>
      <c r="Q1076">
        <v>0</v>
      </c>
      <c r="R1076">
        <v>0.90008103209297396</v>
      </c>
      <c r="S1076">
        <v>1.1331355704698001</v>
      </c>
      <c r="T1076">
        <v>1.18448996772836</v>
      </c>
      <c r="U1076">
        <v>1.10235831809872</v>
      </c>
      <c r="V1076">
        <v>1.05063596764157</v>
      </c>
      <c r="W1076">
        <v>1.27539809638918</v>
      </c>
      <c r="X1076">
        <v>0</v>
      </c>
    </row>
    <row r="1077" spans="1:24">
      <c r="A1077">
        <v>136</v>
      </c>
      <c r="B1077" t="s">
        <v>2912</v>
      </c>
      <c r="C1077">
        <v>4</v>
      </c>
      <c r="D1077" t="s">
        <v>2913</v>
      </c>
      <c r="E1077">
        <v>5</v>
      </c>
      <c r="F1077">
        <v>5</v>
      </c>
      <c r="G1077">
        <v>5</v>
      </c>
      <c r="H1077" t="s">
        <v>2914</v>
      </c>
      <c r="I1077">
        <v>12.9</v>
      </c>
      <c r="J1077">
        <v>43.884999999999998</v>
      </c>
      <c r="K1077" t="str">
        <f>"TAPBP"</f>
        <v>TAPBP</v>
      </c>
      <c r="L1077" t="str">
        <f>"TAPBP"</f>
        <v>TAPBP</v>
      </c>
      <c r="M1077">
        <v>0</v>
      </c>
      <c r="N1077">
        <v>1.78900344370861</v>
      </c>
      <c r="O1077">
        <v>0.91194339418818204</v>
      </c>
      <c r="P1077">
        <v>1.0652189274447901</v>
      </c>
      <c r="Q1077">
        <v>0</v>
      </c>
      <c r="R1077">
        <v>1.8001620641859499</v>
      </c>
      <c r="S1077">
        <v>1.1331355704698001</v>
      </c>
      <c r="T1077">
        <v>0</v>
      </c>
      <c r="U1077">
        <v>0</v>
      </c>
      <c r="V1077">
        <v>2.1012719352831399</v>
      </c>
      <c r="W1077">
        <v>1.27539809638918</v>
      </c>
      <c r="X1077">
        <v>0.984645710619934</v>
      </c>
    </row>
    <row r="1078" spans="1:24">
      <c r="A1078">
        <v>145</v>
      </c>
      <c r="B1078" t="s">
        <v>2915</v>
      </c>
      <c r="C1078">
        <v>6</v>
      </c>
      <c r="D1078" t="s">
        <v>2916</v>
      </c>
      <c r="E1078">
        <v>8</v>
      </c>
      <c r="F1078">
        <v>8</v>
      </c>
      <c r="G1078">
        <v>8</v>
      </c>
      <c r="H1078" t="s">
        <v>2917</v>
      </c>
      <c r="I1078">
        <v>16</v>
      </c>
      <c r="J1078">
        <v>82.25</v>
      </c>
      <c r="K1078" t="str">
        <f>"MTSS1;MTSS1L"</f>
        <v>MTSS1;MTSS1L</v>
      </c>
      <c r="L1078" t="str">
        <f>"MTSS1;MTSS1L"</f>
        <v>MTSS1;MTSS1L</v>
      </c>
      <c r="M1078">
        <v>1.2103892752168599</v>
      </c>
      <c r="N1078">
        <v>0.89450172185430499</v>
      </c>
      <c r="O1078">
        <v>1.8238867883763601</v>
      </c>
      <c r="P1078">
        <v>2.1304378548895899</v>
      </c>
      <c r="Q1078">
        <v>0</v>
      </c>
      <c r="R1078">
        <v>1.8001620641859499</v>
      </c>
      <c r="S1078">
        <v>0</v>
      </c>
      <c r="T1078">
        <v>1.18448996772836</v>
      </c>
      <c r="U1078">
        <v>1.10235831809872</v>
      </c>
      <c r="V1078">
        <v>2.1012719352831399</v>
      </c>
      <c r="W1078">
        <v>0</v>
      </c>
      <c r="X1078">
        <v>0.984645710619934</v>
      </c>
    </row>
    <row r="1079" spans="1:24">
      <c r="A1079">
        <v>211</v>
      </c>
      <c r="B1079" t="s">
        <v>2918</v>
      </c>
      <c r="C1079">
        <v>2</v>
      </c>
      <c r="D1079" t="s">
        <v>2919</v>
      </c>
      <c r="E1079">
        <v>4</v>
      </c>
      <c r="F1079">
        <v>4</v>
      </c>
      <c r="G1079">
        <v>4</v>
      </c>
      <c r="H1079" t="s">
        <v>2920</v>
      </c>
      <c r="I1079">
        <v>35.200000000000003</v>
      </c>
      <c r="J1079">
        <v>12.855</v>
      </c>
      <c r="K1079" t="str">
        <f>"TBCA"</f>
        <v>TBCA</v>
      </c>
      <c r="L1079" t="str">
        <f>"TBCA"</f>
        <v>TBCA</v>
      </c>
      <c r="M1079">
        <v>1.2103892752168599</v>
      </c>
      <c r="N1079">
        <v>0.89450172185430499</v>
      </c>
      <c r="O1079">
        <v>0.91194339418818204</v>
      </c>
      <c r="P1079">
        <v>1.0652189274447901</v>
      </c>
      <c r="Q1079">
        <v>1.25576199330606</v>
      </c>
      <c r="R1079">
        <v>2.7002430962789199</v>
      </c>
      <c r="S1079">
        <v>0</v>
      </c>
      <c r="T1079">
        <v>2.3689799354567098</v>
      </c>
      <c r="U1079">
        <v>2.20471663619744</v>
      </c>
      <c r="V1079">
        <v>2.1012719352831399</v>
      </c>
      <c r="W1079">
        <v>0</v>
      </c>
      <c r="X1079">
        <v>0.984645710619934</v>
      </c>
    </row>
    <row r="1080" spans="1:24">
      <c r="A1080">
        <v>331</v>
      </c>
      <c r="B1080" t="s">
        <v>2921</v>
      </c>
      <c r="C1080">
        <v>3</v>
      </c>
      <c r="D1080" t="s">
        <v>2922</v>
      </c>
      <c r="E1080">
        <v>7</v>
      </c>
      <c r="F1080">
        <v>7</v>
      </c>
      <c r="G1080">
        <v>7</v>
      </c>
      <c r="H1080" t="s">
        <v>2923</v>
      </c>
      <c r="I1080">
        <v>6.9</v>
      </c>
      <c r="J1080">
        <v>129.25</v>
      </c>
      <c r="K1080" t="str">
        <f>"EGF"</f>
        <v>EGF</v>
      </c>
      <c r="L1080" t="str">
        <f>"EGF"</f>
        <v>EGF</v>
      </c>
      <c r="M1080">
        <v>0</v>
      </c>
      <c r="N1080">
        <v>2.6835051655629099</v>
      </c>
      <c r="O1080">
        <v>1.8238867883763601</v>
      </c>
      <c r="P1080">
        <v>1.0652189274447901</v>
      </c>
      <c r="Q1080">
        <v>1.25576199330606</v>
      </c>
      <c r="R1080">
        <v>0</v>
      </c>
      <c r="S1080">
        <v>1.1331355704698001</v>
      </c>
      <c r="T1080">
        <v>0</v>
      </c>
      <c r="U1080">
        <v>2.20471663619744</v>
      </c>
      <c r="V1080">
        <v>2.1012719352831399</v>
      </c>
      <c r="W1080">
        <v>1.27539809638918</v>
      </c>
      <c r="X1080">
        <v>0.984645710619934</v>
      </c>
    </row>
    <row r="1081" spans="1:24">
      <c r="A1081">
        <v>676</v>
      </c>
      <c r="B1081" t="s">
        <v>2924</v>
      </c>
      <c r="C1081">
        <v>2</v>
      </c>
      <c r="D1081" t="s">
        <v>2925</v>
      </c>
      <c r="E1081">
        <v>8</v>
      </c>
      <c r="F1081">
        <v>8</v>
      </c>
      <c r="G1081">
        <v>8</v>
      </c>
      <c r="H1081" t="s">
        <v>2926</v>
      </c>
      <c r="I1081">
        <v>15.8</v>
      </c>
      <c r="J1081">
        <v>76.481999999999999</v>
      </c>
      <c r="K1081" t="str">
        <f>"GYS1"</f>
        <v>GYS1</v>
      </c>
      <c r="L1081" t="str">
        <f>"GYS1"</f>
        <v>GYS1</v>
      </c>
      <c r="M1081">
        <v>0</v>
      </c>
      <c r="N1081">
        <v>0.89450172185430499</v>
      </c>
      <c r="O1081">
        <v>0</v>
      </c>
      <c r="P1081">
        <v>1.0652189274447901</v>
      </c>
      <c r="Q1081">
        <v>1.25576199330606</v>
      </c>
      <c r="R1081">
        <v>1.8001620641859499</v>
      </c>
      <c r="S1081">
        <v>0</v>
      </c>
      <c r="T1081">
        <v>0</v>
      </c>
      <c r="U1081">
        <v>0</v>
      </c>
      <c r="V1081">
        <v>0</v>
      </c>
      <c r="W1081">
        <v>1.27539809638918</v>
      </c>
      <c r="X1081">
        <v>1.96929142123987</v>
      </c>
    </row>
    <row r="1082" spans="1:24">
      <c r="A1082">
        <v>736</v>
      </c>
      <c r="B1082" t="s">
        <v>2927</v>
      </c>
      <c r="C1082">
        <v>1</v>
      </c>
      <c r="D1082" t="s">
        <v>2928</v>
      </c>
      <c r="E1082">
        <v>6</v>
      </c>
      <c r="F1082">
        <v>6</v>
      </c>
      <c r="G1082">
        <v>6</v>
      </c>
      <c r="H1082" t="s">
        <v>2927</v>
      </c>
      <c r="I1082">
        <v>12.4</v>
      </c>
      <c r="J1082">
        <v>88.052999999999997</v>
      </c>
      <c r="K1082" t="str">
        <f>"ITGB5"</f>
        <v>ITGB5</v>
      </c>
      <c r="L1082" t="str">
        <f>"ITGB5"</f>
        <v>ITGB5</v>
      </c>
      <c r="M1082">
        <v>1.2103892752168599</v>
      </c>
      <c r="N1082">
        <v>0.89450172185430499</v>
      </c>
      <c r="O1082">
        <v>0</v>
      </c>
      <c r="P1082">
        <v>1.0652189274447901</v>
      </c>
      <c r="Q1082">
        <v>1.25576199330606</v>
      </c>
      <c r="R1082">
        <v>1.8001620641859499</v>
      </c>
      <c r="S1082">
        <v>0</v>
      </c>
      <c r="T1082">
        <v>2.3689799354567098</v>
      </c>
      <c r="U1082">
        <v>2.20471663619744</v>
      </c>
      <c r="V1082">
        <v>2.1012719352831399</v>
      </c>
      <c r="W1082">
        <v>1.27539809638918</v>
      </c>
      <c r="X1082">
        <v>1.96929142123987</v>
      </c>
    </row>
    <row r="1083" spans="1:24">
      <c r="A1083">
        <v>818</v>
      </c>
      <c r="B1083" t="s">
        <v>2929</v>
      </c>
      <c r="C1083">
        <v>4</v>
      </c>
      <c r="D1083" t="s">
        <v>2930</v>
      </c>
      <c r="E1083">
        <v>5</v>
      </c>
      <c r="F1083">
        <v>5</v>
      </c>
      <c r="G1083">
        <v>5</v>
      </c>
      <c r="H1083" t="s">
        <v>2931</v>
      </c>
      <c r="I1083">
        <v>39.200000000000003</v>
      </c>
      <c r="J1083">
        <v>18.042000000000002</v>
      </c>
      <c r="K1083" t="str">
        <f>"ACP1"</f>
        <v>ACP1</v>
      </c>
      <c r="L1083" t="str">
        <f>"ACP1"</f>
        <v>ACP1</v>
      </c>
      <c r="M1083">
        <v>1.2103892752168599</v>
      </c>
      <c r="N1083">
        <v>0.89450172185430499</v>
      </c>
      <c r="O1083">
        <v>0.91194339418818204</v>
      </c>
      <c r="P1083">
        <v>0</v>
      </c>
      <c r="Q1083">
        <v>0</v>
      </c>
      <c r="R1083">
        <v>1.8001620641859499</v>
      </c>
      <c r="S1083">
        <v>3.3994067114094002</v>
      </c>
      <c r="T1083">
        <v>0</v>
      </c>
      <c r="U1083">
        <v>2.20471663619744</v>
      </c>
      <c r="V1083">
        <v>0</v>
      </c>
      <c r="W1083">
        <v>1.27539809638918</v>
      </c>
      <c r="X1083">
        <v>3.9385828424797298</v>
      </c>
    </row>
    <row r="1084" spans="1:24">
      <c r="A1084">
        <v>842</v>
      </c>
      <c r="B1084" t="s">
        <v>2932</v>
      </c>
      <c r="C1084">
        <v>3</v>
      </c>
      <c r="D1084" t="s">
        <v>2933</v>
      </c>
      <c r="E1084">
        <v>9</v>
      </c>
      <c r="F1084">
        <v>9</v>
      </c>
      <c r="G1084">
        <v>9</v>
      </c>
      <c r="H1084" t="s">
        <v>2934</v>
      </c>
      <c r="I1084">
        <v>15.8</v>
      </c>
      <c r="J1084">
        <v>80.319000000000003</v>
      </c>
      <c r="K1084" t="str">
        <f>"MST1;MST1L"</f>
        <v>MST1;MST1L</v>
      </c>
      <c r="L1084" t="str">
        <f>"MST1;MST1L"</f>
        <v>MST1;MST1L</v>
      </c>
      <c r="M1084">
        <v>1.2103892752168599</v>
      </c>
      <c r="N1084">
        <v>0.89450172185430499</v>
      </c>
      <c r="O1084">
        <v>0</v>
      </c>
      <c r="P1084">
        <v>0</v>
      </c>
      <c r="Q1084">
        <v>2.51152398661212</v>
      </c>
      <c r="R1084">
        <v>0.90008103209297396</v>
      </c>
      <c r="S1084">
        <v>1.1331355704698001</v>
      </c>
      <c r="T1084">
        <v>1.18448996772836</v>
      </c>
      <c r="U1084">
        <v>0</v>
      </c>
      <c r="V1084">
        <v>1.05063596764157</v>
      </c>
      <c r="W1084">
        <v>3.82619428916755</v>
      </c>
      <c r="X1084">
        <v>0</v>
      </c>
    </row>
    <row r="1085" spans="1:24">
      <c r="A1085">
        <v>1171</v>
      </c>
      <c r="B1085" t="s">
        <v>2935</v>
      </c>
      <c r="C1085">
        <v>6</v>
      </c>
      <c r="D1085" t="s">
        <v>2936</v>
      </c>
      <c r="E1085">
        <v>5</v>
      </c>
      <c r="F1085">
        <v>5</v>
      </c>
      <c r="G1085">
        <v>5</v>
      </c>
      <c r="H1085" t="s">
        <v>2937</v>
      </c>
      <c r="I1085">
        <v>14</v>
      </c>
      <c r="J1085">
        <v>36.622</v>
      </c>
      <c r="K1085" t="str">
        <f>"IST1"</f>
        <v>IST1</v>
      </c>
      <c r="L1085" t="str">
        <f>"IST1"</f>
        <v>IST1</v>
      </c>
      <c r="M1085">
        <v>0</v>
      </c>
      <c r="N1085">
        <v>2.6835051655629099</v>
      </c>
      <c r="O1085">
        <v>2.7358301825645501</v>
      </c>
      <c r="P1085">
        <v>2.1304378548895899</v>
      </c>
      <c r="Q1085">
        <v>0</v>
      </c>
      <c r="R1085">
        <v>0.90008103209297396</v>
      </c>
      <c r="S1085">
        <v>0</v>
      </c>
      <c r="T1085">
        <v>0</v>
      </c>
      <c r="U1085">
        <v>2.20471663619744</v>
      </c>
      <c r="V1085">
        <v>1.05063596764157</v>
      </c>
      <c r="W1085">
        <v>2.5507961927783702</v>
      </c>
      <c r="X1085">
        <v>0.984645710619934</v>
      </c>
    </row>
    <row r="1086" spans="1:24">
      <c r="A1086">
        <v>1248</v>
      </c>
      <c r="B1086" t="s">
        <v>2938</v>
      </c>
      <c r="C1086">
        <v>1</v>
      </c>
      <c r="D1086" t="s">
        <v>2939</v>
      </c>
      <c r="E1086">
        <v>7</v>
      </c>
      <c r="F1086">
        <v>7</v>
      </c>
      <c r="G1086">
        <v>7</v>
      </c>
      <c r="H1086" t="s">
        <v>2938</v>
      </c>
      <c r="I1086">
        <v>56.8</v>
      </c>
      <c r="J1086">
        <v>16.536999999999999</v>
      </c>
      <c r="K1086" t="str">
        <f>"LYZ"</f>
        <v>LYZ</v>
      </c>
      <c r="L1086" t="str">
        <f>"LYZ"</f>
        <v>LYZ</v>
      </c>
      <c r="M1086">
        <v>0</v>
      </c>
      <c r="N1086">
        <v>0.89450172185430499</v>
      </c>
      <c r="O1086">
        <v>0</v>
      </c>
      <c r="P1086">
        <v>0</v>
      </c>
      <c r="Q1086">
        <v>1.25576199330606</v>
      </c>
      <c r="R1086">
        <v>2.7002430962789199</v>
      </c>
      <c r="S1086">
        <v>2.2662711409396001</v>
      </c>
      <c r="T1086">
        <v>0</v>
      </c>
      <c r="U1086">
        <v>2.20471663619744</v>
      </c>
      <c r="V1086">
        <v>0</v>
      </c>
      <c r="W1086">
        <v>1.27539809638918</v>
      </c>
      <c r="X1086">
        <v>0.984645710619934</v>
      </c>
    </row>
    <row r="1087" spans="1:24">
      <c r="A1087">
        <v>1366</v>
      </c>
      <c r="B1087" t="s">
        <v>2940</v>
      </c>
      <c r="C1087">
        <v>3</v>
      </c>
      <c r="D1087" t="s">
        <v>2941</v>
      </c>
      <c r="E1087">
        <v>7</v>
      </c>
      <c r="F1087">
        <v>6</v>
      </c>
      <c r="G1087">
        <v>6</v>
      </c>
      <c r="H1087" t="s">
        <v>2942</v>
      </c>
      <c r="I1087">
        <v>10.5</v>
      </c>
      <c r="J1087">
        <v>67.56</v>
      </c>
      <c r="K1087" t="str">
        <f>"PRKCQ"</f>
        <v>PRKCQ</v>
      </c>
      <c r="L1087" t="str">
        <f>"PRKCQ"</f>
        <v>PRKCQ</v>
      </c>
      <c r="M1087">
        <v>1.2103892752168599</v>
      </c>
      <c r="N1087">
        <v>0.89450172185430499</v>
      </c>
      <c r="O1087">
        <v>1.8238867883763601</v>
      </c>
      <c r="P1087">
        <v>0</v>
      </c>
      <c r="Q1087">
        <v>0</v>
      </c>
      <c r="R1087">
        <v>0.90008103209297396</v>
      </c>
      <c r="S1087">
        <v>1.1331355704698001</v>
      </c>
      <c r="T1087">
        <v>1.18448996772836</v>
      </c>
      <c r="U1087">
        <v>0</v>
      </c>
      <c r="V1087">
        <v>1.05063596764157</v>
      </c>
      <c r="W1087">
        <v>1.27539809638918</v>
      </c>
      <c r="X1087">
        <v>1.96929142123987</v>
      </c>
    </row>
    <row r="1088" spans="1:24">
      <c r="A1088">
        <v>1416</v>
      </c>
      <c r="B1088" t="s">
        <v>2943</v>
      </c>
      <c r="C1088">
        <v>5</v>
      </c>
      <c r="D1088" t="s">
        <v>2944</v>
      </c>
      <c r="E1088">
        <v>7</v>
      </c>
      <c r="F1088">
        <v>7</v>
      </c>
      <c r="G1088">
        <v>7</v>
      </c>
      <c r="H1088" t="s">
        <v>2945</v>
      </c>
      <c r="I1088">
        <v>50.9</v>
      </c>
      <c r="J1088">
        <v>19.126999999999999</v>
      </c>
      <c r="K1088" t="str">
        <f>"PTP4A2;PTP4A1"</f>
        <v>PTP4A2;PTP4A1</v>
      </c>
      <c r="L1088" t="str">
        <f>"PTP4A2;PTP4A1"</f>
        <v>PTP4A2;PTP4A1</v>
      </c>
      <c r="M1088">
        <v>0</v>
      </c>
      <c r="N1088">
        <v>0.89450172185430499</v>
      </c>
      <c r="O1088">
        <v>1.8238867883763601</v>
      </c>
      <c r="P1088">
        <v>1.0652189274447901</v>
      </c>
      <c r="Q1088">
        <v>0</v>
      </c>
      <c r="R1088">
        <v>0.90008103209297396</v>
      </c>
      <c r="S1088">
        <v>1.1331355704698001</v>
      </c>
      <c r="T1088">
        <v>0</v>
      </c>
      <c r="U1088">
        <v>1.10235831809872</v>
      </c>
      <c r="V1088">
        <v>2.1012719352831399</v>
      </c>
      <c r="W1088">
        <v>1.27539809638918</v>
      </c>
      <c r="X1088">
        <v>0.984645710619934</v>
      </c>
    </row>
    <row r="1089" spans="1:24">
      <c r="A1089">
        <v>1428</v>
      </c>
      <c r="B1089" t="s">
        <v>2946</v>
      </c>
      <c r="C1089">
        <v>3</v>
      </c>
      <c r="D1089" t="s">
        <v>2947</v>
      </c>
      <c r="E1089">
        <v>10</v>
      </c>
      <c r="F1089">
        <v>10</v>
      </c>
      <c r="G1089">
        <v>10</v>
      </c>
      <c r="H1089" t="s">
        <v>2948</v>
      </c>
      <c r="I1089">
        <v>24.7</v>
      </c>
      <c r="J1089">
        <v>64.009</v>
      </c>
      <c r="K1089" t="str">
        <f>"PRKAA1;PRKAA2"</f>
        <v>PRKAA1;PRKAA2</v>
      </c>
      <c r="L1089" t="str">
        <f>"PRKAA1;PRKAA2"</f>
        <v>PRKAA1;PRKAA2</v>
      </c>
      <c r="M1089">
        <v>0</v>
      </c>
      <c r="N1089">
        <v>2.6835051655629099</v>
      </c>
      <c r="O1089">
        <v>2.7358301825645501</v>
      </c>
      <c r="P1089">
        <v>2.1304378548895899</v>
      </c>
      <c r="Q1089">
        <v>1.25576199330606</v>
      </c>
      <c r="R1089">
        <v>0.90008103209297396</v>
      </c>
      <c r="S1089">
        <v>2.2662711409396001</v>
      </c>
      <c r="T1089">
        <v>1.18448996772836</v>
      </c>
      <c r="U1089">
        <v>1.10235831809872</v>
      </c>
      <c r="V1089">
        <v>0</v>
      </c>
      <c r="W1089">
        <v>1.27539809638918</v>
      </c>
      <c r="X1089">
        <v>0</v>
      </c>
    </row>
    <row r="1090" spans="1:24">
      <c r="A1090">
        <v>1564</v>
      </c>
      <c r="B1090" t="s">
        <v>2949</v>
      </c>
      <c r="C1090">
        <v>1</v>
      </c>
      <c r="D1090" t="s">
        <v>2950</v>
      </c>
      <c r="E1090">
        <v>10</v>
      </c>
      <c r="F1090">
        <v>10</v>
      </c>
      <c r="G1090">
        <v>10</v>
      </c>
      <c r="H1090" t="s">
        <v>2949</v>
      </c>
      <c r="I1090">
        <v>16.8</v>
      </c>
      <c r="J1090">
        <v>74.680000000000007</v>
      </c>
      <c r="K1090" t="str">
        <f>"TGFBI"</f>
        <v>TGFBI</v>
      </c>
      <c r="L1090" t="str">
        <f>"TGFBI"</f>
        <v>TGFBI</v>
      </c>
      <c r="M1090">
        <v>2.4207785504337198</v>
      </c>
      <c r="N1090">
        <v>2.6835051655629099</v>
      </c>
      <c r="O1090">
        <v>0</v>
      </c>
      <c r="P1090">
        <v>0</v>
      </c>
      <c r="Q1090">
        <v>0</v>
      </c>
      <c r="R1090">
        <v>0.90008103209297396</v>
      </c>
      <c r="S1090">
        <v>1.1331355704698001</v>
      </c>
      <c r="T1090">
        <v>5.9224498386417803</v>
      </c>
      <c r="U1090">
        <v>2.20471663619744</v>
      </c>
      <c r="V1090">
        <v>1.05063596764157</v>
      </c>
      <c r="W1090">
        <v>3.82619428916755</v>
      </c>
      <c r="X1090">
        <v>0</v>
      </c>
    </row>
    <row r="1091" spans="1:24">
      <c r="A1091">
        <v>2003</v>
      </c>
      <c r="B1091" t="s">
        <v>2951</v>
      </c>
      <c r="C1091">
        <v>1</v>
      </c>
      <c r="D1091" t="s">
        <v>2952</v>
      </c>
      <c r="E1091">
        <v>8</v>
      </c>
      <c r="F1091">
        <v>8</v>
      </c>
      <c r="G1091">
        <v>8</v>
      </c>
      <c r="H1091" t="s">
        <v>2951</v>
      </c>
      <c r="I1091">
        <v>15.6</v>
      </c>
      <c r="J1091">
        <v>59.058</v>
      </c>
      <c r="K1091" t="str">
        <f>"CPNE1"</f>
        <v>CPNE1</v>
      </c>
      <c r="L1091" t="str">
        <f>"CPNE1"</f>
        <v>CPNE1</v>
      </c>
      <c r="M1091">
        <v>0</v>
      </c>
      <c r="N1091">
        <v>2.6835051655629099</v>
      </c>
      <c r="O1091">
        <v>0.91194339418818204</v>
      </c>
      <c r="P1091">
        <v>0</v>
      </c>
      <c r="Q1091">
        <v>0</v>
      </c>
      <c r="R1091">
        <v>2.7002430962789199</v>
      </c>
      <c r="S1091">
        <v>0</v>
      </c>
      <c r="T1091">
        <v>1.18448996772836</v>
      </c>
      <c r="U1091">
        <v>1.10235831809872</v>
      </c>
      <c r="V1091">
        <v>1.05063596764157</v>
      </c>
      <c r="W1091">
        <v>0</v>
      </c>
      <c r="X1091">
        <v>0.984645710619934</v>
      </c>
    </row>
    <row r="1092" spans="1:24">
      <c r="A1092">
        <v>2355</v>
      </c>
      <c r="B1092" t="s">
        <v>2953</v>
      </c>
      <c r="C1092">
        <v>1</v>
      </c>
      <c r="D1092" t="s">
        <v>2954</v>
      </c>
      <c r="E1092">
        <v>30</v>
      </c>
      <c r="F1092">
        <v>2</v>
      </c>
      <c r="G1092">
        <v>2</v>
      </c>
      <c r="H1092" t="s">
        <v>2953</v>
      </c>
      <c r="I1092">
        <v>7.8</v>
      </c>
      <c r="J1092">
        <v>271.61</v>
      </c>
      <c r="K1092" t="str">
        <f>"TLN2"</f>
        <v>TLN2</v>
      </c>
      <c r="L1092" t="str">
        <f>"TLN2"</f>
        <v>TLN2</v>
      </c>
      <c r="M1092">
        <v>0</v>
      </c>
      <c r="N1092">
        <v>0.89450172185430499</v>
      </c>
      <c r="O1092">
        <v>0.91194339418818204</v>
      </c>
      <c r="P1092">
        <v>2.1304378548895899</v>
      </c>
      <c r="Q1092">
        <v>1.25576199330606</v>
      </c>
      <c r="R1092">
        <v>0.90008103209297396</v>
      </c>
      <c r="S1092">
        <v>1.1331355704698001</v>
      </c>
      <c r="T1092">
        <v>1.18448996772836</v>
      </c>
      <c r="U1092">
        <v>1.10235831809872</v>
      </c>
      <c r="V1092">
        <v>2.1012719352831399</v>
      </c>
      <c r="W1092">
        <v>1.27539809638918</v>
      </c>
      <c r="X1092">
        <v>2.9539371318597998</v>
      </c>
    </row>
    <row r="1093" spans="1:24">
      <c r="A1093">
        <v>183</v>
      </c>
      <c r="B1093" t="s">
        <v>2955</v>
      </c>
      <c r="C1093">
        <v>2</v>
      </c>
      <c r="D1093" t="s">
        <v>2956</v>
      </c>
      <c r="E1093">
        <v>8</v>
      </c>
      <c r="F1093">
        <v>8</v>
      </c>
      <c r="G1093">
        <v>7</v>
      </c>
      <c r="H1093" t="s">
        <v>2957</v>
      </c>
      <c r="I1093">
        <v>16.3</v>
      </c>
      <c r="J1093">
        <v>74.435000000000002</v>
      </c>
      <c r="K1093" t="str">
        <f>"ACSL4"</f>
        <v>ACSL4</v>
      </c>
      <c r="L1093" t="str">
        <f>"ACSL4"</f>
        <v>ACSL4</v>
      </c>
      <c r="M1093">
        <v>2.4207785504337198</v>
      </c>
      <c r="N1093">
        <v>0.89450172185430499</v>
      </c>
      <c r="O1093">
        <v>0.91194339418818204</v>
      </c>
      <c r="P1093">
        <v>0</v>
      </c>
      <c r="Q1093">
        <v>0</v>
      </c>
      <c r="R1093">
        <v>0.90008103209297396</v>
      </c>
      <c r="S1093">
        <v>0</v>
      </c>
      <c r="T1093">
        <v>1.18448996772836</v>
      </c>
      <c r="U1093">
        <v>0</v>
      </c>
      <c r="V1093">
        <v>0</v>
      </c>
      <c r="W1093">
        <v>0</v>
      </c>
      <c r="X1093">
        <v>0.984645710619934</v>
      </c>
    </row>
    <row r="1094" spans="1:24">
      <c r="A1094">
        <v>274</v>
      </c>
      <c r="B1094" t="s">
        <v>2958</v>
      </c>
      <c r="C1094">
        <v>2</v>
      </c>
      <c r="D1094" t="s">
        <v>2959</v>
      </c>
      <c r="E1094">
        <v>5</v>
      </c>
      <c r="F1094">
        <v>5</v>
      </c>
      <c r="G1094">
        <v>5</v>
      </c>
      <c r="H1094" t="s">
        <v>2960</v>
      </c>
      <c r="I1094">
        <v>13.4</v>
      </c>
      <c r="J1094">
        <v>48.076000000000001</v>
      </c>
      <c r="K1094" t="str">
        <f>"STAMBP"</f>
        <v>STAMBP</v>
      </c>
      <c r="L1094" t="str">
        <f>"STAMBP"</f>
        <v>STAMBP</v>
      </c>
      <c r="M1094">
        <v>0</v>
      </c>
      <c r="N1094">
        <v>0.89450172185430499</v>
      </c>
      <c r="O1094">
        <v>0</v>
      </c>
      <c r="P1094">
        <v>1.0652189274447901</v>
      </c>
      <c r="Q1094">
        <v>0</v>
      </c>
      <c r="R1094">
        <v>0.90008103209297396</v>
      </c>
      <c r="S1094">
        <v>0</v>
      </c>
      <c r="T1094">
        <v>0</v>
      </c>
      <c r="U1094">
        <v>2.20471663619744</v>
      </c>
      <c r="V1094">
        <v>2.1012719352831399</v>
      </c>
      <c r="W1094">
        <v>0</v>
      </c>
      <c r="X1094">
        <v>2.9539371318597998</v>
      </c>
    </row>
    <row r="1095" spans="1:24">
      <c r="A1095">
        <v>277</v>
      </c>
      <c r="B1095" t="s">
        <v>2961</v>
      </c>
      <c r="C1095">
        <v>1</v>
      </c>
      <c r="D1095" t="s">
        <v>2962</v>
      </c>
      <c r="E1095">
        <v>6</v>
      </c>
      <c r="F1095">
        <v>6</v>
      </c>
      <c r="G1095">
        <v>6</v>
      </c>
      <c r="H1095" t="s">
        <v>2961</v>
      </c>
      <c r="I1095">
        <v>30.6</v>
      </c>
      <c r="J1095">
        <v>28.97</v>
      </c>
      <c r="K1095" t="str">
        <f>"SNAP29"</f>
        <v>SNAP29</v>
      </c>
      <c r="L1095" t="str">
        <f>"SNAP29"</f>
        <v>SNAP29</v>
      </c>
      <c r="M1095">
        <v>0</v>
      </c>
      <c r="N1095">
        <v>0.89450172185430499</v>
      </c>
      <c r="O1095">
        <v>1.8238867883763601</v>
      </c>
      <c r="P1095">
        <v>1.0652189274447901</v>
      </c>
      <c r="Q1095">
        <v>0</v>
      </c>
      <c r="R1095">
        <v>1.8001620641859499</v>
      </c>
      <c r="S1095">
        <v>1.1331355704698001</v>
      </c>
      <c r="T1095">
        <v>0</v>
      </c>
      <c r="U1095">
        <v>1.10235831809872</v>
      </c>
      <c r="V1095">
        <v>1.05063596764157</v>
      </c>
      <c r="W1095">
        <v>1.27539809638918</v>
      </c>
      <c r="X1095">
        <v>0.984645710619934</v>
      </c>
    </row>
    <row r="1096" spans="1:24">
      <c r="A1096">
        <v>438</v>
      </c>
      <c r="B1096" t="s">
        <v>2963</v>
      </c>
      <c r="C1096">
        <v>2</v>
      </c>
      <c r="D1096" t="s">
        <v>2964</v>
      </c>
      <c r="E1096">
        <v>5</v>
      </c>
      <c r="F1096">
        <v>5</v>
      </c>
      <c r="G1096">
        <v>5</v>
      </c>
      <c r="H1096" t="s">
        <v>2965</v>
      </c>
      <c r="I1096">
        <v>14.1</v>
      </c>
      <c r="J1096">
        <v>52.070999999999998</v>
      </c>
      <c r="K1096" t="str">
        <f>"PROC"</f>
        <v>PROC</v>
      </c>
      <c r="L1096" t="str">
        <f>"PROC"</f>
        <v>PROC</v>
      </c>
      <c r="M1096">
        <v>3.6311678256505799</v>
      </c>
      <c r="N1096">
        <v>1.78900344370861</v>
      </c>
      <c r="O1096">
        <v>0.91194339418818204</v>
      </c>
      <c r="P1096">
        <v>1.0652189274447901</v>
      </c>
      <c r="Q1096">
        <v>0</v>
      </c>
      <c r="R1096">
        <v>0</v>
      </c>
      <c r="S1096">
        <v>4.5325422818791896</v>
      </c>
      <c r="T1096">
        <v>2.3689799354567098</v>
      </c>
      <c r="U1096">
        <v>0</v>
      </c>
      <c r="V1096">
        <v>0</v>
      </c>
      <c r="W1096">
        <v>2.5507961927783702</v>
      </c>
      <c r="X1096">
        <v>1.96929142123987</v>
      </c>
    </row>
    <row r="1097" spans="1:24">
      <c r="A1097">
        <v>483</v>
      </c>
      <c r="B1097" t="s">
        <v>2966</v>
      </c>
      <c r="C1097">
        <v>3</v>
      </c>
      <c r="D1097" t="s">
        <v>2967</v>
      </c>
      <c r="E1097">
        <v>15</v>
      </c>
      <c r="F1097">
        <v>15</v>
      </c>
      <c r="G1097">
        <v>14</v>
      </c>
      <c r="H1097" t="s">
        <v>2968</v>
      </c>
      <c r="I1097">
        <v>24.5</v>
      </c>
      <c r="J1097">
        <v>73.852999999999994</v>
      </c>
      <c r="K1097" t="str">
        <f>"MPO"</f>
        <v>MPO</v>
      </c>
      <c r="L1097" t="str">
        <f>"MPO"</f>
        <v>MPO</v>
      </c>
      <c r="M1097">
        <v>0</v>
      </c>
      <c r="N1097">
        <v>0</v>
      </c>
      <c r="O1097">
        <v>0</v>
      </c>
      <c r="P1097">
        <v>0</v>
      </c>
      <c r="Q1097">
        <v>1.25576199330606</v>
      </c>
      <c r="R1097">
        <v>2.7002430962789199</v>
      </c>
      <c r="S1097">
        <v>2.2662711409396001</v>
      </c>
      <c r="T1097">
        <v>0</v>
      </c>
      <c r="U1097">
        <v>1.10235831809872</v>
      </c>
      <c r="V1097">
        <v>0</v>
      </c>
      <c r="W1097">
        <v>1.27539809638918</v>
      </c>
      <c r="X1097">
        <v>0</v>
      </c>
    </row>
    <row r="1098" spans="1:24">
      <c r="A1098">
        <v>662</v>
      </c>
      <c r="B1098" t="s">
        <v>2969</v>
      </c>
      <c r="C1098">
        <v>1</v>
      </c>
      <c r="D1098" t="s">
        <v>2970</v>
      </c>
      <c r="E1098">
        <v>3</v>
      </c>
      <c r="F1098">
        <v>3</v>
      </c>
      <c r="G1098">
        <v>3</v>
      </c>
      <c r="H1098" t="s">
        <v>2969</v>
      </c>
      <c r="I1098">
        <v>25.3</v>
      </c>
      <c r="J1098">
        <v>9.9895999999999994</v>
      </c>
      <c r="K1098" t="str">
        <f>"CCL5"</f>
        <v>CCL5</v>
      </c>
      <c r="L1098" t="str">
        <f>"CCL5"</f>
        <v>CCL5</v>
      </c>
      <c r="M1098">
        <v>1.2103892752168599</v>
      </c>
      <c r="N1098">
        <v>0.89450172185430499</v>
      </c>
      <c r="O1098">
        <v>0.91194339418818204</v>
      </c>
      <c r="P1098">
        <v>0</v>
      </c>
      <c r="Q1098">
        <v>2.51152398661212</v>
      </c>
      <c r="R1098">
        <v>1.8001620641859499</v>
      </c>
      <c r="S1098">
        <v>1.1331355704698001</v>
      </c>
      <c r="T1098">
        <v>1.18448996772836</v>
      </c>
      <c r="U1098">
        <v>2.20471663619744</v>
      </c>
      <c r="V1098">
        <v>2.1012719352831399</v>
      </c>
      <c r="W1098">
        <v>0</v>
      </c>
      <c r="X1098">
        <v>0</v>
      </c>
    </row>
    <row r="1099" spans="1:24">
      <c r="A1099">
        <v>664</v>
      </c>
      <c r="B1099" t="s">
        <v>2971</v>
      </c>
      <c r="C1099">
        <v>1</v>
      </c>
      <c r="D1099" t="s">
        <v>2972</v>
      </c>
      <c r="E1099">
        <v>15</v>
      </c>
      <c r="F1099">
        <v>15</v>
      </c>
      <c r="G1099">
        <v>15</v>
      </c>
      <c r="H1099" t="s">
        <v>2971</v>
      </c>
      <c r="I1099">
        <v>20.2</v>
      </c>
      <c r="J1099">
        <v>95.337000000000003</v>
      </c>
      <c r="K1099" t="str">
        <f>"EEF2"</f>
        <v>EEF2</v>
      </c>
      <c r="L1099" t="str">
        <f>"EEF2"</f>
        <v>EEF2</v>
      </c>
      <c r="M1099">
        <v>0</v>
      </c>
      <c r="N1099">
        <v>0.89450172185430499</v>
      </c>
      <c r="O1099">
        <v>1.8238867883763601</v>
      </c>
      <c r="P1099">
        <v>0</v>
      </c>
      <c r="Q1099">
        <v>0</v>
      </c>
      <c r="R1099">
        <v>3.6003241283718901</v>
      </c>
      <c r="S1099">
        <v>2.2662711409396001</v>
      </c>
      <c r="T1099">
        <v>0</v>
      </c>
      <c r="U1099">
        <v>1.10235831809872</v>
      </c>
      <c r="V1099">
        <v>0</v>
      </c>
      <c r="W1099">
        <v>1.27539809638918</v>
      </c>
      <c r="X1099">
        <v>2.9539371318597998</v>
      </c>
    </row>
    <row r="1100" spans="1:24">
      <c r="A1100">
        <v>1041</v>
      </c>
      <c r="B1100" t="s">
        <v>2973</v>
      </c>
      <c r="C1100">
        <v>2</v>
      </c>
      <c r="D1100" t="s">
        <v>2974</v>
      </c>
      <c r="E1100">
        <v>8</v>
      </c>
      <c r="F1100">
        <v>8</v>
      </c>
      <c r="G1100">
        <v>8</v>
      </c>
      <c r="H1100" t="s">
        <v>2975</v>
      </c>
      <c r="I1100">
        <v>26.1</v>
      </c>
      <c r="J1100">
        <v>43.506999999999998</v>
      </c>
      <c r="K1100" t="str">
        <f>"PSMC4"</f>
        <v>PSMC4</v>
      </c>
      <c r="L1100" t="str">
        <f>"PSMC4"</f>
        <v>PSMC4</v>
      </c>
      <c r="M1100">
        <v>0</v>
      </c>
      <c r="N1100">
        <v>0.89450172185430499</v>
      </c>
      <c r="O1100">
        <v>1.8238867883763601</v>
      </c>
      <c r="P1100">
        <v>1.0652189274447901</v>
      </c>
      <c r="Q1100">
        <v>0</v>
      </c>
      <c r="R1100">
        <v>2.7002430962789199</v>
      </c>
      <c r="S1100">
        <v>1.1331355704698001</v>
      </c>
      <c r="T1100">
        <v>1.18448996772836</v>
      </c>
      <c r="U1100">
        <v>1.10235831809872</v>
      </c>
      <c r="V1100">
        <v>1.05063596764157</v>
      </c>
      <c r="W1100">
        <v>0</v>
      </c>
      <c r="X1100">
        <v>0.984645710619934</v>
      </c>
    </row>
    <row r="1101" spans="1:24">
      <c r="A1101">
        <v>1203</v>
      </c>
      <c r="B1101" t="s">
        <v>2976</v>
      </c>
      <c r="C1101">
        <v>4</v>
      </c>
      <c r="D1101" t="s">
        <v>2977</v>
      </c>
      <c r="E1101">
        <v>2</v>
      </c>
      <c r="F1101">
        <v>2</v>
      </c>
      <c r="G1101">
        <v>2</v>
      </c>
      <c r="H1101" t="s">
        <v>2978</v>
      </c>
      <c r="I1101">
        <v>49</v>
      </c>
      <c r="J1101">
        <v>5.7407000000000004</v>
      </c>
      <c r="K1101" t="str">
        <f>"ATP5J2"</f>
        <v>ATP5J2</v>
      </c>
      <c r="L1101" t="str">
        <f>"ATP5J2"</f>
        <v>ATP5J2</v>
      </c>
      <c r="M1101">
        <v>1.2103892752168599</v>
      </c>
      <c r="N1101">
        <v>0.89450172185430499</v>
      </c>
      <c r="O1101">
        <v>0.91194339418818204</v>
      </c>
      <c r="P1101">
        <v>2.1304378548895899</v>
      </c>
      <c r="Q1101">
        <v>1.25576199330606</v>
      </c>
      <c r="R1101">
        <v>2.7002430962789199</v>
      </c>
      <c r="S1101">
        <v>1.1331355704698001</v>
      </c>
      <c r="T1101">
        <v>2.3689799354567098</v>
      </c>
      <c r="U1101">
        <v>1.10235831809872</v>
      </c>
      <c r="V1101">
        <v>2.1012719352831399</v>
      </c>
      <c r="W1101">
        <v>0</v>
      </c>
      <c r="X1101">
        <v>0.984645710619934</v>
      </c>
    </row>
    <row r="1102" spans="1:24">
      <c r="A1102">
        <v>1296</v>
      </c>
      <c r="B1102" t="s">
        <v>2979</v>
      </c>
      <c r="C1102">
        <v>4</v>
      </c>
      <c r="D1102" t="s">
        <v>2980</v>
      </c>
      <c r="E1102">
        <v>3</v>
      </c>
      <c r="F1102">
        <v>3</v>
      </c>
      <c r="G1102">
        <v>3</v>
      </c>
      <c r="H1102" t="s">
        <v>2981</v>
      </c>
      <c r="I1102">
        <v>17.7</v>
      </c>
      <c r="J1102">
        <v>18.988</v>
      </c>
      <c r="K1102" t="str">
        <f>"SEC11A"</f>
        <v>SEC11A</v>
      </c>
      <c r="L1102" t="str">
        <f>"SEC11A"</f>
        <v>SEC11A</v>
      </c>
      <c r="M1102">
        <v>1.2103892752168599</v>
      </c>
      <c r="N1102">
        <v>0</v>
      </c>
      <c r="O1102">
        <v>2.7358301825645501</v>
      </c>
      <c r="P1102">
        <v>0</v>
      </c>
      <c r="Q1102">
        <v>0</v>
      </c>
      <c r="R1102">
        <v>1.8001620641859499</v>
      </c>
      <c r="S1102">
        <v>2.2662711409396001</v>
      </c>
      <c r="T1102">
        <v>0</v>
      </c>
      <c r="U1102">
        <v>2.20471663619744</v>
      </c>
      <c r="V1102">
        <v>1.05063596764157</v>
      </c>
      <c r="W1102">
        <v>0</v>
      </c>
      <c r="X1102">
        <v>0.984645710619934</v>
      </c>
    </row>
    <row r="1103" spans="1:24">
      <c r="A1103">
        <v>1407</v>
      </c>
      <c r="B1103" t="s">
        <v>2982</v>
      </c>
      <c r="C1103">
        <v>3</v>
      </c>
      <c r="D1103" t="s">
        <v>2983</v>
      </c>
      <c r="E1103">
        <v>2</v>
      </c>
      <c r="F1103">
        <v>2</v>
      </c>
      <c r="G1103">
        <v>2</v>
      </c>
      <c r="H1103" t="s">
        <v>2984</v>
      </c>
      <c r="I1103">
        <v>8.4</v>
      </c>
      <c r="J1103">
        <v>38.863</v>
      </c>
      <c r="K1103" t="str">
        <f>"SCRN1"</f>
        <v>SCRN1</v>
      </c>
      <c r="L1103" t="str">
        <f>"SCRN1"</f>
        <v>SCRN1</v>
      </c>
      <c r="M1103">
        <v>1.2103892752168599</v>
      </c>
      <c r="N1103">
        <v>1.78900344370861</v>
      </c>
      <c r="O1103">
        <v>1.8238867883763601</v>
      </c>
      <c r="P1103">
        <v>2.1304378548895899</v>
      </c>
      <c r="Q1103">
        <v>1.25576199330606</v>
      </c>
      <c r="R1103">
        <v>0.90008103209297396</v>
      </c>
      <c r="S1103">
        <v>1.1331355704698001</v>
      </c>
      <c r="T1103">
        <v>1.18448996772836</v>
      </c>
      <c r="U1103">
        <v>1.10235831809872</v>
      </c>
      <c r="V1103">
        <v>0</v>
      </c>
      <c r="W1103">
        <v>1.27539809638918</v>
      </c>
      <c r="X1103">
        <v>1.96929142123987</v>
      </c>
    </row>
    <row r="1104" spans="1:24">
      <c r="A1104">
        <v>1411</v>
      </c>
      <c r="B1104" t="s">
        <v>2985</v>
      </c>
      <c r="C1104">
        <v>2</v>
      </c>
      <c r="D1104" t="s">
        <v>2986</v>
      </c>
      <c r="E1104">
        <v>6</v>
      </c>
      <c r="F1104">
        <v>6</v>
      </c>
      <c r="G1104">
        <v>6</v>
      </c>
      <c r="H1104" t="s">
        <v>2987</v>
      </c>
      <c r="I1104">
        <v>32.1</v>
      </c>
      <c r="J1104">
        <v>34.351999999999997</v>
      </c>
      <c r="K1104" t="str">
        <f>"AIMP1"</f>
        <v>AIMP1</v>
      </c>
      <c r="L1104" t="str">
        <f>"AIMP1"</f>
        <v>AIMP1</v>
      </c>
      <c r="M1104">
        <v>0</v>
      </c>
      <c r="N1104">
        <v>0.89450172185430499</v>
      </c>
      <c r="O1104">
        <v>0.91194339418818204</v>
      </c>
      <c r="P1104">
        <v>0</v>
      </c>
      <c r="Q1104">
        <v>0</v>
      </c>
      <c r="R1104">
        <v>2.7002430962789199</v>
      </c>
      <c r="S1104">
        <v>1.1331355704698001</v>
      </c>
      <c r="T1104">
        <v>0</v>
      </c>
      <c r="U1104">
        <v>1.10235831809872</v>
      </c>
      <c r="V1104">
        <v>2.1012719352831399</v>
      </c>
      <c r="W1104">
        <v>0</v>
      </c>
      <c r="X1104">
        <v>1.96929142123987</v>
      </c>
    </row>
    <row r="1105" spans="1:24">
      <c r="A1105">
        <v>1468</v>
      </c>
      <c r="B1105" t="s">
        <v>2988</v>
      </c>
      <c r="C1105">
        <v>3</v>
      </c>
      <c r="D1105" t="s">
        <v>2989</v>
      </c>
      <c r="E1105">
        <v>14</v>
      </c>
      <c r="F1105">
        <v>14</v>
      </c>
      <c r="G1105">
        <v>14</v>
      </c>
      <c r="H1105" t="s">
        <v>2990</v>
      </c>
      <c r="I1105">
        <v>7.6</v>
      </c>
      <c r="J1105">
        <v>282.27999999999997</v>
      </c>
      <c r="K1105" t="str">
        <f>"SPTAN1"</f>
        <v>SPTAN1</v>
      </c>
      <c r="L1105" t="str">
        <f>"SPTAN1"</f>
        <v>SPTAN1</v>
      </c>
      <c r="M1105">
        <v>1.2103892752168599</v>
      </c>
      <c r="N1105">
        <v>1.78900344370861</v>
      </c>
      <c r="O1105">
        <v>1.8238867883763601</v>
      </c>
      <c r="P1105">
        <v>1.0652189274447901</v>
      </c>
      <c r="Q1105">
        <v>1.25576199330606</v>
      </c>
      <c r="R1105">
        <v>0.90008103209297396</v>
      </c>
      <c r="S1105">
        <v>1.1331355704698001</v>
      </c>
      <c r="T1105">
        <v>0</v>
      </c>
      <c r="U1105">
        <v>0</v>
      </c>
      <c r="V1105">
        <v>1.05063596764157</v>
      </c>
      <c r="W1105">
        <v>5.1015923855567298</v>
      </c>
      <c r="X1105">
        <v>0.984645710619934</v>
      </c>
    </row>
    <row r="1106" spans="1:24">
      <c r="A1106">
        <v>1622</v>
      </c>
      <c r="B1106" t="s">
        <v>2991</v>
      </c>
      <c r="C1106">
        <v>3</v>
      </c>
      <c r="D1106" t="s">
        <v>2992</v>
      </c>
      <c r="E1106">
        <v>6</v>
      </c>
      <c r="F1106">
        <v>6</v>
      </c>
      <c r="G1106">
        <v>6</v>
      </c>
      <c r="H1106" t="s">
        <v>2993</v>
      </c>
      <c r="I1106">
        <v>21.4</v>
      </c>
      <c r="J1106">
        <v>39.154000000000003</v>
      </c>
      <c r="K1106" t="str">
        <f>"VPS26B;VPS26A"</f>
        <v>VPS26B;VPS26A</v>
      </c>
      <c r="L1106" t="str">
        <f>"VPS26B;VPS26A"</f>
        <v>VPS26B;VPS26A</v>
      </c>
      <c r="M1106">
        <v>0</v>
      </c>
      <c r="N1106">
        <v>0.89450172185430499</v>
      </c>
      <c r="O1106">
        <v>1.8238867883763601</v>
      </c>
      <c r="P1106">
        <v>1.0652189274447901</v>
      </c>
      <c r="Q1106">
        <v>0</v>
      </c>
      <c r="R1106">
        <v>0.90008103209297396</v>
      </c>
      <c r="S1106">
        <v>2.2662711409396001</v>
      </c>
      <c r="T1106">
        <v>1.18448996772836</v>
      </c>
      <c r="U1106">
        <v>1.10235831809872</v>
      </c>
      <c r="V1106">
        <v>1.05063596764157</v>
      </c>
      <c r="W1106">
        <v>0</v>
      </c>
      <c r="X1106">
        <v>1.96929142123987</v>
      </c>
    </row>
    <row r="1107" spans="1:24">
      <c r="A1107">
        <v>1740</v>
      </c>
      <c r="B1107" t="s">
        <v>2994</v>
      </c>
      <c r="C1107">
        <v>4</v>
      </c>
      <c r="D1107" t="s">
        <v>2995</v>
      </c>
      <c r="E1107">
        <v>12</v>
      </c>
      <c r="F1107">
        <v>12</v>
      </c>
      <c r="G1107">
        <v>12</v>
      </c>
      <c r="H1107" t="s">
        <v>2996</v>
      </c>
      <c r="I1107">
        <v>12.8</v>
      </c>
      <c r="J1107">
        <v>149.61000000000001</v>
      </c>
      <c r="K1107" t="str">
        <f>"KTN1"</f>
        <v>KTN1</v>
      </c>
      <c r="L1107" t="str">
        <f>"KTN1"</f>
        <v>KTN1</v>
      </c>
      <c r="M1107">
        <v>0</v>
      </c>
      <c r="N1107">
        <v>2.6835051655629099</v>
      </c>
      <c r="O1107">
        <v>1.8238867883763601</v>
      </c>
      <c r="P1107">
        <v>0</v>
      </c>
      <c r="Q1107">
        <v>1.25576199330606</v>
      </c>
      <c r="R1107">
        <v>0.90008103209297396</v>
      </c>
      <c r="S1107">
        <v>0</v>
      </c>
      <c r="T1107">
        <v>0</v>
      </c>
      <c r="U1107">
        <v>0</v>
      </c>
      <c r="V1107">
        <v>1.05063596764157</v>
      </c>
      <c r="W1107">
        <v>1.27539809638918</v>
      </c>
      <c r="X1107">
        <v>0</v>
      </c>
    </row>
    <row r="1108" spans="1:24">
      <c r="A1108">
        <v>1770</v>
      </c>
      <c r="B1108" t="s">
        <v>2997</v>
      </c>
      <c r="C1108">
        <v>3</v>
      </c>
      <c r="D1108" t="s">
        <v>2998</v>
      </c>
      <c r="E1108">
        <v>2</v>
      </c>
      <c r="F1108">
        <v>2</v>
      </c>
      <c r="G1108">
        <v>2</v>
      </c>
      <c r="H1108" t="s">
        <v>2999</v>
      </c>
      <c r="I1108">
        <v>4.2</v>
      </c>
      <c r="J1108">
        <v>59.482999999999997</v>
      </c>
      <c r="K1108" t="str">
        <f>"MICALL2;MICALL1"</f>
        <v>MICALL2;MICALL1</v>
      </c>
      <c r="L1108" t="str">
        <f>"MICALL2;MICALL1"</f>
        <v>MICALL2;MICALL1</v>
      </c>
      <c r="M1108">
        <v>1.2103892752168599</v>
      </c>
      <c r="N1108">
        <v>0.89450172185430499</v>
      </c>
      <c r="O1108">
        <v>0.91194339418818204</v>
      </c>
      <c r="P1108">
        <v>1.0652189274447901</v>
      </c>
      <c r="Q1108">
        <v>1.25576199330606</v>
      </c>
      <c r="R1108">
        <v>0.90008103209297396</v>
      </c>
      <c r="S1108">
        <v>1.1331355704698001</v>
      </c>
      <c r="T1108">
        <v>1.18448996772836</v>
      </c>
      <c r="U1108">
        <v>1.10235831809872</v>
      </c>
      <c r="V1108">
        <v>1.05063596764157</v>
      </c>
      <c r="W1108">
        <v>1.27539809638918</v>
      </c>
      <c r="X1108">
        <v>0.984645710619934</v>
      </c>
    </row>
    <row r="1109" spans="1:24">
      <c r="A1109">
        <v>2211</v>
      </c>
      <c r="B1109" t="s">
        <v>3000</v>
      </c>
      <c r="C1109">
        <v>1</v>
      </c>
      <c r="D1109" t="s">
        <v>3001</v>
      </c>
      <c r="E1109">
        <v>3</v>
      </c>
      <c r="F1109">
        <v>3</v>
      </c>
      <c r="G1109">
        <v>3</v>
      </c>
      <c r="H1109" t="s">
        <v>3000</v>
      </c>
      <c r="I1109">
        <v>5.2</v>
      </c>
      <c r="J1109">
        <v>43.158999999999999</v>
      </c>
      <c r="K1109" t="str">
        <f>"HACD3"</f>
        <v>HACD3</v>
      </c>
      <c r="L1109" t="str">
        <f>"HACD3"</f>
        <v>HACD3</v>
      </c>
      <c r="M1109">
        <v>2.4207785504337198</v>
      </c>
      <c r="N1109">
        <v>0</v>
      </c>
      <c r="O1109">
        <v>0</v>
      </c>
      <c r="P1109">
        <v>0</v>
      </c>
      <c r="Q1109">
        <v>5.0230479732242497</v>
      </c>
      <c r="R1109">
        <v>1.8001620641859499</v>
      </c>
      <c r="S1109">
        <v>0</v>
      </c>
      <c r="T1109">
        <v>2.3689799354567098</v>
      </c>
      <c r="U1109">
        <v>1.10235831809872</v>
      </c>
      <c r="V1109">
        <v>0</v>
      </c>
      <c r="W1109">
        <v>0</v>
      </c>
      <c r="X1109">
        <v>3.9385828424797298</v>
      </c>
    </row>
    <row r="1110" spans="1:24">
      <c r="A1110">
        <v>2244</v>
      </c>
      <c r="B1110" t="s">
        <v>3002</v>
      </c>
      <c r="C1110">
        <v>2</v>
      </c>
      <c r="D1110" t="s">
        <v>3003</v>
      </c>
      <c r="E1110">
        <v>4</v>
      </c>
      <c r="F1110">
        <v>4</v>
      </c>
      <c r="G1110">
        <v>4</v>
      </c>
      <c r="H1110" t="s">
        <v>3004</v>
      </c>
      <c r="I1110">
        <v>49.2</v>
      </c>
      <c r="J1110">
        <v>13.622999999999999</v>
      </c>
      <c r="K1110" t="str">
        <f>"LAMTOR3"</f>
        <v>LAMTOR3</v>
      </c>
      <c r="L1110" t="str">
        <f>"LAMTOR3"</f>
        <v>LAMTOR3</v>
      </c>
      <c r="M1110">
        <v>0</v>
      </c>
      <c r="N1110">
        <v>0.89450172185430499</v>
      </c>
      <c r="O1110">
        <v>0.91194339418818204</v>
      </c>
      <c r="P1110">
        <v>1.0652189274447901</v>
      </c>
      <c r="Q1110">
        <v>1.25576199330606</v>
      </c>
      <c r="R1110">
        <v>0.90008103209297396</v>
      </c>
      <c r="S1110">
        <v>3.3994067114094002</v>
      </c>
      <c r="T1110">
        <v>1.18448996772836</v>
      </c>
      <c r="U1110">
        <v>1.10235831809872</v>
      </c>
      <c r="V1110">
        <v>1.05063596764157</v>
      </c>
      <c r="W1110">
        <v>0</v>
      </c>
      <c r="X1110">
        <v>0</v>
      </c>
    </row>
    <row r="1111" spans="1:24">
      <c r="A1111">
        <v>2354</v>
      </c>
      <c r="B1111" t="s">
        <v>3005</v>
      </c>
      <c r="C1111">
        <v>4</v>
      </c>
      <c r="D1111" t="s">
        <v>3006</v>
      </c>
      <c r="E1111">
        <v>13</v>
      </c>
      <c r="F1111">
        <v>13</v>
      </c>
      <c r="G1111">
        <v>12</v>
      </c>
      <c r="H1111" t="s">
        <v>3007</v>
      </c>
      <c r="I1111">
        <v>13.3</v>
      </c>
      <c r="J1111">
        <v>112.42</v>
      </c>
      <c r="K1111" t="str">
        <f>"USP15"</f>
        <v>USP15</v>
      </c>
      <c r="L1111" t="str">
        <f>"USP15"</f>
        <v>USP15</v>
      </c>
      <c r="M1111">
        <v>1.2103892752168599</v>
      </c>
      <c r="N1111">
        <v>1.78900344370861</v>
      </c>
      <c r="O1111">
        <v>1.8238867883763601</v>
      </c>
      <c r="P1111">
        <v>0</v>
      </c>
      <c r="Q1111">
        <v>0</v>
      </c>
      <c r="R1111">
        <v>0.90008103209297396</v>
      </c>
      <c r="S1111">
        <v>1.1331355704698001</v>
      </c>
      <c r="T1111">
        <v>0</v>
      </c>
      <c r="U1111">
        <v>2.20471663619744</v>
      </c>
      <c r="V1111">
        <v>0</v>
      </c>
      <c r="W1111">
        <v>0</v>
      </c>
      <c r="X1111">
        <v>0</v>
      </c>
    </row>
    <row r="1112" spans="1:24">
      <c r="A1112">
        <v>228</v>
      </c>
      <c r="B1112" t="s">
        <v>3008</v>
      </c>
      <c r="C1112">
        <v>1</v>
      </c>
      <c r="D1112" t="s">
        <v>3009</v>
      </c>
      <c r="E1112">
        <v>4</v>
      </c>
      <c r="F1112">
        <v>4</v>
      </c>
      <c r="G1112">
        <v>4</v>
      </c>
      <c r="H1112" t="s">
        <v>3008</v>
      </c>
      <c r="I1112">
        <v>8.5</v>
      </c>
      <c r="J1112">
        <v>46.561</v>
      </c>
      <c r="K1112" t="str">
        <f>"CRTAP"</f>
        <v>CRTAP</v>
      </c>
      <c r="L1112" t="str">
        <f>"CRTAP"</f>
        <v>CRTAP</v>
      </c>
      <c r="M1112">
        <v>1.2103892752168599</v>
      </c>
      <c r="N1112">
        <v>0.89450172185430499</v>
      </c>
      <c r="O1112">
        <v>0.91194339418818204</v>
      </c>
      <c r="P1112">
        <v>1.0652189274447901</v>
      </c>
      <c r="Q1112">
        <v>0</v>
      </c>
      <c r="R1112">
        <v>0.90008103209297396</v>
      </c>
      <c r="S1112">
        <v>1.1331355704698001</v>
      </c>
      <c r="T1112">
        <v>1.18448996772836</v>
      </c>
      <c r="U1112">
        <v>0</v>
      </c>
      <c r="V1112">
        <v>2.1012719352831399</v>
      </c>
      <c r="W1112">
        <v>1.27539809638918</v>
      </c>
      <c r="X1112">
        <v>0.984645710619934</v>
      </c>
    </row>
    <row r="1113" spans="1:24">
      <c r="A1113">
        <v>431</v>
      </c>
      <c r="B1113" t="s">
        <v>3010</v>
      </c>
      <c r="C1113">
        <v>1</v>
      </c>
      <c r="D1113" t="s">
        <v>3011</v>
      </c>
      <c r="E1113">
        <v>5</v>
      </c>
      <c r="F1113">
        <v>5</v>
      </c>
      <c r="G1113">
        <v>5</v>
      </c>
      <c r="H1113" t="s">
        <v>3010</v>
      </c>
      <c r="I1113">
        <v>38.299999999999997</v>
      </c>
      <c r="J1113">
        <v>21.225000000000001</v>
      </c>
      <c r="K1113" t="str">
        <f>"FTH1"</f>
        <v>FTH1</v>
      </c>
      <c r="L1113" t="str">
        <f>"FTH1"</f>
        <v>FTH1</v>
      </c>
      <c r="M1113">
        <v>0</v>
      </c>
      <c r="N1113">
        <v>0</v>
      </c>
      <c r="O1113">
        <v>0.91194339418818204</v>
      </c>
      <c r="P1113">
        <v>1.0652189274447901</v>
      </c>
      <c r="Q1113">
        <v>0</v>
      </c>
      <c r="R1113">
        <v>1.8001620641859499</v>
      </c>
      <c r="S1113">
        <v>1.1331355704698001</v>
      </c>
      <c r="T1113">
        <v>0</v>
      </c>
      <c r="U1113">
        <v>1.10235831809872</v>
      </c>
      <c r="V1113">
        <v>1.05063596764157</v>
      </c>
      <c r="W1113">
        <v>1.27539809638918</v>
      </c>
      <c r="X1113">
        <v>3.9385828424797298</v>
      </c>
    </row>
    <row r="1114" spans="1:24">
      <c r="A1114">
        <v>558</v>
      </c>
      <c r="B1114" t="s">
        <v>3012</v>
      </c>
      <c r="C1114">
        <v>5</v>
      </c>
      <c r="D1114" t="s">
        <v>3013</v>
      </c>
      <c r="E1114">
        <v>9</v>
      </c>
      <c r="F1114">
        <v>9</v>
      </c>
      <c r="G1114">
        <v>9</v>
      </c>
      <c r="H1114" t="s">
        <v>3014</v>
      </c>
      <c r="I1114">
        <v>27.3</v>
      </c>
      <c r="J1114">
        <v>40.188000000000002</v>
      </c>
      <c r="K1114" t="str">
        <f>"PDHA1;PDHA2"</f>
        <v>PDHA1;PDHA2</v>
      </c>
      <c r="L1114" t="str">
        <f>"PDHA1;PDHA2"</f>
        <v>PDHA1;PDHA2</v>
      </c>
      <c r="M1114">
        <v>0</v>
      </c>
      <c r="N1114">
        <v>0</v>
      </c>
      <c r="O1114">
        <v>1.8238867883763601</v>
      </c>
      <c r="P1114">
        <v>0</v>
      </c>
      <c r="Q1114">
        <v>1.25576199330606</v>
      </c>
      <c r="R1114">
        <v>1.8001620641859499</v>
      </c>
      <c r="S1114">
        <v>0</v>
      </c>
      <c r="T1114">
        <v>1.18448996772836</v>
      </c>
      <c r="U1114">
        <v>1.10235831809872</v>
      </c>
      <c r="V1114">
        <v>2.1012719352831399</v>
      </c>
      <c r="W1114">
        <v>0</v>
      </c>
      <c r="X1114">
        <v>0.984645710619934</v>
      </c>
    </row>
    <row r="1115" spans="1:24">
      <c r="A1115">
        <v>581</v>
      </c>
      <c r="B1115" t="s">
        <v>3015</v>
      </c>
      <c r="C1115">
        <v>1</v>
      </c>
      <c r="D1115" t="s">
        <v>3016</v>
      </c>
      <c r="E1115">
        <v>28</v>
      </c>
      <c r="F1115">
        <v>3</v>
      </c>
      <c r="G1115">
        <v>0</v>
      </c>
      <c r="H1115" t="s">
        <v>3015</v>
      </c>
      <c r="I1115">
        <v>72.400000000000006</v>
      </c>
      <c r="J1115">
        <v>26.68</v>
      </c>
      <c r="K1115" t="str">
        <f>"TPM1"</f>
        <v>TPM1</v>
      </c>
      <c r="L1115" t="str">
        <f>"TPM1"</f>
        <v>TPM1</v>
      </c>
      <c r="M1115">
        <v>1.2103892752168599</v>
      </c>
      <c r="N1115">
        <v>1.78900344370861</v>
      </c>
      <c r="O1115">
        <v>0</v>
      </c>
      <c r="P1115">
        <v>1.0652189274447901</v>
      </c>
      <c r="Q1115">
        <v>0</v>
      </c>
      <c r="R1115">
        <v>0.90008103209297396</v>
      </c>
      <c r="S1115">
        <v>1.1331355704698001</v>
      </c>
      <c r="T1115">
        <v>1.18448996772836</v>
      </c>
      <c r="U1115">
        <v>1.10235831809872</v>
      </c>
      <c r="V1115">
        <v>1.05063596764157</v>
      </c>
      <c r="W1115">
        <v>0</v>
      </c>
      <c r="X1115">
        <v>1.96929142123987</v>
      </c>
    </row>
    <row r="1116" spans="1:24">
      <c r="A1116">
        <v>740</v>
      </c>
      <c r="B1116" t="s">
        <v>3017</v>
      </c>
      <c r="C1116">
        <v>1</v>
      </c>
      <c r="D1116" t="s">
        <v>3018</v>
      </c>
      <c r="E1116">
        <v>7</v>
      </c>
      <c r="F1116">
        <v>7</v>
      </c>
      <c r="G1116">
        <v>7</v>
      </c>
      <c r="H1116" t="s">
        <v>3017</v>
      </c>
      <c r="I1116">
        <v>10.4</v>
      </c>
      <c r="J1116">
        <v>53.383000000000003</v>
      </c>
      <c r="K1116" t="str">
        <f>"LBP"</f>
        <v>LBP</v>
      </c>
      <c r="L1116" t="str">
        <f>"LBP"</f>
        <v>LBP</v>
      </c>
      <c r="M1116">
        <v>1.2103892752168599</v>
      </c>
      <c r="N1116">
        <v>0</v>
      </c>
      <c r="O1116">
        <v>1.8238867883763601</v>
      </c>
      <c r="P1116">
        <v>0</v>
      </c>
      <c r="Q1116">
        <v>2.51152398661212</v>
      </c>
      <c r="R1116">
        <v>0</v>
      </c>
      <c r="S1116">
        <v>3.3994067114094002</v>
      </c>
      <c r="T1116">
        <v>0</v>
      </c>
      <c r="U1116">
        <v>0</v>
      </c>
      <c r="V1116">
        <v>0</v>
      </c>
      <c r="W1116">
        <v>3.82619428916755</v>
      </c>
      <c r="X1116">
        <v>3.9385828424797298</v>
      </c>
    </row>
    <row r="1117" spans="1:24">
      <c r="A1117">
        <v>834</v>
      </c>
      <c r="B1117" t="s">
        <v>3019</v>
      </c>
      <c r="C1117">
        <v>2</v>
      </c>
      <c r="D1117" t="s">
        <v>3020</v>
      </c>
      <c r="E1117">
        <v>7</v>
      </c>
      <c r="F1117">
        <v>7</v>
      </c>
      <c r="G1117">
        <v>7</v>
      </c>
      <c r="H1117" t="s">
        <v>3021</v>
      </c>
      <c r="I1117">
        <v>18.2</v>
      </c>
      <c r="J1117">
        <v>46.319000000000003</v>
      </c>
      <c r="K1117" t="str">
        <f>"IVD"</f>
        <v>IVD</v>
      </c>
      <c r="L1117" t="str">
        <f>"IVD"</f>
        <v>IVD</v>
      </c>
      <c r="M1117">
        <v>0</v>
      </c>
      <c r="N1117">
        <v>2.6835051655629099</v>
      </c>
      <c r="O1117">
        <v>2.7358301825645501</v>
      </c>
      <c r="P1117">
        <v>1.0652189274447901</v>
      </c>
      <c r="Q1117">
        <v>0</v>
      </c>
      <c r="R1117">
        <v>1.8001620641859499</v>
      </c>
      <c r="S1117">
        <v>1.1331355704698001</v>
      </c>
      <c r="T1117">
        <v>0</v>
      </c>
      <c r="U1117">
        <v>1.10235831809872</v>
      </c>
      <c r="V1117">
        <v>1.05063596764157</v>
      </c>
      <c r="W1117">
        <v>0</v>
      </c>
      <c r="X1117">
        <v>0</v>
      </c>
    </row>
    <row r="1118" spans="1:24">
      <c r="A1118">
        <v>933</v>
      </c>
      <c r="B1118" t="s">
        <v>3022</v>
      </c>
      <c r="C1118">
        <v>2</v>
      </c>
      <c r="D1118" t="s">
        <v>3023</v>
      </c>
      <c r="E1118">
        <v>5</v>
      </c>
      <c r="F1118">
        <v>1</v>
      </c>
      <c r="G1118">
        <v>1</v>
      </c>
      <c r="H1118" t="s">
        <v>3024</v>
      </c>
      <c r="I1118">
        <v>18.5</v>
      </c>
      <c r="J1118">
        <v>24.335999999999999</v>
      </c>
      <c r="K1118" t="str">
        <f>"SFN"</f>
        <v>SFN</v>
      </c>
      <c r="L1118" t="str">
        <f>"SFN"</f>
        <v>SFN</v>
      </c>
      <c r="M1118">
        <v>1.2103892752168599</v>
      </c>
      <c r="N1118">
        <v>0.89450172185430499</v>
      </c>
      <c r="O1118">
        <v>0.91194339418818204</v>
      </c>
      <c r="P1118">
        <v>1.0652189274447901</v>
      </c>
      <c r="Q1118">
        <v>1.25576199330606</v>
      </c>
      <c r="R1118">
        <v>0.90008103209297396</v>
      </c>
      <c r="S1118">
        <v>1.1331355704698001</v>
      </c>
      <c r="T1118">
        <v>1.18448996772836</v>
      </c>
      <c r="U1118">
        <v>1.10235831809872</v>
      </c>
      <c r="V1118">
        <v>1.05063596764157</v>
      </c>
      <c r="W1118">
        <v>1.27539809638918</v>
      </c>
      <c r="X1118">
        <v>1.96929142123987</v>
      </c>
    </row>
    <row r="1119" spans="1:24">
      <c r="A1119">
        <v>1029</v>
      </c>
      <c r="B1119" t="s">
        <v>3025</v>
      </c>
      <c r="C1119">
        <v>4</v>
      </c>
      <c r="D1119" t="s">
        <v>3026</v>
      </c>
      <c r="E1119">
        <v>7</v>
      </c>
      <c r="F1119">
        <v>7</v>
      </c>
      <c r="G1119">
        <v>7</v>
      </c>
      <c r="H1119" t="s">
        <v>3027</v>
      </c>
      <c r="I1119">
        <v>13.9</v>
      </c>
      <c r="J1119">
        <v>85.561000000000007</v>
      </c>
      <c r="K1119" t="str">
        <f>"ECE1"</f>
        <v>ECE1</v>
      </c>
      <c r="L1119" t="str">
        <f>"ECE1"</f>
        <v>ECE1</v>
      </c>
      <c r="M1119">
        <v>0</v>
      </c>
      <c r="N1119">
        <v>0.89450172185430499</v>
      </c>
      <c r="O1119">
        <v>0.91194339418818204</v>
      </c>
      <c r="P1119">
        <v>2.1304378548895899</v>
      </c>
      <c r="Q1119">
        <v>1.25576199330606</v>
      </c>
      <c r="R1119">
        <v>3.6003241283718901</v>
      </c>
      <c r="S1119">
        <v>1.1331355704698001</v>
      </c>
      <c r="T1119">
        <v>1.18448996772836</v>
      </c>
      <c r="U1119">
        <v>4.4094332723948799</v>
      </c>
      <c r="V1119">
        <v>1.05063596764157</v>
      </c>
      <c r="W1119">
        <v>0</v>
      </c>
      <c r="X1119">
        <v>0.984645710619934</v>
      </c>
    </row>
    <row r="1120" spans="1:24">
      <c r="A1120">
        <v>1079</v>
      </c>
      <c r="B1120" t="s">
        <v>3028</v>
      </c>
      <c r="C1120">
        <v>2</v>
      </c>
      <c r="D1120" t="s">
        <v>3029</v>
      </c>
      <c r="E1120">
        <v>5</v>
      </c>
      <c r="F1120">
        <v>5</v>
      </c>
      <c r="G1120">
        <v>3</v>
      </c>
      <c r="H1120" t="s">
        <v>3030</v>
      </c>
      <c r="I1120">
        <v>15.2</v>
      </c>
      <c r="J1120">
        <v>45.567</v>
      </c>
      <c r="K1120" t="str">
        <f>"MAPKAPK2"</f>
        <v>MAPKAPK2</v>
      </c>
      <c r="L1120" t="str">
        <f>"MAPKAPK2"</f>
        <v>MAPKAPK2</v>
      </c>
      <c r="M1120">
        <v>1.2103892752168599</v>
      </c>
      <c r="N1120">
        <v>0.89450172185430499</v>
      </c>
      <c r="O1120">
        <v>0</v>
      </c>
      <c r="P1120">
        <v>1.0652189274447901</v>
      </c>
      <c r="Q1120">
        <v>0</v>
      </c>
      <c r="R1120">
        <v>1.8001620641859499</v>
      </c>
      <c r="S1120">
        <v>0</v>
      </c>
      <c r="T1120">
        <v>1.18448996772836</v>
      </c>
      <c r="U1120">
        <v>2.20471663619744</v>
      </c>
      <c r="V1120">
        <v>1.05063596764157</v>
      </c>
      <c r="W1120">
        <v>1.27539809638918</v>
      </c>
      <c r="X1120">
        <v>2.9539371318597998</v>
      </c>
    </row>
    <row r="1121" spans="1:24">
      <c r="A1121">
        <v>1184</v>
      </c>
      <c r="B1121" t="s">
        <v>3031</v>
      </c>
      <c r="C1121">
        <v>1</v>
      </c>
      <c r="D1121" t="s">
        <v>3032</v>
      </c>
      <c r="E1121">
        <v>3</v>
      </c>
      <c r="F1121">
        <v>3</v>
      </c>
      <c r="G1121">
        <v>3</v>
      </c>
      <c r="H1121" t="s">
        <v>3031</v>
      </c>
      <c r="I1121">
        <v>23.6</v>
      </c>
      <c r="J1121">
        <v>14.553000000000001</v>
      </c>
      <c r="K1121" t="str">
        <f>"APOC4"</f>
        <v>APOC4</v>
      </c>
      <c r="L1121" t="str">
        <f>"APOC4"</f>
        <v>APOC4</v>
      </c>
      <c r="M1121">
        <v>1.2103892752168599</v>
      </c>
      <c r="N1121">
        <v>0.89450172185430499</v>
      </c>
      <c r="O1121">
        <v>1.8238867883763601</v>
      </c>
      <c r="P1121">
        <v>1.0652189274447901</v>
      </c>
      <c r="Q1121">
        <v>1.25576199330606</v>
      </c>
      <c r="R1121">
        <v>0.90008103209297396</v>
      </c>
      <c r="S1121">
        <v>3.3994067114094002</v>
      </c>
      <c r="T1121">
        <v>2.3689799354567098</v>
      </c>
      <c r="U1121">
        <v>0</v>
      </c>
      <c r="V1121">
        <v>0</v>
      </c>
      <c r="W1121">
        <v>0</v>
      </c>
      <c r="X1121">
        <v>0.984645710619934</v>
      </c>
    </row>
    <row r="1122" spans="1:24">
      <c r="A1122">
        <v>1339</v>
      </c>
      <c r="B1122" t="s">
        <v>3033</v>
      </c>
      <c r="C1122">
        <v>5</v>
      </c>
      <c r="D1122" t="s">
        <v>3034</v>
      </c>
      <c r="E1122">
        <v>12</v>
      </c>
      <c r="F1122">
        <v>12</v>
      </c>
      <c r="G1122">
        <v>12</v>
      </c>
      <c r="H1122" t="s">
        <v>3035</v>
      </c>
      <c r="I1122">
        <v>14.3</v>
      </c>
      <c r="J1122">
        <v>132.51</v>
      </c>
      <c r="K1122" t="str">
        <f>"PLCB2;PLCB1"</f>
        <v>PLCB2;PLCB1</v>
      </c>
      <c r="L1122" t="str">
        <f>"PLCB2;PLCB1"</f>
        <v>PLCB2;PLCB1</v>
      </c>
      <c r="M1122">
        <v>0</v>
      </c>
      <c r="N1122">
        <v>1.78900344370861</v>
      </c>
      <c r="O1122">
        <v>2.7358301825645501</v>
      </c>
      <c r="P1122">
        <v>4.2608757097791798</v>
      </c>
      <c r="Q1122">
        <v>0</v>
      </c>
      <c r="R1122">
        <v>0</v>
      </c>
      <c r="S1122">
        <v>0</v>
      </c>
      <c r="T1122">
        <v>0</v>
      </c>
      <c r="U1122">
        <v>1.10235831809872</v>
      </c>
      <c r="V1122">
        <v>0</v>
      </c>
      <c r="W1122">
        <v>1.27539809638918</v>
      </c>
      <c r="X1122">
        <v>1.96929142123987</v>
      </c>
    </row>
    <row r="1123" spans="1:24">
      <c r="A1123">
        <v>1478</v>
      </c>
      <c r="B1123" t="s">
        <v>3036</v>
      </c>
      <c r="C1123">
        <v>7</v>
      </c>
      <c r="D1123" t="s">
        <v>3037</v>
      </c>
      <c r="E1123">
        <v>7</v>
      </c>
      <c r="F1123">
        <v>7</v>
      </c>
      <c r="G1123">
        <v>7</v>
      </c>
      <c r="H1123" t="s">
        <v>3038</v>
      </c>
      <c r="I1123">
        <v>29.7</v>
      </c>
      <c r="J1123">
        <v>32.834000000000003</v>
      </c>
      <c r="K1123" t="str">
        <f>"HNRNPD;HNRNPDL"</f>
        <v>HNRNPD;HNRNPDL</v>
      </c>
      <c r="L1123" t="str">
        <f>"HNRNPD;HNRNPDL"</f>
        <v>HNRNPD;HNRNPDL</v>
      </c>
      <c r="M1123">
        <v>1.2103892752168599</v>
      </c>
      <c r="N1123">
        <v>0.89450172185430499</v>
      </c>
      <c r="O1123">
        <v>0</v>
      </c>
      <c r="P1123">
        <v>0</v>
      </c>
      <c r="Q1123">
        <v>0</v>
      </c>
      <c r="R1123">
        <v>4.5004051604648696</v>
      </c>
      <c r="S1123">
        <v>1.1331355704698001</v>
      </c>
      <c r="T1123">
        <v>1.18448996772836</v>
      </c>
      <c r="U1123">
        <v>2.20471663619744</v>
      </c>
      <c r="V1123">
        <v>1.05063596764157</v>
      </c>
      <c r="W1123">
        <v>0</v>
      </c>
      <c r="X1123">
        <v>0.984645710619934</v>
      </c>
    </row>
    <row r="1124" spans="1:24">
      <c r="A1124">
        <v>1501</v>
      </c>
      <c r="B1124" t="s">
        <v>3039</v>
      </c>
      <c r="C1124">
        <v>1</v>
      </c>
      <c r="D1124" t="s">
        <v>3040</v>
      </c>
      <c r="E1124">
        <v>2</v>
      </c>
      <c r="F1124">
        <v>2</v>
      </c>
      <c r="G1124">
        <v>2</v>
      </c>
      <c r="H1124" t="s">
        <v>3039</v>
      </c>
      <c r="I1124">
        <v>3.8</v>
      </c>
      <c r="J1124">
        <v>71.977999999999994</v>
      </c>
      <c r="K1124" t="str">
        <f>"LRRC32"</f>
        <v>LRRC32</v>
      </c>
      <c r="L1124" t="str">
        <f>"LRRC32"</f>
        <v>LRRC32</v>
      </c>
      <c r="M1124">
        <v>1.2103892752168599</v>
      </c>
      <c r="N1124">
        <v>1.78900344370861</v>
      </c>
      <c r="O1124">
        <v>0.91194339418818204</v>
      </c>
      <c r="P1124">
        <v>2.1304378548895899</v>
      </c>
      <c r="Q1124">
        <v>1.25576199330606</v>
      </c>
      <c r="R1124">
        <v>0.90008103209297396</v>
      </c>
      <c r="S1124">
        <v>0</v>
      </c>
      <c r="T1124">
        <v>1.18448996772836</v>
      </c>
      <c r="U1124">
        <v>1.10235831809872</v>
      </c>
      <c r="V1124">
        <v>1.05063596764157</v>
      </c>
      <c r="W1124">
        <v>1.27539809638918</v>
      </c>
      <c r="X1124">
        <v>0.984645710619934</v>
      </c>
    </row>
    <row r="1125" spans="1:24">
      <c r="A1125">
        <v>1628</v>
      </c>
      <c r="B1125" t="s">
        <v>3041</v>
      </c>
      <c r="C1125">
        <v>1</v>
      </c>
      <c r="D1125" t="s">
        <v>3042</v>
      </c>
      <c r="E1125">
        <v>18</v>
      </c>
      <c r="F1125">
        <v>4</v>
      </c>
      <c r="G1125">
        <v>4</v>
      </c>
      <c r="H1125" t="s">
        <v>3041</v>
      </c>
      <c r="I1125">
        <v>41.8</v>
      </c>
      <c r="J1125">
        <v>42.003</v>
      </c>
      <c r="K1125" t="str">
        <f>"ACTBL2"</f>
        <v>ACTBL2</v>
      </c>
      <c r="L1125" t="str">
        <f>"ACTBL2"</f>
        <v>ACTBL2</v>
      </c>
      <c r="M1125">
        <v>0</v>
      </c>
      <c r="N1125">
        <v>0</v>
      </c>
      <c r="O1125">
        <v>0</v>
      </c>
      <c r="P1125">
        <v>1.0652189274447901</v>
      </c>
      <c r="Q1125">
        <v>0</v>
      </c>
      <c r="R1125">
        <v>0</v>
      </c>
      <c r="S1125">
        <v>2.2662711409396001</v>
      </c>
      <c r="T1125">
        <v>2.3689799354567098</v>
      </c>
      <c r="U1125">
        <v>2.20471663619744</v>
      </c>
      <c r="V1125">
        <v>1.05063596764157</v>
      </c>
      <c r="W1125">
        <v>1.27539809638918</v>
      </c>
      <c r="X1125">
        <v>0.984645710619934</v>
      </c>
    </row>
    <row r="1126" spans="1:24">
      <c r="A1126">
        <v>1821</v>
      </c>
      <c r="B1126" t="s">
        <v>3043</v>
      </c>
      <c r="C1126">
        <v>2</v>
      </c>
      <c r="D1126" t="s">
        <v>3044</v>
      </c>
      <c r="E1126">
        <v>7</v>
      </c>
      <c r="F1126">
        <v>7</v>
      </c>
      <c r="G1126">
        <v>7</v>
      </c>
      <c r="H1126" t="s">
        <v>3045</v>
      </c>
      <c r="I1126">
        <v>22.7</v>
      </c>
      <c r="J1126">
        <v>50.072000000000003</v>
      </c>
      <c r="K1126" t="str">
        <f>"UBA3"</f>
        <v>UBA3</v>
      </c>
      <c r="L1126" t="str">
        <f>"UBA3"</f>
        <v>UBA3</v>
      </c>
      <c r="M1126">
        <v>1.2103892752168599</v>
      </c>
      <c r="N1126">
        <v>0</v>
      </c>
      <c r="O1126">
        <v>2.7358301825645501</v>
      </c>
      <c r="P1126">
        <v>0</v>
      </c>
      <c r="Q1126">
        <v>0</v>
      </c>
      <c r="R1126">
        <v>2.7002430962789199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</row>
    <row r="1127" spans="1:24">
      <c r="A1127">
        <v>1883</v>
      </c>
      <c r="B1127" t="s">
        <v>3046</v>
      </c>
      <c r="C1127">
        <v>1</v>
      </c>
      <c r="D1127" t="s">
        <v>3047</v>
      </c>
      <c r="E1127">
        <v>7</v>
      </c>
      <c r="F1127">
        <v>3</v>
      </c>
      <c r="G1127">
        <v>3</v>
      </c>
      <c r="H1127" t="s">
        <v>3046</v>
      </c>
      <c r="I1127">
        <v>39.1</v>
      </c>
      <c r="J1127">
        <v>23.584</v>
      </c>
      <c r="K1127" t="str">
        <f>"RAB8B"</f>
        <v>RAB8B</v>
      </c>
      <c r="L1127" t="str">
        <f>"RAB8B"</f>
        <v>RAB8B</v>
      </c>
      <c r="M1127">
        <v>0</v>
      </c>
      <c r="N1127">
        <v>0.89450172185430499</v>
      </c>
      <c r="O1127">
        <v>1.8238867883763601</v>
      </c>
      <c r="P1127">
        <v>0</v>
      </c>
      <c r="Q1127">
        <v>0</v>
      </c>
      <c r="R1127">
        <v>0.90008103209297396</v>
      </c>
      <c r="S1127">
        <v>0</v>
      </c>
      <c r="T1127">
        <v>2.3689799354567098</v>
      </c>
      <c r="U1127">
        <v>1.10235831809872</v>
      </c>
      <c r="V1127">
        <v>2.1012719352831399</v>
      </c>
      <c r="W1127">
        <v>1.27539809638918</v>
      </c>
      <c r="X1127">
        <v>0</v>
      </c>
    </row>
    <row r="1128" spans="1:24">
      <c r="A1128">
        <v>1986</v>
      </c>
      <c r="B1128" t="s">
        <v>3048</v>
      </c>
      <c r="C1128">
        <v>2</v>
      </c>
      <c r="D1128" t="s">
        <v>3049</v>
      </c>
      <c r="E1128">
        <v>7</v>
      </c>
      <c r="F1128">
        <v>7</v>
      </c>
      <c r="G1128">
        <v>7</v>
      </c>
      <c r="H1128" t="s">
        <v>3050</v>
      </c>
      <c r="I1128">
        <v>10.1</v>
      </c>
      <c r="J1128">
        <v>92.066999999999993</v>
      </c>
      <c r="K1128" t="str">
        <f>"SORT1"</f>
        <v>SORT1</v>
      </c>
      <c r="L1128" t="str">
        <f>"SORT1"</f>
        <v>SORT1</v>
      </c>
      <c r="M1128">
        <v>1.2103892752168599</v>
      </c>
      <c r="N1128">
        <v>1.78900344370861</v>
      </c>
      <c r="O1128">
        <v>0.91194339418818204</v>
      </c>
      <c r="P1128">
        <v>0</v>
      </c>
      <c r="Q1128">
        <v>1.25576199330606</v>
      </c>
      <c r="R1128">
        <v>0.90008103209297396</v>
      </c>
      <c r="S1128">
        <v>0</v>
      </c>
      <c r="T1128">
        <v>0</v>
      </c>
      <c r="U1128">
        <v>3.3070749542961599</v>
      </c>
      <c r="V1128">
        <v>1.05063596764157</v>
      </c>
      <c r="W1128">
        <v>1.27539809638918</v>
      </c>
      <c r="X1128">
        <v>0</v>
      </c>
    </row>
    <row r="1129" spans="1:24">
      <c r="A1129">
        <v>2033</v>
      </c>
      <c r="B1129" t="s">
        <v>3051</v>
      </c>
      <c r="C1129">
        <v>1</v>
      </c>
      <c r="D1129" t="s">
        <v>3052</v>
      </c>
      <c r="E1129">
        <v>3</v>
      </c>
      <c r="F1129">
        <v>3</v>
      </c>
      <c r="G1129">
        <v>3</v>
      </c>
      <c r="H1129" t="s">
        <v>3051</v>
      </c>
      <c r="I1129">
        <v>36</v>
      </c>
      <c r="J1129">
        <v>11.438000000000001</v>
      </c>
      <c r="K1129" t="str">
        <f>"VAMP8"</f>
        <v>VAMP8</v>
      </c>
      <c r="L1129" t="str">
        <f>"VAMP8"</f>
        <v>VAMP8</v>
      </c>
      <c r="M1129">
        <v>0</v>
      </c>
      <c r="N1129">
        <v>0.89450172185430499</v>
      </c>
      <c r="O1129">
        <v>0.91194339418818204</v>
      </c>
      <c r="P1129">
        <v>2.1304378548895899</v>
      </c>
      <c r="Q1129">
        <v>1.25576199330606</v>
      </c>
      <c r="R1129">
        <v>1.8001620641859499</v>
      </c>
      <c r="S1129">
        <v>2.2662711409396001</v>
      </c>
      <c r="T1129">
        <v>1.18448996772836</v>
      </c>
      <c r="U1129">
        <v>2.20471663619744</v>
      </c>
      <c r="V1129">
        <v>1.05063596764157</v>
      </c>
      <c r="W1129">
        <v>0</v>
      </c>
      <c r="X1129">
        <v>0</v>
      </c>
    </row>
    <row r="1130" spans="1:24">
      <c r="A1130">
        <v>2179</v>
      </c>
      <c r="B1130" t="s">
        <v>3053</v>
      </c>
      <c r="C1130">
        <v>4</v>
      </c>
      <c r="D1130" t="s">
        <v>3054</v>
      </c>
      <c r="E1130">
        <v>4</v>
      </c>
      <c r="F1130">
        <v>4</v>
      </c>
      <c r="G1130">
        <v>4</v>
      </c>
      <c r="H1130" t="s">
        <v>3055</v>
      </c>
      <c r="I1130">
        <v>13.2</v>
      </c>
      <c r="J1130">
        <v>27.728000000000002</v>
      </c>
      <c r="K1130" t="str">
        <f>"TMEM30A;TMEM30B"</f>
        <v>TMEM30A;TMEM30B</v>
      </c>
      <c r="L1130" t="str">
        <f>"TMEM30A;TMEM30B"</f>
        <v>TMEM30A;TMEM30B</v>
      </c>
      <c r="M1130">
        <v>2.4207785504337198</v>
      </c>
      <c r="N1130">
        <v>0.89450172185430499</v>
      </c>
      <c r="O1130">
        <v>0.91194339418818204</v>
      </c>
      <c r="P1130">
        <v>2.1304378548895899</v>
      </c>
      <c r="Q1130">
        <v>1.25576199330606</v>
      </c>
      <c r="R1130">
        <v>1.8001620641859499</v>
      </c>
      <c r="S1130">
        <v>1.1331355704698001</v>
      </c>
      <c r="T1130">
        <v>1.18448996772836</v>
      </c>
      <c r="U1130">
        <v>1.10235831809872</v>
      </c>
      <c r="V1130">
        <v>2.1012719352831399</v>
      </c>
      <c r="W1130">
        <v>1.27539809638918</v>
      </c>
      <c r="X1130">
        <v>0</v>
      </c>
    </row>
    <row r="1131" spans="1:24">
      <c r="A1131">
        <v>2181</v>
      </c>
      <c r="B1131" t="s">
        <v>3056</v>
      </c>
      <c r="C1131">
        <v>3</v>
      </c>
      <c r="D1131" t="s">
        <v>3057</v>
      </c>
      <c r="E1131">
        <v>13</v>
      </c>
      <c r="F1131">
        <v>13</v>
      </c>
      <c r="G1131">
        <v>13</v>
      </c>
      <c r="H1131" t="s">
        <v>3058</v>
      </c>
      <c r="I1131">
        <v>34.5</v>
      </c>
      <c r="J1131">
        <v>46.552999999999997</v>
      </c>
      <c r="K1131" t="str">
        <f>"TBC1D13"</f>
        <v>TBC1D13</v>
      </c>
      <c r="L1131" t="str">
        <f>"TBC1D13"</f>
        <v>TBC1D13</v>
      </c>
      <c r="M1131">
        <v>0</v>
      </c>
      <c r="N1131">
        <v>0.89450172185430499</v>
      </c>
      <c r="O1131">
        <v>0</v>
      </c>
      <c r="P1131">
        <v>0</v>
      </c>
      <c r="Q1131">
        <v>0</v>
      </c>
      <c r="R1131">
        <v>3.6003241283718901</v>
      </c>
      <c r="S1131">
        <v>1.1331355704698001</v>
      </c>
      <c r="T1131">
        <v>1.18448996772836</v>
      </c>
      <c r="U1131">
        <v>1.10235831809872</v>
      </c>
      <c r="V1131">
        <v>0</v>
      </c>
      <c r="W1131">
        <v>2.5507961927783702</v>
      </c>
      <c r="X1131">
        <v>1.96929142123987</v>
      </c>
    </row>
    <row r="1132" spans="1:24">
      <c r="A1132">
        <v>2292</v>
      </c>
      <c r="B1132" t="s">
        <v>3059</v>
      </c>
      <c r="C1132">
        <v>1</v>
      </c>
      <c r="D1132" t="s">
        <v>3060</v>
      </c>
      <c r="E1132">
        <v>8</v>
      </c>
      <c r="F1132">
        <v>4</v>
      </c>
      <c r="G1132">
        <v>4</v>
      </c>
      <c r="H1132" t="s">
        <v>3059</v>
      </c>
      <c r="I1132">
        <v>20.8</v>
      </c>
      <c r="J1132">
        <v>48.896999999999998</v>
      </c>
      <c r="K1132" t="str">
        <f>"VPS4A"</f>
        <v>VPS4A</v>
      </c>
      <c r="L1132" t="str">
        <f>"VPS4A"</f>
        <v>VPS4A</v>
      </c>
      <c r="M1132">
        <v>1.2103892752168599</v>
      </c>
      <c r="N1132">
        <v>0.89450172185430499</v>
      </c>
      <c r="O1132">
        <v>0.91194339418818204</v>
      </c>
      <c r="P1132">
        <v>1.0652189274447901</v>
      </c>
      <c r="Q1132">
        <v>1.25576199330606</v>
      </c>
      <c r="R1132">
        <v>0.90008103209297396</v>
      </c>
      <c r="S1132">
        <v>1.1331355704698001</v>
      </c>
      <c r="T1132">
        <v>1.18448996772836</v>
      </c>
      <c r="U1132">
        <v>1.10235831809872</v>
      </c>
      <c r="V1132">
        <v>1.05063596764157</v>
      </c>
      <c r="W1132">
        <v>1.27539809638918</v>
      </c>
      <c r="X1132">
        <v>0.984645710619934</v>
      </c>
    </row>
    <row r="1133" spans="1:24">
      <c r="A1133">
        <v>0</v>
      </c>
      <c r="B1133" t="s">
        <v>3061</v>
      </c>
      <c r="C1133">
        <v>4</v>
      </c>
      <c r="D1133" t="s">
        <v>3062</v>
      </c>
      <c r="E1133">
        <v>8</v>
      </c>
      <c r="F1133">
        <v>8</v>
      </c>
      <c r="G1133">
        <v>8</v>
      </c>
      <c r="H1133" t="s">
        <v>3063</v>
      </c>
      <c r="I1133">
        <v>9.6</v>
      </c>
      <c r="J1133">
        <v>117.97</v>
      </c>
      <c r="K1133" t="str">
        <f>"UBA6"</f>
        <v>UBA6</v>
      </c>
      <c r="L1133" t="str">
        <f>"UBA6"</f>
        <v>UBA6</v>
      </c>
      <c r="M1133">
        <v>1.2103892752168599</v>
      </c>
      <c r="N1133">
        <v>1.78900344370861</v>
      </c>
      <c r="O1133">
        <v>0.91194339418818204</v>
      </c>
      <c r="P1133">
        <v>0</v>
      </c>
      <c r="Q1133">
        <v>0</v>
      </c>
      <c r="R1133">
        <v>1.8001620641859499</v>
      </c>
      <c r="S1133">
        <v>0</v>
      </c>
      <c r="T1133">
        <v>0</v>
      </c>
      <c r="U1133">
        <v>1.10235831809872</v>
      </c>
      <c r="V1133">
        <v>1.05063596764157</v>
      </c>
      <c r="W1133">
        <v>0</v>
      </c>
      <c r="X1133">
        <v>2.9539371318597998</v>
      </c>
    </row>
    <row r="1134" spans="1:24">
      <c r="A1134">
        <v>253</v>
      </c>
      <c r="B1134" t="s">
        <v>3064</v>
      </c>
      <c r="C1134">
        <v>3</v>
      </c>
      <c r="D1134" t="s">
        <v>3065</v>
      </c>
      <c r="E1134">
        <v>7</v>
      </c>
      <c r="F1134">
        <v>7</v>
      </c>
      <c r="G1134">
        <v>7</v>
      </c>
      <c r="H1134" t="s">
        <v>3066</v>
      </c>
      <c r="I1134">
        <v>18.899999999999999</v>
      </c>
      <c r="J1134">
        <v>65.459000000000003</v>
      </c>
      <c r="K1134" t="str">
        <f>"GLS"</f>
        <v>GLS</v>
      </c>
      <c r="L1134" t="str">
        <f>"GLS"</f>
        <v>GLS</v>
      </c>
      <c r="M1134">
        <v>1.2103892752168599</v>
      </c>
      <c r="N1134">
        <v>0.89450172185430499</v>
      </c>
      <c r="O1134">
        <v>0.91194339418818204</v>
      </c>
      <c r="P1134">
        <v>0</v>
      </c>
      <c r="Q1134">
        <v>0</v>
      </c>
      <c r="R1134">
        <v>1.8001620641859499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>
      <c r="A1135">
        <v>444</v>
      </c>
      <c r="B1135" t="s">
        <v>3067</v>
      </c>
      <c r="C1135">
        <v>2</v>
      </c>
      <c r="D1135" t="s">
        <v>3068</v>
      </c>
      <c r="E1135">
        <v>3</v>
      </c>
      <c r="F1135">
        <v>3</v>
      </c>
      <c r="G1135">
        <v>3</v>
      </c>
      <c r="H1135" t="s">
        <v>3069</v>
      </c>
      <c r="I1135">
        <v>13.8</v>
      </c>
      <c r="J1135">
        <v>26.885000000000002</v>
      </c>
      <c r="K1135" t="str">
        <f>"PRNP"</f>
        <v>PRNP</v>
      </c>
      <c r="L1135" t="str">
        <f>"PRNP"</f>
        <v>PRNP</v>
      </c>
      <c r="M1135">
        <v>1.2103892752168599</v>
      </c>
      <c r="N1135">
        <v>0.89450172185430499</v>
      </c>
      <c r="O1135">
        <v>0.91194339418818204</v>
      </c>
      <c r="P1135">
        <v>1.0652189274447901</v>
      </c>
      <c r="Q1135">
        <v>1.25576199330606</v>
      </c>
      <c r="R1135">
        <v>0.90008103209297396</v>
      </c>
      <c r="S1135">
        <v>1.1331355704698001</v>
      </c>
      <c r="T1135">
        <v>1.18448996772836</v>
      </c>
      <c r="U1135">
        <v>2.20471663619744</v>
      </c>
      <c r="V1135">
        <v>1.05063596764157</v>
      </c>
      <c r="W1135">
        <v>0</v>
      </c>
      <c r="X1135">
        <v>0.984645710619934</v>
      </c>
    </row>
    <row r="1136" spans="1:24">
      <c r="A1136">
        <v>526</v>
      </c>
      <c r="B1136" t="s">
        <v>3070</v>
      </c>
      <c r="C1136">
        <v>3</v>
      </c>
      <c r="D1136" t="s">
        <v>3071</v>
      </c>
      <c r="E1136">
        <v>12</v>
      </c>
      <c r="F1136">
        <v>12</v>
      </c>
      <c r="G1136">
        <v>12</v>
      </c>
      <c r="H1136" t="s">
        <v>3072</v>
      </c>
      <c r="I1136">
        <v>43.4</v>
      </c>
      <c r="J1136">
        <v>38.603999999999999</v>
      </c>
      <c r="K1136" t="str">
        <f>"ANXA2;ANXA2P2"</f>
        <v>ANXA2;ANXA2P2</v>
      </c>
      <c r="L1136" t="str">
        <f>"ANXA2;ANXA2P2"</f>
        <v>ANXA2;ANXA2P2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6.3005672246508198</v>
      </c>
      <c r="S1136">
        <v>3.3994067114094002</v>
      </c>
      <c r="T1136">
        <v>0</v>
      </c>
      <c r="U1136">
        <v>1.10235831809872</v>
      </c>
      <c r="V1136">
        <v>3.1519079029246999</v>
      </c>
      <c r="W1136">
        <v>1.27539809638918</v>
      </c>
      <c r="X1136">
        <v>0</v>
      </c>
    </row>
    <row r="1137" spans="1:24">
      <c r="A1137">
        <v>569</v>
      </c>
      <c r="B1137" t="s">
        <v>3073</v>
      </c>
      <c r="C1137">
        <v>1</v>
      </c>
      <c r="D1137" t="s">
        <v>3074</v>
      </c>
      <c r="E1137">
        <v>7</v>
      </c>
      <c r="F1137">
        <v>7</v>
      </c>
      <c r="G1137">
        <v>7</v>
      </c>
      <c r="H1137" t="s">
        <v>3073</v>
      </c>
      <c r="I1137">
        <v>32.200000000000003</v>
      </c>
      <c r="J1137">
        <v>32.853999999999999</v>
      </c>
      <c r="K1137" t="str">
        <f>"RPSA"</f>
        <v>RPSA</v>
      </c>
      <c r="L1137" t="str">
        <f>"RPSA"</f>
        <v>RPSA</v>
      </c>
      <c r="M1137">
        <v>0</v>
      </c>
      <c r="N1137">
        <v>0</v>
      </c>
      <c r="O1137">
        <v>3.64777357675273</v>
      </c>
      <c r="P1137">
        <v>0</v>
      </c>
      <c r="Q1137">
        <v>0</v>
      </c>
      <c r="R1137">
        <v>2.7002430962789199</v>
      </c>
      <c r="S1137">
        <v>1.1331355704698001</v>
      </c>
      <c r="T1137">
        <v>0</v>
      </c>
      <c r="U1137">
        <v>3.3070749542961599</v>
      </c>
      <c r="V1137">
        <v>0</v>
      </c>
      <c r="W1137">
        <v>0</v>
      </c>
      <c r="X1137">
        <v>0.984645710619934</v>
      </c>
    </row>
    <row r="1138" spans="1:24">
      <c r="A1138">
        <v>609</v>
      </c>
      <c r="B1138" t="s">
        <v>3075</v>
      </c>
      <c r="C1138">
        <v>1</v>
      </c>
      <c r="D1138" t="s">
        <v>3076</v>
      </c>
      <c r="E1138">
        <v>4</v>
      </c>
      <c r="F1138">
        <v>4</v>
      </c>
      <c r="G1138">
        <v>4</v>
      </c>
      <c r="H1138" t="s">
        <v>3075</v>
      </c>
      <c r="I1138">
        <v>25.7</v>
      </c>
      <c r="J1138">
        <v>23.48</v>
      </c>
      <c r="K1138" t="str">
        <f>"RRAS"</f>
        <v>RRAS</v>
      </c>
      <c r="L1138" t="str">
        <f>"RRAS"</f>
        <v>RRAS</v>
      </c>
      <c r="M1138">
        <v>2.4207785504337198</v>
      </c>
      <c r="N1138">
        <v>0</v>
      </c>
      <c r="O1138">
        <v>1.8238867883763601</v>
      </c>
      <c r="P1138">
        <v>1.0652189274447901</v>
      </c>
      <c r="Q1138">
        <v>0</v>
      </c>
      <c r="R1138">
        <v>0.90008103209297396</v>
      </c>
      <c r="S1138">
        <v>0</v>
      </c>
      <c r="T1138">
        <v>0</v>
      </c>
      <c r="U1138">
        <v>1.10235831809872</v>
      </c>
      <c r="V1138">
        <v>2.1012719352831399</v>
      </c>
      <c r="W1138">
        <v>0</v>
      </c>
      <c r="X1138">
        <v>1.96929142123987</v>
      </c>
    </row>
    <row r="1139" spans="1:24">
      <c r="A1139">
        <v>644</v>
      </c>
      <c r="B1139" t="s">
        <v>3077</v>
      </c>
      <c r="C1139">
        <v>2</v>
      </c>
      <c r="D1139" t="s">
        <v>3078</v>
      </c>
      <c r="E1139">
        <v>6</v>
      </c>
      <c r="F1139">
        <v>2</v>
      </c>
      <c r="G1139">
        <v>2</v>
      </c>
      <c r="H1139" t="s">
        <v>3079</v>
      </c>
      <c r="I1139">
        <v>23.6</v>
      </c>
      <c r="J1139">
        <v>34.768999999999998</v>
      </c>
      <c r="K1139" t="str">
        <f>"PRPS2"</f>
        <v>PRPS2</v>
      </c>
      <c r="L1139" t="str">
        <f>"PRPS2"</f>
        <v>PRPS2</v>
      </c>
      <c r="M1139">
        <v>1.2103892752168599</v>
      </c>
      <c r="N1139">
        <v>0.89450172185430499</v>
      </c>
      <c r="O1139">
        <v>0.91194339418818204</v>
      </c>
      <c r="P1139">
        <v>1.0652189274447901</v>
      </c>
      <c r="Q1139">
        <v>0</v>
      </c>
      <c r="R1139">
        <v>1.8001620641859499</v>
      </c>
      <c r="S1139">
        <v>1.1331355704698001</v>
      </c>
      <c r="T1139">
        <v>1.18448996772836</v>
      </c>
      <c r="U1139">
        <v>1.10235831809872</v>
      </c>
      <c r="V1139">
        <v>1.05063596764157</v>
      </c>
      <c r="W1139">
        <v>0</v>
      </c>
      <c r="X1139">
        <v>0.984645710619934</v>
      </c>
    </row>
    <row r="1140" spans="1:24">
      <c r="A1140">
        <v>656</v>
      </c>
      <c r="B1140" t="s">
        <v>3080</v>
      </c>
      <c r="C1140">
        <v>3</v>
      </c>
      <c r="D1140" t="s">
        <v>3081</v>
      </c>
      <c r="E1140">
        <v>8</v>
      </c>
      <c r="F1140">
        <v>8</v>
      </c>
      <c r="G1140">
        <v>8</v>
      </c>
      <c r="H1140" t="s">
        <v>3082</v>
      </c>
      <c r="I1140">
        <v>16.8</v>
      </c>
      <c r="J1140">
        <v>54.548000000000002</v>
      </c>
      <c r="K1140" t="str">
        <f>"PEPD"</f>
        <v>PEPD</v>
      </c>
      <c r="L1140" t="str">
        <f>"PEPD"</f>
        <v>PEPD</v>
      </c>
      <c r="M1140">
        <v>0</v>
      </c>
      <c r="N1140">
        <v>2.6835051655629099</v>
      </c>
      <c r="O1140">
        <v>2.7358301825645501</v>
      </c>
      <c r="P1140">
        <v>0</v>
      </c>
      <c r="Q1140">
        <v>1.25576199330606</v>
      </c>
      <c r="R1140">
        <v>0.90008103209297396</v>
      </c>
      <c r="S1140">
        <v>1.1331355704698001</v>
      </c>
      <c r="T1140">
        <v>1.18448996772836</v>
      </c>
      <c r="U1140">
        <v>0</v>
      </c>
      <c r="V1140">
        <v>2.1012719352831399</v>
      </c>
      <c r="W1140">
        <v>0</v>
      </c>
      <c r="X1140">
        <v>0</v>
      </c>
    </row>
    <row r="1141" spans="1:24">
      <c r="A1141">
        <v>696</v>
      </c>
      <c r="B1141" t="s">
        <v>3083</v>
      </c>
      <c r="C1141">
        <v>1</v>
      </c>
      <c r="D1141" t="s">
        <v>3084</v>
      </c>
      <c r="E1141">
        <v>7</v>
      </c>
      <c r="F1141">
        <v>7</v>
      </c>
      <c r="G1141">
        <v>7</v>
      </c>
      <c r="H1141" t="s">
        <v>3083</v>
      </c>
      <c r="I1141">
        <v>35.799999999999997</v>
      </c>
      <c r="J1141">
        <v>35.853000000000002</v>
      </c>
      <c r="K1141" t="str">
        <f>"AKR1B1"</f>
        <v>AKR1B1</v>
      </c>
      <c r="L1141" t="str">
        <f>"AKR1B1"</f>
        <v>AKR1B1</v>
      </c>
      <c r="M1141">
        <v>0</v>
      </c>
      <c r="N1141">
        <v>0</v>
      </c>
      <c r="O1141">
        <v>1.8238867883763601</v>
      </c>
      <c r="P1141">
        <v>2.1304378548895899</v>
      </c>
      <c r="Q1141">
        <v>0</v>
      </c>
      <c r="R1141">
        <v>0</v>
      </c>
      <c r="S1141">
        <v>1.1331355704698001</v>
      </c>
      <c r="T1141">
        <v>1.18448996772836</v>
      </c>
      <c r="U1141">
        <v>0</v>
      </c>
      <c r="V1141">
        <v>0</v>
      </c>
      <c r="W1141">
        <v>1.27539809638918</v>
      </c>
      <c r="X1141">
        <v>0.984645710619934</v>
      </c>
    </row>
    <row r="1142" spans="1:24">
      <c r="A1142">
        <v>841</v>
      </c>
      <c r="B1142" t="s">
        <v>3085</v>
      </c>
      <c r="C1142">
        <v>1</v>
      </c>
      <c r="D1142" t="s">
        <v>3086</v>
      </c>
      <c r="E1142">
        <v>4</v>
      </c>
      <c r="F1142">
        <v>4</v>
      </c>
      <c r="G1142">
        <v>4</v>
      </c>
      <c r="H1142" t="s">
        <v>3085</v>
      </c>
      <c r="I1142">
        <v>33.1</v>
      </c>
      <c r="J1142">
        <v>15.648999999999999</v>
      </c>
      <c r="K1142" t="str">
        <f>"FKBP2"</f>
        <v>FKBP2</v>
      </c>
      <c r="L1142" t="str">
        <f>"FKBP2"</f>
        <v>FKBP2</v>
      </c>
      <c r="M1142">
        <v>1.2103892752168599</v>
      </c>
      <c r="N1142">
        <v>0</v>
      </c>
      <c r="O1142">
        <v>1.8238867883763601</v>
      </c>
      <c r="P1142">
        <v>1.0652189274447901</v>
      </c>
      <c r="Q1142">
        <v>1.25576199330606</v>
      </c>
      <c r="R1142">
        <v>0.90008103209297396</v>
      </c>
      <c r="S1142">
        <v>1.1331355704698001</v>
      </c>
      <c r="T1142">
        <v>1.18448996772836</v>
      </c>
      <c r="U1142">
        <v>0</v>
      </c>
      <c r="V1142">
        <v>2.1012719352831399</v>
      </c>
      <c r="W1142">
        <v>1.27539809638918</v>
      </c>
      <c r="X1142">
        <v>0</v>
      </c>
    </row>
    <row r="1143" spans="1:24">
      <c r="A1143">
        <v>1052</v>
      </c>
      <c r="B1143" t="s">
        <v>3087</v>
      </c>
      <c r="C1143">
        <v>4</v>
      </c>
      <c r="D1143" t="s">
        <v>3088</v>
      </c>
      <c r="E1143">
        <v>16</v>
      </c>
      <c r="F1143">
        <v>16</v>
      </c>
      <c r="G1143">
        <v>15</v>
      </c>
      <c r="H1143" t="s">
        <v>3089</v>
      </c>
      <c r="I1143">
        <v>5.7</v>
      </c>
      <c r="J1143">
        <v>394.46</v>
      </c>
      <c r="K1143" t="str">
        <f>"UTRN"</f>
        <v>UTRN</v>
      </c>
      <c r="L1143" t="str">
        <f>"UTRN"</f>
        <v>UTRN</v>
      </c>
      <c r="M1143">
        <v>0</v>
      </c>
      <c r="N1143">
        <v>4.4725086092715198</v>
      </c>
      <c r="O1143">
        <v>1.8238867883763601</v>
      </c>
      <c r="P1143">
        <v>0</v>
      </c>
      <c r="Q1143">
        <v>1.25576199330606</v>
      </c>
      <c r="R1143">
        <v>0.90008103209297396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1.96929142123987</v>
      </c>
    </row>
    <row r="1144" spans="1:24">
      <c r="A1144">
        <v>1448</v>
      </c>
      <c r="B1144" t="s">
        <v>3090</v>
      </c>
      <c r="C1144">
        <v>8</v>
      </c>
      <c r="D1144" t="s">
        <v>3091</v>
      </c>
      <c r="E1144">
        <v>6</v>
      </c>
      <c r="F1144">
        <v>6</v>
      </c>
      <c r="G1144">
        <v>6</v>
      </c>
      <c r="H1144" t="s">
        <v>3092</v>
      </c>
      <c r="I1144">
        <v>14.3</v>
      </c>
      <c r="J1144">
        <v>59.917999999999999</v>
      </c>
      <c r="K1144" t="str">
        <f>"PICALM;SNAP91"</f>
        <v>PICALM;SNAP91</v>
      </c>
      <c r="L1144" t="str">
        <f>"PICALM;SNAP91"</f>
        <v>PICALM;SNAP91</v>
      </c>
      <c r="M1144">
        <v>0</v>
      </c>
      <c r="N1144">
        <v>1.78900344370861</v>
      </c>
      <c r="O1144">
        <v>3.64777357675273</v>
      </c>
      <c r="P1144">
        <v>1.0652189274447901</v>
      </c>
      <c r="Q1144">
        <v>0</v>
      </c>
      <c r="R1144">
        <v>1.8001620641859499</v>
      </c>
      <c r="S1144">
        <v>1.1331355704698001</v>
      </c>
      <c r="T1144">
        <v>0</v>
      </c>
      <c r="U1144">
        <v>0</v>
      </c>
      <c r="V1144">
        <v>2.1012719352831399</v>
      </c>
      <c r="W1144">
        <v>0</v>
      </c>
      <c r="X1144">
        <v>0.984645710619934</v>
      </c>
    </row>
    <row r="1145" spans="1:24">
      <c r="A1145">
        <v>1576</v>
      </c>
      <c r="B1145" t="s">
        <v>3093</v>
      </c>
      <c r="C1145">
        <v>5</v>
      </c>
      <c r="D1145" t="s">
        <v>3094</v>
      </c>
      <c r="E1145">
        <v>4</v>
      </c>
      <c r="F1145">
        <v>4</v>
      </c>
      <c r="G1145">
        <v>4</v>
      </c>
      <c r="H1145" t="s">
        <v>3095</v>
      </c>
      <c r="I1145">
        <v>40</v>
      </c>
      <c r="J1145">
        <v>11.308999999999999</v>
      </c>
      <c r="K1145" t="str">
        <f>"VAMP3;VAMP2;VAMP1"</f>
        <v>VAMP3;VAMP2;VAMP1</v>
      </c>
      <c r="L1145" t="str">
        <f>"VAMP3;VAMP2;VAMP1"</f>
        <v>VAMP3;VAMP2;VAMP1</v>
      </c>
      <c r="M1145">
        <v>0</v>
      </c>
      <c r="N1145">
        <v>0</v>
      </c>
      <c r="O1145">
        <v>0.91194339418818204</v>
      </c>
      <c r="P1145">
        <v>2.1304378548895899</v>
      </c>
      <c r="Q1145">
        <v>0</v>
      </c>
      <c r="R1145">
        <v>2.7002430962789199</v>
      </c>
      <c r="S1145">
        <v>1.1331355704698001</v>
      </c>
      <c r="T1145">
        <v>1.18448996772836</v>
      </c>
      <c r="U1145">
        <v>1.10235831809872</v>
      </c>
      <c r="V1145">
        <v>1.05063596764157</v>
      </c>
      <c r="W1145">
        <v>0</v>
      </c>
      <c r="X1145">
        <v>0.984645710619934</v>
      </c>
    </row>
    <row r="1146" spans="1:24">
      <c r="A1146">
        <v>1786</v>
      </c>
      <c r="B1146" t="s">
        <v>3096</v>
      </c>
      <c r="C1146">
        <v>3</v>
      </c>
      <c r="D1146" t="s">
        <v>3097</v>
      </c>
      <c r="E1146">
        <v>5</v>
      </c>
      <c r="F1146">
        <v>5</v>
      </c>
      <c r="G1146">
        <v>5</v>
      </c>
      <c r="H1146" t="s">
        <v>3098</v>
      </c>
      <c r="I1146">
        <v>24</v>
      </c>
      <c r="J1146">
        <v>36.847999999999999</v>
      </c>
      <c r="K1146" t="str">
        <f>"PNKD"</f>
        <v>PNKD</v>
      </c>
      <c r="L1146" t="str">
        <f>"PNKD"</f>
        <v>PNKD</v>
      </c>
      <c r="M1146">
        <v>1.2103892752168599</v>
      </c>
      <c r="N1146">
        <v>0.89450172185430499</v>
      </c>
      <c r="O1146">
        <v>0.91194339418818204</v>
      </c>
      <c r="P1146">
        <v>0</v>
      </c>
      <c r="Q1146">
        <v>1.25576199330606</v>
      </c>
      <c r="R1146">
        <v>1.8001620641859499</v>
      </c>
      <c r="S1146">
        <v>2.2662711409396001</v>
      </c>
      <c r="T1146">
        <v>1.18448996772836</v>
      </c>
      <c r="U1146">
        <v>1.10235831809872</v>
      </c>
      <c r="V1146">
        <v>0</v>
      </c>
      <c r="W1146">
        <v>2.5507961927783702</v>
      </c>
      <c r="X1146">
        <v>0.984645710619934</v>
      </c>
    </row>
    <row r="1147" spans="1:24">
      <c r="A1147">
        <v>1815</v>
      </c>
      <c r="B1147" t="s">
        <v>3099</v>
      </c>
      <c r="C1147">
        <v>6</v>
      </c>
      <c r="D1147" t="s">
        <v>3100</v>
      </c>
      <c r="E1147">
        <v>8</v>
      </c>
      <c r="F1147">
        <v>8</v>
      </c>
      <c r="G1147">
        <v>8</v>
      </c>
      <c r="H1147" t="s">
        <v>3101</v>
      </c>
      <c r="I1147">
        <v>40.299999999999997</v>
      </c>
      <c r="J1147">
        <v>34.69</v>
      </c>
      <c r="K1147" t="str">
        <f>"ABHD11"</f>
        <v>ABHD11</v>
      </c>
      <c r="L1147" t="str">
        <f>"ABHD11"</f>
        <v>ABHD11</v>
      </c>
      <c r="M1147">
        <v>1.2103892752168599</v>
      </c>
      <c r="N1147">
        <v>0</v>
      </c>
      <c r="O1147">
        <v>0.91194339418818204</v>
      </c>
      <c r="P1147">
        <v>2.1304378548895899</v>
      </c>
      <c r="Q1147">
        <v>1.25576199330606</v>
      </c>
      <c r="R1147">
        <v>1.8001620641859499</v>
      </c>
      <c r="S1147">
        <v>1.1331355704698001</v>
      </c>
      <c r="T1147">
        <v>1.18448996772836</v>
      </c>
      <c r="U1147">
        <v>1.10235831809872</v>
      </c>
      <c r="V1147">
        <v>0</v>
      </c>
      <c r="W1147">
        <v>1.27539809638918</v>
      </c>
      <c r="X1147">
        <v>0.984645710619934</v>
      </c>
    </row>
    <row r="1148" spans="1:24">
      <c r="A1148">
        <v>2097</v>
      </c>
      <c r="B1148" t="s">
        <v>3102</v>
      </c>
      <c r="C1148">
        <v>3</v>
      </c>
      <c r="D1148" t="s">
        <v>3103</v>
      </c>
      <c r="E1148">
        <v>7</v>
      </c>
      <c r="F1148">
        <v>7</v>
      </c>
      <c r="G1148">
        <v>7</v>
      </c>
      <c r="H1148" t="s">
        <v>3104</v>
      </c>
      <c r="I1148">
        <v>28.1</v>
      </c>
      <c r="J1148">
        <v>36.345999999999997</v>
      </c>
      <c r="K1148" t="str">
        <f>"C1orf198"</f>
        <v>C1orf198</v>
      </c>
      <c r="L1148" t="str">
        <f>"C1orf198"</f>
        <v>C1orf198</v>
      </c>
      <c r="M1148">
        <v>0</v>
      </c>
      <c r="N1148">
        <v>1.78900344370861</v>
      </c>
      <c r="O1148">
        <v>0.91194339418818204</v>
      </c>
      <c r="P1148">
        <v>1.0652189274447901</v>
      </c>
      <c r="Q1148">
        <v>0</v>
      </c>
      <c r="R1148">
        <v>2.7002430962789199</v>
      </c>
      <c r="S1148">
        <v>1.1331355704698001</v>
      </c>
      <c r="T1148">
        <v>0</v>
      </c>
      <c r="U1148">
        <v>0</v>
      </c>
      <c r="V1148">
        <v>0</v>
      </c>
      <c r="W1148">
        <v>0</v>
      </c>
      <c r="X1148">
        <v>0.984645710619934</v>
      </c>
    </row>
    <row r="1149" spans="1:24">
      <c r="A1149">
        <v>2230</v>
      </c>
      <c r="B1149" t="s">
        <v>3105</v>
      </c>
      <c r="C1149">
        <v>2</v>
      </c>
      <c r="D1149" t="s">
        <v>3106</v>
      </c>
      <c r="E1149">
        <v>6</v>
      </c>
      <c r="F1149">
        <v>6</v>
      </c>
      <c r="G1149">
        <v>6</v>
      </c>
      <c r="H1149" t="s">
        <v>3107</v>
      </c>
      <c r="I1149">
        <v>37.4</v>
      </c>
      <c r="J1149">
        <v>20.504999999999999</v>
      </c>
      <c r="K1149" t="str">
        <f>"VPS29"</f>
        <v>VPS29</v>
      </c>
      <c r="L1149" t="str">
        <f>"VPS29"</f>
        <v>VPS29</v>
      </c>
      <c r="M1149">
        <v>0</v>
      </c>
      <c r="N1149">
        <v>0</v>
      </c>
      <c r="O1149">
        <v>0.91194339418818204</v>
      </c>
      <c r="P1149">
        <v>1.0652189274447901</v>
      </c>
      <c r="Q1149">
        <v>0</v>
      </c>
      <c r="R1149">
        <v>3.6003241283718901</v>
      </c>
      <c r="S1149">
        <v>0</v>
      </c>
      <c r="T1149">
        <v>0</v>
      </c>
      <c r="U1149">
        <v>0</v>
      </c>
      <c r="V1149">
        <v>1.05063596764157</v>
      </c>
      <c r="W1149">
        <v>0</v>
      </c>
      <c r="X1149">
        <v>1.96929142123987</v>
      </c>
    </row>
    <row r="1150" spans="1:24">
      <c r="A1150">
        <v>2290</v>
      </c>
      <c r="B1150" t="s">
        <v>3108</v>
      </c>
      <c r="C1150">
        <v>3</v>
      </c>
      <c r="D1150" t="s">
        <v>3109</v>
      </c>
      <c r="E1150">
        <v>7</v>
      </c>
      <c r="F1150">
        <v>5</v>
      </c>
      <c r="G1150">
        <v>5</v>
      </c>
      <c r="H1150" t="s">
        <v>3110</v>
      </c>
      <c r="I1150">
        <v>35.200000000000003</v>
      </c>
      <c r="J1150">
        <v>18.884</v>
      </c>
      <c r="K1150" t="str">
        <f>"SNX12"</f>
        <v>SNX12</v>
      </c>
      <c r="L1150" t="str">
        <f>"SNX12"</f>
        <v>SNX12</v>
      </c>
      <c r="M1150">
        <v>0</v>
      </c>
      <c r="N1150">
        <v>0.89450172185430499</v>
      </c>
      <c r="O1150">
        <v>1.8238867883763601</v>
      </c>
      <c r="P1150">
        <v>1.0652189274447901</v>
      </c>
      <c r="Q1150">
        <v>0</v>
      </c>
      <c r="R1150">
        <v>1.8001620641859499</v>
      </c>
      <c r="S1150">
        <v>2.2662711409396001</v>
      </c>
      <c r="T1150">
        <v>0</v>
      </c>
      <c r="U1150">
        <v>1.10235831809872</v>
      </c>
      <c r="V1150">
        <v>1.05063596764157</v>
      </c>
      <c r="W1150">
        <v>0</v>
      </c>
      <c r="X1150">
        <v>0.984645710619934</v>
      </c>
    </row>
    <row r="1151" spans="1:24">
      <c r="A1151">
        <v>78</v>
      </c>
      <c r="B1151" t="s">
        <v>3111</v>
      </c>
      <c r="C1151">
        <v>1</v>
      </c>
      <c r="D1151" t="s">
        <v>3112</v>
      </c>
      <c r="E1151">
        <v>7</v>
      </c>
      <c r="F1151">
        <v>7</v>
      </c>
      <c r="G1151">
        <v>5</v>
      </c>
      <c r="H1151" t="s">
        <v>3111</v>
      </c>
      <c r="I1151">
        <v>18.8</v>
      </c>
      <c r="J1151">
        <v>57.886000000000003</v>
      </c>
      <c r="K1151" t="str">
        <f>"KPNA4"</f>
        <v>KPNA4</v>
      </c>
      <c r="L1151" t="str">
        <f>"KPNA4"</f>
        <v>KPNA4</v>
      </c>
      <c r="M1151">
        <v>0</v>
      </c>
      <c r="N1151">
        <v>0.89450172185430499</v>
      </c>
      <c r="O1151">
        <v>1.8238867883763601</v>
      </c>
      <c r="P1151">
        <v>1.0652189274447901</v>
      </c>
      <c r="Q1151">
        <v>0</v>
      </c>
      <c r="R1151">
        <v>2.7002430962789199</v>
      </c>
      <c r="S1151">
        <v>1.1331355704698001</v>
      </c>
      <c r="T1151">
        <v>0</v>
      </c>
      <c r="U1151">
        <v>2.20471663619744</v>
      </c>
      <c r="V1151">
        <v>1.05063596764157</v>
      </c>
      <c r="W1151">
        <v>2.5507961927783702</v>
      </c>
      <c r="X1151">
        <v>0.984645710619934</v>
      </c>
    </row>
    <row r="1152" spans="1:24">
      <c r="A1152">
        <v>123</v>
      </c>
      <c r="B1152" t="s">
        <v>3113</v>
      </c>
      <c r="C1152">
        <v>9</v>
      </c>
      <c r="D1152" t="s">
        <v>3114</v>
      </c>
      <c r="E1152">
        <v>10</v>
      </c>
      <c r="F1152">
        <v>10</v>
      </c>
      <c r="G1152">
        <v>10</v>
      </c>
      <c r="H1152" t="s">
        <v>3115</v>
      </c>
      <c r="I1152">
        <v>30.5</v>
      </c>
      <c r="J1152">
        <v>48.62</v>
      </c>
      <c r="K1152" t="str">
        <f>"ZNF185"</f>
        <v>ZNF185</v>
      </c>
      <c r="L1152" t="str">
        <f>"ZNF185"</f>
        <v>ZNF185</v>
      </c>
      <c r="M1152">
        <v>0</v>
      </c>
      <c r="N1152">
        <v>0.89450172185430499</v>
      </c>
      <c r="O1152">
        <v>0</v>
      </c>
      <c r="P1152">
        <v>0</v>
      </c>
      <c r="Q1152">
        <v>0</v>
      </c>
      <c r="R1152">
        <v>1.8001620641859499</v>
      </c>
      <c r="S1152">
        <v>1.1331355704698001</v>
      </c>
      <c r="T1152">
        <v>0</v>
      </c>
      <c r="U1152">
        <v>1.10235831809872</v>
      </c>
      <c r="V1152">
        <v>3.1519079029246999</v>
      </c>
      <c r="W1152">
        <v>1.27539809638918</v>
      </c>
      <c r="X1152">
        <v>0.984645710619934</v>
      </c>
    </row>
    <row r="1153" spans="1:24">
      <c r="A1153">
        <v>223</v>
      </c>
      <c r="B1153" t="s">
        <v>3116</v>
      </c>
      <c r="C1153">
        <v>2</v>
      </c>
      <c r="D1153" t="s">
        <v>3117</v>
      </c>
      <c r="E1153">
        <v>5</v>
      </c>
      <c r="F1153">
        <v>5</v>
      </c>
      <c r="G1153">
        <v>5</v>
      </c>
      <c r="H1153" t="s">
        <v>3118</v>
      </c>
      <c r="I1153">
        <v>36</v>
      </c>
      <c r="J1153">
        <v>22.875</v>
      </c>
      <c r="K1153" t="str">
        <f>"LYPLA1"</f>
        <v>LYPLA1</v>
      </c>
      <c r="L1153" t="str">
        <f>"LYPLA1"</f>
        <v>LYPLA1</v>
      </c>
      <c r="M1153">
        <v>0</v>
      </c>
      <c r="N1153">
        <v>0</v>
      </c>
      <c r="O1153">
        <v>0.91194339418818204</v>
      </c>
      <c r="P1153">
        <v>1.0652189274447901</v>
      </c>
      <c r="Q1153">
        <v>1.25576199330606</v>
      </c>
      <c r="R1153">
        <v>1.8001620641859499</v>
      </c>
      <c r="S1153">
        <v>0</v>
      </c>
      <c r="T1153">
        <v>1.18448996772836</v>
      </c>
      <c r="U1153">
        <v>0</v>
      </c>
      <c r="V1153">
        <v>0</v>
      </c>
      <c r="W1153">
        <v>0</v>
      </c>
      <c r="X1153">
        <v>1.96929142123987</v>
      </c>
    </row>
    <row r="1154" spans="1:24">
      <c r="A1154">
        <v>293</v>
      </c>
      <c r="B1154" t="s">
        <v>3119</v>
      </c>
      <c r="C1154">
        <v>2</v>
      </c>
      <c r="D1154" t="s">
        <v>3120</v>
      </c>
      <c r="E1154">
        <v>7</v>
      </c>
      <c r="F1154">
        <v>7</v>
      </c>
      <c r="G1154">
        <v>7</v>
      </c>
      <c r="H1154" t="s">
        <v>3121</v>
      </c>
      <c r="I1154">
        <v>17.600000000000001</v>
      </c>
      <c r="J1154">
        <v>54.860999999999997</v>
      </c>
      <c r="K1154" t="str">
        <f>"ALDH1A1;ALDH2"</f>
        <v>ALDH1A1;ALDH2</v>
      </c>
      <c r="L1154" t="str">
        <f>"ALDH1A1;ALDH2"</f>
        <v>ALDH1A1;ALDH2</v>
      </c>
      <c r="M1154">
        <v>0</v>
      </c>
      <c r="N1154">
        <v>1.78900344370861</v>
      </c>
      <c r="O1154">
        <v>1.8238867883763601</v>
      </c>
      <c r="P1154">
        <v>1.0652189274447901</v>
      </c>
      <c r="Q1154">
        <v>0</v>
      </c>
      <c r="R1154">
        <v>1.8001620641859499</v>
      </c>
      <c r="S1154">
        <v>1.1331355704698001</v>
      </c>
      <c r="T1154">
        <v>1.18448996772836</v>
      </c>
      <c r="U1154">
        <v>0</v>
      </c>
      <c r="V1154">
        <v>1.05063596764157</v>
      </c>
      <c r="W1154">
        <v>0</v>
      </c>
      <c r="X1154">
        <v>0.984645710619934</v>
      </c>
    </row>
    <row r="1155" spans="1:24">
      <c r="A1155">
        <v>346</v>
      </c>
      <c r="B1155" t="s">
        <v>3122</v>
      </c>
      <c r="C1155">
        <v>1</v>
      </c>
      <c r="D1155" t="s">
        <v>3123</v>
      </c>
      <c r="E1155">
        <v>2</v>
      </c>
      <c r="F1155">
        <v>2</v>
      </c>
      <c r="G1155">
        <v>2</v>
      </c>
      <c r="H1155" t="s">
        <v>3122</v>
      </c>
      <c r="I1155">
        <v>31.5</v>
      </c>
      <c r="J1155">
        <v>11.608000000000001</v>
      </c>
      <c r="K1155" t="s">
        <v>3124</v>
      </c>
      <c r="L1155" t="s">
        <v>3124</v>
      </c>
      <c r="M1155">
        <v>1.2103892752168599</v>
      </c>
      <c r="N1155">
        <v>0</v>
      </c>
      <c r="O1155">
        <v>0</v>
      </c>
      <c r="P1155">
        <v>3.19565678233438</v>
      </c>
      <c r="Q1155">
        <v>3.7672859799181899</v>
      </c>
      <c r="R1155">
        <v>0</v>
      </c>
      <c r="S1155">
        <v>1.1331355704698001</v>
      </c>
      <c r="T1155">
        <v>1.18448996772836</v>
      </c>
      <c r="U1155">
        <v>0</v>
      </c>
      <c r="V1155">
        <v>1.05063596764157</v>
      </c>
      <c r="W1155">
        <v>3.82619428916755</v>
      </c>
      <c r="X1155">
        <v>0</v>
      </c>
    </row>
    <row r="1156" spans="1:24">
      <c r="A1156">
        <v>426</v>
      </c>
      <c r="B1156" t="s">
        <v>3125</v>
      </c>
      <c r="C1156">
        <v>1</v>
      </c>
      <c r="D1156" t="s">
        <v>3126</v>
      </c>
      <c r="E1156">
        <v>12</v>
      </c>
      <c r="F1156">
        <v>12</v>
      </c>
      <c r="G1156">
        <v>12</v>
      </c>
      <c r="H1156" t="s">
        <v>3125</v>
      </c>
      <c r="I1156">
        <v>18.7</v>
      </c>
      <c r="J1156">
        <v>84.87</v>
      </c>
      <c r="K1156" t="str">
        <f>"TFRC"</f>
        <v>TFRC</v>
      </c>
      <c r="L1156" t="str">
        <f>"TFRC"</f>
        <v>TFRC</v>
      </c>
      <c r="M1156">
        <v>0</v>
      </c>
      <c r="N1156">
        <v>0.89450172185430499</v>
      </c>
      <c r="O1156">
        <v>0</v>
      </c>
      <c r="P1156">
        <v>0</v>
      </c>
      <c r="Q1156">
        <v>0</v>
      </c>
      <c r="R1156">
        <v>0.90008103209297396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2.9539371318597998</v>
      </c>
    </row>
    <row r="1157" spans="1:24">
      <c r="A1157">
        <v>452</v>
      </c>
      <c r="B1157" t="s">
        <v>3127</v>
      </c>
      <c r="C1157">
        <v>1</v>
      </c>
      <c r="D1157" t="s">
        <v>3128</v>
      </c>
      <c r="E1157">
        <v>3</v>
      </c>
      <c r="F1157">
        <v>3</v>
      </c>
      <c r="G1157">
        <v>3</v>
      </c>
      <c r="H1157" t="s">
        <v>3127</v>
      </c>
      <c r="I1157">
        <v>21.4</v>
      </c>
      <c r="J1157">
        <v>12.38</v>
      </c>
      <c r="K1157" t="s">
        <v>3129</v>
      </c>
      <c r="L1157" t="s">
        <v>3129</v>
      </c>
      <c r="M1157">
        <v>2.4207785504337198</v>
      </c>
      <c r="N1157">
        <v>0.89450172185430499</v>
      </c>
      <c r="O1157">
        <v>0.91194339418818204</v>
      </c>
      <c r="P1157">
        <v>1.0652189274447901</v>
      </c>
      <c r="Q1157">
        <v>1.25576199330606</v>
      </c>
      <c r="R1157">
        <v>0.90008103209297396</v>
      </c>
      <c r="S1157">
        <v>1.1331355704698001</v>
      </c>
      <c r="T1157">
        <v>2.3689799354567098</v>
      </c>
      <c r="U1157">
        <v>0</v>
      </c>
      <c r="V1157">
        <v>1.05063596764157</v>
      </c>
      <c r="W1157">
        <v>0</v>
      </c>
      <c r="X1157">
        <v>0</v>
      </c>
    </row>
    <row r="1158" spans="1:24">
      <c r="A1158">
        <v>608</v>
      </c>
      <c r="B1158" t="s">
        <v>3130</v>
      </c>
      <c r="C1158">
        <v>5</v>
      </c>
      <c r="D1158" t="s">
        <v>3131</v>
      </c>
      <c r="E1158">
        <v>5</v>
      </c>
      <c r="F1158">
        <v>5</v>
      </c>
      <c r="G1158">
        <v>5</v>
      </c>
      <c r="H1158" t="s">
        <v>3132</v>
      </c>
      <c r="I1158">
        <v>10.6</v>
      </c>
      <c r="J1158">
        <v>58.481999999999999</v>
      </c>
      <c r="K1158" t="str">
        <f>"TROVE2"</f>
        <v>TROVE2</v>
      </c>
      <c r="L1158" t="str">
        <f>"TROVE2"</f>
        <v>TROVE2</v>
      </c>
      <c r="M1158">
        <v>0</v>
      </c>
      <c r="N1158">
        <v>3.57800688741722</v>
      </c>
      <c r="O1158">
        <v>1.8238867883763601</v>
      </c>
      <c r="P1158">
        <v>1.0652189274447901</v>
      </c>
      <c r="Q1158">
        <v>0</v>
      </c>
      <c r="R1158">
        <v>1.8001620641859499</v>
      </c>
      <c r="S1158">
        <v>0</v>
      </c>
      <c r="T1158">
        <v>0</v>
      </c>
      <c r="U1158">
        <v>1.10235831809872</v>
      </c>
      <c r="V1158">
        <v>0</v>
      </c>
      <c r="W1158">
        <v>1.27539809638918</v>
      </c>
      <c r="X1158">
        <v>0.984645710619934</v>
      </c>
    </row>
    <row r="1159" spans="1:24">
      <c r="A1159">
        <v>651</v>
      </c>
      <c r="B1159" t="s">
        <v>3133</v>
      </c>
      <c r="C1159">
        <v>9</v>
      </c>
      <c r="D1159" t="s">
        <v>3134</v>
      </c>
      <c r="E1159">
        <v>4</v>
      </c>
      <c r="F1159">
        <v>4</v>
      </c>
      <c r="G1159">
        <v>4</v>
      </c>
      <c r="H1159" t="s">
        <v>3135</v>
      </c>
      <c r="I1159">
        <v>16.5</v>
      </c>
      <c r="J1159">
        <v>34.929000000000002</v>
      </c>
      <c r="K1159" t="str">
        <f>"FCGR2A;FCGR2C;FCGR2B"</f>
        <v>FCGR2A;FCGR2C;FCGR2B</v>
      </c>
      <c r="L1159" t="str">
        <f>"FCGR2A;FCGR2C;FCGR2B"</f>
        <v>FCGR2A;FCGR2C;FCGR2B</v>
      </c>
      <c r="M1159">
        <v>2.4207785504337198</v>
      </c>
      <c r="N1159">
        <v>0</v>
      </c>
      <c r="O1159">
        <v>0</v>
      </c>
      <c r="P1159">
        <v>0</v>
      </c>
      <c r="Q1159">
        <v>0</v>
      </c>
      <c r="R1159">
        <v>1.8001620641859499</v>
      </c>
      <c r="S1159">
        <v>1.1331355704698001</v>
      </c>
      <c r="T1159">
        <v>0</v>
      </c>
      <c r="U1159">
        <v>0</v>
      </c>
      <c r="V1159">
        <v>1.05063596764157</v>
      </c>
      <c r="W1159">
        <v>0</v>
      </c>
      <c r="X1159">
        <v>0</v>
      </c>
    </row>
    <row r="1160" spans="1:24">
      <c r="A1160">
        <v>751</v>
      </c>
      <c r="B1160" t="s">
        <v>3136</v>
      </c>
      <c r="C1160">
        <v>1</v>
      </c>
      <c r="D1160" t="s">
        <v>3137</v>
      </c>
      <c r="E1160">
        <v>5</v>
      </c>
      <c r="F1160">
        <v>5</v>
      </c>
      <c r="G1160">
        <v>5</v>
      </c>
      <c r="H1160" t="s">
        <v>3136</v>
      </c>
      <c r="I1160">
        <v>20.3</v>
      </c>
      <c r="J1160">
        <v>41.213000000000001</v>
      </c>
      <c r="K1160" t="str">
        <f>"CSNK2A2"</f>
        <v>CSNK2A2</v>
      </c>
      <c r="L1160" t="str">
        <f>"CSNK2A2"</f>
        <v>CSNK2A2</v>
      </c>
      <c r="M1160">
        <v>1.2103892752168599</v>
      </c>
      <c r="N1160">
        <v>1.78900344370861</v>
      </c>
      <c r="O1160">
        <v>0.91194339418818204</v>
      </c>
      <c r="P1160">
        <v>1.0652189274447901</v>
      </c>
      <c r="Q1160">
        <v>1.25576199330606</v>
      </c>
      <c r="R1160">
        <v>0</v>
      </c>
      <c r="S1160">
        <v>0</v>
      </c>
      <c r="T1160">
        <v>0</v>
      </c>
      <c r="U1160">
        <v>0</v>
      </c>
      <c r="V1160">
        <v>1.05063596764157</v>
      </c>
      <c r="W1160">
        <v>1.27539809638918</v>
      </c>
      <c r="X1160">
        <v>0.984645710619934</v>
      </c>
    </row>
    <row r="1161" spans="1:24">
      <c r="A1161">
        <v>777</v>
      </c>
      <c r="B1161" t="s">
        <v>3138</v>
      </c>
      <c r="C1161">
        <v>1</v>
      </c>
      <c r="D1161" t="s">
        <v>3139</v>
      </c>
      <c r="E1161">
        <v>5</v>
      </c>
      <c r="F1161">
        <v>5</v>
      </c>
      <c r="G1161">
        <v>5</v>
      </c>
      <c r="H1161" t="s">
        <v>3138</v>
      </c>
      <c r="I1161">
        <v>23.2</v>
      </c>
      <c r="J1161">
        <v>31.629000000000001</v>
      </c>
      <c r="K1161" t="str">
        <f>"SDHB"</f>
        <v>SDHB</v>
      </c>
      <c r="L1161" t="str">
        <f>"SDHB"</f>
        <v>SDHB</v>
      </c>
      <c r="M1161">
        <v>0</v>
      </c>
      <c r="N1161">
        <v>0.89450172185430499</v>
      </c>
      <c r="O1161">
        <v>1.8238867883763601</v>
      </c>
      <c r="P1161">
        <v>0</v>
      </c>
      <c r="Q1161">
        <v>0</v>
      </c>
      <c r="R1161">
        <v>0.90008103209297396</v>
      </c>
      <c r="S1161">
        <v>2.2662711409396001</v>
      </c>
      <c r="T1161">
        <v>0</v>
      </c>
      <c r="U1161">
        <v>2.20471663619744</v>
      </c>
      <c r="V1161">
        <v>0</v>
      </c>
      <c r="W1161">
        <v>1.27539809638918</v>
      </c>
      <c r="X1161">
        <v>0.984645710619934</v>
      </c>
    </row>
    <row r="1162" spans="1:24">
      <c r="A1162">
        <v>1299</v>
      </c>
      <c r="B1162" t="s">
        <v>3140</v>
      </c>
      <c r="C1162">
        <v>3</v>
      </c>
      <c r="D1162" t="s">
        <v>3141</v>
      </c>
      <c r="E1162">
        <v>38</v>
      </c>
      <c r="F1162">
        <v>5</v>
      </c>
      <c r="G1162">
        <v>5</v>
      </c>
      <c r="H1162" t="s">
        <v>3142</v>
      </c>
      <c r="I1162">
        <v>71.5</v>
      </c>
      <c r="J1162">
        <v>32.722000000000001</v>
      </c>
      <c r="K1162" t="str">
        <f>"TPM4;CCDC57"</f>
        <v>TPM4;CCDC57</v>
      </c>
      <c r="L1162" t="str">
        <f>"TPM4;CCDC57"</f>
        <v>TPM4;CCDC57</v>
      </c>
      <c r="M1162">
        <v>0</v>
      </c>
      <c r="N1162">
        <v>1.78900344370861</v>
      </c>
      <c r="O1162">
        <v>1.8238867883763601</v>
      </c>
      <c r="P1162">
        <v>2.1304378548895899</v>
      </c>
      <c r="Q1162">
        <v>0</v>
      </c>
      <c r="R1162">
        <v>0.90008103209297396</v>
      </c>
      <c r="S1162">
        <v>1.1331355704698001</v>
      </c>
      <c r="T1162">
        <v>0</v>
      </c>
      <c r="U1162">
        <v>1.10235831809872</v>
      </c>
      <c r="V1162">
        <v>0</v>
      </c>
      <c r="W1162">
        <v>0</v>
      </c>
      <c r="X1162">
        <v>0</v>
      </c>
    </row>
    <row r="1163" spans="1:24">
      <c r="A1163">
        <v>1422</v>
      </c>
      <c r="B1163" t="s">
        <v>3143</v>
      </c>
      <c r="C1163">
        <v>2</v>
      </c>
      <c r="D1163" t="s">
        <v>3144</v>
      </c>
      <c r="E1163">
        <v>4</v>
      </c>
      <c r="F1163">
        <v>4</v>
      </c>
      <c r="G1163">
        <v>4</v>
      </c>
      <c r="H1163" t="s">
        <v>3145</v>
      </c>
      <c r="I1163">
        <v>10.6</v>
      </c>
      <c r="J1163">
        <v>62.328000000000003</v>
      </c>
      <c r="K1163" t="str">
        <f>"COASY"</f>
        <v>COASY</v>
      </c>
      <c r="L1163" t="str">
        <f>"COASY"</f>
        <v>COASY</v>
      </c>
      <c r="M1163">
        <v>1.2103892752168599</v>
      </c>
      <c r="N1163">
        <v>0.89450172185430499</v>
      </c>
      <c r="O1163">
        <v>2.7358301825645501</v>
      </c>
      <c r="P1163">
        <v>1.0652189274447901</v>
      </c>
      <c r="Q1163">
        <v>1.25576199330606</v>
      </c>
      <c r="R1163">
        <v>0.90008103209297396</v>
      </c>
      <c r="S1163">
        <v>0</v>
      </c>
      <c r="T1163">
        <v>0</v>
      </c>
      <c r="U1163">
        <v>0</v>
      </c>
      <c r="V1163">
        <v>1.05063596764157</v>
      </c>
      <c r="W1163">
        <v>0</v>
      </c>
      <c r="X1163">
        <v>1.96929142123987</v>
      </c>
    </row>
    <row r="1164" spans="1:24">
      <c r="A1164">
        <v>1461</v>
      </c>
      <c r="B1164" t="s">
        <v>3146</v>
      </c>
      <c r="C1164">
        <v>2</v>
      </c>
      <c r="D1164" t="s">
        <v>3147</v>
      </c>
      <c r="E1164">
        <v>10</v>
      </c>
      <c r="F1164">
        <v>10</v>
      </c>
      <c r="G1164">
        <v>10</v>
      </c>
      <c r="H1164" t="s">
        <v>3148</v>
      </c>
      <c r="I1164">
        <v>17.399999999999999</v>
      </c>
      <c r="J1164">
        <v>86.981999999999999</v>
      </c>
      <c r="K1164" t="str">
        <f>"CUL2"</f>
        <v>CUL2</v>
      </c>
      <c r="L1164" t="str">
        <f>"CUL2"</f>
        <v>CUL2</v>
      </c>
      <c r="M1164">
        <v>0</v>
      </c>
      <c r="N1164">
        <v>0.89450172185430499</v>
      </c>
      <c r="O1164">
        <v>0.91194339418818204</v>
      </c>
      <c r="P1164">
        <v>0</v>
      </c>
      <c r="Q1164">
        <v>0</v>
      </c>
      <c r="R1164">
        <v>0.90008103209297396</v>
      </c>
      <c r="S1164">
        <v>1.1331355704698001</v>
      </c>
      <c r="T1164">
        <v>0</v>
      </c>
      <c r="U1164">
        <v>2.20471663619744</v>
      </c>
      <c r="V1164">
        <v>1.05063596764157</v>
      </c>
      <c r="W1164">
        <v>1.27539809638918</v>
      </c>
      <c r="X1164">
        <v>3.9385828424797298</v>
      </c>
    </row>
    <row r="1165" spans="1:24">
      <c r="A1165">
        <v>1483</v>
      </c>
      <c r="B1165" t="s">
        <v>3149</v>
      </c>
      <c r="C1165">
        <v>8</v>
      </c>
      <c r="D1165" t="s">
        <v>3150</v>
      </c>
      <c r="E1165">
        <v>8</v>
      </c>
      <c r="F1165">
        <v>8</v>
      </c>
      <c r="G1165">
        <v>8</v>
      </c>
      <c r="H1165" t="s">
        <v>3151</v>
      </c>
      <c r="I1165">
        <v>15.8</v>
      </c>
      <c r="J1165">
        <v>70.448999999999998</v>
      </c>
      <c r="K1165" t="str">
        <f>"ARHGEF7;ARHGEF6"</f>
        <v>ARHGEF7;ARHGEF6</v>
      </c>
      <c r="L1165" t="str">
        <f>"ARHGEF7;ARHGEF6"</f>
        <v>ARHGEF7;ARHGEF6</v>
      </c>
      <c r="M1165">
        <v>0</v>
      </c>
      <c r="N1165">
        <v>1.78900344370861</v>
      </c>
      <c r="O1165">
        <v>0.91194339418818204</v>
      </c>
      <c r="P1165">
        <v>1.0652189274447901</v>
      </c>
      <c r="Q1165">
        <v>1.25576199330606</v>
      </c>
      <c r="R1165">
        <v>0.90008103209297396</v>
      </c>
      <c r="S1165">
        <v>0</v>
      </c>
      <c r="T1165">
        <v>0</v>
      </c>
      <c r="U1165">
        <v>0</v>
      </c>
      <c r="V1165">
        <v>1.05063596764157</v>
      </c>
      <c r="W1165">
        <v>1.27539809638918</v>
      </c>
      <c r="X1165">
        <v>2.9539371318597998</v>
      </c>
    </row>
    <row r="1166" spans="1:24">
      <c r="A1166">
        <v>1634</v>
      </c>
      <c r="B1166" t="s">
        <v>3152</v>
      </c>
      <c r="C1166">
        <v>3</v>
      </c>
      <c r="D1166" t="s">
        <v>3153</v>
      </c>
      <c r="E1166">
        <v>5</v>
      </c>
      <c r="F1166">
        <v>5</v>
      </c>
      <c r="G1166">
        <v>5</v>
      </c>
      <c r="H1166" t="s">
        <v>3154</v>
      </c>
      <c r="I1166">
        <v>9.3000000000000007</v>
      </c>
      <c r="J1166">
        <v>68.793000000000006</v>
      </c>
      <c r="K1166" t="str">
        <f>"FGD3"</f>
        <v>FGD3</v>
      </c>
      <c r="L1166" t="str">
        <f>"FGD3"</f>
        <v>FGD3</v>
      </c>
      <c r="M1166">
        <v>0</v>
      </c>
      <c r="N1166">
        <v>2.6835051655629099</v>
      </c>
      <c r="O1166">
        <v>1.8238867883763601</v>
      </c>
      <c r="P1166">
        <v>1.0652189274447901</v>
      </c>
      <c r="Q1166">
        <v>0</v>
      </c>
      <c r="R1166">
        <v>0.90008103209297396</v>
      </c>
      <c r="S1166">
        <v>1.1331355704698001</v>
      </c>
      <c r="T1166">
        <v>1.18448996772836</v>
      </c>
      <c r="U1166">
        <v>1.10235831809872</v>
      </c>
      <c r="V1166">
        <v>1.05063596764157</v>
      </c>
      <c r="W1166">
        <v>1.27539809638918</v>
      </c>
      <c r="X1166">
        <v>0.984645710619934</v>
      </c>
    </row>
    <row r="1167" spans="1:24">
      <c r="A1167">
        <v>1653</v>
      </c>
      <c r="B1167" t="s">
        <v>3155</v>
      </c>
      <c r="C1167">
        <v>2</v>
      </c>
      <c r="D1167" t="s">
        <v>3156</v>
      </c>
      <c r="E1167">
        <v>5</v>
      </c>
      <c r="F1167">
        <v>5</v>
      </c>
      <c r="G1167">
        <v>5</v>
      </c>
      <c r="H1167" t="s">
        <v>3157</v>
      </c>
      <c r="I1167">
        <v>21.1</v>
      </c>
      <c r="J1167">
        <v>42.871000000000002</v>
      </c>
      <c r="K1167" t="str">
        <f>"BROX"</f>
        <v>BROX</v>
      </c>
      <c r="L1167" t="str">
        <f>"BROX"</f>
        <v>BROX</v>
      </c>
      <c r="M1167">
        <v>1.2103892752168599</v>
      </c>
      <c r="N1167">
        <v>0.89450172185430499</v>
      </c>
      <c r="O1167">
        <v>0.91194339418818204</v>
      </c>
      <c r="P1167">
        <v>0</v>
      </c>
      <c r="Q1167">
        <v>1.25576199330606</v>
      </c>
      <c r="R1167">
        <v>1.8001620641859499</v>
      </c>
      <c r="S1167">
        <v>0</v>
      </c>
      <c r="T1167">
        <v>1.18448996772836</v>
      </c>
      <c r="U1167">
        <v>1.10235831809872</v>
      </c>
      <c r="V1167">
        <v>1.05063596764157</v>
      </c>
      <c r="W1167">
        <v>0</v>
      </c>
      <c r="X1167">
        <v>0.984645710619934</v>
      </c>
    </row>
    <row r="1168" spans="1:24">
      <c r="A1168">
        <v>1681</v>
      </c>
      <c r="B1168" t="s">
        <v>3158</v>
      </c>
      <c r="C1168">
        <v>1</v>
      </c>
      <c r="D1168" t="s">
        <v>3159</v>
      </c>
      <c r="E1168">
        <v>5</v>
      </c>
      <c r="F1168">
        <v>5</v>
      </c>
      <c r="G1168">
        <v>5</v>
      </c>
      <c r="H1168" t="s">
        <v>3158</v>
      </c>
      <c r="I1168">
        <v>6.2</v>
      </c>
      <c r="J1168">
        <v>96.631</v>
      </c>
      <c r="K1168" t="str">
        <f>"TTC27"</f>
        <v>TTC27</v>
      </c>
      <c r="L1168" t="str">
        <f>"TTC27"</f>
        <v>TTC27</v>
      </c>
      <c r="M1168">
        <v>0</v>
      </c>
      <c r="N1168">
        <v>2.6835051655629099</v>
      </c>
      <c r="O1168">
        <v>0.91194339418818204</v>
      </c>
      <c r="P1168">
        <v>2.1304378548895899</v>
      </c>
      <c r="Q1168">
        <v>0</v>
      </c>
      <c r="R1168">
        <v>1.8001620641859499</v>
      </c>
      <c r="S1168">
        <v>0</v>
      </c>
      <c r="T1168">
        <v>1.18448996772836</v>
      </c>
      <c r="U1168">
        <v>0</v>
      </c>
      <c r="V1168">
        <v>0</v>
      </c>
      <c r="W1168">
        <v>0</v>
      </c>
      <c r="X1168">
        <v>0</v>
      </c>
    </row>
    <row r="1169" spans="1:24">
      <c r="A1169">
        <v>1818</v>
      </c>
      <c r="B1169" t="s">
        <v>3160</v>
      </c>
      <c r="C1169">
        <v>2</v>
      </c>
      <c r="D1169" t="s">
        <v>3161</v>
      </c>
      <c r="E1169">
        <v>10</v>
      </c>
      <c r="F1169">
        <v>10</v>
      </c>
      <c r="G1169">
        <v>10</v>
      </c>
      <c r="H1169" t="s">
        <v>3162</v>
      </c>
      <c r="I1169">
        <v>15.5</v>
      </c>
      <c r="J1169">
        <v>68.119</v>
      </c>
      <c r="K1169" t="str">
        <f>"NPLOC4"</f>
        <v>NPLOC4</v>
      </c>
      <c r="L1169" t="str">
        <f>"NPLOC4"</f>
        <v>NPLOC4</v>
      </c>
      <c r="M1169">
        <v>1.2103892752168599</v>
      </c>
      <c r="N1169">
        <v>2.6835051655629099</v>
      </c>
      <c r="O1169">
        <v>1.8238867883763601</v>
      </c>
      <c r="P1169">
        <v>0</v>
      </c>
      <c r="Q1169">
        <v>0</v>
      </c>
      <c r="R1169">
        <v>0.90008103209297396</v>
      </c>
      <c r="S1169">
        <v>1.1331355704698001</v>
      </c>
      <c r="T1169">
        <v>0</v>
      </c>
      <c r="U1169">
        <v>2.20471663619744</v>
      </c>
      <c r="V1169">
        <v>0</v>
      </c>
      <c r="W1169">
        <v>1.27539809638918</v>
      </c>
      <c r="X1169">
        <v>0</v>
      </c>
    </row>
    <row r="1170" spans="1:24">
      <c r="A1170">
        <v>1892</v>
      </c>
      <c r="B1170" t="s">
        <v>3163</v>
      </c>
      <c r="C1170">
        <v>6</v>
      </c>
      <c r="D1170" t="s">
        <v>3164</v>
      </c>
      <c r="E1170">
        <v>4</v>
      </c>
      <c r="F1170">
        <v>4</v>
      </c>
      <c r="G1170">
        <v>3</v>
      </c>
      <c r="H1170" t="s">
        <v>3165</v>
      </c>
      <c r="I1170">
        <v>4.7</v>
      </c>
      <c r="J1170">
        <v>95.754999999999995</v>
      </c>
      <c r="K1170" t="str">
        <f>"ATP6V0A1;TCIRG1;ATP6V0A4"</f>
        <v>ATP6V0A1;TCIRG1;ATP6V0A4</v>
      </c>
      <c r="L1170" t="str">
        <f>"ATP6V0A1;TCIRG1;ATP6V0A4"</f>
        <v>ATP6V0A1;TCIRG1;ATP6V0A4</v>
      </c>
      <c r="M1170">
        <v>1.2103892752168599</v>
      </c>
      <c r="N1170">
        <v>0.89450172185430499</v>
      </c>
      <c r="O1170">
        <v>0.91194339418818204</v>
      </c>
      <c r="P1170">
        <v>1.0652189274447901</v>
      </c>
      <c r="Q1170">
        <v>1.25576199330606</v>
      </c>
      <c r="R1170">
        <v>1.8001620641859499</v>
      </c>
      <c r="S1170">
        <v>1.1331355704698001</v>
      </c>
      <c r="T1170">
        <v>0</v>
      </c>
      <c r="U1170">
        <v>1.10235831809872</v>
      </c>
      <c r="V1170">
        <v>1.05063596764157</v>
      </c>
      <c r="W1170">
        <v>2.5507961927783702</v>
      </c>
      <c r="X1170">
        <v>0.984645710619934</v>
      </c>
    </row>
    <row r="1171" spans="1:24">
      <c r="A1171">
        <v>2043</v>
      </c>
      <c r="B1171" t="s">
        <v>3166</v>
      </c>
      <c r="C1171">
        <v>1</v>
      </c>
      <c r="D1171" t="s">
        <v>3167</v>
      </c>
      <c r="E1171">
        <v>4</v>
      </c>
      <c r="F1171">
        <v>4</v>
      </c>
      <c r="G1171">
        <v>4</v>
      </c>
      <c r="H1171" t="s">
        <v>3166</v>
      </c>
      <c r="I1171">
        <v>41.7</v>
      </c>
      <c r="J1171">
        <v>17.161999999999999</v>
      </c>
      <c r="K1171" t="str">
        <f>"HINT2"</f>
        <v>HINT2</v>
      </c>
      <c r="L1171" t="str">
        <f>"HINT2"</f>
        <v>HINT2</v>
      </c>
      <c r="M1171">
        <v>1.2103892752168599</v>
      </c>
      <c r="N1171">
        <v>0.89450172185430499</v>
      </c>
      <c r="O1171">
        <v>0</v>
      </c>
      <c r="P1171">
        <v>1.0652189274447901</v>
      </c>
      <c r="Q1171">
        <v>1.25576199330606</v>
      </c>
      <c r="R1171">
        <v>1.8001620641859499</v>
      </c>
      <c r="S1171">
        <v>1.1331355704698001</v>
      </c>
      <c r="T1171">
        <v>2.3689799354567098</v>
      </c>
      <c r="U1171">
        <v>1.10235831809872</v>
      </c>
      <c r="V1171">
        <v>2.1012719352831399</v>
      </c>
      <c r="W1171">
        <v>0</v>
      </c>
      <c r="X1171">
        <v>0</v>
      </c>
    </row>
    <row r="1172" spans="1:24">
      <c r="A1172">
        <v>2120</v>
      </c>
      <c r="B1172" t="s">
        <v>3168</v>
      </c>
      <c r="C1172">
        <v>1</v>
      </c>
      <c r="D1172" t="s">
        <v>3169</v>
      </c>
      <c r="E1172">
        <v>10</v>
      </c>
      <c r="F1172">
        <v>5</v>
      </c>
      <c r="G1172">
        <v>5</v>
      </c>
      <c r="H1172" t="s">
        <v>3168</v>
      </c>
      <c r="I1172">
        <v>37.9</v>
      </c>
      <c r="J1172">
        <v>37.567</v>
      </c>
      <c r="K1172" t="str">
        <f>"GNB4"</f>
        <v>GNB4</v>
      </c>
      <c r="L1172" t="str">
        <f>"GNB4"</f>
        <v>GNB4</v>
      </c>
      <c r="M1172">
        <v>1.2103892752168599</v>
      </c>
      <c r="N1172">
        <v>1.78900344370861</v>
      </c>
      <c r="O1172">
        <v>1.8238867883763601</v>
      </c>
      <c r="P1172">
        <v>0</v>
      </c>
      <c r="Q1172">
        <v>0</v>
      </c>
      <c r="R1172">
        <v>0.90008103209297396</v>
      </c>
      <c r="S1172">
        <v>1.1331355704698001</v>
      </c>
      <c r="T1172">
        <v>1.18448996772836</v>
      </c>
      <c r="U1172">
        <v>1.10235831809872</v>
      </c>
      <c r="V1172">
        <v>1.05063596764157</v>
      </c>
      <c r="W1172">
        <v>1.27539809638918</v>
      </c>
      <c r="X1172">
        <v>2.9539371318597998</v>
      </c>
    </row>
    <row r="1173" spans="1:24">
      <c r="A1173">
        <v>2209</v>
      </c>
      <c r="B1173" t="s">
        <v>3170</v>
      </c>
      <c r="C1173">
        <v>1</v>
      </c>
      <c r="D1173" t="s">
        <v>3171</v>
      </c>
      <c r="E1173">
        <v>4</v>
      </c>
      <c r="F1173">
        <v>3</v>
      </c>
      <c r="G1173">
        <v>3</v>
      </c>
      <c r="H1173" t="s">
        <v>3170</v>
      </c>
      <c r="I1173">
        <v>10.3</v>
      </c>
      <c r="J1173">
        <v>53.497999999999998</v>
      </c>
      <c r="K1173" t="str">
        <f>"C1RL"</f>
        <v>C1RL</v>
      </c>
      <c r="L1173" t="str">
        <f>"C1RL"</f>
        <v>C1RL</v>
      </c>
      <c r="M1173">
        <v>2.4207785504337198</v>
      </c>
      <c r="N1173">
        <v>0</v>
      </c>
      <c r="O1173">
        <v>0</v>
      </c>
      <c r="P1173">
        <v>2.1304378548895899</v>
      </c>
      <c r="Q1173">
        <v>2.51152398661212</v>
      </c>
      <c r="R1173">
        <v>0.90008103209297396</v>
      </c>
      <c r="S1173">
        <v>1.1331355704698001</v>
      </c>
      <c r="T1173">
        <v>2.3689799354567098</v>
      </c>
      <c r="U1173">
        <v>1.10235831809872</v>
      </c>
      <c r="V1173">
        <v>2.1012719352831399</v>
      </c>
      <c r="W1173">
        <v>1.27539809638918</v>
      </c>
      <c r="X1173">
        <v>0.984645710619934</v>
      </c>
    </row>
    <row r="1174" spans="1:24">
      <c r="A1174">
        <v>2279</v>
      </c>
      <c r="B1174" t="s">
        <v>3172</v>
      </c>
      <c r="C1174">
        <v>2</v>
      </c>
      <c r="D1174" t="s">
        <v>3173</v>
      </c>
      <c r="E1174">
        <v>4</v>
      </c>
      <c r="F1174">
        <v>4</v>
      </c>
      <c r="G1174">
        <v>3</v>
      </c>
      <c r="H1174" t="s">
        <v>3174</v>
      </c>
      <c r="I1174">
        <v>25.4</v>
      </c>
      <c r="J1174">
        <v>22.079000000000001</v>
      </c>
      <c r="K1174" t="str">
        <f>"CDV3"</f>
        <v>CDV3</v>
      </c>
      <c r="L1174" t="str">
        <f>"CDV3"</f>
        <v>CDV3</v>
      </c>
      <c r="M1174">
        <v>0</v>
      </c>
      <c r="N1174">
        <v>2.6835051655629099</v>
      </c>
      <c r="O1174">
        <v>0</v>
      </c>
      <c r="P1174">
        <v>1.0652189274447901</v>
      </c>
      <c r="Q1174">
        <v>2.51152398661212</v>
      </c>
      <c r="R1174">
        <v>2.7002430962789199</v>
      </c>
      <c r="S1174">
        <v>0</v>
      </c>
      <c r="T1174">
        <v>0</v>
      </c>
      <c r="U1174">
        <v>0</v>
      </c>
      <c r="V1174">
        <v>1.05063596764157</v>
      </c>
      <c r="W1174">
        <v>1.27539809638918</v>
      </c>
      <c r="X1174">
        <v>0.984645710619934</v>
      </c>
    </row>
    <row r="1175" spans="1:24">
      <c r="A1175">
        <v>241</v>
      </c>
      <c r="B1175" t="s">
        <v>3175</v>
      </c>
      <c r="C1175">
        <v>1</v>
      </c>
      <c r="D1175" t="s">
        <v>3176</v>
      </c>
      <c r="E1175">
        <v>4</v>
      </c>
      <c r="F1175">
        <v>4</v>
      </c>
      <c r="G1175">
        <v>4</v>
      </c>
      <c r="H1175" t="s">
        <v>3175</v>
      </c>
      <c r="I1175">
        <v>16.7</v>
      </c>
      <c r="J1175">
        <v>26.779</v>
      </c>
      <c r="K1175" t="str">
        <f>"TSPAN9"</f>
        <v>TSPAN9</v>
      </c>
      <c r="L1175" t="str">
        <f>"TSPAN9"</f>
        <v>TSPAN9</v>
      </c>
      <c r="M1175">
        <v>0</v>
      </c>
      <c r="N1175">
        <v>1.78900344370861</v>
      </c>
      <c r="O1175">
        <v>2.7358301825645501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1.10235831809872</v>
      </c>
      <c r="V1175">
        <v>0</v>
      </c>
      <c r="W1175">
        <v>0</v>
      </c>
      <c r="X1175">
        <v>1.96929142123987</v>
      </c>
    </row>
    <row r="1176" spans="1:24">
      <c r="A1176">
        <v>821</v>
      </c>
      <c r="B1176" t="s">
        <v>3177</v>
      </c>
      <c r="C1176">
        <v>2</v>
      </c>
      <c r="D1176" t="s">
        <v>3178</v>
      </c>
      <c r="E1176">
        <v>5</v>
      </c>
      <c r="F1176">
        <v>5</v>
      </c>
      <c r="G1176">
        <v>5</v>
      </c>
      <c r="H1176" t="s">
        <v>3179</v>
      </c>
      <c r="I1176">
        <v>7.4</v>
      </c>
      <c r="J1176">
        <v>79.572999999999993</v>
      </c>
      <c r="K1176" t="str">
        <f>"ADRBK1;ADRBK2"</f>
        <v>ADRBK1;ADRBK2</v>
      </c>
      <c r="L1176" t="str">
        <f>"GRK2;GRK3"</f>
        <v>GRK2;GRK3</v>
      </c>
      <c r="M1176">
        <v>0</v>
      </c>
      <c r="N1176">
        <v>0.89450172185430499</v>
      </c>
      <c r="O1176">
        <v>1.8238867883763601</v>
      </c>
      <c r="P1176">
        <v>0</v>
      </c>
      <c r="Q1176">
        <v>0</v>
      </c>
      <c r="R1176">
        <v>2.7002430962789199</v>
      </c>
      <c r="S1176">
        <v>2.2662711409396001</v>
      </c>
      <c r="T1176">
        <v>0</v>
      </c>
      <c r="U1176">
        <v>2.20471663619744</v>
      </c>
      <c r="V1176">
        <v>0</v>
      </c>
      <c r="W1176">
        <v>1.27539809638918</v>
      </c>
      <c r="X1176">
        <v>0.984645710619934</v>
      </c>
    </row>
    <row r="1177" spans="1:24">
      <c r="A1177">
        <v>982</v>
      </c>
      <c r="B1177" t="s">
        <v>3180</v>
      </c>
      <c r="C1177">
        <v>2</v>
      </c>
      <c r="D1177" t="s">
        <v>3181</v>
      </c>
      <c r="E1177">
        <v>14</v>
      </c>
      <c r="F1177">
        <v>2</v>
      </c>
      <c r="G1177">
        <v>2</v>
      </c>
      <c r="H1177" t="s">
        <v>3182</v>
      </c>
      <c r="I1177">
        <v>39.299999999999997</v>
      </c>
      <c r="J1177">
        <v>36.982999999999997</v>
      </c>
      <c r="K1177" t="str">
        <f>"PPP1CC"</f>
        <v>PPP1CC</v>
      </c>
      <c r="L1177" t="str">
        <f>"PPP1CC"</f>
        <v>PPP1CC</v>
      </c>
      <c r="M1177">
        <v>0</v>
      </c>
      <c r="N1177">
        <v>1.78900344370861</v>
      </c>
      <c r="O1177">
        <v>0.91194339418818204</v>
      </c>
      <c r="P1177">
        <v>1.0652189274447901</v>
      </c>
      <c r="Q1177">
        <v>0</v>
      </c>
      <c r="R1177">
        <v>0.90008103209297396</v>
      </c>
      <c r="S1177">
        <v>0</v>
      </c>
      <c r="T1177">
        <v>0</v>
      </c>
      <c r="U1177">
        <v>3.3070749542961599</v>
      </c>
      <c r="V1177">
        <v>0</v>
      </c>
      <c r="W1177">
        <v>0</v>
      </c>
      <c r="X1177">
        <v>1.96929142123987</v>
      </c>
    </row>
    <row r="1178" spans="1:24">
      <c r="A1178">
        <v>1050</v>
      </c>
      <c r="B1178" t="s">
        <v>3183</v>
      </c>
      <c r="C1178">
        <v>3</v>
      </c>
      <c r="D1178" t="s">
        <v>3184</v>
      </c>
      <c r="E1178">
        <v>5</v>
      </c>
      <c r="F1178">
        <v>5</v>
      </c>
      <c r="G1178">
        <v>5</v>
      </c>
      <c r="H1178" t="s">
        <v>3185</v>
      </c>
      <c r="I1178">
        <v>18.899999999999999</v>
      </c>
      <c r="J1178">
        <v>36.171999999999997</v>
      </c>
      <c r="K1178" t="str">
        <f>"MAP2K3"</f>
        <v>MAP2K3</v>
      </c>
      <c r="L1178" t="str">
        <f>"MAP2K3"</f>
        <v>MAP2K3</v>
      </c>
      <c r="M1178">
        <v>0</v>
      </c>
      <c r="N1178">
        <v>1.78900344370861</v>
      </c>
      <c r="O1178">
        <v>0.91194339418818204</v>
      </c>
      <c r="P1178">
        <v>1.0652189274447901</v>
      </c>
      <c r="Q1178">
        <v>0</v>
      </c>
      <c r="R1178">
        <v>1.8001620641859499</v>
      </c>
      <c r="S1178">
        <v>0</v>
      </c>
      <c r="T1178">
        <v>0</v>
      </c>
      <c r="U1178">
        <v>0</v>
      </c>
      <c r="V1178">
        <v>1.05063596764157</v>
      </c>
      <c r="W1178">
        <v>0</v>
      </c>
      <c r="X1178">
        <v>0.984645710619934</v>
      </c>
    </row>
    <row r="1179" spans="1:24">
      <c r="A1179">
        <v>1051</v>
      </c>
      <c r="B1179" t="s">
        <v>3186</v>
      </c>
      <c r="C1179">
        <v>4</v>
      </c>
      <c r="D1179" t="s">
        <v>3187</v>
      </c>
      <c r="E1179">
        <v>1</v>
      </c>
      <c r="F1179">
        <v>1</v>
      </c>
      <c r="G1179">
        <v>1</v>
      </c>
      <c r="H1179" t="s">
        <v>3188</v>
      </c>
      <c r="I1179">
        <v>7.4</v>
      </c>
      <c r="J1179">
        <v>23.457000000000001</v>
      </c>
      <c r="K1179" t="str">
        <f>"BRCC3"</f>
        <v>BRCC3</v>
      </c>
      <c r="L1179" t="str">
        <f>"BRCC3"</f>
        <v>BRCC3</v>
      </c>
      <c r="M1179">
        <v>1.2103892752168599</v>
      </c>
      <c r="N1179">
        <v>0.89450172185430499</v>
      </c>
      <c r="O1179">
        <v>0.91194339418818204</v>
      </c>
      <c r="P1179">
        <v>1.0652189274447901</v>
      </c>
      <c r="Q1179">
        <v>0</v>
      </c>
      <c r="R1179">
        <v>0.90008103209297396</v>
      </c>
      <c r="S1179">
        <v>1.1331355704698001</v>
      </c>
      <c r="T1179">
        <v>1.18448996772836</v>
      </c>
      <c r="U1179">
        <v>1.10235831809872</v>
      </c>
      <c r="V1179">
        <v>1.05063596764157</v>
      </c>
      <c r="W1179">
        <v>1.27539809638918</v>
      </c>
      <c r="X1179">
        <v>0.984645710619934</v>
      </c>
    </row>
    <row r="1180" spans="1:24">
      <c r="A1180">
        <v>1250</v>
      </c>
      <c r="B1180" t="s">
        <v>3189</v>
      </c>
      <c r="C1180">
        <v>5</v>
      </c>
      <c r="D1180" t="s">
        <v>3190</v>
      </c>
      <c r="E1180">
        <v>3</v>
      </c>
      <c r="F1180">
        <v>3</v>
      </c>
      <c r="G1180">
        <v>3</v>
      </c>
      <c r="H1180" t="s">
        <v>3191</v>
      </c>
      <c r="I1180">
        <v>24.9</v>
      </c>
      <c r="J1180">
        <v>20.198</v>
      </c>
      <c r="K1180" t="str">
        <f>"COPZ1"</f>
        <v>COPZ1</v>
      </c>
      <c r="L1180" t="str">
        <f>"COPZ1"</f>
        <v>COPZ1</v>
      </c>
      <c r="M1180">
        <v>1.2103892752168599</v>
      </c>
      <c r="N1180">
        <v>0.89450172185430499</v>
      </c>
      <c r="O1180">
        <v>0.91194339418818204</v>
      </c>
      <c r="P1180">
        <v>0</v>
      </c>
      <c r="Q1180">
        <v>2.51152398661212</v>
      </c>
      <c r="R1180">
        <v>0.90008103209297396</v>
      </c>
      <c r="S1180">
        <v>1.1331355704698001</v>
      </c>
      <c r="T1180">
        <v>0</v>
      </c>
      <c r="U1180">
        <v>1.10235831809872</v>
      </c>
      <c r="V1180">
        <v>1.05063596764157</v>
      </c>
      <c r="W1180">
        <v>1.27539809638918</v>
      </c>
      <c r="X1180">
        <v>1.96929142123987</v>
      </c>
    </row>
    <row r="1181" spans="1:24">
      <c r="A1181">
        <v>1265</v>
      </c>
      <c r="B1181" t="s">
        <v>3192</v>
      </c>
      <c r="C1181">
        <v>1</v>
      </c>
      <c r="D1181" t="s">
        <v>3193</v>
      </c>
      <c r="E1181">
        <v>7</v>
      </c>
      <c r="F1181">
        <v>7</v>
      </c>
      <c r="G1181">
        <v>6</v>
      </c>
      <c r="H1181" t="s">
        <v>3192</v>
      </c>
      <c r="I1181">
        <v>86.4</v>
      </c>
      <c r="J1181">
        <v>5.0526</v>
      </c>
      <c r="K1181" t="str">
        <f>"TMSB4X"</f>
        <v>TMSB4X</v>
      </c>
      <c r="L1181" t="str">
        <f>"TMSB4X"</f>
        <v>TMSB4X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0.90008103209297396</v>
      </c>
      <c r="S1181">
        <v>1.1331355704698001</v>
      </c>
      <c r="T1181">
        <v>0</v>
      </c>
      <c r="U1181">
        <v>0</v>
      </c>
      <c r="V1181">
        <v>0</v>
      </c>
      <c r="W1181">
        <v>1.27539809638918</v>
      </c>
      <c r="X1181">
        <v>1.96929142123987</v>
      </c>
    </row>
    <row r="1182" spans="1:24">
      <c r="A1182">
        <v>1436</v>
      </c>
      <c r="B1182" t="s">
        <v>3194</v>
      </c>
      <c r="C1182">
        <v>1</v>
      </c>
      <c r="D1182" t="s">
        <v>3195</v>
      </c>
      <c r="E1182">
        <v>6</v>
      </c>
      <c r="F1182">
        <v>6</v>
      </c>
      <c r="G1182">
        <v>6</v>
      </c>
      <c r="H1182" t="s">
        <v>3194</v>
      </c>
      <c r="I1182">
        <v>16.7</v>
      </c>
      <c r="J1182">
        <v>57.579000000000001</v>
      </c>
      <c r="K1182" t="str">
        <f>"DNAJC3"</f>
        <v>DNAJC3</v>
      </c>
      <c r="L1182" t="str">
        <f>"DNAJC3"</f>
        <v>DNAJC3</v>
      </c>
      <c r="M1182">
        <v>0</v>
      </c>
      <c r="N1182">
        <v>4.4725086092715198</v>
      </c>
      <c r="O1182">
        <v>2.7358301825645501</v>
      </c>
      <c r="P1182">
        <v>1.0652189274447901</v>
      </c>
      <c r="Q1182">
        <v>0</v>
      </c>
      <c r="R1182">
        <v>1.8001620641859499</v>
      </c>
      <c r="S1182">
        <v>0</v>
      </c>
      <c r="T1182">
        <v>0</v>
      </c>
      <c r="U1182">
        <v>2.20471663619744</v>
      </c>
      <c r="V1182">
        <v>1.05063596764157</v>
      </c>
      <c r="W1182">
        <v>0</v>
      </c>
      <c r="X1182">
        <v>0</v>
      </c>
    </row>
    <row r="1183" spans="1:24">
      <c r="A1183">
        <v>1748</v>
      </c>
      <c r="B1183" t="s">
        <v>3196</v>
      </c>
      <c r="C1183">
        <v>2</v>
      </c>
      <c r="D1183" t="s">
        <v>3197</v>
      </c>
      <c r="E1183">
        <v>7</v>
      </c>
      <c r="F1183">
        <v>7</v>
      </c>
      <c r="G1183">
        <v>7</v>
      </c>
      <c r="H1183" t="s">
        <v>3198</v>
      </c>
      <c r="I1183">
        <v>19.5</v>
      </c>
      <c r="J1183">
        <v>45.801000000000002</v>
      </c>
      <c r="K1183" t="str">
        <f>"PROSER2"</f>
        <v>PROSER2</v>
      </c>
      <c r="L1183" t="str">
        <f>"PROSER2"</f>
        <v>PROSER2</v>
      </c>
      <c r="M1183">
        <v>1.2103892752168599</v>
      </c>
      <c r="N1183">
        <v>1.78900344370861</v>
      </c>
      <c r="O1183">
        <v>0.91194339418818204</v>
      </c>
      <c r="P1183">
        <v>0</v>
      </c>
      <c r="Q1183">
        <v>1.25576199330606</v>
      </c>
      <c r="R1183">
        <v>0.90008103209297396</v>
      </c>
      <c r="S1183">
        <v>0</v>
      </c>
      <c r="T1183">
        <v>0</v>
      </c>
      <c r="U1183">
        <v>1.10235831809872</v>
      </c>
      <c r="V1183">
        <v>1.05063596764157</v>
      </c>
      <c r="W1183">
        <v>0</v>
      </c>
      <c r="X1183">
        <v>1.96929142123987</v>
      </c>
    </row>
    <row r="1184" spans="1:24">
      <c r="A1184">
        <v>1931</v>
      </c>
      <c r="B1184" t="s">
        <v>3199</v>
      </c>
      <c r="C1184">
        <v>1</v>
      </c>
      <c r="D1184" t="s">
        <v>3200</v>
      </c>
      <c r="E1184">
        <v>5</v>
      </c>
      <c r="F1184">
        <v>5</v>
      </c>
      <c r="G1184">
        <v>5</v>
      </c>
      <c r="H1184" t="s">
        <v>3199</v>
      </c>
      <c r="I1184">
        <v>26.9</v>
      </c>
      <c r="J1184">
        <v>23.484999999999999</v>
      </c>
      <c r="K1184" t="str">
        <f>"CHMP6"</f>
        <v>CHMP6</v>
      </c>
      <c r="L1184" t="str">
        <f>"CHMP6"</f>
        <v>CHMP6</v>
      </c>
      <c r="M1184">
        <v>1.2103892752168599</v>
      </c>
      <c r="N1184">
        <v>0.89450172185430499</v>
      </c>
      <c r="O1184">
        <v>1.8238867883763601</v>
      </c>
      <c r="P1184">
        <v>2.1304378548895899</v>
      </c>
      <c r="Q1184">
        <v>0</v>
      </c>
      <c r="R1184">
        <v>1.8001620641859499</v>
      </c>
      <c r="S1184">
        <v>1.1331355704698001</v>
      </c>
      <c r="T1184">
        <v>1.18448996772836</v>
      </c>
      <c r="U1184">
        <v>1.10235831809872</v>
      </c>
      <c r="V1184">
        <v>2.1012719352831399</v>
      </c>
      <c r="W1184">
        <v>0</v>
      </c>
      <c r="X1184">
        <v>1.96929142123987</v>
      </c>
    </row>
    <row r="1185" spans="1:24">
      <c r="A1185">
        <v>2037</v>
      </c>
      <c r="B1185" t="s">
        <v>3201</v>
      </c>
      <c r="C1185">
        <v>2</v>
      </c>
      <c r="D1185" t="s">
        <v>3202</v>
      </c>
      <c r="E1185">
        <v>6</v>
      </c>
      <c r="F1185">
        <v>6</v>
      </c>
      <c r="G1185">
        <v>6</v>
      </c>
      <c r="H1185" t="s">
        <v>3203</v>
      </c>
      <c r="I1185">
        <v>31.8</v>
      </c>
      <c r="J1185">
        <v>37.523000000000003</v>
      </c>
      <c r="K1185" t="str">
        <f>"SARG"</f>
        <v>SARG</v>
      </c>
      <c r="L1185" t="str">
        <f>"C1orf116"</f>
        <v>C1orf116</v>
      </c>
      <c r="M1185">
        <v>1.2103892752168599</v>
      </c>
      <c r="N1185">
        <v>0</v>
      </c>
      <c r="O1185">
        <v>0</v>
      </c>
      <c r="P1185">
        <v>2.1304378548895899</v>
      </c>
      <c r="Q1185">
        <v>1.25576199330606</v>
      </c>
      <c r="R1185">
        <v>0.90008103209297396</v>
      </c>
      <c r="S1185">
        <v>0</v>
      </c>
      <c r="T1185">
        <v>1.18448996772836</v>
      </c>
      <c r="U1185">
        <v>0</v>
      </c>
      <c r="V1185">
        <v>1.05063596764157</v>
      </c>
      <c r="W1185">
        <v>0</v>
      </c>
      <c r="X1185">
        <v>0</v>
      </c>
    </row>
    <row r="1186" spans="1:24">
      <c r="A1186">
        <v>2133</v>
      </c>
      <c r="B1186" t="s">
        <v>3204</v>
      </c>
      <c r="C1186">
        <v>1</v>
      </c>
      <c r="D1186" t="s">
        <v>3205</v>
      </c>
      <c r="E1186">
        <v>5</v>
      </c>
      <c r="F1186">
        <v>5</v>
      </c>
      <c r="G1186">
        <v>5</v>
      </c>
      <c r="H1186" t="s">
        <v>3204</v>
      </c>
      <c r="I1186">
        <v>11.4</v>
      </c>
      <c r="J1186">
        <v>67.887</v>
      </c>
      <c r="K1186" t="str">
        <f>"TM9SF3"</f>
        <v>TM9SF3</v>
      </c>
      <c r="L1186" t="str">
        <f>"TM9SF3"</f>
        <v>TM9SF3</v>
      </c>
      <c r="M1186">
        <v>0</v>
      </c>
      <c r="N1186">
        <v>1.78900344370861</v>
      </c>
      <c r="O1186">
        <v>1.8238867883763601</v>
      </c>
      <c r="P1186">
        <v>1.0652189274447901</v>
      </c>
      <c r="Q1186">
        <v>0</v>
      </c>
      <c r="R1186">
        <v>0.90008103209297396</v>
      </c>
      <c r="S1186">
        <v>2.2662711409396001</v>
      </c>
      <c r="T1186">
        <v>0</v>
      </c>
      <c r="U1186">
        <v>1.10235831809872</v>
      </c>
      <c r="V1186">
        <v>1.05063596764157</v>
      </c>
      <c r="W1186">
        <v>1.27539809638918</v>
      </c>
      <c r="X1186">
        <v>0.984645710619934</v>
      </c>
    </row>
    <row r="1187" spans="1:24">
      <c r="A1187">
        <v>117</v>
      </c>
      <c r="B1187" t="s">
        <v>3206</v>
      </c>
      <c r="C1187">
        <v>3</v>
      </c>
      <c r="D1187" t="s">
        <v>3207</v>
      </c>
      <c r="E1187">
        <v>3</v>
      </c>
      <c r="F1187">
        <v>3</v>
      </c>
      <c r="G1187">
        <v>3</v>
      </c>
      <c r="H1187" t="s">
        <v>3208</v>
      </c>
      <c r="I1187">
        <v>4.9000000000000004</v>
      </c>
      <c r="J1187">
        <v>60.029000000000003</v>
      </c>
      <c r="K1187" t="str">
        <f>"KPNA6;KPNA5;KPNA1"</f>
        <v>KPNA6;KPNA5;KPNA1</v>
      </c>
      <c r="L1187" t="str">
        <f>"KPNA6;KPNA5;KPNA1"</f>
        <v>KPNA6;KPNA5;KPNA1</v>
      </c>
      <c r="M1187">
        <v>2.4207785504337198</v>
      </c>
      <c r="N1187">
        <v>0.89450172185430499</v>
      </c>
      <c r="O1187">
        <v>0.91194339418818204</v>
      </c>
      <c r="P1187">
        <v>0</v>
      </c>
      <c r="Q1187">
        <v>1.25576199330606</v>
      </c>
      <c r="R1187">
        <v>0.90008103209297396</v>
      </c>
      <c r="S1187">
        <v>0</v>
      </c>
      <c r="T1187">
        <v>1.18448996772836</v>
      </c>
      <c r="U1187">
        <v>0</v>
      </c>
      <c r="V1187">
        <v>1.05063596764157</v>
      </c>
      <c r="W1187">
        <v>0</v>
      </c>
      <c r="X1187">
        <v>0.984645710619934</v>
      </c>
    </row>
    <row r="1188" spans="1:24">
      <c r="A1188">
        <v>330</v>
      </c>
      <c r="B1188" t="s">
        <v>3209</v>
      </c>
      <c r="C1188">
        <v>4</v>
      </c>
      <c r="D1188" t="s">
        <v>3210</v>
      </c>
      <c r="E1188">
        <v>6</v>
      </c>
      <c r="F1188">
        <v>6</v>
      </c>
      <c r="G1188">
        <v>3</v>
      </c>
      <c r="H1188" t="s">
        <v>3211</v>
      </c>
      <c r="I1188">
        <v>41</v>
      </c>
      <c r="J1188">
        <v>21.423999999999999</v>
      </c>
      <c r="K1188" t="str">
        <f>"KRAS;HRAS"</f>
        <v>KRAS;HRAS</v>
      </c>
      <c r="L1188" t="str">
        <f>"KRAS;HRAS"</f>
        <v>KRAS;HRAS</v>
      </c>
      <c r="M1188">
        <v>0</v>
      </c>
      <c r="N1188">
        <v>0</v>
      </c>
      <c r="O1188">
        <v>0.91194339418818204</v>
      </c>
      <c r="P1188">
        <v>0</v>
      </c>
      <c r="Q1188">
        <v>0</v>
      </c>
      <c r="R1188">
        <v>1.8001620641859499</v>
      </c>
      <c r="S1188">
        <v>0</v>
      </c>
      <c r="T1188">
        <v>0</v>
      </c>
      <c r="U1188">
        <v>0</v>
      </c>
      <c r="V1188">
        <v>2.1012719352831399</v>
      </c>
      <c r="W1188">
        <v>0</v>
      </c>
      <c r="X1188">
        <v>1.96929142123987</v>
      </c>
    </row>
    <row r="1189" spans="1:24">
      <c r="A1189">
        <v>428</v>
      </c>
      <c r="B1189" t="s">
        <v>3212</v>
      </c>
      <c r="C1189">
        <v>2</v>
      </c>
      <c r="D1189" t="s">
        <v>3213</v>
      </c>
      <c r="E1189">
        <v>14</v>
      </c>
      <c r="F1189">
        <v>14</v>
      </c>
      <c r="G1189">
        <v>13</v>
      </c>
      <c r="H1189" t="s">
        <v>3214</v>
      </c>
      <c r="I1189">
        <v>26.3</v>
      </c>
      <c r="J1189">
        <v>78.180999999999997</v>
      </c>
      <c r="K1189" t="str">
        <f>"LTF"</f>
        <v>LTF</v>
      </c>
      <c r="L1189" t="str">
        <f>"LTF"</f>
        <v>LTF</v>
      </c>
      <c r="M1189">
        <v>1.2103892752168599</v>
      </c>
      <c r="N1189">
        <v>1.78900344370861</v>
      </c>
      <c r="O1189">
        <v>0</v>
      </c>
      <c r="P1189">
        <v>0</v>
      </c>
      <c r="Q1189">
        <v>1.25576199330606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2.5507961927783702</v>
      </c>
      <c r="X1189">
        <v>0</v>
      </c>
    </row>
    <row r="1190" spans="1:24">
      <c r="A1190">
        <v>540</v>
      </c>
      <c r="B1190" t="s">
        <v>3215</v>
      </c>
      <c r="C1190">
        <v>4</v>
      </c>
      <c r="D1190" t="s">
        <v>3216</v>
      </c>
      <c r="E1190">
        <v>16</v>
      </c>
      <c r="F1190">
        <v>8</v>
      </c>
      <c r="G1190">
        <v>5</v>
      </c>
      <c r="H1190" t="s">
        <v>3217</v>
      </c>
      <c r="I1190">
        <v>26.7</v>
      </c>
      <c r="J1190">
        <v>60.801000000000002</v>
      </c>
      <c r="K1190" t="str">
        <f>"YES1;LCK;FGR"</f>
        <v>YES1;LCK;FGR</v>
      </c>
      <c r="L1190" t="str">
        <f>"YES1;LCK;FGR"</f>
        <v>YES1;LCK;FGR</v>
      </c>
      <c r="M1190">
        <v>0</v>
      </c>
      <c r="N1190">
        <v>0.89450172185430499</v>
      </c>
      <c r="O1190">
        <v>0.91194339418818204</v>
      </c>
      <c r="P1190">
        <v>1.0652189274447901</v>
      </c>
      <c r="Q1190">
        <v>0</v>
      </c>
      <c r="R1190">
        <v>0.90008103209297396</v>
      </c>
      <c r="S1190">
        <v>1.1331355704698001</v>
      </c>
      <c r="T1190">
        <v>0</v>
      </c>
      <c r="U1190">
        <v>0</v>
      </c>
      <c r="V1190">
        <v>0</v>
      </c>
      <c r="W1190">
        <v>0</v>
      </c>
      <c r="X1190">
        <v>0.984645710619934</v>
      </c>
    </row>
    <row r="1191" spans="1:24">
      <c r="A1191">
        <v>570</v>
      </c>
      <c r="B1191" t="s">
        <v>3218</v>
      </c>
      <c r="C1191">
        <v>3</v>
      </c>
      <c r="D1191" t="s">
        <v>3219</v>
      </c>
      <c r="E1191">
        <v>3</v>
      </c>
      <c r="F1191">
        <v>3</v>
      </c>
      <c r="G1191">
        <v>2</v>
      </c>
      <c r="H1191" t="s">
        <v>3220</v>
      </c>
      <c r="I1191">
        <v>12.8</v>
      </c>
      <c r="J1191">
        <v>17.271000000000001</v>
      </c>
      <c r="K1191" t="str">
        <f>"CD63"</f>
        <v>CD63</v>
      </c>
      <c r="L1191" t="str">
        <f>"CD63"</f>
        <v>CD63</v>
      </c>
      <c r="M1191">
        <v>0</v>
      </c>
      <c r="N1191">
        <v>0</v>
      </c>
      <c r="O1191">
        <v>0</v>
      </c>
      <c r="P1191">
        <v>2.1304378548895899</v>
      </c>
      <c r="Q1191">
        <v>0</v>
      </c>
      <c r="R1191">
        <v>1.8001620641859499</v>
      </c>
      <c r="S1191">
        <v>1.1331355704698001</v>
      </c>
      <c r="T1191">
        <v>2.3689799354567098</v>
      </c>
      <c r="U1191">
        <v>1.10235831809872</v>
      </c>
      <c r="V1191">
        <v>2.1012719352831399</v>
      </c>
      <c r="W1191">
        <v>0</v>
      </c>
      <c r="X1191">
        <v>1.96929142123987</v>
      </c>
    </row>
    <row r="1192" spans="1:24">
      <c r="A1192">
        <v>654</v>
      </c>
      <c r="B1192" t="s">
        <v>3221</v>
      </c>
      <c r="C1192">
        <v>3</v>
      </c>
      <c r="D1192" t="s">
        <v>3222</v>
      </c>
      <c r="E1192">
        <v>86</v>
      </c>
      <c r="F1192">
        <v>1</v>
      </c>
      <c r="G1192">
        <v>1</v>
      </c>
      <c r="H1192" t="s">
        <v>3223</v>
      </c>
      <c r="I1192">
        <v>82.7</v>
      </c>
      <c r="J1192">
        <v>105.57</v>
      </c>
      <c r="K1192" t="str">
        <f>"ACTN1"</f>
        <v>ACTN1</v>
      </c>
      <c r="L1192" t="str">
        <f>"ACTN1"</f>
        <v>ACTN1</v>
      </c>
      <c r="M1192">
        <v>0</v>
      </c>
      <c r="N1192">
        <v>1.78900344370861</v>
      </c>
      <c r="O1192">
        <v>1.8238867883763601</v>
      </c>
      <c r="P1192">
        <v>0</v>
      </c>
      <c r="Q1192">
        <v>0</v>
      </c>
      <c r="R1192">
        <v>2.7002430962789199</v>
      </c>
      <c r="S1192">
        <v>0</v>
      </c>
      <c r="T1192">
        <v>0</v>
      </c>
      <c r="U1192">
        <v>0</v>
      </c>
      <c r="V1192">
        <v>2.1012719352831399</v>
      </c>
      <c r="W1192">
        <v>0</v>
      </c>
      <c r="X1192">
        <v>1.96929142123987</v>
      </c>
    </row>
    <row r="1193" spans="1:24">
      <c r="A1193">
        <v>1093</v>
      </c>
      <c r="B1193" t="s">
        <v>3224</v>
      </c>
      <c r="C1193">
        <v>3</v>
      </c>
      <c r="D1193" t="s">
        <v>3225</v>
      </c>
      <c r="E1193">
        <v>5</v>
      </c>
      <c r="F1193">
        <v>5</v>
      </c>
      <c r="G1193">
        <v>5</v>
      </c>
      <c r="H1193" t="s">
        <v>3226</v>
      </c>
      <c r="I1193">
        <v>7.7</v>
      </c>
      <c r="J1193">
        <v>84.572000000000003</v>
      </c>
      <c r="K1193" t="str">
        <f>"DGKG"</f>
        <v>DGKG</v>
      </c>
      <c r="L1193" t="str">
        <f>"DGKG"</f>
        <v>DGKG</v>
      </c>
      <c r="M1193">
        <v>0</v>
      </c>
      <c r="N1193">
        <v>0.89450172185430499</v>
      </c>
      <c r="O1193">
        <v>2.7358301825645501</v>
      </c>
      <c r="P1193">
        <v>0</v>
      </c>
      <c r="Q1193">
        <v>0</v>
      </c>
      <c r="R1193">
        <v>1.8001620641859499</v>
      </c>
      <c r="S1193">
        <v>2.2662711409396001</v>
      </c>
      <c r="T1193">
        <v>0</v>
      </c>
      <c r="U1193">
        <v>1.10235831809872</v>
      </c>
      <c r="V1193">
        <v>1.05063596764157</v>
      </c>
      <c r="W1193">
        <v>1.27539809638918</v>
      </c>
      <c r="X1193">
        <v>1.96929142123987</v>
      </c>
    </row>
    <row r="1194" spans="1:24">
      <c r="A1194">
        <v>1359</v>
      </c>
      <c r="B1194" t="s">
        <v>3227</v>
      </c>
      <c r="C1194">
        <v>1</v>
      </c>
      <c r="D1194" t="s">
        <v>3228</v>
      </c>
      <c r="E1194">
        <v>7</v>
      </c>
      <c r="F1194">
        <v>7</v>
      </c>
      <c r="G1194">
        <v>7</v>
      </c>
      <c r="H1194" t="s">
        <v>3227</v>
      </c>
      <c r="I1194">
        <v>15.6</v>
      </c>
      <c r="J1194">
        <v>87.216999999999999</v>
      </c>
      <c r="K1194" t="str">
        <f>"TAP1"</f>
        <v>TAP1</v>
      </c>
      <c r="L1194" t="str">
        <f>"TAP1"</f>
        <v>TAP1</v>
      </c>
      <c r="M1194">
        <v>2.4207785504337198</v>
      </c>
      <c r="N1194">
        <v>0</v>
      </c>
      <c r="O1194">
        <v>0.91194339418818204</v>
      </c>
      <c r="P1194">
        <v>2.1304378548895899</v>
      </c>
      <c r="Q1194">
        <v>0</v>
      </c>
      <c r="R1194">
        <v>0.90008103209297396</v>
      </c>
      <c r="S1194">
        <v>1.1331355704698001</v>
      </c>
      <c r="T1194">
        <v>0</v>
      </c>
      <c r="U1194">
        <v>1.10235831809872</v>
      </c>
      <c r="V1194">
        <v>1.05063596764157</v>
      </c>
      <c r="W1194">
        <v>0</v>
      </c>
      <c r="X1194">
        <v>0</v>
      </c>
    </row>
    <row r="1195" spans="1:24">
      <c r="A1195">
        <v>1409</v>
      </c>
      <c r="B1195" t="s">
        <v>3229</v>
      </c>
      <c r="C1195">
        <v>2</v>
      </c>
      <c r="D1195" t="s">
        <v>3230</v>
      </c>
      <c r="E1195">
        <v>7</v>
      </c>
      <c r="F1195">
        <v>7</v>
      </c>
      <c r="G1195">
        <v>7</v>
      </c>
      <c r="H1195" t="s">
        <v>3231</v>
      </c>
      <c r="I1195">
        <v>26.3</v>
      </c>
      <c r="J1195">
        <v>34.18</v>
      </c>
      <c r="K1195" t="str">
        <f>"STX4"</f>
        <v>STX4</v>
      </c>
      <c r="L1195" t="str">
        <f>"STX4"</f>
        <v>STX4</v>
      </c>
      <c r="M1195">
        <v>0</v>
      </c>
      <c r="N1195">
        <v>0.89450172185430499</v>
      </c>
      <c r="O1195">
        <v>1.8238867883763601</v>
      </c>
      <c r="P1195">
        <v>1.0652189274447901</v>
      </c>
      <c r="Q1195">
        <v>1.25576199330606</v>
      </c>
      <c r="R1195">
        <v>1.8001620641859499</v>
      </c>
      <c r="S1195">
        <v>0</v>
      </c>
      <c r="T1195">
        <v>0</v>
      </c>
      <c r="U1195">
        <v>1.10235831809872</v>
      </c>
      <c r="V1195">
        <v>1.05063596764157</v>
      </c>
      <c r="W1195">
        <v>2.5507961927783702</v>
      </c>
      <c r="X1195">
        <v>0.984645710619934</v>
      </c>
    </row>
    <row r="1196" spans="1:24">
      <c r="A1196">
        <v>1541</v>
      </c>
      <c r="B1196" t="s">
        <v>3232</v>
      </c>
      <c r="C1196">
        <v>3</v>
      </c>
      <c r="D1196" t="s">
        <v>3233</v>
      </c>
      <c r="E1196">
        <v>3</v>
      </c>
      <c r="F1196">
        <v>3</v>
      </c>
      <c r="G1196">
        <v>3</v>
      </c>
      <c r="H1196" t="s">
        <v>3234</v>
      </c>
      <c r="I1196">
        <v>14.3</v>
      </c>
      <c r="J1196">
        <v>37.996000000000002</v>
      </c>
      <c r="K1196" t="str">
        <f>"PON2"</f>
        <v>PON2</v>
      </c>
      <c r="L1196" t="str">
        <f>"PON2"</f>
        <v>PON2</v>
      </c>
      <c r="M1196">
        <v>0</v>
      </c>
      <c r="N1196">
        <v>0.89450172185430499</v>
      </c>
      <c r="O1196">
        <v>0.91194339418818204</v>
      </c>
      <c r="P1196">
        <v>0</v>
      </c>
      <c r="Q1196">
        <v>0</v>
      </c>
      <c r="R1196">
        <v>1.8001620641859499</v>
      </c>
      <c r="S1196">
        <v>1.1331355704698001</v>
      </c>
      <c r="T1196">
        <v>1.18448996772836</v>
      </c>
      <c r="U1196">
        <v>1.10235831809872</v>
      </c>
      <c r="V1196">
        <v>1.05063596764157</v>
      </c>
      <c r="W1196">
        <v>0</v>
      </c>
      <c r="X1196">
        <v>0.984645710619934</v>
      </c>
    </row>
    <row r="1197" spans="1:24">
      <c r="A1197">
        <v>1624</v>
      </c>
      <c r="B1197" t="s">
        <v>3235</v>
      </c>
      <c r="C1197">
        <v>7</v>
      </c>
      <c r="D1197" t="s">
        <v>3236</v>
      </c>
      <c r="E1197">
        <v>2</v>
      </c>
      <c r="F1197">
        <v>2</v>
      </c>
      <c r="G1197">
        <v>2</v>
      </c>
      <c r="H1197" t="s">
        <v>3237</v>
      </c>
      <c r="I1197">
        <v>2.2999999999999998</v>
      </c>
      <c r="J1197">
        <v>130.16999999999999</v>
      </c>
      <c r="K1197" t="str">
        <f>"FILIP1L"</f>
        <v>FILIP1L</v>
      </c>
      <c r="L1197" t="str">
        <f>"FILIP1L"</f>
        <v>FILIP1L</v>
      </c>
      <c r="M1197">
        <v>0</v>
      </c>
      <c r="N1197">
        <v>0.89450172185430499</v>
      </c>
      <c r="O1197">
        <v>0.91194339418818204</v>
      </c>
      <c r="P1197">
        <v>1.0652189274447901</v>
      </c>
      <c r="Q1197">
        <v>1.25576199330606</v>
      </c>
      <c r="R1197">
        <v>0.90008103209297396</v>
      </c>
      <c r="S1197">
        <v>1.1331355704698001</v>
      </c>
      <c r="T1197">
        <v>1.18448996772836</v>
      </c>
      <c r="U1197">
        <v>1.10235831809872</v>
      </c>
      <c r="V1197">
        <v>1.05063596764157</v>
      </c>
      <c r="W1197">
        <v>1.27539809638918</v>
      </c>
      <c r="X1197">
        <v>0</v>
      </c>
    </row>
    <row r="1198" spans="1:24">
      <c r="A1198">
        <v>1833</v>
      </c>
      <c r="B1198" t="s">
        <v>3238</v>
      </c>
      <c r="C1198">
        <v>2</v>
      </c>
      <c r="D1198" t="s">
        <v>3239</v>
      </c>
      <c r="E1198">
        <v>7</v>
      </c>
      <c r="F1198">
        <v>7</v>
      </c>
      <c r="G1198">
        <v>7</v>
      </c>
      <c r="H1198" t="s">
        <v>3240</v>
      </c>
      <c r="I1198">
        <v>34.1</v>
      </c>
      <c r="J1198">
        <v>34.551000000000002</v>
      </c>
      <c r="K1198" t="str">
        <f>"NEK7"</f>
        <v>NEK7</v>
      </c>
      <c r="L1198" t="str">
        <f>"NEK7"</f>
        <v>NEK7</v>
      </c>
      <c r="M1198">
        <v>0</v>
      </c>
      <c r="N1198">
        <v>0.89450172185430499</v>
      </c>
      <c r="O1198">
        <v>0.91194339418818204</v>
      </c>
      <c r="P1198">
        <v>1.0652189274447901</v>
      </c>
      <c r="Q1198">
        <v>0</v>
      </c>
      <c r="R1198">
        <v>3.6003241283718901</v>
      </c>
      <c r="S1198">
        <v>0</v>
      </c>
      <c r="T1198">
        <v>0</v>
      </c>
      <c r="U1198">
        <v>1.10235831809872</v>
      </c>
      <c r="V1198">
        <v>1.05063596764157</v>
      </c>
      <c r="W1198">
        <v>0</v>
      </c>
      <c r="X1198">
        <v>0</v>
      </c>
    </row>
    <row r="1199" spans="1:24">
      <c r="A1199">
        <v>1887</v>
      </c>
      <c r="B1199" t="s">
        <v>3241</v>
      </c>
      <c r="C1199">
        <v>3</v>
      </c>
      <c r="D1199" t="s">
        <v>3242</v>
      </c>
      <c r="E1199">
        <v>11</v>
      </c>
      <c r="F1199">
        <v>11</v>
      </c>
      <c r="G1199">
        <v>9</v>
      </c>
      <c r="H1199" t="s">
        <v>3243</v>
      </c>
      <c r="I1199">
        <v>14.7</v>
      </c>
      <c r="J1199">
        <v>101.31</v>
      </c>
      <c r="K1199" t="str">
        <f>"TNPO1"</f>
        <v>TNPO1</v>
      </c>
      <c r="L1199" t="str">
        <f>"TNPO1"</f>
        <v>TNPO1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1.8001620641859499</v>
      </c>
      <c r="S1199">
        <v>2.2662711409396001</v>
      </c>
      <c r="T1199">
        <v>0</v>
      </c>
      <c r="U1199">
        <v>2.20471663619744</v>
      </c>
      <c r="V1199">
        <v>0</v>
      </c>
      <c r="W1199">
        <v>0</v>
      </c>
      <c r="X1199">
        <v>3.9385828424797298</v>
      </c>
    </row>
    <row r="1200" spans="1:24">
      <c r="A1200">
        <v>1971</v>
      </c>
      <c r="B1200" t="s">
        <v>3244</v>
      </c>
      <c r="C1200">
        <v>1</v>
      </c>
      <c r="D1200" t="s">
        <v>3245</v>
      </c>
      <c r="E1200">
        <v>3</v>
      </c>
      <c r="F1200">
        <v>3</v>
      </c>
      <c r="G1200">
        <v>3</v>
      </c>
      <c r="H1200" t="s">
        <v>3244</v>
      </c>
      <c r="I1200">
        <v>6.4</v>
      </c>
      <c r="J1200">
        <v>89.191000000000003</v>
      </c>
      <c r="K1200" t="str">
        <f>"PPP1R9B"</f>
        <v>PPP1R9B</v>
      </c>
      <c r="L1200" t="str">
        <f>"PPP1R9B"</f>
        <v>PPP1R9B</v>
      </c>
      <c r="M1200">
        <v>0</v>
      </c>
      <c r="N1200">
        <v>2.6835051655629099</v>
      </c>
      <c r="O1200">
        <v>0.91194339418818204</v>
      </c>
      <c r="P1200">
        <v>1.0652189274447901</v>
      </c>
      <c r="Q1200">
        <v>0</v>
      </c>
      <c r="R1200">
        <v>0.90008103209297396</v>
      </c>
      <c r="S1200">
        <v>1.1331355704698001</v>
      </c>
      <c r="T1200">
        <v>0</v>
      </c>
      <c r="U1200">
        <v>1.10235831809872</v>
      </c>
      <c r="V1200">
        <v>1.05063596764157</v>
      </c>
      <c r="W1200">
        <v>0</v>
      </c>
      <c r="X1200">
        <v>0.984645710619934</v>
      </c>
    </row>
    <row r="1201" spans="1:24">
      <c r="A1201">
        <v>2118</v>
      </c>
      <c r="B1201" t="s">
        <v>3246</v>
      </c>
      <c r="C1201">
        <v>2</v>
      </c>
      <c r="D1201" t="s">
        <v>3247</v>
      </c>
      <c r="E1201">
        <v>6</v>
      </c>
      <c r="F1201">
        <v>6</v>
      </c>
      <c r="G1201">
        <v>6</v>
      </c>
      <c r="H1201" t="s">
        <v>3248</v>
      </c>
      <c r="I1201">
        <v>37.700000000000003</v>
      </c>
      <c r="J1201">
        <v>15.645</v>
      </c>
      <c r="K1201" t="str">
        <f>"PPCS"</f>
        <v>PPCS</v>
      </c>
      <c r="L1201" t="str">
        <f>"PPCS"</f>
        <v>PPCS</v>
      </c>
      <c r="M1201">
        <v>0</v>
      </c>
      <c r="N1201">
        <v>0</v>
      </c>
      <c r="O1201">
        <v>0</v>
      </c>
      <c r="P1201">
        <v>1.0652189274447901</v>
      </c>
      <c r="Q1201">
        <v>0</v>
      </c>
      <c r="R1201">
        <v>1.8001620641859499</v>
      </c>
      <c r="S1201">
        <v>1.1331355704698001</v>
      </c>
      <c r="T1201">
        <v>0</v>
      </c>
      <c r="U1201">
        <v>1.10235831809872</v>
      </c>
      <c r="V1201">
        <v>1.05063596764157</v>
      </c>
      <c r="W1201">
        <v>1.27539809638918</v>
      </c>
      <c r="X1201">
        <v>0.984645710619934</v>
      </c>
    </row>
    <row r="1202" spans="1:24">
      <c r="A1202">
        <v>2128</v>
      </c>
      <c r="B1202" t="s">
        <v>3249</v>
      </c>
      <c r="C1202">
        <v>3</v>
      </c>
      <c r="D1202" t="s">
        <v>3250</v>
      </c>
      <c r="E1202">
        <v>5</v>
      </c>
      <c r="F1202">
        <v>5</v>
      </c>
      <c r="G1202">
        <v>5</v>
      </c>
      <c r="H1202" t="s">
        <v>3251</v>
      </c>
      <c r="I1202">
        <v>2.7</v>
      </c>
      <c r="J1202">
        <v>212.45</v>
      </c>
      <c r="K1202" t="str">
        <f>"PLXNA4;PLXNA2"</f>
        <v>PLXNA4;PLXNA2</v>
      </c>
      <c r="L1202" t="str">
        <f>"PLXNA4;PLXNA2"</f>
        <v>PLXNA4;PLXNA2</v>
      </c>
      <c r="M1202">
        <v>0</v>
      </c>
      <c r="N1202">
        <v>0.89450172185430499</v>
      </c>
      <c r="O1202">
        <v>0.91194339418818204</v>
      </c>
      <c r="P1202">
        <v>2.1304378548895899</v>
      </c>
      <c r="Q1202">
        <v>1.25576199330606</v>
      </c>
      <c r="R1202">
        <v>0.90008103209297396</v>
      </c>
      <c r="S1202">
        <v>1.1331355704698001</v>
      </c>
      <c r="T1202">
        <v>0</v>
      </c>
      <c r="U1202">
        <v>2.20471663619744</v>
      </c>
      <c r="V1202">
        <v>0</v>
      </c>
      <c r="W1202">
        <v>3.82619428916755</v>
      </c>
      <c r="X1202">
        <v>0.984645710619934</v>
      </c>
    </row>
    <row r="1203" spans="1:24">
      <c r="A1203">
        <v>2143</v>
      </c>
      <c r="B1203" t="s">
        <v>3252</v>
      </c>
      <c r="C1203">
        <v>1</v>
      </c>
      <c r="D1203" t="s">
        <v>3253</v>
      </c>
      <c r="E1203">
        <v>5</v>
      </c>
      <c r="F1203">
        <v>5</v>
      </c>
      <c r="G1203">
        <v>5</v>
      </c>
      <c r="H1203" t="s">
        <v>3252</v>
      </c>
      <c r="I1203">
        <v>18.100000000000001</v>
      </c>
      <c r="J1203">
        <v>30.608000000000001</v>
      </c>
      <c r="K1203" t="str">
        <f>"NIT2"</f>
        <v>NIT2</v>
      </c>
      <c r="L1203" t="str">
        <f>"NIT2"</f>
        <v>NIT2</v>
      </c>
      <c r="M1203">
        <v>0</v>
      </c>
      <c r="N1203">
        <v>0</v>
      </c>
      <c r="O1203">
        <v>0.91194339418818204</v>
      </c>
      <c r="P1203">
        <v>0</v>
      </c>
      <c r="Q1203">
        <v>0</v>
      </c>
      <c r="R1203">
        <v>0.90008103209297396</v>
      </c>
      <c r="S1203">
        <v>1.1331355704698001</v>
      </c>
      <c r="T1203">
        <v>2.3689799354567098</v>
      </c>
      <c r="U1203">
        <v>1.10235831809872</v>
      </c>
      <c r="V1203">
        <v>0</v>
      </c>
      <c r="W1203">
        <v>2.5507961927783702</v>
      </c>
      <c r="X1203">
        <v>1.96929142123987</v>
      </c>
    </row>
    <row r="1204" spans="1:24">
      <c r="A1204">
        <v>155</v>
      </c>
      <c r="B1204" t="s">
        <v>3254</v>
      </c>
      <c r="C1204">
        <v>1</v>
      </c>
      <c r="D1204" t="s">
        <v>3255</v>
      </c>
      <c r="E1204">
        <v>3</v>
      </c>
      <c r="F1204">
        <v>3</v>
      </c>
      <c r="G1204">
        <v>3</v>
      </c>
      <c r="H1204" t="s">
        <v>3254</v>
      </c>
      <c r="I1204">
        <v>22.7</v>
      </c>
      <c r="J1204">
        <v>22.091999999999999</v>
      </c>
      <c r="K1204" t="str">
        <f>"DENR"</f>
        <v>DENR</v>
      </c>
      <c r="L1204" t="str">
        <f>"DENR"</f>
        <v>DENR</v>
      </c>
      <c r="M1204">
        <v>0</v>
      </c>
      <c r="N1204">
        <v>1.78900344370861</v>
      </c>
      <c r="O1204">
        <v>1.8238867883763601</v>
      </c>
      <c r="P1204">
        <v>0</v>
      </c>
      <c r="Q1204">
        <v>1.25576199330606</v>
      </c>
      <c r="R1204">
        <v>0.90008103209297396</v>
      </c>
      <c r="S1204">
        <v>0</v>
      </c>
      <c r="T1204">
        <v>0</v>
      </c>
      <c r="U1204">
        <v>0</v>
      </c>
      <c r="V1204">
        <v>1.05063596764157</v>
      </c>
      <c r="W1204">
        <v>0</v>
      </c>
      <c r="X1204">
        <v>0</v>
      </c>
    </row>
    <row r="1205" spans="1:24">
      <c r="A1205">
        <v>259</v>
      </c>
      <c r="B1205" t="s">
        <v>3256</v>
      </c>
      <c r="C1205">
        <v>7</v>
      </c>
      <c r="D1205" t="s">
        <v>3257</v>
      </c>
      <c r="E1205">
        <v>3</v>
      </c>
      <c r="F1205">
        <v>3</v>
      </c>
      <c r="G1205">
        <v>3</v>
      </c>
      <c r="H1205" t="s">
        <v>3258</v>
      </c>
      <c r="I1205">
        <v>11.9</v>
      </c>
      <c r="J1205">
        <v>25.609000000000002</v>
      </c>
      <c r="K1205" t="str">
        <f>"RTN3"</f>
        <v>RTN3</v>
      </c>
      <c r="L1205" t="str">
        <f>"RTN3"</f>
        <v>RTN3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1.8001620641859499</v>
      </c>
      <c r="S1205">
        <v>2.2662711409396001</v>
      </c>
      <c r="T1205">
        <v>0</v>
      </c>
      <c r="U1205">
        <v>3.3070749542961599</v>
      </c>
      <c r="V1205">
        <v>1.05063596764157</v>
      </c>
      <c r="W1205">
        <v>3.82619428916755</v>
      </c>
      <c r="X1205">
        <v>2.9539371318597998</v>
      </c>
    </row>
    <row r="1206" spans="1:24">
      <c r="A1206">
        <v>350</v>
      </c>
      <c r="B1206" t="s">
        <v>3259</v>
      </c>
      <c r="C1206">
        <v>1</v>
      </c>
      <c r="D1206" t="s">
        <v>3260</v>
      </c>
      <c r="E1206">
        <v>1</v>
      </c>
      <c r="F1206">
        <v>1</v>
      </c>
      <c r="G1206">
        <v>1</v>
      </c>
      <c r="H1206" t="s">
        <v>3259</v>
      </c>
      <c r="I1206">
        <v>21.4</v>
      </c>
      <c r="J1206">
        <v>10.824999999999999</v>
      </c>
      <c r="K1206" t="s">
        <v>1301</v>
      </c>
      <c r="L1206" t="s">
        <v>1301</v>
      </c>
      <c r="M1206">
        <v>2.4207785504337198</v>
      </c>
      <c r="N1206">
        <v>0.89450172185430499</v>
      </c>
      <c r="O1206">
        <v>0.91194339418818204</v>
      </c>
      <c r="P1206">
        <v>0</v>
      </c>
      <c r="Q1206">
        <v>2.51152398661212</v>
      </c>
      <c r="R1206">
        <v>1.8001620641859499</v>
      </c>
      <c r="S1206">
        <v>0</v>
      </c>
      <c r="T1206">
        <v>1.18448996772836</v>
      </c>
      <c r="U1206">
        <v>0</v>
      </c>
      <c r="V1206">
        <v>1.05063596764157</v>
      </c>
      <c r="W1206">
        <v>1.27539809638918</v>
      </c>
      <c r="X1206">
        <v>0.984645710619934</v>
      </c>
    </row>
    <row r="1207" spans="1:24">
      <c r="A1207">
        <v>360</v>
      </c>
      <c r="B1207" t="s">
        <v>3261</v>
      </c>
      <c r="C1207">
        <v>8</v>
      </c>
      <c r="D1207" t="s">
        <v>3262</v>
      </c>
      <c r="E1207">
        <v>4</v>
      </c>
      <c r="F1207">
        <v>3</v>
      </c>
      <c r="G1207">
        <v>3</v>
      </c>
      <c r="H1207" t="s">
        <v>3263</v>
      </c>
      <c r="I1207">
        <v>27.5</v>
      </c>
      <c r="J1207">
        <v>11.506</v>
      </c>
      <c r="K1207" t="s">
        <v>3264</v>
      </c>
      <c r="L1207" t="s">
        <v>3264</v>
      </c>
      <c r="M1207">
        <v>2.4207785504337198</v>
      </c>
      <c r="N1207">
        <v>0</v>
      </c>
      <c r="O1207">
        <v>0</v>
      </c>
      <c r="P1207">
        <v>1.0652189274447901</v>
      </c>
      <c r="Q1207">
        <v>0</v>
      </c>
      <c r="R1207">
        <v>1.8001620641859499</v>
      </c>
      <c r="S1207">
        <v>2.2662711409396001</v>
      </c>
      <c r="T1207">
        <v>1.18448996772836</v>
      </c>
      <c r="U1207">
        <v>0</v>
      </c>
      <c r="V1207">
        <v>1.05063596764157</v>
      </c>
      <c r="W1207">
        <v>1.27539809638918</v>
      </c>
      <c r="X1207">
        <v>0.984645710619934</v>
      </c>
    </row>
    <row r="1208" spans="1:24">
      <c r="A1208">
        <v>516</v>
      </c>
      <c r="B1208" t="s">
        <v>3265</v>
      </c>
      <c r="C1208">
        <v>3</v>
      </c>
      <c r="D1208" t="s">
        <v>3266</v>
      </c>
      <c r="E1208">
        <v>6</v>
      </c>
      <c r="F1208">
        <v>6</v>
      </c>
      <c r="G1208">
        <v>6</v>
      </c>
      <c r="H1208" t="s">
        <v>3267</v>
      </c>
      <c r="I1208">
        <v>5.8</v>
      </c>
      <c r="J1208">
        <v>111.13</v>
      </c>
      <c r="K1208" t="str">
        <f>"ITGAV"</f>
        <v>ITGAV</v>
      </c>
      <c r="L1208" t="str">
        <f>"ITGAV"</f>
        <v>ITGAV</v>
      </c>
      <c r="M1208">
        <v>1.2103892752168599</v>
      </c>
      <c r="N1208">
        <v>0</v>
      </c>
      <c r="O1208">
        <v>0.91194339418818204</v>
      </c>
      <c r="P1208">
        <v>1.0652189274447901</v>
      </c>
      <c r="Q1208">
        <v>1.25576199330606</v>
      </c>
      <c r="R1208">
        <v>1.8001620641859499</v>
      </c>
      <c r="S1208">
        <v>0</v>
      </c>
      <c r="T1208">
        <v>1.18448996772836</v>
      </c>
      <c r="U1208">
        <v>0</v>
      </c>
      <c r="V1208">
        <v>1.05063596764157</v>
      </c>
      <c r="W1208">
        <v>0</v>
      </c>
      <c r="X1208">
        <v>0</v>
      </c>
    </row>
    <row r="1209" spans="1:24">
      <c r="A1209">
        <v>611</v>
      </c>
      <c r="B1209" t="s">
        <v>3268</v>
      </c>
      <c r="C1209">
        <v>1</v>
      </c>
      <c r="D1209" t="s">
        <v>3269</v>
      </c>
      <c r="E1209">
        <v>13</v>
      </c>
      <c r="F1209">
        <v>1</v>
      </c>
      <c r="G1209">
        <v>1</v>
      </c>
      <c r="H1209" t="s">
        <v>3268</v>
      </c>
      <c r="I1209">
        <v>41.5</v>
      </c>
      <c r="J1209">
        <v>40.648000000000003</v>
      </c>
      <c r="K1209" t="str">
        <f>"HLA-C"</f>
        <v>HLA-C</v>
      </c>
      <c r="L1209" t="str">
        <f>"HLA-C"</f>
        <v>HLA-C</v>
      </c>
      <c r="M1209">
        <v>1.2103892752168599</v>
      </c>
      <c r="N1209">
        <v>0</v>
      </c>
      <c r="O1209">
        <v>0</v>
      </c>
      <c r="P1209">
        <v>0</v>
      </c>
      <c r="Q1209">
        <v>1.25576199330606</v>
      </c>
      <c r="R1209">
        <v>2.7002430962789199</v>
      </c>
      <c r="S1209">
        <v>2.2662711409396001</v>
      </c>
      <c r="T1209">
        <v>1.18448996772836</v>
      </c>
      <c r="U1209">
        <v>0</v>
      </c>
      <c r="V1209">
        <v>1.05063596764157</v>
      </c>
      <c r="W1209">
        <v>0</v>
      </c>
      <c r="X1209">
        <v>0.984645710619934</v>
      </c>
    </row>
    <row r="1210" spans="1:24">
      <c r="A1210">
        <v>812</v>
      </c>
      <c r="B1210" t="s">
        <v>3270</v>
      </c>
      <c r="C1210">
        <v>1</v>
      </c>
      <c r="D1210" t="s">
        <v>3271</v>
      </c>
      <c r="E1210">
        <v>5</v>
      </c>
      <c r="F1210">
        <v>5</v>
      </c>
      <c r="G1210">
        <v>5</v>
      </c>
      <c r="H1210" t="s">
        <v>3270</v>
      </c>
      <c r="I1210">
        <v>9</v>
      </c>
      <c r="J1210">
        <v>73.775999999999996</v>
      </c>
      <c r="K1210" t="str">
        <f>"CPT2"</f>
        <v>CPT2</v>
      </c>
      <c r="L1210" t="str">
        <f>"CPT2"</f>
        <v>CPT2</v>
      </c>
      <c r="M1210">
        <v>0</v>
      </c>
      <c r="N1210">
        <v>0.89450172185430499</v>
      </c>
      <c r="O1210">
        <v>2.7358301825645501</v>
      </c>
      <c r="P1210">
        <v>0</v>
      </c>
      <c r="Q1210">
        <v>0</v>
      </c>
      <c r="R1210">
        <v>2.7002430962789199</v>
      </c>
      <c r="S1210">
        <v>0</v>
      </c>
      <c r="T1210">
        <v>0</v>
      </c>
      <c r="U1210">
        <v>1.10235831809872</v>
      </c>
      <c r="V1210">
        <v>3.1519079029246999</v>
      </c>
      <c r="W1210">
        <v>0</v>
      </c>
      <c r="X1210">
        <v>0.984645710619934</v>
      </c>
    </row>
    <row r="1211" spans="1:24">
      <c r="A1211">
        <v>1015</v>
      </c>
      <c r="B1211" t="s">
        <v>3272</v>
      </c>
      <c r="C1211">
        <v>1</v>
      </c>
      <c r="D1211" t="s">
        <v>3273</v>
      </c>
      <c r="E1211">
        <v>9</v>
      </c>
      <c r="F1211">
        <v>3</v>
      </c>
      <c r="G1211">
        <v>3</v>
      </c>
      <c r="H1211" t="s">
        <v>3272</v>
      </c>
      <c r="I1211">
        <v>32.4</v>
      </c>
      <c r="J1211">
        <v>42.292999999999999</v>
      </c>
      <c r="K1211" t="str">
        <f>"ACTR1B"</f>
        <v>ACTR1B</v>
      </c>
      <c r="L1211" t="str">
        <f>"ACTR1B"</f>
        <v>ACTR1B</v>
      </c>
      <c r="M1211">
        <v>0</v>
      </c>
      <c r="N1211">
        <v>0.89450172185430499</v>
      </c>
      <c r="O1211">
        <v>0.91194339418818204</v>
      </c>
      <c r="P1211">
        <v>1.0652189274447901</v>
      </c>
      <c r="Q1211">
        <v>0</v>
      </c>
      <c r="R1211">
        <v>0.90008103209297396</v>
      </c>
      <c r="S1211">
        <v>1.1331355704698001</v>
      </c>
      <c r="T1211">
        <v>1.18448996772836</v>
      </c>
      <c r="U1211">
        <v>1.10235831809872</v>
      </c>
      <c r="V1211">
        <v>0</v>
      </c>
      <c r="W1211">
        <v>1.27539809638918</v>
      </c>
      <c r="X1211">
        <v>1.96929142123987</v>
      </c>
    </row>
    <row r="1212" spans="1:24">
      <c r="A1212">
        <v>1227</v>
      </c>
      <c r="B1212" t="s">
        <v>3274</v>
      </c>
      <c r="C1212">
        <v>2</v>
      </c>
      <c r="D1212" t="s">
        <v>3275</v>
      </c>
      <c r="E1212">
        <v>5</v>
      </c>
      <c r="F1212">
        <v>4</v>
      </c>
      <c r="G1212">
        <v>4</v>
      </c>
      <c r="H1212" t="s">
        <v>3276</v>
      </c>
      <c r="I1212">
        <v>32.4</v>
      </c>
      <c r="J1212">
        <v>23.585999999999999</v>
      </c>
      <c r="K1212" t="str">
        <f>"RAB4B"</f>
        <v>RAB4B</v>
      </c>
      <c r="L1212" t="str">
        <f>"RAB4B"</f>
        <v>RAB4B</v>
      </c>
      <c r="M1212">
        <v>0</v>
      </c>
      <c r="N1212">
        <v>0.89450172185430499</v>
      </c>
      <c r="O1212">
        <v>0.91194339418818204</v>
      </c>
      <c r="P1212">
        <v>0</v>
      </c>
      <c r="Q1212">
        <v>0</v>
      </c>
      <c r="R1212">
        <v>1.8001620641859499</v>
      </c>
      <c r="S1212">
        <v>0</v>
      </c>
      <c r="T1212">
        <v>1.18448996772836</v>
      </c>
      <c r="U1212">
        <v>0</v>
      </c>
      <c r="V1212">
        <v>1.05063596764157</v>
      </c>
      <c r="W1212">
        <v>0</v>
      </c>
      <c r="X1212">
        <v>0.984645710619934</v>
      </c>
    </row>
    <row r="1213" spans="1:24">
      <c r="A1213">
        <v>1417</v>
      </c>
      <c r="B1213" t="s">
        <v>3277</v>
      </c>
      <c r="C1213">
        <v>4</v>
      </c>
      <c r="D1213" t="s">
        <v>3278</v>
      </c>
      <c r="E1213">
        <v>5</v>
      </c>
      <c r="F1213">
        <v>5</v>
      </c>
      <c r="G1213">
        <v>5</v>
      </c>
      <c r="H1213" t="s">
        <v>3279</v>
      </c>
      <c r="I1213">
        <v>13.4</v>
      </c>
      <c r="J1213">
        <v>36.017000000000003</v>
      </c>
      <c r="K1213" t="str">
        <f>"BNIP2;ATCAY"</f>
        <v>BNIP2;ATCAY</v>
      </c>
      <c r="L1213" t="str">
        <f>"BNIP2;ATCAY"</f>
        <v>BNIP2;ATCAY</v>
      </c>
      <c r="M1213">
        <v>2.4207785504337198</v>
      </c>
      <c r="N1213">
        <v>2.6835051655629099</v>
      </c>
      <c r="O1213">
        <v>0.91194339418818204</v>
      </c>
      <c r="P1213">
        <v>0</v>
      </c>
      <c r="Q1213">
        <v>0</v>
      </c>
      <c r="R1213">
        <v>0.90008103209297396</v>
      </c>
      <c r="S1213">
        <v>0</v>
      </c>
      <c r="T1213">
        <v>0</v>
      </c>
      <c r="U1213">
        <v>1.10235831809872</v>
      </c>
      <c r="V1213">
        <v>0</v>
      </c>
      <c r="W1213">
        <v>0</v>
      </c>
      <c r="X1213">
        <v>0.984645710619934</v>
      </c>
    </row>
    <row r="1214" spans="1:24">
      <c r="A1214">
        <v>1496</v>
      </c>
      <c r="B1214" t="s">
        <v>3280</v>
      </c>
      <c r="C1214">
        <v>1</v>
      </c>
      <c r="D1214" t="s">
        <v>3281</v>
      </c>
      <c r="E1214">
        <v>10</v>
      </c>
      <c r="F1214">
        <v>10</v>
      </c>
      <c r="G1214">
        <v>10</v>
      </c>
      <c r="H1214" t="s">
        <v>3280</v>
      </c>
      <c r="I1214">
        <v>19.399999999999999</v>
      </c>
      <c r="J1214">
        <v>70.972999999999999</v>
      </c>
      <c r="K1214" t="str">
        <f>"TRIM25"</f>
        <v>TRIM25</v>
      </c>
      <c r="L1214" t="str">
        <f>"TRIM25"</f>
        <v>TRIM25</v>
      </c>
      <c r="M1214">
        <v>0</v>
      </c>
      <c r="N1214">
        <v>0</v>
      </c>
      <c r="O1214">
        <v>2.7358301825645501</v>
      </c>
      <c r="P1214">
        <v>1.0652189274447901</v>
      </c>
      <c r="Q1214">
        <v>1.25576199330606</v>
      </c>
      <c r="R1214">
        <v>0.90008103209297396</v>
      </c>
      <c r="S1214">
        <v>1.1331355704698001</v>
      </c>
      <c r="T1214">
        <v>0</v>
      </c>
      <c r="U1214">
        <v>1.10235831809872</v>
      </c>
      <c r="V1214">
        <v>0</v>
      </c>
      <c r="W1214">
        <v>1.27539809638918</v>
      </c>
      <c r="X1214">
        <v>1.96929142123987</v>
      </c>
    </row>
    <row r="1215" spans="1:24">
      <c r="A1215">
        <v>1677</v>
      </c>
      <c r="B1215" t="s">
        <v>3282</v>
      </c>
      <c r="C1215">
        <v>2</v>
      </c>
      <c r="D1215" t="s">
        <v>3283</v>
      </c>
      <c r="E1215">
        <v>5</v>
      </c>
      <c r="F1215">
        <v>5</v>
      </c>
      <c r="G1215">
        <v>5</v>
      </c>
      <c r="H1215" t="s">
        <v>3284</v>
      </c>
      <c r="I1215">
        <v>9.8000000000000007</v>
      </c>
      <c r="J1215">
        <v>72.063000000000002</v>
      </c>
      <c r="K1215" t="str">
        <f>"SLC27A4"</f>
        <v>SLC27A4</v>
      </c>
      <c r="L1215" t="str">
        <f>"SLC27A4"</f>
        <v>SLC27A4</v>
      </c>
      <c r="M1215">
        <v>1.2103892752168599</v>
      </c>
      <c r="N1215">
        <v>0</v>
      </c>
      <c r="O1215">
        <v>1.8238867883763601</v>
      </c>
      <c r="P1215">
        <v>0</v>
      </c>
      <c r="Q1215">
        <v>1.25576199330606</v>
      </c>
      <c r="R1215">
        <v>1.8001620641859499</v>
      </c>
      <c r="S1215">
        <v>0</v>
      </c>
      <c r="T1215">
        <v>1.18448996772836</v>
      </c>
      <c r="U1215">
        <v>0</v>
      </c>
      <c r="V1215">
        <v>1.05063596764157</v>
      </c>
      <c r="W1215">
        <v>0</v>
      </c>
      <c r="X1215">
        <v>0</v>
      </c>
    </row>
    <row r="1216" spans="1:24">
      <c r="A1216">
        <v>1680</v>
      </c>
      <c r="B1216" t="s">
        <v>3285</v>
      </c>
      <c r="C1216">
        <v>1</v>
      </c>
      <c r="D1216" t="s">
        <v>3286</v>
      </c>
      <c r="E1216">
        <v>9</v>
      </c>
      <c r="F1216">
        <v>9</v>
      </c>
      <c r="G1216">
        <v>9</v>
      </c>
      <c r="H1216" t="s">
        <v>3285</v>
      </c>
      <c r="I1216">
        <v>12.3</v>
      </c>
      <c r="J1216">
        <v>103.71</v>
      </c>
      <c r="K1216" t="str">
        <f>"SCYL2"</f>
        <v>SCYL2</v>
      </c>
      <c r="L1216" t="str">
        <f>"SCYL2"</f>
        <v>SCYL2</v>
      </c>
      <c r="M1216">
        <v>0</v>
      </c>
      <c r="N1216">
        <v>0</v>
      </c>
      <c r="O1216">
        <v>0.91194339418818204</v>
      </c>
      <c r="P1216">
        <v>1.0652189274447901</v>
      </c>
      <c r="Q1216">
        <v>0</v>
      </c>
      <c r="R1216">
        <v>3.6003241283718901</v>
      </c>
      <c r="S1216">
        <v>0</v>
      </c>
      <c r="T1216">
        <v>0</v>
      </c>
      <c r="U1216">
        <v>0</v>
      </c>
      <c r="V1216">
        <v>1.05063596764157</v>
      </c>
      <c r="W1216">
        <v>0</v>
      </c>
      <c r="X1216">
        <v>0.984645710619934</v>
      </c>
    </row>
    <row r="1217" spans="1:24">
      <c r="A1217">
        <v>1881</v>
      </c>
      <c r="B1217" t="s">
        <v>3287</v>
      </c>
      <c r="C1217">
        <v>2</v>
      </c>
      <c r="D1217" t="s">
        <v>3288</v>
      </c>
      <c r="E1217">
        <v>12</v>
      </c>
      <c r="F1217">
        <v>12</v>
      </c>
      <c r="G1217">
        <v>12</v>
      </c>
      <c r="H1217" t="s">
        <v>3289</v>
      </c>
      <c r="I1217">
        <v>14.8</v>
      </c>
      <c r="J1217">
        <v>123.03</v>
      </c>
      <c r="K1217" t="str">
        <f>"UPF1"</f>
        <v>UPF1</v>
      </c>
      <c r="L1217" t="str">
        <f>"UPF1"</f>
        <v>UPF1</v>
      </c>
      <c r="M1217">
        <v>0</v>
      </c>
      <c r="N1217">
        <v>0.89450172185430499</v>
      </c>
      <c r="O1217">
        <v>1.8238867883763601</v>
      </c>
      <c r="P1217">
        <v>1.0652189274447901</v>
      </c>
      <c r="Q1217">
        <v>0</v>
      </c>
      <c r="R1217">
        <v>0.90008103209297396</v>
      </c>
      <c r="S1217">
        <v>1.1331355704698001</v>
      </c>
      <c r="T1217">
        <v>0</v>
      </c>
      <c r="U1217">
        <v>0</v>
      </c>
      <c r="V1217">
        <v>1.05063596764157</v>
      </c>
      <c r="W1217">
        <v>0</v>
      </c>
      <c r="X1217">
        <v>1.96929142123987</v>
      </c>
    </row>
    <row r="1218" spans="1:24">
      <c r="A1218">
        <v>2263</v>
      </c>
      <c r="B1218" t="s">
        <v>3290</v>
      </c>
      <c r="C1218">
        <v>5</v>
      </c>
      <c r="D1218" t="s">
        <v>3291</v>
      </c>
      <c r="E1218">
        <v>5</v>
      </c>
      <c r="F1218">
        <v>5</v>
      </c>
      <c r="G1218">
        <v>5</v>
      </c>
      <c r="H1218" t="s">
        <v>3292</v>
      </c>
      <c r="I1218">
        <v>41.4</v>
      </c>
      <c r="J1218">
        <v>18.963000000000001</v>
      </c>
      <c r="K1218" t="str">
        <f>"MSRA"</f>
        <v>MSRA</v>
      </c>
      <c r="L1218" t="str">
        <f>"MSRA"</f>
        <v>MSRA</v>
      </c>
      <c r="M1218">
        <v>1.2103892752168599</v>
      </c>
      <c r="N1218">
        <v>0.89450172185430499</v>
      </c>
      <c r="O1218">
        <v>0.91194339418818204</v>
      </c>
      <c r="P1218">
        <v>0</v>
      </c>
      <c r="Q1218">
        <v>0</v>
      </c>
      <c r="R1218">
        <v>0.90008103209297396</v>
      </c>
      <c r="S1218">
        <v>0</v>
      </c>
      <c r="T1218">
        <v>1.18448996772836</v>
      </c>
      <c r="U1218">
        <v>0</v>
      </c>
      <c r="V1218">
        <v>1.05063596764157</v>
      </c>
      <c r="W1218">
        <v>1.27539809638918</v>
      </c>
      <c r="X1218">
        <v>1.96929142123987</v>
      </c>
    </row>
    <row r="1219" spans="1:24">
      <c r="A1219">
        <v>2283</v>
      </c>
      <c r="B1219" t="s">
        <v>3293</v>
      </c>
      <c r="C1219">
        <v>3</v>
      </c>
      <c r="D1219" t="s">
        <v>3294</v>
      </c>
      <c r="E1219">
        <v>3</v>
      </c>
      <c r="F1219">
        <v>3</v>
      </c>
      <c r="G1219">
        <v>3</v>
      </c>
      <c r="H1219" t="s">
        <v>3295</v>
      </c>
      <c r="I1219">
        <v>20.100000000000001</v>
      </c>
      <c r="J1219">
        <v>19.228000000000002</v>
      </c>
      <c r="K1219" t="str">
        <f>"MCTS1"</f>
        <v>MCTS1</v>
      </c>
      <c r="L1219" t="str">
        <f>"MCTS1"</f>
        <v>MCTS1</v>
      </c>
      <c r="M1219">
        <v>1.2103892752168599</v>
      </c>
      <c r="N1219">
        <v>0</v>
      </c>
      <c r="O1219">
        <v>0</v>
      </c>
      <c r="P1219">
        <v>0</v>
      </c>
      <c r="Q1219">
        <v>0</v>
      </c>
      <c r="R1219">
        <v>1.8001620641859499</v>
      </c>
      <c r="S1219">
        <v>0</v>
      </c>
      <c r="T1219">
        <v>2.3689799354567098</v>
      </c>
      <c r="U1219">
        <v>1.10235831809872</v>
      </c>
      <c r="V1219">
        <v>3.1519079029246999</v>
      </c>
      <c r="W1219">
        <v>0</v>
      </c>
      <c r="X1219">
        <v>0</v>
      </c>
    </row>
    <row r="1220" spans="1:24">
      <c r="A1220">
        <v>2339</v>
      </c>
      <c r="B1220" t="s">
        <v>3296</v>
      </c>
      <c r="C1220">
        <v>1</v>
      </c>
      <c r="D1220" t="s">
        <v>3297</v>
      </c>
      <c r="E1220">
        <v>7</v>
      </c>
      <c r="F1220">
        <v>7</v>
      </c>
      <c r="G1220">
        <v>7</v>
      </c>
      <c r="H1220" t="s">
        <v>3296</v>
      </c>
      <c r="I1220">
        <v>38.4</v>
      </c>
      <c r="J1220">
        <v>35.198</v>
      </c>
      <c r="K1220" t="str">
        <f>"UBE2J1"</f>
        <v>UBE2J1</v>
      </c>
      <c r="L1220" t="str">
        <f>"UBE2J1"</f>
        <v>UBE2J1</v>
      </c>
      <c r="M1220">
        <v>0</v>
      </c>
      <c r="N1220">
        <v>1.78900344370861</v>
      </c>
      <c r="O1220">
        <v>0</v>
      </c>
      <c r="P1220">
        <v>1.0652189274447901</v>
      </c>
      <c r="Q1220">
        <v>0</v>
      </c>
      <c r="R1220">
        <v>0</v>
      </c>
      <c r="S1220">
        <v>1.1331355704698001</v>
      </c>
      <c r="T1220">
        <v>1.18448996772836</v>
      </c>
      <c r="U1220">
        <v>0</v>
      </c>
      <c r="V1220">
        <v>0</v>
      </c>
      <c r="W1220">
        <v>1.27539809638918</v>
      </c>
      <c r="X1220">
        <v>0</v>
      </c>
    </row>
    <row r="1221" spans="1:24">
      <c r="A1221">
        <v>44</v>
      </c>
      <c r="B1221" t="s">
        <v>3298</v>
      </c>
      <c r="C1221">
        <v>4</v>
      </c>
      <c r="D1221" t="s">
        <v>3299</v>
      </c>
      <c r="E1221">
        <v>2</v>
      </c>
      <c r="F1221">
        <v>2</v>
      </c>
      <c r="G1221">
        <v>2</v>
      </c>
      <c r="H1221" t="s">
        <v>3300</v>
      </c>
      <c r="I1221">
        <v>12.6</v>
      </c>
      <c r="J1221">
        <v>23.384</v>
      </c>
      <c r="K1221" t="str">
        <f>"NACA;NACAP1"</f>
        <v>NACA;NACAP1</v>
      </c>
      <c r="L1221" t="str">
        <f>"NACA;NACAP1"</f>
        <v>NACA;NACAP1</v>
      </c>
      <c r="M1221">
        <v>0</v>
      </c>
      <c r="N1221">
        <v>1.78900344370861</v>
      </c>
      <c r="O1221">
        <v>0.91194339418818204</v>
      </c>
      <c r="P1221">
        <v>1.0652189274447901</v>
      </c>
      <c r="Q1221">
        <v>0</v>
      </c>
      <c r="R1221">
        <v>1.8001620641859499</v>
      </c>
      <c r="S1221">
        <v>2.2662711409396001</v>
      </c>
      <c r="T1221">
        <v>0</v>
      </c>
      <c r="U1221">
        <v>2.20471663619744</v>
      </c>
      <c r="V1221">
        <v>0</v>
      </c>
      <c r="W1221">
        <v>0</v>
      </c>
      <c r="X1221">
        <v>0.984645710619934</v>
      </c>
    </row>
    <row r="1222" spans="1:24">
      <c r="A1222">
        <v>63</v>
      </c>
      <c r="B1222" t="s">
        <v>3301</v>
      </c>
      <c r="C1222">
        <v>3</v>
      </c>
      <c r="D1222" t="s">
        <v>3302</v>
      </c>
      <c r="E1222">
        <v>4</v>
      </c>
      <c r="F1222">
        <v>4</v>
      </c>
      <c r="G1222">
        <v>4</v>
      </c>
      <c r="H1222" t="s">
        <v>3303</v>
      </c>
      <c r="I1222">
        <v>19.3</v>
      </c>
      <c r="J1222">
        <v>24.681999999999999</v>
      </c>
      <c r="K1222" t="str">
        <f>"PSMD9"</f>
        <v>PSMD9</v>
      </c>
      <c r="L1222" t="str">
        <f>"PSMD9"</f>
        <v>PSMD9</v>
      </c>
      <c r="M1222">
        <v>0</v>
      </c>
      <c r="N1222">
        <v>0.89450172185430499</v>
      </c>
      <c r="O1222">
        <v>2.7358301825645501</v>
      </c>
      <c r="P1222">
        <v>1.0652189274447901</v>
      </c>
      <c r="Q1222">
        <v>0</v>
      </c>
      <c r="R1222">
        <v>0.90008103209297396</v>
      </c>
      <c r="S1222">
        <v>1.1331355704698001</v>
      </c>
      <c r="T1222">
        <v>0</v>
      </c>
      <c r="U1222">
        <v>0</v>
      </c>
      <c r="V1222">
        <v>0</v>
      </c>
      <c r="W1222">
        <v>1.27539809638918</v>
      </c>
      <c r="X1222">
        <v>0.984645710619934</v>
      </c>
    </row>
    <row r="1223" spans="1:24">
      <c r="A1223">
        <v>110</v>
      </c>
      <c r="B1223" t="s">
        <v>3304</v>
      </c>
      <c r="C1223">
        <v>1</v>
      </c>
      <c r="D1223" t="s">
        <v>3305</v>
      </c>
      <c r="E1223">
        <v>4</v>
      </c>
      <c r="F1223">
        <v>4</v>
      </c>
      <c r="G1223">
        <v>4</v>
      </c>
      <c r="H1223" t="s">
        <v>3304</v>
      </c>
      <c r="I1223">
        <v>3.8</v>
      </c>
      <c r="J1223">
        <v>144.72999999999999</v>
      </c>
      <c r="K1223" t="str">
        <f>"PFAS"</f>
        <v>PFAS</v>
      </c>
      <c r="L1223" t="str">
        <f>"PFAS"</f>
        <v>PFAS</v>
      </c>
      <c r="M1223">
        <v>0</v>
      </c>
      <c r="N1223">
        <v>1.78900344370861</v>
      </c>
      <c r="O1223">
        <v>0.91194339418818204</v>
      </c>
      <c r="P1223">
        <v>1.0652189274447901</v>
      </c>
      <c r="Q1223">
        <v>0</v>
      </c>
      <c r="R1223">
        <v>2.7002430962789199</v>
      </c>
      <c r="S1223">
        <v>1.1331355704698001</v>
      </c>
      <c r="T1223">
        <v>0</v>
      </c>
      <c r="U1223">
        <v>1.10235831809872</v>
      </c>
      <c r="V1223">
        <v>2.1012719352831399</v>
      </c>
      <c r="W1223">
        <v>1.27539809638918</v>
      </c>
      <c r="X1223">
        <v>0</v>
      </c>
    </row>
    <row r="1224" spans="1:24">
      <c r="A1224">
        <v>116</v>
      </c>
      <c r="B1224" t="s">
        <v>3306</v>
      </c>
      <c r="C1224">
        <v>1</v>
      </c>
      <c r="D1224" t="s">
        <v>3307</v>
      </c>
      <c r="E1224">
        <v>3</v>
      </c>
      <c r="F1224">
        <v>3</v>
      </c>
      <c r="G1224">
        <v>3</v>
      </c>
      <c r="H1224" t="s">
        <v>3306</v>
      </c>
      <c r="I1224">
        <v>10</v>
      </c>
      <c r="J1224">
        <v>36.648000000000003</v>
      </c>
      <c r="K1224" t="str">
        <f>"SCAMP2"</f>
        <v>SCAMP2</v>
      </c>
      <c r="L1224" t="str">
        <f>"SCAMP2"</f>
        <v>SCAMP2</v>
      </c>
      <c r="M1224">
        <v>1.2103892752168599</v>
      </c>
      <c r="N1224">
        <v>0.89450172185430499</v>
      </c>
      <c r="O1224">
        <v>0.91194339418818204</v>
      </c>
      <c r="P1224">
        <v>1.0652189274447901</v>
      </c>
      <c r="Q1224">
        <v>0</v>
      </c>
      <c r="R1224">
        <v>0.90008103209297396</v>
      </c>
      <c r="S1224">
        <v>0</v>
      </c>
      <c r="T1224">
        <v>1.18448996772836</v>
      </c>
      <c r="U1224">
        <v>0</v>
      </c>
      <c r="V1224">
        <v>0</v>
      </c>
      <c r="W1224">
        <v>0</v>
      </c>
      <c r="X1224">
        <v>0.984645710619934</v>
      </c>
    </row>
    <row r="1225" spans="1:24">
      <c r="A1225">
        <v>194</v>
      </c>
      <c r="B1225" t="s">
        <v>3308</v>
      </c>
      <c r="C1225">
        <v>1</v>
      </c>
      <c r="D1225" t="s">
        <v>3309</v>
      </c>
      <c r="E1225">
        <v>7</v>
      </c>
      <c r="F1225">
        <v>7</v>
      </c>
      <c r="G1225">
        <v>7</v>
      </c>
      <c r="H1225" t="s">
        <v>3308</v>
      </c>
      <c r="I1225">
        <v>27.7</v>
      </c>
      <c r="J1225">
        <v>29.634</v>
      </c>
      <c r="K1225" t="str">
        <f>"DPM1"</f>
        <v>DPM1</v>
      </c>
      <c r="L1225" t="str">
        <f>"DPM1"</f>
        <v>DPM1</v>
      </c>
      <c r="M1225">
        <v>0</v>
      </c>
      <c r="N1225">
        <v>0</v>
      </c>
      <c r="O1225">
        <v>0.91194339418818204</v>
      </c>
      <c r="P1225">
        <v>0</v>
      </c>
      <c r="Q1225">
        <v>0</v>
      </c>
      <c r="R1225">
        <v>1.8001620641859499</v>
      </c>
      <c r="S1225">
        <v>1.1331355704698001</v>
      </c>
      <c r="T1225">
        <v>1.18448996772836</v>
      </c>
      <c r="U1225">
        <v>1.10235831809872</v>
      </c>
      <c r="V1225">
        <v>1.05063596764157</v>
      </c>
      <c r="W1225">
        <v>2.5507961927783702</v>
      </c>
      <c r="X1225">
        <v>0.984645710619934</v>
      </c>
    </row>
    <row r="1226" spans="1:24">
      <c r="A1226">
        <v>261</v>
      </c>
      <c r="B1226" t="s">
        <v>3310</v>
      </c>
      <c r="C1226">
        <v>2</v>
      </c>
      <c r="D1226" t="s">
        <v>3311</v>
      </c>
      <c r="E1226">
        <v>9</v>
      </c>
      <c r="F1226">
        <v>9</v>
      </c>
      <c r="G1226">
        <v>9</v>
      </c>
      <c r="H1226" t="s">
        <v>3312</v>
      </c>
      <c r="I1226">
        <v>20.7</v>
      </c>
      <c r="J1226">
        <v>59.030999999999999</v>
      </c>
      <c r="K1226" t="str">
        <f>"ATE1"</f>
        <v>ATE1</v>
      </c>
      <c r="L1226" t="str">
        <f>"ATE1"</f>
        <v>ATE1</v>
      </c>
      <c r="M1226">
        <v>0</v>
      </c>
      <c r="N1226">
        <v>1.78900344370861</v>
      </c>
      <c r="O1226">
        <v>0.91194339418818204</v>
      </c>
      <c r="P1226">
        <v>1.0652189274447901</v>
      </c>
      <c r="Q1226">
        <v>0</v>
      </c>
      <c r="R1226">
        <v>0.90008103209297396</v>
      </c>
      <c r="S1226">
        <v>0</v>
      </c>
      <c r="T1226">
        <v>0</v>
      </c>
      <c r="U1226">
        <v>0</v>
      </c>
      <c r="V1226">
        <v>1.05063596764157</v>
      </c>
      <c r="W1226">
        <v>0</v>
      </c>
      <c r="X1226">
        <v>0</v>
      </c>
    </row>
    <row r="1227" spans="1:24">
      <c r="A1227">
        <v>365</v>
      </c>
      <c r="B1227" t="s">
        <v>3313</v>
      </c>
      <c r="C1227">
        <v>1</v>
      </c>
      <c r="D1227" t="s">
        <v>3314</v>
      </c>
      <c r="E1227">
        <v>3</v>
      </c>
      <c r="F1227">
        <v>1</v>
      </c>
      <c r="G1227">
        <v>1</v>
      </c>
      <c r="H1227" t="s">
        <v>3313</v>
      </c>
      <c r="I1227">
        <v>25.4</v>
      </c>
      <c r="J1227">
        <v>12.141</v>
      </c>
      <c r="K1227" t="s">
        <v>3315</v>
      </c>
      <c r="L1227" t="s">
        <v>3315</v>
      </c>
      <c r="M1227">
        <v>0</v>
      </c>
      <c r="N1227">
        <v>0.89450172185430499</v>
      </c>
      <c r="O1227">
        <v>0.91194339418818204</v>
      </c>
      <c r="P1227">
        <v>0</v>
      </c>
      <c r="Q1227">
        <v>0</v>
      </c>
      <c r="R1227">
        <v>0.90008103209297396</v>
      </c>
      <c r="S1227">
        <v>0</v>
      </c>
      <c r="T1227">
        <v>2.3689799354567098</v>
      </c>
      <c r="U1227">
        <v>0</v>
      </c>
      <c r="V1227">
        <v>1.05063596764157</v>
      </c>
      <c r="W1227">
        <v>0</v>
      </c>
      <c r="X1227">
        <v>0.984645710619934</v>
      </c>
    </row>
    <row r="1228" spans="1:24">
      <c r="A1228">
        <v>369</v>
      </c>
      <c r="B1228" t="s">
        <v>3316</v>
      </c>
      <c r="C1228">
        <v>1</v>
      </c>
      <c r="D1228" t="s">
        <v>3317</v>
      </c>
      <c r="E1228">
        <v>3</v>
      </c>
      <c r="F1228">
        <v>1</v>
      </c>
      <c r="G1228">
        <v>1</v>
      </c>
      <c r="H1228" t="s">
        <v>3316</v>
      </c>
      <c r="I1228">
        <v>32.200000000000003</v>
      </c>
      <c r="J1228">
        <v>11.906000000000001</v>
      </c>
      <c r="K1228" t="s">
        <v>3318</v>
      </c>
      <c r="L1228" t="s">
        <v>3318</v>
      </c>
      <c r="M1228">
        <v>1.2103892752168599</v>
      </c>
      <c r="N1228">
        <v>0</v>
      </c>
      <c r="O1228">
        <v>1.8238867883763601</v>
      </c>
      <c r="P1228">
        <v>3.19565678233438</v>
      </c>
      <c r="Q1228">
        <v>3.7672859799181899</v>
      </c>
      <c r="R1228">
        <v>0</v>
      </c>
      <c r="S1228">
        <v>0</v>
      </c>
      <c r="T1228">
        <v>0</v>
      </c>
      <c r="U1228">
        <v>0</v>
      </c>
      <c r="V1228">
        <v>1.05063596764157</v>
      </c>
      <c r="W1228">
        <v>0</v>
      </c>
      <c r="X1228">
        <v>0.984645710619934</v>
      </c>
    </row>
    <row r="1229" spans="1:24">
      <c r="A1229">
        <v>615</v>
      </c>
      <c r="B1229" t="s">
        <v>3319</v>
      </c>
      <c r="C1229">
        <v>1</v>
      </c>
      <c r="D1229" t="s">
        <v>3320</v>
      </c>
      <c r="E1229">
        <v>2</v>
      </c>
      <c r="F1229">
        <v>2</v>
      </c>
      <c r="G1229">
        <v>2</v>
      </c>
      <c r="H1229" t="s">
        <v>3319</v>
      </c>
      <c r="I1229">
        <v>9.3000000000000007</v>
      </c>
      <c r="J1229">
        <v>13.696</v>
      </c>
      <c r="K1229" t="str">
        <f>"COX5B"</f>
        <v>COX5B</v>
      </c>
      <c r="L1229" t="str">
        <f>"COX5B"</f>
        <v>COX5B</v>
      </c>
      <c r="M1229">
        <v>1.2103892752168599</v>
      </c>
      <c r="N1229">
        <v>0.89450172185430499</v>
      </c>
      <c r="O1229">
        <v>0.91194339418818204</v>
      </c>
      <c r="P1229">
        <v>2.1304378548895899</v>
      </c>
      <c r="Q1229">
        <v>1.25576199330606</v>
      </c>
      <c r="R1229">
        <v>2.7002430962789199</v>
      </c>
      <c r="S1229">
        <v>2.2662711409396001</v>
      </c>
      <c r="T1229">
        <v>1.18448996772836</v>
      </c>
      <c r="U1229">
        <v>2.20471663619744</v>
      </c>
      <c r="V1229">
        <v>2.1012719352831399</v>
      </c>
      <c r="W1229">
        <v>0</v>
      </c>
      <c r="X1229">
        <v>0</v>
      </c>
    </row>
    <row r="1230" spans="1:24">
      <c r="A1230">
        <v>646</v>
      </c>
      <c r="B1230" t="s">
        <v>3321</v>
      </c>
      <c r="C1230">
        <v>1</v>
      </c>
      <c r="D1230" t="s">
        <v>3322</v>
      </c>
      <c r="E1230">
        <v>2</v>
      </c>
      <c r="F1230">
        <v>2</v>
      </c>
      <c r="G1230">
        <v>2</v>
      </c>
      <c r="H1230" t="s">
        <v>3321</v>
      </c>
      <c r="I1230">
        <v>43.1</v>
      </c>
      <c r="J1230">
        <v>12.154999999999999</v>
      </c>
      <c r="K1230" t="str">
        <f>"COX6A1"</f>
        <v>COX6A1</v>
      </c>
      <c r="L1230" t="str">
        <f>"COX6A1"</f>
        <v>COX6A1</v>
      </c>
      <c r="M1230">
        <v>0</v>
      </c>
      <c r="N1230">
        <v>0</v>
      </c>
      <c r="O1230">
        <v>0</v>
      </c>
      <c r="P1230">
        <v>1.0652189274447901</v>
      </c>
      <c r="Q1230">
        <v>2.51152398661212</v>
      </c>
      <c r="R1230">
        <v>0.90008103209297396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>
      <c r="A1231">
        <v>716</v>
      </c>
      <c r="B1231" t="s">
        <v>3323</v>
      </c>
      <c r="C1231">
        <v>3</v>
      </c>
      <c r="D1231" t="s">
        <v>3324</v>
      </c>
      <c r="E1231">
        <v>6</v>
      </c>
      <c r="F1231">
        <v>6</v>
      </c>
      <c r="G1231">
        <v>6</v>
      </c>
      <c r="H1231" t="s">
        <v>3325</v>
      </c>
      <c r="I1231">
        <v>9.9</v>
      </c>
      <c r="J1231">
        <v>72.75</v>
      </c>
      <c r="K1231" t="str">
        <f>"GLB1"</f>
        <v>GLB1</v>
      </c>
      <c r="L1231" t="str">
        <f>"GLB1"</f>
        <v>GLB1</v>
      </c>
      <c r="M1231">
        <v>0</v>
      </c>
      <c r="N1231">
        <v>1.78900344370861</v>
      </c>
      <c r="O1231">
        <v>0.91194339418818204</v>
      </c>
      <c r="P1231">
        <v>0</v>
      </c>
      <c r="Q1231">
        <v>0</v>
      </c>
      <c r="R1231">
        <v>1.8001620641859499</v>
      </c>
      <c r="S1231">
        <v>0</v>
      </c>
      <c r="T1231">
        <v>1.18448996772836</v>
      </c>
      <c r="U1231">
        <v>0</v>
      </c>
      <c r="V1231">
        <v>0</v>
      </c>
      <c r="W1231">
        <v>0</v>
      </c>
      <c r="X1231">
        <v>0.984645710619934</v>
      </c>
    </row>
    <row r="1232" spans="1:24">
      <c r="A1232">
        <v>784</v>
      </c>
      <c r="B1232" t="s">
        <v>3326</v>
      </c>
      <c r="C1232">
        <v>7</v>
      </c>
      <c r="D1232" t="s">
        <v>3327</v>
      </c>
      <c r="E1232">
        <v>3</v>
      </c>
      <c r="F1232">
        <v>3</v>
      </c>
      <c r="G1232">
        <v>3</v>
      </c>
      <c r="H1232" t="s">
        <v>3328</v>
      </c>
      <c r="I1232">
        <v>25.7</v>
      </c>
      <c r="J1232">
        <v>15.079000000000001</v>
      </c>
      <c r="K1232" t="str">
        <f>"SCP2"</f>
        <v>SCP2</v>
      </c>
      <c r="L1232" t="str">
        <f>"SCP2"</f>
        <v>SCP2</v>
      </c>
      <c r="M1232">
        <v>0</v>
      </c>
      <c r="N1232">
        <v>0.89450172185430499</v>
      </c>
      <c r="O1232">
        <v>0.91194339418818204</v>
      </c>
      <c r="P1232">
        <v>1.0652189274447901</v>
      </c>
      <c r="Q1232">
        <v>1.25576199330606</v>
      </c>
      <c r="R1232">
        <v>0.90008103209297396</v>
      </c>
      <c r="S1232">
        <v>1.1331355704698001</v>
      </c>
      <c r="T1232">
        <v>1.18448996772836</v>
      </c>
      <c r="U1232">
        <v>1.10235831809872</v>
      </c>
      <c r="V1232">
        <v>1.05063596764157</v>
      </c>
      <c r="W1232">
        <v>1.27539809638918</v>
      </c>
      <c r="X1232">
        <v>0</v>
      </c>
    </row>
    <row r="1233" spans="1:24">
      <c r="A1233">
        <v>1173</v>
      </c>
      <c r="B1233" t="s">
        <v>3329</v>
      </c>
      <c r="C1233">
        <v>3</v>
      </c>
      <c r="D1233" t="s">
        <v>3330</v>
      </c>
      <c r="E1233">
        <v>2</v>
      </c>
      <c r="F1233">
        <v>2</v>
      </c>
      <c r="G1233">
        <v>2</v>
      </c>
      <c r="H1233" t="s">
        <v>3331</v>
      </c>
      <c r="I1233">
        <v>6.9</v>
      </c>
      <c r="J1233">
        <v>27.63</v>
      </c>
      <c r="K1233" t="str">
        <f>"CRISP3"</f>
        <v>CRISP3</v>
      </c>
      <c r="L1233" t="str">
        <f>"CRISP3"</f>
        <v>CRISP3</v>
      </c>
      <c r="M1233">
        <v>2.4207785504337198</v>
      </c>
      <c r="N1233">
        <v>0</v>
      </c>
      <c r="O1233">
        <v>1.8238867883763601</v>
      </c>
      <c r="P1233">
        <v>2.1304378548895899</v>
      </c>
      <c r="Q1233">
        <v>1.25576199330606</v>
      </c>
      <c r="R1233">
        <v>0.90008103209297396</v>
      </c>
      <c r="S1233">
        <v>0</v>
      </c>
      <c r="T1233">
        <v>1.18448996772836</v>
      </c>
      <c r="U1233">
        <v>0</v>
      </c>
      <c r="V1233">
        <v>1.05063596764157</v>
      </c>
      <c r="W1233">
        <v>0</v>
      </c>
      <c r="X1233">
        <v>0</v>
      </c>
    </row>
    <row r="1234" spans="1:24">
      <c r="A1234">
        <v>1283</v>
      </c>
      <c r="B1234" t="s">
        <v>3332</v>
      </c>
      <c r="C1234">
        <v>6</v>
      </c>
      <c r="D1234" t="s">
        <v>3333</v>
      </c>
      <c r="E1234">
        <v>4</v>
      </c>
      <c r="F1234">
        <v>3</v>
      </c>
      <c r="G1234">
        <v>3</v>
      </c>
      <c r="H1234" t="s">
        <v>3334</v>
      </c>
      <c r="I1234">
        <v>10.3</v>
      </c>
      <c r="J1234">
        <v>44.179000000000002</v>
      </c>
      <c r="K1234" t="str">
        <f>"GNAS"</f>
        <v>GNAS</v>
      </c>
      <c r="L1234" t="str">
        <f>"GNAS"</f>
        <v>GNAS</v>
      </c>
      <c r="M1234">
        <v>1.2103892752168599</v>
      </c>
      <c r="N1234">
        <v>0.89450172185430499</v>
      </c>
      <c r="O1234">
        <v>0.91194339418818204</v>
      </c>
      <c r="P1234">
        <v>1.0652189274447901</v>
      </c>
      <c r="Q1234">
        <v>1.25576199330606</v>
      </c>
      <c r="R1234">
        <v>0.90008103209297396</v>
      </c>
      <c r="S1234">
        <v>0</v>
      </c>
      <c r="T1234">
        <v>1.18448996772836</v>
      </c>
      <c r="U1234">
        <v>0</v>
      </c>
      <c r="V1234">
        <v>1.05063596764157</v>
      </c>
      <c r="W1234">
        <v>1.27539809638918</v>
      </c>
      <c r="X1234">
        <v>0.984645710619934</v>
      </c>
    </row>
    <row r="1235" spans="1:24">
      <c r="A1235">
        <v>1352</v>
      </c>
      <c r="B1235" t="s">
        <v>3335</v>
      </c>
      <c r="C1235">
        <v>6</v>
      </c>
      <c r="D1235" t="s">
        <v>3336</v>
      </c>
      <c r="E1235">
        <v>11</v>
      </c>
      <c r="F1235">
        <v>11</v>
      </c>
      <c r="G1235">
        <v>11</v>
      </c>
      <c r="H1235" t="s">
        <v>3337</v>
      </c>
      <c r="I1235">
        <v>13.4</v>
      </c>
      <c r="J1235">
        <v>115.51</v>
      </c>
      <c r="K1235" t="str">
        <f>"OGDH;OGDHL"</f>
        <v>OGDH;OGDHL</v>
      </c>
      <c r="L1235" t="str">
        <f>"OGDH;OGDHL"</f>
        <v>OGDH;OGDHL</v>
      </c>
      <c r="M1235">
        <v>1.2103892752168599</v>
      </c>
      <c r="N1235">
        <v>1.78900344370861</v>
      </c>
      <c r="O1235">
        <v>0.91194339418818204</v>
      </c>
      <c r="P1235">
        <v>0</v>
      </c>
      <c r="Q1235">
        <v>0</v>
      </c>
      <c r="R1235">
        <v>1.8001620641859499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2.9539371318597998</v>
      </c>
    </row>
    <row r="1236" spans="1:24">
      <c r="A1236">
        <v>1360</v>
      </c>
      <c r="B1236" t="s">
        <v>3338</v>
      </c>
      <c r="C1236">
        <v>2</v>
      </c>
      <c r="D1236" t="s">
        <v>3339</v>
      </c>
      <c r="E1236">
        <v>7</v>
      </c>
      <c r="F1236">
        <v>7</v>
      </c>
      <c r="G1236">
        <v>7</v>
      </c>
      <c r="H1236" t="s">
        <v>3340</v>
      </c>
      <c r="I1236">
        <v>12.7</v>
      </c>
      <c r="J1236">
        <v>75.662999999999997</v>
      </c>
      <c r="K1236" t="str">
        <f>"TAP2"</f>
        <v>TAP2</v>
      </c>
      <c r="L1236" t="str">
        <f>"TAP2"</f>
        <v>TAP2</v>
      </c>
      <c r="M1236">
        <v>0</v>
      </c>
      <c r="N1236">
        <v>2.6835051655629099</v>
      </c>
      <c r="O1236">
        <v>0</v>
      </c>
      <c r="P1236">
        <v>0</v>
      </c>
      <c r="Q1236">
        <v>0</v>
      </c>
      <c r="R1236">
        <v>1.8001620641859499</v>
      </c>
      <c r="S1236">
        <v>1.1331355704698001</v>
      </c>
      <c r="T1236">
        <v>1.18448996772836</v>
      </c>
      <c r="U1236">
        <v>0</v>
      </c>
      <c r="V1236">
        <v>0</v>
      </c>
      <c r="W1236">
        <v>1.27539809638918</v>
      </c>
      <c r="X1236">
        <v>0</v>
      </c>
    </row>
    <row r="1237" spans="1:24">
      <c r="A1237">
        <v>1595</v>
      </c>
      <c r="B1237" t="s">
        <v>3341</v>
      </c>
      <c r="C1237">
        <v>1</v>
      </c>
      <c r="D1237" t="s">
        <v>3342</v>
      </c>
      <c r="E1237">
        <v>8</v>
      </c>
      <c r="F1237">
        <v>8</v>
      </c>
      <c r="G1237">
        <v>8</v>
      </c>
      <c r="H1237" t="s">
        <v>3341</v>
      </c>
      <c r="I1237">
        <v>9.6</v>
      </c>
      <c r="J1237">
        <v>131.13999999999999</v>
      </c>
      <c r="K1237" t="str">
        <f>"MAN2A1"</f>
        <v>MAN2A1</v>
      </c>
      <c r="L1237" t="str">
        <f>"MAN2A1"</f>
        <v>MAN2A1</v>
      </c>
      <c r="M1237">
        <v>1.2103892752168599</v>
      </c>
      <c r="N1237">
        <v>0.89450172185430499</v>
      </c>
      <c r="O1237">
        <v>1.8238867883763601</v>
      </c>
      <c r="P1237">
        <v>0</v>
      </c>
      <c r="Q1237">
        <v>0</v>
      </c>
      <c r="R1237">
        <v>1.8001620641859499</v>
      </c>
      <c r="S1237">
        <v>0</v>
      </c>
      <c r="T1237">
        <v>1.18448996772836</v>
      </c>
      <c r="U1237">
        <v>0</v>
      </c>
      <c r="V1237">
        <v>1.05063596764157</v>
      </c>
      <c r="W1237">
        <v>0</v>
      </c>
      <c r="X1237">
        <v>0</v>
      </c>
    </row>
    <row r="1238" spans="1:24">
      <c r="A1238">
        <v>1659</v>
      </c>
      <c r="B1238" t="s">
        <v>3343</v>
      </c>
      <c r="C1238">
        <v>2</v>
      </c>
      <c r="D1238" t="s">
        <v>3344</v>
      </c>
      <c r="E1238">
        <v>7</v>
      </c>
      <c r="F1238">
        <v>7</v>
      </c>
      <c r="G1238">
        <v>7</v>
      </c>
      <c r="H1238" t="s">
        <v>3345</v>
      </c>
      <c r="I1238">
        <v>14.5</v>
      </c>
      <c r="J1238">
        <v>83.733999999999995</v>
      </c>
      <c r="K1238" t="str">
        <f>"FAM160B1"</f>
        <v>FAM160B1</v>
      </c>
      <c r="L1238" t="str">
        <f>"FAM160B1"</f>
        <v>FAM160B1</v>
      </c>
      <c r="M1238">
        <v>0</v>
      </c>
      <c r="N1238">
        <v>0.89450172185430499</v>
      </c>
      <c r="O1238">
        <v>1.8238867883763601</v>
      </c>
      <c r="P1238">
        <v>0</v>
      </c>
      <c r="Q1238">
        <v>1.25576199330606</v>
      </c>
      <c r="R1238">
        <v>1.8001620641859499</v>
      </c>
      <c r="S1238">
        <v>0</v>
      </c>
      <c r="T1238">
        <v>0</v>
      </c>
      <c r="U1238">
        <v>1.10235831809872</v>
      </c>
      <c r="V1238">
        <v>0</v>
      </c>
      <c r="W1238">
        <v>0</v>
      </c>
      <c r="X1238">
        <v>1.96929142123987</v>
      </c>
    </row>
    <row r="1239" spans="1:24">
      <c r="A1239">
        <v>1725</v>
      </c>
      <c r="B1239" t="s">
        <v>3346</v>
      </c>
      <c r="C1239">
        <v>5</v>
      </c>
      <c r="D1239" t="s">
        <v>3347</v>
      </c>
      <c r="E1239">
        <v>8</v>
      </c>
      <c r="F1239">
        <v>8</v>
      </c>
      <c r="G1239">
        <v>7</v>
      </c>
      <c r="H1239" t="s">
        <v>3348</v>
      </c>
      <c r="I1239">
        <v>11.2</v>
      </c>
      <c r="J1239">
        <v>101.43</v>
      </c>
      <c r="K1239" t="str">
        <f>"ZC3HAV1"</f>
        <v>ZC3HAV1</v>
      </c>
      <c r="L1239" t="str">
        <f>"ZC3HAV1"</f>
        <v>ZC3HAV1</v>
      </c>
      <c r="M1239">
        <v>0</v>
      </c>
      <c r="N1239">
        <v>1.78900344370861</v>
      </c>
      <c r="O1239">
        <v>1.8238867883763601</v>
      </c>
      <c r="P1239">
        <v>1.0652189274447901</v>
      </c>
      <c r="Q1239">
        <v>0</v>
      </c>
      <c r="R1239">
        <v>0.90008103209297396</v>
      </c>
      <c r="S1239">
        <v>0</v>
      </c>
      <c r="T1239">
        <v>0</v>
      </c>
      <c r="U1239">
        <v>1.10235831809872</v>
      </c>
      <c r="V1239">
        <v>1.05063596764157</v>
      </c>
      <c r="W1239">
        <v>0</v>
      </c>
      <c r="X1239">
        <v>0.984645710619934</v>
      </c>
    </row>
    <row r="1240" spans="1:24">
      <c r="A1240">
        <v>1910</v>
      </c>
      <c r="B1240" t="s">
        <v>3349</v>
      </c>
      <c r="C1240">
        <v>1</v>
      </c>
      <c r="D1240" t="s">
        <v>3350</v>
      </c>
      <c r="E1240">
        <v>2</v>
      </c>
      <c r="F1240">
        <v>2</v>
      </c>
      <c r="G1240">
        <v>2</v>
      </c>
      <c r="H1240" t="s">
        <v>3349</v>
      </c>
      <c r="I1240">
        <v>3</v>
      </c>
      <c r="J1240">
        <v>67.61</v>
      </c>
      <c r="K1240" t="str">
        <f>"VPS33A"</f>
        <v>VPS33A</v>
      </c>
      <c r="L1240" t="str">
        <f>"VPS33A"</f>
        <v>VPS33A</v>
      </c>
      <c r="M1240">
        <v>0</v>
      </c>
      <c r="N1240">
        <v>1.78900344370861</v>
      </c>
      <c r="O1240">
        <v>1.8238867883763601</v>
      </c>
      <c r="P1240">
        <v>0</v>
      </c>
      <c r="Q1240">
        <v>0</v>
      </c>
      <c r="R1240">
        <v>0.90008103209297396</v>
      </c>
      <c r="S1240">
        <v>0</v>
      </c>
      <c r="T1240">
        <v>0</v>
      </c>
      <c r="U1240">
        <v>1.10235831809872</v>
      </c>
      <c r="V1240">
        <v>1.05063596764157</v>
      </c>
      <c r="W1240">
        <v>1.27539809638918</v>
      </c>
      <c r="X1240">
        <v>1.96929142123987</v>
      </c>
    </row>
    <row r="1241" spans="1:24">
      <c r="A1241">
        <v>1970</v>
      </c>
      <c r="B1241" t="s">
        <v>3351</v>
      </c>
      <c r="C1241">
        <v>1</v>
      </c>
      <c r="D1241" t="s">
        <v>3352</v>
      </c>
      <c r="E1241">
        <v>3</v>
      </c>
      <c r="F1241">
        <v>3</v>
      </c>
      <c r="G1241">
        <v>3</v>
      </c>
      <c r="H1241" t="s">
        <v>3351</v>
      </c>
      <c r="I1241">
        <v>14</v>
      </c>
      <c r="J1241">
        <v>35.273000000000003</v>
      </c>
      <c r="K1241" t="str">
        <f>"MYADM"</f>
        <v>MYADM</v>
      </c>
      <c r="L1241" t="str">
        <f>"MYADM"</f>
        <v>MYADM</v>
      </c>
      <c r="M1241">
        <v>1.2103892752168599</v>
      </c>
      <c r="N1241">
        <v>0.89450172185430499</v>
      </c>
      <c r="O1241">
        <v>0</v>
      </c>
      <c r="P1241">
        <v>1.0652189274447901</v>
      </c>
      <c r="Q1241">
        <v>1.25576199330606</v>
      </c>
      <c r="R1241">
        <v>0</v>
      </c>
      <c r="S1241">
        <v>1.1331355704698001</v>
      </c>
      <c r="T1241">
        <v>1.18448996772836</v>
      </c>
      <c r="U1241">
        <v>1.10235831809872</v>
      </c>
      <c r="V1241">
        <v>0</v>
      </c>
      <c r="W1241">
        <v>1.27539809638918</v>
      </c>
      <c r="X1241">
        <v>0.984645710619934</v>
      </c>
    </row>
    <row r="1242" spans="1:24">
      <c r="A1242">
        <v>2055</v>
      </c>
      <c r="B1242" t="s">
        <v>3353</v>
      </c>
      <c r="C1242">
        <v>3</v>
      </c>
      <c r="D1242" t="s">
        <v>3354</v>
      </c>
      <c r="E1242">
        <v>5</v>
      </c>
      <c r="F1242">
        <v>5</v>
      </c>
      <c r="G1242">
        <v>5</v>
      </c>
      <c r="H1242" t="s">
        <v>3355</v>
      </c>
      <c r="I1242">
        <v>8.3000000000000007</v>
      </c>
      <c r="J1242">
        <v>96.954999999999998</v>
      </c>
      <c r="K1242" t="str">
        <f>"OSBPL8"</f>
        <v>OSBPL8</v>
      </c>
      <c r="L1242" t="str">
        <f>"OSBPL8"</f>
        <v>OSBPL8</v>
      </c>
      <c r="M1242">
        <v>0</v>
      </c>
      <c r="N1242">
        <v>0.89450172185430499</v>
      </c>
      <c r="O1242">
        <v>1.8238867883763601</v>
      </c>
      <c r="P1242">
        <v>0</v>
      </c>
      <c r="Q1242">
        <v>0</v>
      </c>
      <c r="R1242">
        <v>0.90008103209297396</v>
      </c>
      <c r="S1242">
        <v>0</v>
      </c>
      <c r="T1242">
        <v>0</v>
      </c>
      <c r="U1242">
        <v>0</v>
      </c>
      <c r="V1242">
        <v>1.05063596764157</v>
      </c>
      <c r="W1242">
        <v>0</v>
      </c>
      <c r="X1242">
        <v>0.984645710619934</v>
      </c>
    </row>
    <row r="1243" spans="1:24">
      <c r="A1243">
        <v>2297</v>
      </c>
      <c r="B1243" t="s">
        <v>3356</v>
      </c>
      <c r="C1243">
        <v>2</v>
      </c>
      <c r="D1243" t="s">
        <v>3357</v>
      </c>
      <c r="E1243">
        <v>5</v>
      </c>
      <c r="F1243">
        <v>5</v>
      </c>
      <c r="G1243">
        <v>5</v>
      </c>
      <c r="H1243" t="s">
        <v>3358</v>
      </c>
      <c r="I1243">
        <v>21.3</v>
      </c>
      <c r="J1243">
        <v>45.725999999999999</v>
      </c>
      <c r="K1243" t="str">
        <f>"COPS3"</f>
        <v>COPS3</v>
      </c>
      <c r="L1243" t="str">
        <f>"COPS3"</f>
        <v>COPS3</v>
      </c>
      <c r="M1243">
        <v>0</v>
      </c>
      <c r="N1243">
        <v>0.89450172185430499</v>
      </c>
      <c r="O1243">
        <v>1.8238867883763601</v>
      </c>
      <c r="P1243">
        <v>1.0652189274447901</v>
      </c>
      <c r="Q1243">
        <v>0</v>
      </c>
      <c r="R1243">
        <v>0.90008103209297396</v>
      </c>
      <c r="S1243">
        <v>1.1331355704698001</v>
      </c>
      <c r="T1243">
        <v>0</v>
      </c>
      <c r="U1243">
        <v>1.10235831809872</v>
      </c>
      <c r="V1243">
        <v>1.05063596764157</v>
      </c>
      <c r="W1243">
        <v>1.27539809638918</v>
      </c>
      <c r="X1243">
        <v>0.984645710619934</v>
      </c>
    </row>
    <row r="1244" spans="1:24">
      <c r="A1244">
        <v>249</v>
      </c>
      <c r="B1244" t="s">
        <v>3359</v>
      </c>
      <c r="C1244">
        <v>1</v>
      </c>
      <c r="D1244" t="s">
        <v>3360</v>
      </c>
      <c r="E1244">
        <v>7</v>
      </c>
      <c r="F1244">
        <v>7</v>
      </c>
      <c r="G1244">
        <v>7</v>
      </c>
      <c r="H1244" t="s">
        <v>3359</v>
      </c>
      <c r="I1244">
        <v>9.1999999999999993</v>
      </c>
      <c r="J1244">
        <v>92.125</v>
      </c>
      <c r="K1244" t="str">
        <f>"TMEM63A"</f>
        <v>TMEM63A</v>
      </c>
      <c r="L1244" t="str">
        <f>"TMEM63A"</f>
        <v>TMEM63A</v>
      </c>
      <c r="M1244">
        <v>0</v>
      </c>
      <c r="N1244">
        <v>0</v>
      </c>
      <c r="O1244">
        <v>0.91194339418818204</v>
      </c>
      <c r="P1244">
        <v>2.1304378548895899</v>
      </c>
      <c r="Q1244">
        <v>2.51152398661212</v>
      </c>
      <c r="R1244">
        <v>0.90008103209297396</v>
      </c>
      <c r="S1244">
        <v>0</v>
      </c>
      <c r="T1244">
        <v>0</v>
      </c>
      <c r="U1244">
        <v>0</v>
      </c>
      <c r="V1244">
        <v>2.1012719352831399</v>
      </c>
      <c r="W1244">
        <v>0</v>
      </c>
      <c r="X1244">
        <v>1.96929142123987</v>
      </c>
    </row>
    <row r="1245" spans="1:24">
      <c r="A1245">
        <v>464</v>
      </c>
      <c r="B1245" t="s">
        <v>3361</v>
      </c>
      <c r="C1245">
        <v>2</v>
      </c>
      <c r="D1245" t="s">
        <v>3362</v>
      </c>
      <c r="E1245">
        <v>2</v>
      </c>
      <c r="F1245">
        <v>2</v>
      </c>
      <c r="G1245">
        <v>1</v>
      </c>
      <c r="H1245" t="s">
        <v>3363</v>
      </c>
      <c r="I1245">
        <v>10.199999999999999</v>
      </c>
      <c r="J1245">
        <v>16.323</v>
      </c>
      <c r="K1245" t="s">
        <v>3364</v>
      </c>
      <c r="L1245" t="s">
        <v>3364</v>
      </c>
      <c r="M1245">
        <v>1.2103892752168599</v>
      </c>
      <c r="N1245">
        <v>0</v>
      </c>
      <c r="O1245">
        <v>0.91194339418818204</v>
      </c>
      <c r="P1245">
        <v>2.1304378548895899</v>
      </c>
      <c r="Q1245">
        <v>1.25576199330606</v>
      </c>
      <c r="R1245">
        <v>0</v>
      </c>
      <c r="S1245">
        <v>0</v>
      </c>
      <c r="T1245">
        <v>2.3689799354567098</v>
      </c>
      <c r="U1245">
        <v>0</v>
      </c>
      <c r="V1245">
        <v>1.05063596764157</v>
      </c>
      <c r="W1245">
        <v>0</v>
      </c>
      <c r="X1245">
        <v>0.984645710619934</v>
      </c>
    </row>
    <row r="1246" spans="1:24">
      <c r="A1246">
        <v>507</v>
      </c>
      <c r="B1246" t="s">
        <v>3365</v>
      </c>
      <c r="C1246">
        <v>1</v>
      </c>
      <c r="D1246" t="s">
        <v>3366</v>
      </c>
      <c r="E1246">
        <v>7</v>
      </c>
      <c r="F1246">
        <v>7</v>
      </c>
      <c r="G1246">
        <v>7</v>
      </c>
      <c r="H1246" t="s">
        <v>3365</v>
      </c>
      <c r="I1246">
        <v>71.099999999999994</v>
      </c>
      <c r="J1246">
        <v>13.242000000000001</v>
      </c>
      <c r="K1246" t="str">
        <f>"S100A9"</f>
        <v>S100A9</v>
      </c>
      <c r="L1246" t="str">
        <f>"S100A9"</f>
        <v>S100A9</v>
      </c>
      <c r="M1246">
        <v>0</v>
      </c>
      <c r="N1246">
        <v>0</v>
      </c>
      <c r="O1246">
        <v>0</v>
      </c>
      <c r="P1246">
        <v>0</v>
      </c>
      <c r="Q1246">
        <v>1.25576199330606</v>
      </c>
      <c r="R1246">
        <v>2.7002430962789199</v>
      </c>
      <c r="S1246">
        <v>0</v>
      </c>
      <c r="T1246">
        <v>1.18448996772836</v>
      </c>
      <c r="U1246">
        <v>2.20471663619744</v>
      </c>
      <c r="V1246">
        <v>0</v>
      </c>
      <c r="W1246">
        <v>5.1015923855567298</v>
      </c>
      <c r="X1246">
        <v>0</v>
      </c>
    </row>
    <row r="1247" spans="1:24">
      <c r="A1247">
        <v>591</v>
      </c>
      <c r="B1247" t="s">
        <v>3367</v>
      </c>
      <c r="C1247">
        <v>1</v>
      </c>
      <c r="D1247" t="s">
        <v>3368</v>
      </c>
      <c r="E1247">
        <v>4</v>
      </c>
      <c r="F1247">
        <v>4</v>
      </c>
      <c r="G1247">
        <v>4</v>
      </c>
      <c r="H1247" t="s">
        <v>3367</v>
      </c>
      <c r="I1247">
        <v>37.299999999999997</v>
      </c>
      <c r="J1247">
        <v>8.7812999999999999</v>
      </c>
      <c r="K1247" t="str">
        <f>"COX6C"</f>
        <v>COX6C</v>
      </c>
      <c r="L1247" t="str">
        <f>"COX6C"</f>
        <v>COX6C</v>
      </c>
      <c r="M1247">
        <v>1.2103892752168599</v>
      </c>
      <c r="N1247">
        <v>0.89450172185430499</v>
      </c>
      <c r="O1247">
        <v>0.91194339418818204</v>
      </c>
      <c r="P1247">
        <v>1.0652189274447901</v>
      </c>
      <c r="Q1247">
        <v>0</v>
      </c>
      <c r="R1247">
        <v>1.8001620641859499</v>
      </c>
      <c r="S1247">
        <v>1.1331355704698001</v>
      </c>
      <c r="T1247">
        <v>1.18448996772836</v>
      </c>
      <c r="U1247">
        <v>2.20471663619744</v>
      </c>
      <c r="V1247">
        <v>0</v>
      </c>
      <c r="W1247">
        <v>0</v>
      </c>
      <c r="X1247">
        <v>0</v>
      </c>
    </row>
    <row r="1248" spans="1:24">
      <c r="A1248">
        <v>663</v>
      </c>
      <c r="B1248" t="s">
        <v>3369</v>
      </c>
      <c r="C1248">
        <v>1</v>
      </c>
      <c r="D1248" t="s">
        <v>3370</v>
      </c>
      <c r="E1248">
        <v>5</v>
      </c>
      <c r="F1248">
        <v>5</v>
      </c>
      <c r="G1248">
        <v>5</v>
      </c>
      <c r="H1248" t="s">
        <v>3369</v>
      </c>
      <c r="I1248">
        <v>20</v>
      </c>
      <c r="J1248">
        <v>30.654</v>
      </c>
      <c r="K1248" t="str">
        <f>"ICAM2"</f>
        <v>ICAM2</v>
      </c>
      <c r="L1248" t="str">
        <f>"ICAM2"</f>
        <v>ICAM2</v>
      </c>
      <c r="M1248">
        <v>0</v>
      </c>
      <c r="N1248">
        <v>0</v>
      </c>
      <c r="O1248">
        <v>0</v>
      </c>
      <c r="P1248">
        <v>2.1304378548895899</v>
      </c>
      <c r="Q1248">
        <v>1.25576199330606</v>
      </c>
      <c r="R1248">
        <v>0.90008103209297396</v>
      </c>
      <c r="S1248">
        <v>0</v>
      </c>
      <c r="T1248">
        <v>4.7379598709134303</v>
      </c>
      <c r="U1248">
        <v>2.20471663619744</v>
      </c>
      <c r="V1248">
        <v>2.1012719352831399</v>
      </c>
      <c r="W1248">
        <v>0</v>
      </c>
      <c r="X1248">
        <v>0.984645710619934</v>
      </c>
    </row>
    <row r="1249" spans="1:24">
      <c r="A1249">
        <v>767</v>
      </c>
      <c r="B1249" t="s">
        <v>3371</v>
      </c>
      <c r="C1249">
        <v>2</v>
      </c>
      <c r="D1249" t="s">
        <v>3372</v>
      </c>
      <c r="E1249">
        <v>5</v>
      </c>
      <c r="F1249">
        <v>5</v>
      </c>
      <c r="G1249">
        <v>5</v>
      </c>
      <c r="H1249" t="s">
        <v>3373</v>
      </c>
      <c r="I1249">
        <v>23.9</v>
      </c>
      <c r="J1249">
        <v>28.286000000000001</v>
      </c>
      <c r="K1249" t="str">
        <f>"C4BPB"</f>
        <v>C4BPB</v>
      </c>
      <c r="L1249" t="str">
        <f>"C4BPB"</f>
        <v>C4BPB</v>
      </c>
      <c r="M1249">
        <v>1.2103892752168599</v>
      </c>
      <c r="N1249">
        <v>0</v>
      </c>
      <c r="O1249">
        <v>0</v>
      </c>
      <c r="P1249">
        <v>1.0652189274447901</v>
      </c>
      <c r="Q1249">
        <v>1.25576199330606</v>
      </c>
      <c r="R1249">
        <v>1.8001620641859499</v>
      </c>
      <c r="S1249">
        <v>1.1331355704698001</v>
      </c>
      <c r="T1249">
        <v>1.18448996772836</v>
      </c>
      <c r="U1249">
        <v>0</v>
      </c>
      <c r="V1249">
        <v>0</v>
      </c>
      <c r="W1249">
        <v>1.27539809638918</v>
      </c>
      <c r="X1249">
        <v>0</v>
      </c>
    </row>
    <row r="1250" spans="1:24">
      <c r="A1250">
        <v>798</v>
      </c>
      <c r="B1250" t="s">
        <v>3374</v>
      </c>
      <c r="C1250">
        <v>1</v>
      </c>
      <c r="D1250" t="s">
        <v>3375</v>
      </c>
      <c r="E1250">
        <v>8</v>
      </c>
      <c r="F1250">
        <v>3</v>
      </c>
      <c r="G1250">
        <v>3</v>
      </c>
      <c r="H1250" t="s">
        <v>3374</v>
      </c>
      <c r="I1250">
        <v>13.2</v>
      </c>
      <c r="J1250">
        <v>74.433000000000007</v>
      </c>
      <c r="K1250" t="str">
        <f>"FBLN1"</f>
        <v>FBLN1</v>
      </c>
      <c r="L1250" t="str">
        <f>"FBLN1"</f>
        <v>FBLN1</v>
      </c>
      <c r="M1250">
        <v>2.4207785504337198</v>
      </c>
      <c r="N1250">
        <v>0.89450172185430499</v>
      </c>
      <c r="O1250">
        <v>0</v>
      </c>
      <c r="P1250">
        <v>2.1304378548895899</v>
      </c>
      <c r="Q1250">
        <v>1.25576199330606</v>
      </c>
      <c r="R1250">
        <v>0</v>
      </c>
      <c r="S1250">
        <v>1.1331355704698001</v>
      </c>
      <c r="T1250">
        <v>1.18448996772836</v>
      </c>
      <c r="U1250">
        <v>0</v>
      </c>
      <c r="V1250">
        <v>1.05063596764157</v>
      </c>
      <c r="W1250">
        <v>1.27539809638918</v>
      </c>
      <c r="X1250">
        <v>0.984645710619934</v>
      </c>
    </row>
    <row r="1251" spans="1:24">
      <c r="A1251">
        <v>810</v>
      </c>
      <c r="B1251" t="s">
        <v>3376</v>
      </c>
      <c r="C1251">
        <v>2</v>
      </c>
      <c r="D1251" t="s">
        <v>3377</v>
      </c>
      <c r="E1251">
        <v>10</v>
      </c>
      <c r="F1251">
        <v>10</v>
      </c>
      <c r="G1251">
        <v>10</v>
      </c>
      <c r="H1251" t="s">
        <v>3378</v>
      </c>
      <c r="I1251">
        <v>19</v>
      </c>
      <c r="J1251">
        <v>69.150000000000006</v>
      </c>
      <c r="K1251" t="str">
        <f>"EIF4B"</f>
        <v>EIF4B</v>
      </c>
      <c r="L1251" t="str">
        <f>"EIF4B"</f>
        <v>EIF4B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3.6003241283718901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0.984645710619934</v>
      </c>
    </row>
    <row r="1252" spans="1:24">
      <c r="A1252">
        <v>859</v>
      </c>
      <c r="B1252" t="s">
        <v>3379</v>
      </c>
      <c r="C1252">
        <v>1</v>
      </c>
      <c r="D1252" t="s">
        <v>3380</v>
      </c>
      <c r="E1252">
        <v>3</v>
      </c>
      <c r="F1252">
        <v>3</v>
      </c>
      <c r="G1252">
        <v>3</v>
      </c>
      <c r="H1252" t="s">
        <v>3379</v>
      </c>
      <c r="I1252">
        <v>16.3</v>
      </c>
      <c r="J1252">
        <v>29.204000000000001</v>
      </c>
      <c r="K1252" t="str">
        <f>"PSMB4"</f>
        <v>PSMB4</v>
      </c>
      <c r="L1252" t="str">
        <f>"PSMB4"</f>
        <v>PSMB4</v>
      </c>
      <c r="M1252">
        <v>0</v>
      </c>
      <c r="N1252">
        <v>0</v>
      </c>
      <c r="O1252">
        <v>0.91194339418818204</v>
      </c>
      <c r="P1252">
        <v>0</v>
      </c>
      <c r="Q1252">
        <v>1.25576199330606</v>
      </c>
      <c r="R1252">
        <v>1.8001620641859499</v>
      </c>
      <c r="S1252">
        <v>1.1331355704698001</v>
      </c>
      <c r="T1252">
        <v>1.18448996772836</v>
      </c>
      <c r="U1252">
        <v>1.10235831809872</v>
      </c>
      <c r="V1252">
        <v>0</v>
      </c>
      <c r="W1252">
        <v>0</v>
      </c>
      <c r="X1252">
        <v>2.9539371318597998</v>
      </c>
    </row>
    <row r="1253" spans="1:24">
      <c r="A1253">
        <v>910</v>
      </c>
      <c r="B1253" t="s">
        <v>3381</v>
      </c>
      <c r="C1253">
        <v>4</v>
      </c>
      <c r="D1253" t="s">
        <v>3382</v>
      </c>
      <c r="E1253">
        <v>16</v>
      </c>
      <c r="F1253">
        <v>5</v>
      </c>
      <c r="G1253">
        <v>0</v>
      </c>
      <c r="H1253" t="s">
        <v>3383</v>
      </c>
      <c r="I1253">
        <v>52.2</v>
      </c>
      <c r="J1253">
        <v>40.884999999999998</v>
      </c>
      <c r="K1253" t="str">
        <f>"HLA-C"</f>
        <v>HLA-C</v>
      </c>
      <c r="L1253" t="str">
        <f>"HLA-C"</f>
        <v>HLA-C</v>
      </c>
      <c r="M1253">
        <v>0</v>
      </c>
      <c r="N1253">
        <v>3.57800688741722</v>
      </c>
      <c r="O1253">
        <v>0.91194339418818204</v>
      </c>
      <c r="P1253">
        <v>0</v>
      </c>
      <c r="Q1253">
        <v>0</v>
      </c>
      <c r="R1253">
        <v>1.8001620641859499</v>
      </c>
      <c r="S1253">
        <v>2.2662711409396001</v>
      </c>
      <c r="T1253">
        <v>1.18448996772836</v>
      </c>
      <c r="U1253">
        <v>2.20471663619744</v>
      </c>
      <c r="V1253">
        <v>2.1012719352831399</v>
      </c>
      <c r="W1253">
        <v>0</v>
      </c>
      <c r="X1253">
        <v>0</v>
      </c>
    </row>
    <row r="1254" spans="1:24">
      <c r="A1254">
        <v>945</v>
      </c>
      <c r="B1254" t="s">
        <v>3384</v>
      </c>
      <c r="C1254">
        <v>3</v>
      </c>
      <c r="D1254" t="s">
        <v>3385</v>
      </c>
      <c r="E1254">
        <v>2</v>
      </c>
      <c r="F1254">
        <v>2</v>
      </c>
      <c r="G1254">
        <v>2</v>
      </c>
      <c r="H1254" t="s">
        <v>3386</v>
      </c>
      <c r="I1254">
        <v>18.2</v>
      </c>
      <c r="J1254">
        <v>31.738</v>
      </c>
      <c r="K1254" t="str">
        <f>"CD68"</f>
        <v>CD68</v>
      </c>
      <c r="L1254" t="str">
        <f>"CD68"</f>
        <v>CD68</v>
      </c>
      <c r="M1254">
        <v>1.2103892752168599</v>
      </c>
      <c r="N1254">
        <v>0.89450172185430499</v>
      </c>
      <c r="O1254">
        <v>0</v>
      </c>
      <c r="P1254">
        <v>1.0652189274447901</v>
      </c>
      <c r="Q1254">
        <v>0</v>
      </c>
      <c r="R1254">
        <v>0.90008103209297396</v>
      </c>
      <c r="S1254">
        <v>1.1331355704698001</v>
      </c>
      <c r="T1254">
        <v>1.18448996772836</v>
      </c>
      <c r="U1254">
        <v>1.10235831809872</v>
      </c>
      <c r="V1254">
        <v>1.05063596764157</v>
      </c>
      <c r="W1254">
        <v>0</v>
      </c>
      <c r="X1254">
        <v>0.984645710619934</v>
      </c>
    </row>
    <row r="1255" spans="1:24">
      <c r="A1255">
        <v>1231</v>
      </c>
      <c r="B1255" t="s">
        <v>3387</v>
      </c>
      <c r="C1255">
        <v>7</v>
      </c>
      <c r="D1255" t="s">
        <v>3388</v>
      </c>
      <c r="E1255">
        <v>2</v>
      </c>
      <c r="F1255">
        <v>2</v>
      </c>
      <c r="G1255">
        <v>2</v>
      </c>
      <c r="H1255" t="s">
        <v>3389</v>
      </c>
      <c r="I1255">
        <v>24.6</v>
      </c>
      <c r="J1255">
        <v>13.635</v>
      </c>
      <c r="K1255" t="str">
        <f>"UBE2D2;UBE2D3;UBE2D4;UBE2D1"</f>
        <v>UBE2D2;UBE2D3;UBE2D4;UBE2D1</v>
      </c>
      <c r="L1255" t="str">
        <f>"UBE2D2;UBE2D3;UBE2D4;UBE2D1"</f>
        <v>UBE2D2;UBE2D3;UBE2D4;UBE2D1</v>
      </c>
      <c r="M1255">
        <v>1.2103892752168599</v>
      </c>
      <c r="N1255">
        <v>0.89450172185430499</v>
      </c>
      <c r="O1255">
        <v>0.91194339418818204</v>
      </c>
      <c r="P1255">
        <v>0</v>
      </c>
      <c r="Q1255">
        <v>1.25576199330606</v>
      </c>
      <c r="R1255">
        <v>0.90008103209297396</v>
      </c>
      <c r="S1255">
        <v>0</v>
      </c>
      <c r="T1255">
        <v>1.18448996772836</v>
      </c>
      <c r="U1255">
        <v>0</v>
      </c>
      <c r="V1255">
        <v>1.05063596764157</v>
      </c>
      <c r="W1255">
        <v>0</v>
      </c>
      <c r="X1255">
        <v>0.984645710619934</v>
      </c>
    </row>
    <row r="1256" spans="1:24">
      <c r="A1256">
        <v>1325</v>
      </c>
      <c r="B1256" t="s">
        <v>3390</v>
      </c>
      <c r="C1256">
        <v>1</v>
      </c>
      <c r="D1256" t="s">
        <v>3391</v>
      </c>
      <c r="E1256">
        <v>7</v>
      </c>
      <c r="F1256">
        <v>6</v>
      </c>
      <c r="G1256">
        <v>6</v>
      </c>
      <c r="H1256" t="s">
        <v>3390</v>
      </c>
      <c r="I1256">
        <v>51.8</v>
      </c>
      <c r="J1256">
        <v>21.308</v>
      </c>
      <c r="K1256" t="str">
        <f>"RHOG"</f>
        <v>RHOG</v>
      </c>
      <c r="L1256" t="str">
        <f>"RHOG"</f>
        <v>RHOG</v>
      </c>
      <c r="M1256">
        <v>0</v>
      </c>
      <c r="N1256">
        <v>0.89450172185430499</v>
      </c>
      <c r="O1256">
        <v>0</v>
      </c>
      <c r="P1256">
        <v>0</v>
      </c>
      <c r="Q1256">
        <v>1.25576199330606</v>
      </c>
      <c r="R1256">
        <v>0.90008103209297396</v>
      </c>
      <c r="S1256">
        <v>1.1331355704698001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>
      <c r="A1257">
        <v>1419</v>
      </c>
      <c r="B1257" t="s">
        <v>3392</v>
      </c>
      <c r="C1257">
        <v>2</v>
      </c>
      <c r="D1257" t="s">
        <v>3393</v>
      </c>
      <c r="E1257">
        <v>6</v>
      </c>
      <c r="F1257">
        <v>5</v>
      </c>
      <c r="G1257">
        <v>5</v>
      </c>
      <c r="H1257" t="s">
        <v>3394</v>
      </c>
      <c r="I1257">
        <v>10.1</v>
      </c>
      <c r="J1257">
        <v>77.744</v>
      </c>
      <c r="K1257" t="str">
        <f>"STRN3"</f>
        <v>STRN3</v>
      </c>
      <c r="L1257" t="str">
        <f>"STRN3"</f>
        <v>STRN3</v>
      </c>
      <c r="M1257">
        <v>0</v>
      </c>
      <c r="N1257">
        <v>2.6835051655629099</v>
      </c>
      <c r="O1257">
        <v>1.8238867883763601</v>
      </c>
      <c r="P1257">
        <v>0</v>
      </c>
      <c r="Q1257">
        <v>0</v>
      </c>
      <c r="R1257">
        <v>0.90008103209297396</v>
      </c>
      <c r="S1257">
        <v>0</v>
      </c>
      <c r="T1257">
        <v>0</v>
      </c>
      <c r="U1257">
        <v>2.20471663619744</v>
      </c>
      <c r="V1257">
        <v>0</v>
      </c>
      <c r="W1257">
        <v>0</v>
      </c>
      <c r="X1257">
        <v>0</v>
      </c>
    </row>
    <row r="1258" spans="1:24">
      <c r="A1258">
        <v>1498</v>
      </c>
      <c r="B1258" t="s">
        <v>3395</v>
      </c>
      <c r="C1258">
        <v>2</v>
      </c>
      <c r="D1258" t="s">
        <v>3396</v>
      </c>
      <c r="E1258">
        <v>17</v>
      </c>
      <c r="F1258">
        <v>2</v>
      </c>
      <c r="G1258">
        <v>2</v>
      </c>
      <c r="H1258" t="s">
        <v>3397</v>
      </c>
      <c r="I1258">
        <v>5.4</v>
      </c>
      <c r="J1258">
        <v>287.27999999999997</v>
      </c>
      <c r="K1258" t="str">
        <f>"FLNC"</f>
        <v>FLNC</v>
      </c>
      <c r="L1258" t="str">
        <f>"FLNC"</f>
        <v>FLNC</v>
      </c>
      <c r="M1258">
        <v>0</v>
      </c>
      <c r="N1258">
        <v>0.89450172185430499</v>
      </c>
      <c r="O1258">
        <v>0</v>
      </c>
      <c r="P1258">
        <v>2.1304378548895899</v>
      </c>
      <c r="Q1258">
        <v>1.25576199330606</v>
      </c>
      <c r="R1258">
        <v>2.7002430962789199</v>
      </c>
      <c r="S1258">
        <v>2.2662711409396001</v>
      </c>
      <c r="T1258">
        <v>1.18448996772836</v>
      </c>
      <c r="U1258">
        <v>1.10235831809872</v>
      </c>
      <c r="V1258">
        <v>2.1012719352831399</v>
      </c>
      <c r="W1258">
        <v>0</v>
      </c>
      <c r="X1258">
        <v>0.984645710619934</v>
      </c>
    </row>
    <row r="1259" spans="1:24">
      <c r="A1259">
        <v>1558</v>
      </c>
      <c r="B1259" t="s">
        <v>3398</v>
      </c>
      <c r="C1259">
        <v>5</v>
      </c>
      <c r="D1259" t="s">
        <v>3399</v>
      </c>
      <c r="E1259">
        <v>7</v>
      </c>
      <c r="F1259">
        <v>7</v>
      </c>
      <c r="G1259">
        <v>7</v>
      </c>
      <c r="H1259" t="s">
        <v>3400</v>
      </c>
      <c r="I1259">
        <v>23.3</v>
      </c>
      <c r="J1259">
        <v>36.837000000000003</v>
      </c>
      <c r="K1259" t="str">
        <f>"PPP1R7"</f>
        <v>PPP1R7</v>
      </c>
      <c r="L1259" t="str">
        <f>"PPP1R7"</f>
        <v>PPP1R7</v>
      </c>
      <c r="M1259">
        <v>0</v>
      </c>
      <c r="N1259">
        <v>0</v>
      </c>
      <c r="O1259">
        <v>1.8238867883763601</v>
      </c>
      <c r="P1259">
        <v>0</v>
      </c>
      <c r="Q1259">
        <v>0</v>
      </c>
      <c r="R1259">
        <v>0.90008103209297396</v>
      </c>
      <c r="S1259">
        <v>0</v>
      </c>
      <c r="T1259">
        <v>0</v>
      </c>
      <c r="U1259">
        <v>0</v>
      </c>
      <c r="V1259">
        <v>1.05063596764157</v>
      </c>
      <c r="W1259">
        <v>0</v>
      </c>
      <c r="X1259">
        <v>1.96929142123987</v>
      </c>
    </row>
    <row r="1260" spans="1:24">
      <c r="A1260">
        <v>1747</v>
      </c>
      <c r="B1260" t="s">
        <v>3401</v>
      </c>
      <c r="C1260">
        <v>1</v>
      </c>
      <c r="D1260" t="s">
        <v>3402</v>
      </c>
      <c r="E1260">
        <v>14</v>
      </c>
      <c r="F1260">
        <v>14</v>
      </c>
      <c r="G1260">
        <v>13</v>
      </c>
      <c r="H1260" t="s">
        <v>3401</v>
      </c>
      <c r="I1260">
        <v>4.4000000000000004</v>
      </c>
      <c r="J1260">
        <v>465.73</v>
      </c>
      <c r="K1260" t="str">
        <f>"PKHD1L1"</f>
        <v>PKHD1L1</v>
      </c>
      <c r="L1260" t="str">
        <f>"PKHD1L1"</f>
        <v>PKHD1L1</v>
      </c>
      <c r="M1260">
        <v>0</v>
      </c>
      <c r="N1260">
        <v>0.89450172185430499</v>
      </c>
      <c r="O1260">
        <v>0</v>
      </c>
      <c r="P1260">
        <v>0</v>
      </c>
      <c r="Q1260">
        <v>0</v>
      </c>
      <c r="R1260">
        <v>4.5004051604648696</v>
      </c>
      <c r="S1260">
        <v>0</v>
      </c>
      <c r="T1260">
        <v>0</v>
      </c>
      <c r="U1260">
        <v>0</v>
      </c>
      <c r="V1260">
        <v>4.2025438705662701</v>
      </c>
      <c r="W1260">
        <v>0</v>
      </c>
      <c r="X1260">
        <v>0.984645710619934</v>
      </c>
    </row>
    <row r="1261" spans="1:24">
      <c r="A1261">
        <v>1814</v>
      </c>
      <c r="B1261" t="s">
        <v>3403</v>
      </c>
      <c r="C1261">
        <v>1</v>
      </c>
      <c r="D1261" t="s">
        <v>3404</v>
      </c>
      <c r="E1261">
        <v>2</v>
      </c>
      <c r="F1261">
        <v>2</v>
      </c>
      <c r="G1261">
        <v>2</v>
      </c>
      <c r="H1261" t="s">
        <v>3403</v>
      </c>
      <c r="I1261">
        <v>0.9</v>
      </c>
      <c r="J1261">
        <v>330.46</v>
      </c>
      <c r="K1261" t="str">
        <f>"BOD1L1"</f>
        <v>BOD1L1</v>
      </c>
      <c r="L1261" t="str">
        <f>"BOD1L1"</f>
        <v>BOD1L1</v>
      </c>
      <c r="M1261">
        <v>2.4207785504337198</v>
      </c>
      <c r="N1261">
        <v>1.78900344370861</v>
      </c>
      <c r="O1261">
        <v>2.7358301825645501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</row>
    <row r="1262" spans="1:24">
      <c r="A1262">
        <v>2177</v>
      </c>
      <c r="B1262" t="s">
        <v>3405</v>
      </c>
      <c r="C1262">
        <v>2</v>
      </c>
      <c r="D1262" t="s">
        <v>3406</v>
      </c>
      <c r="E1262">
        <v>3</v>
      </c>
      <c r="F1262">
        <v>3</v>
      </c>
      <c r="G1262">
        <v>3</v>
      </c>
      <c r="H1262" t="s">
        <v>3407</v>
      </c>
      <c r="I1262">
        <v>6</v>
      </c>
      <c r="J1262">
        <v>76.5</v>
      </c>
      <c r="K1262" t="str">
        <f>"TBC1D23"</f>
        <v>TBC1D23</v>
      </c>
      <c r="L1262" t="str">
        <f>"TBC1D23"</f>
        <v>TBC1D23</v>
      </c>
      <c r="M1262">
        <v>0</v>
      </c>
      <c r="N1262">
        <v>0.89450172185430499</v>
      </c>
      <c r="O1262">
        <v>1.8238867883763601</v>
      </c>
      <c r="P1262">
        <v>0</v>
      </c>
      <c r="Q1262">
        <v>0</v>
      </c>
      <c r="R1262">
        <v>1.8001620641859499</v>
      </c>
      <c r="S1262">
        <v>1.1331355704698001</v>
      </c>
      <c r="T1262">
        <v>0</v>
      </c>
      <c r="U1262">
        <v>0</v>
      </c>
      <c r="V1262">
        <v>1.05063596764157</v>
      </c>
      <c r="W1262">
        <v>0</v>
      </c>
      <c r="X1262">
        <v>1.96929142123987</v>
      </c>
    </row>
    <row r="1263" spans="1:24">
      <c r="A1263">
        <v>2182</v>
      </c>
      <c r="B1263" t="s">
        <v>3408</v>
      </c>
      <c r="C1263">
        <v>7</v>
      </c>
      <c r="D1263" t="s">
        <v>3409</v>
      </c>
      <c r="E1263">
        <v>8</v>
      </c>
      <c r="F1263">
        <v>8</v>
      </c>
      <c r="G1263">
        <v>8</v>
      </c>
      <c r="H1263" t="s">
        <v>3410</v>
      </c>
      <c r="I1263">
        <v>15.9</v>
      </c>
      <c r="J1263">
        <v>66.216999999999999</v>
      </c>
      <c r="K1263" t="str">
        <f>"ATAD3A;ATAD3C;ATAD3B"</f>
        <v>ATAD3A;ATAD3C;ATAD3B</v>
      </c>
      <c r="L1263" t="str">
        <f>"ATAD3A;ATAD3C;ATAD3B"</f>
        <v>ATAD3A;ATAD3C;ATAD3B</v>
      </c>
      <c r="M1263">
        <v>0</v>
      </c>
      <c r="N1263">
        <v>1.78900344370861</v>
      </c>
      <c r="O1263">
        <v>2.7358301825645501</v>
      </c>
      <c r="P1263">
        <v>1.0652189274447901</v>
      </c>
      <c r="Q1263">
        <v>0</v>
      </c>
      <c r="R1263">
        <v>0</v>
      </c>
      <c r="S1263">
        <v>1.1331355704698001</v>
      </c>
      <c r="T1263">
        <v>0</v>
      </c>
      <c r="U1263">
        <v>1.10235831809872</v>
      </c>
      <c r="V1263">
        <v>1.05063596764157</v>
      </c>
      <c r="W1263">
        <v>1.27539809638918</v>
      </c>
      <c r="X1263">
        <v>1.96929142123987</v>
      </c>
    </row>
    <row r="1264" spans="1:24">
      <c r="A1264">
        <v>2216</v>
      </c>
      <c r="B1264" t="s">
        <v>3411</v>
      </c>
      <c r="C1264">
        <v>1</v>
      </c>
      <c r="D1264" t="s">
        <v>3412</v>
      </c>
      <c r="E1264">
        <v>2</v>
      </c>
      <c r="F1264">
        <v>2</v>
      </c>
      <c r="G1264">
        <v>2</v>
      </c>
      <c r="H1264" t="s">
        <v>3411</v>
      </c>
      <c r="I1264">
        <v>30.9</v>
      </c>
      <c r="J1264">
        <v>9.0564</v>
      </c>
      <c r="K1264" t="str">
        <f>"ABRACL"</f>
        <v>ABRACL</v>
      </c>
      <c r="L1264" t="str">
        <f>"ABRACL"</f>
        <v>ABRACL</v>
      </c>
      <c r="M1264">
        <v>1.2103892752168599</v>
      </c>
      <c r="N1264">
        <v>0.89450172185430499</v>
      </c>
      <c r="O1264">
        <v>0.91194339418818204</v>
      </c>
      <c r="P1264">
        <v>1.0652189274447901</v>
      </c>
      <c r="Q1264">
        <v>2.51152398661212</v>
      </c>
      <c r="R1264">
        <v>2.7002430962789199</v>
      </c>
      <c r="S1264">
        <v>1.1331355704698001</v>
      </c>
      <c r="T1264">
        <v>1.18448996772836</v>
      </c>
      <c r="U1264">
        <v>0</v>
      </c>
      <c r="V1264">
        <v>2.1012719352831399</v>
      </c>
      <c r="W1264">
        <v>0</v>
      </c>
      <c r="X1264">
        <v>0</v>
      </c>
    </row>
    <row r="1265" spans="1:24">
      <c r="A1265">
        <v>2270</v>
      </c>
      <c r="B1265" t="s">
        <v>3413</v>
      </c>
      <c r="C1265">
        <v>2</v>
      </c>
      <c r="D1265" t="s">
        <v>3414</v>
      </c>
      <c r="E1265">
        <v>4</v>
      </c>
      <c r="F1265">
        <v>4</v>
      </c>
      <c r="G1265">
        <v>4</v>
      </c>
      <c r="H1265" t="s">
        <v>3415</v>
      </c>
      <c r="I1265">
        <v>30.3</v>
      </c>
      <c r="J1265">
        <v>25.425000000000001</v>
      </c>
      <c r="K1265" t="str">
        <f>"VPS28"</f>
        <v>VPS28</v>
      </c>
      <c r="L1265" t="str">
        <f>"VPS28"</f>
        <v>VPS28</v>
      </c>
      <c r="M1265">
        <v>0</v>
      </c>
      <c r="N1265">
        <v>0</v>
      </c>
      <c r="O1265">
        <v>0.91194339418818204</v>
      </c>
      <c r="P1265">
        <v>0</v>
      </c>
      <c r="Q1265">
        <v>1.25576199330606</v>
      </c>
      <c r="R1265">
        <v>0</v>
      </c>
      <c r="S1265">
        <v>1.1331355704698001</v>
      </c>
      <c r="T1265">
        <v>0</v>
      </c>
      <c r="U1265">
        <v>1.10235831809872</v>
      </c>
      <c r="V1265">
        <v>2.1012719352831399</v>
      </c>
      <c r="W1265">
        <v>1.27539809638918</v>
      </c>
      <c r="X1265">
        <v>0</v>
      </c>
    </row>
    <row r="1266" spans="1:24">
      <c r="A1266">
        <v>2327</v>
      </c>
      <c r="B1266" t="s">
        <v>3416</v>
      </c>
      <c r="C1266">
        <v>2</v>
      </c>
      <c r="D1266" t="s">
        <v>3417</v>
      </c>
      <c r="E1266">
        <v>5</v>
      </c>
      <c r="F1266">
        <v>5</v>
      </c>
      <c r="G1266">
        <v>5</v>
      </c>
      <c r="H1266" t="s">
        <v>3418</v>
      </c>
      <c r="I1266">
        <v>6.1</v>
      </c>
      <c r="J1266">
        <v>111.63</v>
      </c>
      <c r="K1266" t="str">
        <f>"FRMD4B"</f>
        <v>FRMD4B</v>
      </c>
      <c r="L1266" t="str">
        <f>"FRMD4B"</f>
        <v>FRMD4B</v>
      </c>
      <c r="M1266">
        <v>0</v>
      </c>
      <c r="N1266">
        <v>1.78900344370861</v>
      </c>
      <c r="O1266">
        <v>0</v>
      </c>
      <c r="P1266">
        <v>1.0652189274447901</v>
      </c>
      <c r="Q1266">
        <v>0</v>
      </c>
      <c r="R1266">
        <v>0.90008103209297396</v>
      </c>
      <c r="S1266">
        <v>1.1331355704698001</v>
      </c>
      <c r="T1266">
        <v>0</v>
      </c>
      <c r="U1266">
        <v>4.4094332723948799</v>
      </c>
      <c r="V1266">
        <v>1.05063596764157</v>
      </c>
      <c r="W1266">
        <v>1.27539809638918</v>
      </c>
      <c r="X1266">
        <v>0</v>
      </c>
    </row>
    <row r="1267" spans="1:24">
      <c r="A1267">
        <v>2348</v>
      </c>
      <c r="B1267" t="s">
        <v>3419</v>
      </c>
      <c r="C1267">
        <v>12</v>
      </c>
      <c r="D1267" t="s">
        <v>3420</v>
      </c>
      <c r="E1267">
        <v>10</v>
      </c>
      <c r="F1267">
        <v>10</v>
      </c>
      <c r="G1267">
        <v>10</v>
      </c>
      <c r="H1267" t="s">
        <v>3421</v>
      </c>
      <c r="I1267">
        <v>10</v>
      </c>
      <c r="J1267">
        <v>121.74</v>
      </c>
      <c r="K1267" t="str">
        <f>"RABGAP1;RABGAP1L"</f>
        <v>RABGAP1;RABGAP1L</v>
      </c>
      <c r="L1267" t="str">
        <f>"RABGAP1;RABGAP1L"</f>
        <v>RABGAP1;RABGAP1L</v>
      </c>
      <c r="M1267">
        <v>0</v>
      </c>
      <c r="N1267">
        <v>2.6835051655629099</v>
      </c>
      <c r="O1267">
        <v>1.8238867883763601</v>
      </c>
      <c r="P1267">
        <v>0</v>
      </c>
      <c r="Q1267">
        <v>0</v>
      </c>
      <c r="R1267">
        <v>0.90008103209297396</v>
      </c>
      <c r="S1267">
        <v>0</v>
      </c>
      <c r="T1267">
        <v>0</v>
      </c>
      <c r="U1267">
        <v>1.10235831809872</v>
      </c>
      <c r="V1267">
        <v>1.05063596764157</v>
      </c>
      <c r="W1267">
        <v>1.27539809638918</v>
      </c>
      <c r="X1267">
        <v>1.96929142123987</v>
      </c>
    </row>
    <row r="1268" spans="1:24">
      <c r="A1268">
        <v>121</v>
      </c>
      <c r="B1268" t="s">
        <v>3422</v>
      </c>
      <c r="C1268">
        <v>2</v>
      </c>
      <c r="D1268" t="s">
        <v>3423</v>
      </c>
      <c r="E1268">
        <v>6</v>
      </c>
      <c r="F1268">
        <v>5</v>
      </c>
      <c r="G1268">
        <v>5</v>
      </c>
      <c r="H1268" t="s">
        <v>3424</v>
      </c>
      <c r="I1268">
        <v>26.5</v>
      </c>
      <c r="J1268">
        <v>23.818000000000001</v>
      </c>
      <c r="K1268" t="str">
        <f>"PGRMC2"</f>
        <v>PGRMC2</v>
      </c>
      <c r="L1268" t="str">
        <f>"PGRMC2"</f>
        <v>PGRMC2</v>
      </c>
      <c r="M1268">
        <v>0</v>
      </c>
      <c r="N1268">
        <v>1.78900344370861</v>
      </c>
      <c r="O1268">
        <v>0.91194339418818204</v>
      </c>
      <c r="P1268">
        <v>0</v>
      </c>
      <c r="Q1268">
        <v>1.25576199330606</v>
      </c>
      <c r="R1268">
        <v>1.8001620641859499</v>
      </c>
      <c r="S1268">
        <v>0</v>
      </c>
      <c r="T1268">
        <v>0</v>
      </c>
      <c r="U1268">
        <v>1.10235831809872</v>
      </c>
      <c r="V1268">
        <v>0</v>
      </c>
      <c r="W1268">
        <v>0</v>
      </c>
      <c r="X1268">
        <v>1.96929142123987</v>
      </c>
    </row>
    <row r="1269" spans="1:24">
      <c r="A1269">
        <v>272</v>
      </c>
      <c r="B1269" t="s">
        <v>3425</v>
      </c>
      <c r="C1269">
        <v>1</v>
      </c>
      <c r="D1269" t="s">
        <v>3426</v>
      </c>
      <c r="E1269">
        <v>4</v>
      </c>
      <c r="F1269">
        <v>4</v>
      </c>
      <c r="G1269">
        <v>4</v>
      </c>
      <c r="H1269" t="s">
        <v>3425</v>
      </c>
      <c r="I1269">
        <v>22.4</v>
      </c>
      <c r="J1269">
        <v>27.873000000000001</v>
      </c>
      <c r="K1269" t="str">
        <f>"ETHE1"</f>
        <v>ETHE1</v>
      </c>
      <c r="L1269" t="str">
        <f>"ETHE1"</f>
        <v>ETHE1</v>
      </c>
      <c r="M1269">
        <v>0</v>
      </c>
      <c r="N1269">
        <v>0.89450172185430499</v>
      </c>
      <c r="O1269">
        <v>0</v>
      </c>
      <c r="P1269">
        <v>1.0652189274447901</v>
      </c>
      <c r="Q1269">
        <v>0</v>
      </c>
      <c r="R1269">
        <v>0.90008103209297396</v>
      </c>
      <c r="S1269">
        <v>0</v>
      </c>
      <c r="T1269">
        <v>0</v>
      </c>
      <c r="U1269">
        <v>0</v>
      </c>
      <c r="V1269">
        <v>1.05063596764157</v>
      </c>
      <c r="W1269">
        <v>1.27539809638918</v>
      </c>
      <c r="X1269">
        <v>1.96929142123987</v>
      </c>
    </row>
    <row r="1270" spans="1:24">
      <c r="A1270">
        <v>725</v>
      </c>
      <c r="B1270" t="s">
        <v>3427</v>
      </c>
      <c r="C1270">
        <v>2</v>
      </c>
      <c r="D1270" t="s">
        <v>3428</v>
      </c>
      <c r="E1270">
        <v>6</v>
      </c>
      <c r="F1270">
        <v>6</v>
      </c>
      <c r="G1270">
        <v>6</v>
      </c>
      <c r="H1270" t="s">
        <v>3429</v>
      </c>
      <c r="I1270">
        <v>21.3</v>
      </c>
      <c r="J1270">
        <v>46.247</v>
      </c>
      <c r="K1270" t="str">
        <f>"GOT1"</f>
        <v>GOT1</v>
      </c>
      <c r="L1270" t="str">
        <f>"GOT1"</f>
        <v>GOT1</v>
      </c>
      <c r="M1270">
        <v>0</v>
      </c>
      <c r="N1270">
        <v>0.89450172185430499</v>
      </c>
      <c r="O1270">
        <v>0.91194339418818204</v>
      </c>
      <c r="P1270">
        <v>0</v>
      </c>
      <c r="Q1270">
        <v>0</v>
      </c>
      <c r="R1270">
        <v>0.90008103209297396</v>
      </c>
      <c r="S1270">
        <v>0</v>
      </c>
      <c r="T1270">
        <v>0</v>
      </c>
      <c r="U1270">
        <v>1.10235831809872</v>
      </c>
      <c r="V1270">
        <v>1.05063596764157</v>
      </c>
      <c r="W1270">
        <v>0</v>
      </c>
      <c r="X1270">
        <v>0</v>
      </c>
    </row>
    <row r="1271" spans="1:24">
      <c r="A1271">
        <v>742</v>
      </c>
      <c r="B1271" t="s">
        <v>3430</v>
      </c>
      <c r="C1271">
        <v>2</v>
      </c>
      <c r="D1271" t="s">
        <v>3431</v>
      </c>
      <c r="E1271">
        <v>1</v>
      </c>
      <c r="F1271">
        <v>1</v>
      </c>
      <c r="G1271">
        <v>1</v>
      </c>
      <c r="H1271" t="s">
        <v>3432</v>
      </c>
      <c r="I1271">
        <v>1.3</v>
      </c>
      <c r="J1271">
        <v>74.956999999999994</v>
      </c>
      <c r="K1271" t="str">
        <f>"ITGB6"</f>
        <v>ITGB6</v>
      </c>
      <c r="L1271" t="str">
        <f>"ITGB6"</f>
        <v>ITGB6</v>
      </c>
      <c r="M1271">
        <v>1.2103892752168599</v>
      </c>
      <c r="N1271">
        <v>0.89450172185430499</v>
      </c>
      <c r="O1271">
        <v>0.91194339418818204</v>
      </c>
      <c r="P1271">
        <v>1.0652189274447901</v>
      </c>
      <c r="Q1271">
        <v>1.25576199330606</v>
      </c>
      <c r="R1271">
        <v>0.90008103209297396</v>
      </c>
      <c r="S1271">
        <v>1.1331355704698001</v>
      </c>
      <c r="T1271">
        <v>1.18448996772836</v>
      </c>
      <c r="U1271">
        <v>1.10235831809872</v>
      </c>
      <c r="V1271">
        <v>1.05063596764157</v>
      </c>
      <c r="W1271">
        <v>1.27539809638918</v>
      </c>
      <c r="X1271">
        <v>0.984645710619934</v>
      </c>
    </row>
    <row r="1272" spans="1:24">
      <c r="A1272">
        <v>788</v>
      </c>
      <c r="B1272" t="s">
        <v>3433</v>
      </c>
      <c r="C1272">
        <v>2</v>
      </c>
      <c r="D1272" t="s">
        <v>3434</v>
      </c>
      <c r="E1272">
        <v>9</v>
      </c>
      <c r="F1272">
        <v>9</v>
      </c>
      <c r="G1272">
        <v>9</v>
      </c>
      <c r="H1272" t="s">
        <v>3435</v>
      </c>
      <c r="I1272">
        <v>26.6</v>
      </c>
      <c r="J1272">
        <v>37.429000000000002</v>
      </c>
      <c r="K1272" t="str">
        <f>"HNRNPA2B1"</f>
        <v>HNRNPA2B1</v>
      </c>
      <c r="L1272" t="str">
        <f>"HNRNPA2B1"</f>
        <v>HNRNPA2B1</v>
      </c>
      <c r="M1272">
        <v>0</v>
      </c>
      <c r="N1272">
        <v>0.89450172185430499</v>
      </c>
      <c r="O1272">
        <v>0.91194339418818204</v>
      </c>
      <c r="P1272">
        <v>0</v>
      </c>
      <c r="Q1272">
        <v>0</v>
      </c>
      <c r="R1272">
        <v>2.7002430962789199</v>
      </c>
      <c r="S1272">
        <v>1.1331355704698001</v>
      </c>
      <c r="T1272">
        <v>0</v>
      </c>
      <c r="U1272">
        <v>2.20471663619744</v>
      </c>
      <c r="V1272">
        <v>0</v>
      </c>
      <c r="W1272">
        <v>0</v>
      </c>
      <c r="X1272">
        <v>0</v>
      </c>
    </row>
    <row r="1273" spans="1:24">
      <c r="A1273">
        <v>849</v>
      </c>
      <c r="B1273" t="s">
        <v>3436</v>
      </c>
      <c r="C1273">
        <v>1</v>
      </c>
      <c r="D1273" t="s">
        <v>3437</v>
      </c>
      <c r="E1273">
        <v>7</v>
      </c>
      <c r="F1273">
        <v>7</v>
      </c>
      <c r="G1273">
        <v>7</v>
      </c>
      <c r="H1273" t="s">
        <v>3436</v>
      </c>
      <c r="I1273">
        <v>3.6</v>
      </c>
      <c r="J1273">
        <v>242.98</v>
      </c>
      <c r="K1273" t="str">
        <f>"CAD"</f>
        <v>CAD</v>
      </c>
      <c r="L1273" t="str">
        <f>"CAD"</f>
        <v>CAD</v>
      </c>
      <c r="M1273">
        <v>0</v>
      </c>
      <c r="N1273">
        <v>1.78900344370861</v>
      </c>
      <c r="O1273">
        <v>1.8238867883763601</v>
      </c>
      <c r="P1273">
        <v>1.0652189274447901</v>
      </c>
      <c r="Q1273">
        <v>0</v>
      </c>
      <c r="R1273">
        <v>1.8001620641859499</v>
      </c>
      <c r="S1273">
        <v>0</v>
      </c>
      <c r="T1273">
        <v>1.18448996772836</v>
      </c>
      <c r="U1273">
        <v>0</v>
      </c>
      <c r="V1273">
        <v>0</v>
      </c>
      <c r="W1273">
        <v>0</v>
      </c>
      <c r="X1273">
        <v>0</v>
      </c>
    </row>
    <row r="1274" spans="1:24">
      <c r="A1274">
        <v>865</v>
      </c>
      <c r="B1274" t="s">
        <v>3438</v>
      </c>
      <c r="C1274">
        <v>1</v>
      </c>
      <c r="D1274" t="s">
        <v>3439</v>
      </c>
      <c r="E1274">
        <v>3</v>
      </c>
      <c r="F1274">
        <v>3</v>
      </c>
      <c r="G1274">
        <v>3</v>
      </c>
      <c r="H1274" t="s">
        <v>3438</v>
      </c>
      <c r="I1274">
        <v>14.3</v>
      </c>
      <c r="J1274">
        <v>24.01</v>
      </c>
      <c r="K1274" t="str">
        <f>"GCA"</f>
        <v>GCA</v>
      </c>
      <c r="L1274" t="str">
        <f>"GCA"</f>
        <v>GCA</v>
      </c>
      <c r="M1274">
        <v>0</v>
      </c>
      <c r="N1274">
        <v>0.89450172185430499</v>
      </c>
      <c r="O1274">
        <v>0.91194339418818204</v>
      </c>
      <c r="P1274">
        <v>1.0652189274447901</v>
      </c>
      <c r="Q1274">
        <v>1.25576199330606</v>
      </c>
      <c r="R1274">
        <v>0.90008103209297396</v>
      </c>
      <c r="S1274">
        <v>0</v>
      </c>
      <c r="T1274">
        <v>1.18448996772836</v>
      </c>
      <c r="U1274">
        <v>1.10235831809872</v>
      </c>
      <c r="V1274">
        <v>1.05063596764157</v>
      </c>
      <c r="W1274">
        <v>1.27539809638918</v>
      </c>
      <c r="X1274">
        <v>0</v>
      </c>
    </row>
    <row r="1275" spans="1:24">
      <c r="A1275">
        <v>869</v>
      </c>
      <c r="B1275" t="s">
        <v>3440</v>
      </c>
      <c r="C1275">
        <v>3</v>
      </c>
      <c r="D1275" t="s">
        <v>3441</v>
      </c>
      <c r="E1275">
        <v>6</v>
      </c>
      <c r="F1275">
        <v>6</v>
      </c>
      <c r="G1275">
        <v>6</v>
      </c>
      <c r="H1275" t="s">
        <v>3442</v>
      </c>
      <c r="I1275">
        <v>29.2</v>
      </c>
      <c r="J1275">
        <v>30.187999999999999</v>
      </c>
      <c r="K1275" t="str">
        <f>"IMPA1"</f>
        <v>IMPA1</v>
      </c>
      <c r="L1275" t="str">
        <f>"IMPA1"</f>
        <v>IMPA1</v>
      </c>
      <c r="M1275">
        <v>0</v>
      </c>
      <c r="N1275">
        <v>0</v>
      </c>
      <c r="O1275">
        <v>0.91194339418818204</v>
      </c>
      <c r="P1275">
        <v>3.19565678233438</v>
      </c>
      <c r="Q1275">
        <v>0</v>
      </c>
      <c r="R1275">
        <v>0.90008103209297396</v>
      </c>
      <c r="S1275">
        <v>1.1331355704698001</v>
      </c>
      <c r="T1275">
        <v>0</v>
      </c>
      <c r="U1275">
        <v>1.10235831809872</v>
      </c>
      <c r="V1275">
        <v>0</v>
      </c>
      <c r="W1275">
        <v>1.27539809638918</v>
      </c>
      <c r="X1275">
        <v>0.984645710619934</v>
      </c>
    </row>
    <row r="1276" spans="1:24">
      <c r="A1276">
        <v>1155</v>
      </c>
      <c r="B1276" t="s">
        <v>3443</v>
      </c>
      <c r="C1276">
        <v>2</v>
      </c>
      <c r="D1276" t="s">
        <v>3444</v>
      </c>
      <c r="E1276">
        <v>5</v>
      </c>
      <c r="F1276">
        <v>5</v>
      </c>
      <c r="G1276">
        <v>5</v>
      </c>
      <c r="H1276" t="s">
        <v>3445</v>
      </c>
      <c r="I1276">
        <v>16.899999999999999</v>
      </c>
      <c r="J1276">
        <v>41.268000000000001</v>
      </c>
      <c r="K1276" t="str">
        <f>"SMS"</f>
        <v>SMS</v>
      </c>
      <c r="L1276" t="str">
        <f>"SMS"</f>
        <v>SMS</v>
      </c>
      <c r="M1276">
        <v>0</v>
      </c>
      <c r="N1276">
        <v>2.6835051655629099</v>
      </c>
      <c r="O1276">
        <v>0</v>
      </c>
      <c r="P1276">
        <v>0</v>
      </c>
      <c r="Q1276">
        <v>0</v>
      </c>
      <c r="R1276">
        <v>0.90008103209297396</v>
      </c>
      <c r="S1276">
        <v>0</v>
      </c>
      <c r="T1276">
        <v>0</v>
      </c>
      <c r="U1276">
        <v>1.10235831809872</v>
      </c>
      <c r="V1276">
        <v>1.05063596764157</v>
      </c>
      <c r="W1276">
        <v>1.27539809638918</v>
      </c>
      <c r="X1276">
        <v>1.96929142123987</v>
      </c>
    </row>
    <row r="1277" spans="1:24">
      <c r="A1277">
        <v>1253</v>
      </c>
      <c r="B1277" t="s">
        <v>3446</v>
      </c>
      <c r="C1277">
        <v>1</v>
      </c>
      <c r="D1277" t="s">
        <v>3447</v>
      </c>
      <c r="E1277">
        <v>4</v>
      </c>
      <c r="F1277">
        <v>4</v>
      </c>
      <c r="G1277">
        <v>4</v>
      </c>
      <c r="H1277" t="s">
        <v>3446</v>
      </c>
      <c r="I1277">
        <v>35.4</v>
      </c>
      <c r="J1277">
        <v>14.478</v>
      </c>
      <c r="K1277" t="str">
        <f>"NUTF2"</f>
        <v>NUTF2</v>
      </c>
      <c r="L1277" t="str">
        <f>"NUTF2"</f>
        <v>NUTF2</v>
      </c>
      <c r="M1277">
        <v>0</v>
      </c>
      <c r="N1277">
        <v>0</v>
      </c>
      <c r="O1277">
        <v>0</v>
      </c>
      <c r="P1277">
        <v>1.0652189274447901</v>
      </c>
      <c r="Q1277">
        <v>0</v>
      </c>
      <c r="R1277">
        <v>1.8001620641859499</v>
      </c>
      <c r="S1277">
        <v>2.2662711409396001</v>
      </c>
      <c r="T1277">
        <v>1.18448996772836</v>
      </c>
      <c r="U1277">
        <v>1.10235831809872</v>
      </c>
      <c r="V1277">
        <v>1.05063596764157</v>
      </c>
      <c r="W1277">
        <v>0</v>
      </c>
      <c r="X1277">
        <v>0</v>
      </c>
    </row>
    <row r="1278" spans="1:24">
      <c r="A1278">
        <v>1467</v>
      </c>
      <c r="B1278" t="s">
        <v>3448</v>
      </c>
      <c r="C1278">
        <v>1</v>
      </c>
      <c r="D1278" t="s">
        <v>3449</v>
      </c>
      <c r="E1278">
        <v>2</v>
      </c>
      <c r="F1278">
        <v>2</v>
      </c>
      <c r="G1278">
        <v>2</v>
      </c>
      <c r="H1278" t="s">
        <v>3448</v>
      </c>
      <c r="I1278">
        <v>8.3000000000000007</v>
      </c>
      <c r="J1278">
        <v>35.399000000000001</v>
      </c>
      <c r="K1278" t="str">
        <f>"APOF"</f>
        <v>APOF</v>
      </c>
      <c r="L1278" t="str">
        <f>"APOF"</f>
        <v>APOF</v>
      </c>
      <c r="M1278">
        <v>1.2103892752168599</v>
      </c>
      <c r="N1278">
        <v>0.89450172185430499</v>
      </c>
      <c r="O1278">
        <v>0.91194339418818204</v>
      </c>
      <c r="P1278">
        <v>1.0652189274447901</v>
      </c>
      <c r="Q1278">
        <v>1.25576199330606</v>
      </c>
      <c r="R1278">
        <v>0.90008103209297396</v>
      </c>
      <c r="S1278">
        <v>1.1331355704698001</v>
      </c>
      <c r="T1278">
        <v>1.18448996772836</v>
      </c>
      <c r="U1278">
        <v>0</v>
      </c>
      <c r="V1278">
        <v>1.05063596764157</v>
      </c>
      <c r="W1278">
        <v>0</v>
      </c>
      <c r="X1278">
        <v>0</v>
      </c>
    </row>
    <row r="1279" spans="1:24">
      <c r="A1279">
        <v>1549</v>
      </c>
      <c r="B1279" t="s">
        <v>3450</v>
      </c>
      <c r="C1279">
        <v>1</v>
      </c>
      <c r="D1279" t="s">
        <v>3451</v>
      </c>
      <c r="E1279">
        <v>3</v>
      </c>
      <c r="F1279">
        <v>3</v>
      </c>
      <c r="G1279">
        <v>3</v>
      </c>
      <c r="H1279" t="s">
        <v>3450</v>
      </c>
      <c r="I1279">
        <v>16.899999999999999</v>
      </c>
      <c r="J1279">
        <v>22.760999999999999</v>
      </c>
      <c r="K1279" t="str">
        <f>"TMED2"</f>
        <v>TMED2</v>
      </c>
      <c r="L1279" t="str">
        <f>"TMED2"</f>
        <v>TMED2</v>
      </c>
      <c r="M1279">
        <v>0</v>
      </c>
      <c r="N1279">
        <v>0</v>
      </c>
      <c r="O1279">
        <v>2.7358301825645501</v>
      </c>
      <c r="P1279">
        <v>0</v>
      </c>
      <c r="Q1279">
        <v>0</v>
      </c>
      <c r="R1279">
        <v>0</v>
      </c>
      <c r="S1279">
        <v>1.1331355704698001</v>
      </c>
      <c r="T1279">
        <v>0</v>
      </c>
      <c r="U1279">
        <v>0</v>
      </c>
      <c r="V1279">
        <v>0</v>
      </c>
      <c r="W1279">
        <v>1.27539809638918</v>
      </c>
      <c r="X1279">
        <v>0.984645710619934</v>
      </c>
    </row>
    <row r="1280" spans="1:24">
      <c r="A1280">
        <v>1806</v>
      </c>
      <c r="B1280" t="s">
        <v>3452</v>
      </c>
      <c r="C1280">
        <v>2</v>
      </c>
      <c r="D1280" t="s">
        <v>3453</v>
      </c>
      <c r="E1280">
        <v>5</v>
      </c>
      <c r="F1280">
        <v>5</v>
      </c>
      <c r="G1280">
        <v>5</v>
      </c>
      <c r="H1280" t="s">
        <v>3454</v>
      </c>
      <c r="I1280">
        <v>33</v>
      </c>
      <c r="J1280">
        <v>20.43</v>
      </c>
      <c r="K1280" t="str">
        <f>"APOA1BP"</f>
        <v>APOA1BP</v>
      </c>
      <c r="L1280" t="str">
        <f>"NAXE"</f>
        <v>NAXE</v>
      </c>
      <c r="M1280">
        <v>0</v>
      </c>
      <c r="N1280">
        <v>0</v>
      </c>
      <c r="O1280">
        <v>0.91194339418818204</v>
      </c>
      <c r="P1280">
        <v>1.0652189274447901</v>
      </c>
      <c r="Q1280">
        <v>0</v>
      </c>
      <c r="R1280">
        <v>0.90008103209297396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1.96929142123987</v>
      </c>
    </row>
    <row r="1281" spans="1:24">
      <c r="A1281">
        <v>1817</v>
      </c>
      <c r="B1281" t="s">
        <v>3455</v>
      </c>
      <c r="C1281">
        <v>3</v>
      </c>
      <c r="D1281" t="s">
        <v>3456</v>
      </c>
      <c r="E1281">
        <v>3</v>
      </c>
      <c r="F1281">
        <v>3</v>
      </c>
      <c r="G1281">
        <v>3</v>
      </c>
      <c r="H1281" t="s">
        <v>3457</v>
      </c>
      <c r="I1281">
        <v>15</v>
      </c>
      <c r="J1281">
        <v>28.876000000000001</v>
      </c>
      <c r="K1281" t="str">
        <f>"TSPAN14"</f>
        <v>TSPAN14</v>
      </c>
      <c r="L1281" t="str">
        <f>"TSPAN14"</f>
        <v>TSPAN14</v>
      </c>
      <c r="M1281">
        <v>0</v>
      </c>
      <c r="N1281">
        <v>0.89450172185430499</v>
      </c>
      <c r="O1281">
        <v>0</v>
      </c>
      <c r="P1281">
        <v>0</v>
      </c>
      <c r="Q1281">
        <v>1.25576199330606</v>
      </c>
      <c r="R1281">
        <v>0.90008103209297396</v>
      </c>
      <c r="S1281">
        <v>0</v>
      </c>
      <c r="T1281">
        <v>1.18448996772836</v>
      </c>
      <c r="U1281">
        <v>0</v>
      </c>
      <c r="V1281">
        <v>1.05063596764157</v>
      </c>
      <c r="W1281">
        <v>0</v>
      </c>
      <c r="X1281">
        <v>0</v>
      </c>
    </row>
    <row r="1282" spans="1:24">
      <c r="A1282">
        <v>1828</v>
      </c>
      <c r="B1282" t="s">
        <v>3458</v>
      </c>
      <c r="C1282">
        <v>1</v>
      </c>
      <c r="D1282" t="s">
        <v>3459</v>
      </c>
      <c r="E1282">
        <v>6</v>
      </c>
      <c r="F1282">
        <v>6</v>
      </c>
      <c r="G1282">
        <v>6</v>
      </c>
      <c r="H1282" t="s">
        <v>3458</v>
      </c>
      <c r="I1282">
        <v>7.5</v>
      </c>
      <c r="J1282">
        <v>93.673000000000002</v>
      </c>
      <c r="K1282" t="str">
        <f>"STT3B"</f>
        <v>STT3B</v>
      </c>
      <c r="L1282" t="str">
        <f>"STT3B"</f>
        <v>STT3B</v>
      </c>
      <c r="M1282">
        <v>0</v>
      </c>
      <c r="N1282">
        <v>0.89450172185430499</v>
      </c>
      <c r="O1282">
        <v>0</v>
      </c>
      <c r="P1282">
        <v>0</v>
      </c>
      <c r="Q1282">
        <v>0</v>
      </c>
      <c r="R1282">
        <v>0</v>
      </c>
      <c r="S1282">
        <v>1.1331355704698001</v>
      </c>
      <c r="T1282">
        <v>1.18448996772836</v>
      </c>
      <c r="U1282">
        <v>1.10235831809872</v>
      </c>
      <c r="V1282">
        <v>0</v>
      </c>
      <c r="W1282">
        <v>0</v>
      </c>
      <c r="X1282">
        <v>1.96929142123987</v>
      </c>
    </row>
    <row r="1283" spans="1:24">
      <c r="A1283">
        <v>1864</v>
      </c>
      <c r="B1283" t="s">
        <v>3460</v>
      </c>
      <c r="C1283">
        <v>3</v>
      </c>
      <c r="D1283" t="s">
        <v>3461</v>
      </c>
      <c r="E1283">
        <v>10</v>
      </c>
      <c r="F1283">
        <v>7</v>
      </c>
      <c r="G1283">
        <v>1</v>
      </c>
      <c r="H1283" t="s">
        <v>3462</v>
      </c>
      <c r="I1283">
        <v>13.9</v>
      </c>
      <c r="J1283">
        <v>92.114999999999995</v>
      </c>
      <c r="K1283" t="str">
        <f>"HSPH1"</f>
        <v>HSPH1</v>
      </c>
      <c r="L1283" t="str">
        <f>"HSPH1"</f>
        <v>HSPH1</v>
      </c>
      <c r="M1283">
        <v>1.2103892752168599</v>
      </c>
      <c r="N1283">
        <v>0</v>
      </c>
      <c r="O1283">
        <v>1.8238867883763601</v>
      </c>
      <c r="P1283">
        <v>0</v>
      </c>
      <c r="Q1283">
        <v>0</v>
      </c>
      <c r="R1283">
        <v>0.90008103209297396</v>
      </c>
      <c r="S1283">
        <v>1.1331355704698001</v>
      </c>
      <c r="T1283">
        <v>0</v>
      </c>
      <c r="U1283">
        <v>1.10235831809872</v>
      </c>
      <c r="V1283">
        <v>0</v>
      </c>
      <c r="W1283">
        <v>1.27539809638918</v>
      </c>
      <c r="X1283">
        <v>0.984645710619934</v>
      </c>
    </row>
    <row r="1284" spans="1:24">
      <c r="A1284">
        <v>1897</v>
      </c>
      <c r="B1284" t="s">
        <v>3463</v>
      </c>
      <c r="C1284">
        <v>1</v>
      </c>
      <c r="D1284" t="s">
        <v>3464</v>
      </c>
      <c r="E1284">
        <v>3</v>
      </c>
      <c r="F1284">
        <v>3</v>
      </c>
      <c r="G1284">
        <v>3</v>
      </c>
      <c r="H1284" t="s">
        <v>3463</v>
      </c>
      <c r="I1284">
        <v>20.8</v>
      </c>
      <c r="J1284">
        <v>18.795000000000002</v>
      </c>
      <c r="K1284" t="str">
        <f>"MYDGF"</f>
        <v>MYDGF</v>
      </c>
      <c r="L1284" t="str">
        <f>"MYDGF"</f>
        <v>MYDGF</v>
      </c>
      <c r="M1284">
        <v>1.2103892752168599</v>
      </c>
      <c r="N1284">
        <v>0.89450172185430499</v>
      </c>
      <c r="O1284">
        <v>1.8238867883763601</v>
      </c>
      <c r="P1284">
        <v>0</v>
      </c>
      <c r="Q1284">
        <v>0</v>
      </c>
      <c r="R1284">
        <v>0</v>
      </c>
      <c r="S1284">
        <v>1.1331355704698001</v>
      </c>
      <c r="T1284">
        <v>1.18448996772836</v>
      </c>
      <c r="U1284">
        <v>1.10235831809872</v>
      </c>
      <c r="V1284">
        <v>0</v>
      </c>
      <c r="W1284">
        <v>2.5507961927783702</v>
      </c>
      <c r="X1284">
        <v>1.96929142123987</v>
      </c>
    </row>
    <row r="1285" spans="1:24">
      <c r="A1285">
        <v>1934</v>
      </c>
      <c r="B1285" t="s">
        <v>3465</v>
      </c>
      <c r="C1285">
        <v>1</v>
      </c>
      <c r="D1285" t="s">
        <v>3466</v>
      </c>
      <c r="E1285">
        <v>3</v>
      </c>
      <c r="F1285">
        <v>3</v>
      </c>
      <c r="G1285">
        <v>3</v>
      </c>
      <c r="H1285" t="s">
        <v>3465</v>
      </c>
      <c r="I1285">
        <v>16.2</v>
      </c>
      <c r="J1285">
        <v>30.123999999999999</v>
      </c>
      <c r="K1285" t="str">
        <f>"DCUN1D1"</f>
        <v>DCUN1D1</v>
      </c>
      <c r="L1285" t="str">
        <f>"DCUN1D1"</f>
        <v>DCUN1D1</v>
      </c>
      <c r="M1285">
        <v>0</v>
      </c>
      <c r="N1285">
        <v>1.78900344370861</v>
      </c>
      <c r="O1285">
        <v>0.91194339418818204</v>
      </c>
      <c r="P1285">
        <v>1.0652189274447901</v>
      </c>
      <c r="Q1285">
        <v>0</v>
      </c>
      <c r="R1285">
        <v>0.90008103209297396</v>
      </c>
      <c r="S1285">
        <v>1.1331355704698001</v>
      </c>
      <c r="T1285">
        <v>0</v>
      </c>
      <c r="U1285">
        <v>1.10235831809872</v>
      </c>
      <c r="V1285">
        <v>1.05063596764157</v>
      </c>
      <c r="W1285">
        <v>0</v>
      </c>
      <c r="X1285">
        <v>0.984645710619934</v>
      </c>
    </row>
    <row r="1286" spans="1:24">
      <c r="A1286">
        <v>2104</v>
      </c>
      <c r="B1286" t="s">
        <v>3467</v>
      </c>
      <c r="C1286">
        <v>4</v>
      </c>
      <c r="D1286" t="s">
        <v>3468</v>
      </c>
      <c r="E1286">
        <v>4</v>
      </c>
      <c r="F1286">
        <v>4</v>
      </c>
      <c r="G1286">
        <v>4</v>
      </c>
      <c r="H1286" t="s">
        <v>3469</v>
      </c>
      <c r="I1286">
        <v>33.299999999999997</v>
      </c>
      <c r="J1286">
        <v>20.38</v>
      </c>
      <c r="K1286" t="str">
        <f>"SLA2"</f>
        <v>SLA2</v>
      </c>
      <c r="L1286" t="str">
        <f>"SLA2"</f>
        <v>SLA2</v>
      </c>
      <c r="M1286">
        <v>0</v>
      </c>
      <c r="N1286">
        <v>0.89450172185430499</v>
      </c>
      <c r="O1286">
        <v>0.91194339418818204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2.1012719352831399</v>
      </c>
      <c r="W1286">
        <v>0</v>
      </c>
      <c r="X1286">
        <v>2.9539371318597998</v>
      </c>
    </row>
    <row r="1287" spans="1:24">
      <c r="A1287">
        <v>2106</v>
      </c>
      <c r="B1287" t="s">
        <v>3470</v>
      </c>
      <c r="C1287">
        <v>2</v>
      </c>
      <c r="D1287" t="s">
        <v>3471</v>
      </c>
      <c r="E1287">
        <v>5</v>
      </c>
      <c r="F1287">
        <v>5</v>
      </c>
      <c r="G1287">
        <v>5</v>
      </c>
      <c r="H1287" t="s">
        <v>3472</v>
      </c>
      <c r="I1287">
        <v>3.2</v>
      </c>
      <c r="J1287">
        <v>215.31</v>
      </c>
      <c r="K1287" t="str">
        <f>"DOCK5"</f>
        <v>DOCK5</v>
      </c>
      <c r="L1287" t="str">
        <f>"DOCK5"</f>
        <v>DOCK5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1.18448996772836</v>
      </c>
      <c r="U1287">
        <v>2.20471663619744</v>
      </c>
      <c r="V1287">
        <v>0</v>
      </c>
      <c r="W1287">
        <v>2.5507961927783702</v>
      </c>
      <c r="X1287">
        <v>0.984645710619934</v>
      </c>
    </row>
    <row r="1288" spans="1:24">
      <c r="A1288">
        <v>2107</v>
      </c>
      <c r="B1288" t="s">
        <v>3473</v>
      </c>
      <c r="C1288">
        <v>1</v>
      </c>
      <c r="D1288" t="s">
        <v>3474</v>
      </c>
      <c r="E1288">
        <v>3</v>
      </c>
      <c r="F1288">
        <v>3</v>
      </c>
      <c r="G1288">
        <v>3</v>
      </c>
      <c r="H1288" t="s">
        <v>3473</v>
      </c>
      <c r="I1288">
        <v>19.399999999999999</v>
      </c>
      <c r="J1288">
        <v>30.643000000000001</v>
      </c>
      <c r="K1288" t="str">
        <f>"PPP1R3E"</f>
        <v>PPP1R3E</v>
      </c>
      <c r="L1288" t="str">
        <f>"PPP1R3E"</f>
        <v>PPP1R3E</v>
      </c>
      <c r="M1288">
        <v>0</v>
      </c>
      <c r="N1288">
        <v>1.78900344370861</v>
      </c>
      <c r="O1288">
        <v>2.7358301825645501</v>
      </c>
      <c r="P1288">
        <v>0</v>
      </c>
      <c r="Q1288">
        <v>0</v>
      </c>
      <c r="R1288">
        <v>0.90008103209297396</v>
      </c>
      <c r="S1288">
        <v>2.2662711409396001</v>
      </c>
      <c r="T1288">
        <v>0</v>
      </c>
      <c r="U1288">
        <v>1.10235831809872</v>
      </c>
      <c r="V1288">
        <v>1.05063596764157</v>
      </c>
      <c r="W1288">
        <v>0</v>
      </c>
      <c r="X1288">
        <v>0.984645710619934</v>
      </c>
    </row>
    <row r="1289" spans="1:24">
      <c r="A1289">
        <v>2158</v>
      </c>
      <c r="B1289" t="s">
        <v>3475</v>
      </c>
      <c r="C1289">
        <v>3</v>
      </c>
      <c r="D1289" t="s">
        <v>3476</v>
      </c>
      <c r="E1289">
        <v>9</v>
      </c>
      <c r="F1289">
        <v>8</v>
      </c>
      <c r="G1289">
        <v>8</v>
      </c>
      <c r="H1289" t="s">
        <v>3477</v>
      </c>
      <c r="I1289">
        <v>18.100000000000001</v>
      </c>
      <c r="J1289">
        <v>80.594999999999999</v>
      </c>
      <c r="K1289" t="str">
        <f>"STRN4"</f>
        <v>STRN4</v>
      </c>
      <c r="L1289" t="str">
        <f>"STRN4"</f>
        <v>STRN4</v>
      </c>
      <c r="M1289">
        <v>1.2103892752168599</v>
      </c>
      <c r="N1289">
        <v>0.89450172185430499</v>
      </c>
      <c r="O1289">
        <v>2.7358301825645501</v>
      </c>
      <c r="P1289">
        <v>0</v>
      </c>
      <c r="Q1289">
        <v>0</v>
      </c>
      <c r="R1289">
        <v>0.90008103209297396</v>
      </c>
      <c r="S1289">
        <v>0</v>
      </c>
      <c r="T1289">
        <v>0</v>
      </c>
      <c r="U1289">
        <v>2.20471663619744</v>
      </c>
      <c r="V1289">
        <v>0</v>
      </c>
      <c r="W1289">
        <v>0</v>
      </c>
      <c r="X1289">
        <v>1.96929142123987</v>
      </c>
    </row>
    <row r="1290" spans="1:24">
      <c r="A1290">
        <v>2173</v>
      </c>
      <c r="B1290" t="s">
        <v>3478</v>
      </c>
      <c r="C1290">
        <v>4</v>
      </c>
      <c r="D1290" t="s">
        <v>3479</v>
      </c>
      <c r="E1290">
        <v>7</v>
      </c>
      <c r="F1290">
        <v>7</v>
      </c>
      <c r="G1290">
        <v>7</v>
      </c>
      <c r="H1290" t="s">
        <v>3480</v>
      </c>
      <c r="I1290">
        <v>14.4</v>
      </c>
      <c r="J1290">
        <v>62.686999999999998</v>
      </c>
      <c r="K1290" t="str">
        <f>"ACSS1"</f>
        <v>ACSS1</v>
      </c>
      <c r="L1290" t="str">
        <f>"ACSS1"</f>
        <v>ACSS1</v>
      </c>
      <c r="M1290">
        <v>0</v>
      </c>
      <c r="N1290">
        <v>1.78900344370861</v>
      </c>
      <c r="O1290">
        <v>2.7358301825645501</v>
      </c>
      <c r="P1290">
        <v>0</v>
      </c>
      <c r="Q1290">
        <v>1.25576199330606</v>
      </c>
      <c r="R1290">
        <v>0</v>
      </c>
      <c r="S1290">
        <v>1.1331355704698001</v>
      </c>
      <c r="T1290">
        <v>0</v>
      </c>
      <c r="U1290">
        <v>0</v>
      </c>
      <c r="V1290">
        <v>1.05063596764157</v>
      </c>
      <c r="W1290">
        <v>0</v>
      </c>
      <c r="X1290">
        <v>0.984645710619934</v>
      </c>
    </row>
    <row r="1291" spans="1:24">
      <c r="A1291">
        <v>2374</v>
      </c>
      <c r="B1291" t="s">
        <v>3481</v>
      </c>
      <c r="C1291">
        <v>1</v>
      </c>
      <c r="D1291" t="s">
        <v>3482</v>
      </c>
      <c r="E1291">
        <v>6</v>
      </c>
      <c r="F1291">
        <v>6</v>
      </c>
      <c r="G1291">
        <v>6</v>
      </c>
      <c r="H1291" t="s">
        <v>3481</v>
      </c>
      <c r="I1291">
        <v>21.9</v>
      </c>
      <c r="J1291">
        <v>32.735999999999997</v>
      </c>
      <c r="K1291" t="str">
        <f>"SLC25A15"</f>
        <v>SLC25A15</v>
      </c>
      <c r="L1291" t="str">
        <f>"SLC25A15"</f>
        <v>SLC25A15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2.7002430962789199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1.96929142123987</v>
      </c>
    </row>
    <row r="1292" spans="1:24">
      <c r="A1292">
        <v>76</v>
      </c>
      <c r="B1292" t="s">
        <v>3483</v>
      </c>
      <c r="C1292">
        <v>3</v>
      </c>
      <c r="D1292" t="s">
        <v>3484</v>
      </c>
      <c r="E1292">
        <v>9</v>
      </c>
      <c r="F1292">
        <v>9</v>
      </c>
      <c r="G1292">
        <v>2</v>
      </c>
      <c r="H1292" t="s">
        <v>3485</v>
      </c>
      <c r="I1292">
        <v>19</v>
      </c>
      <c r="J1292">
        <v>71.353999999999999</v>
      </c>
      <c r="K1292" t="str">
        <f>"DDX3X;DDX3Y"</f>
        <v>DDX3X;DDX3Y</v>
      </c>
      <c r="L1292" t="str">
        <f>"DDX3X;DDX3Y"</f>
        <v>DDX3X;DDX3Y</v>
      </c>
      <c r="M1292">
        <v>0</v>
      </c>
      <c r="N1292">
        <v>1.78900344370861</v>
      </c>
      <c r="O1292">
        <v>0</v>
      </c>
      <c r="P1292">
        <v>1.0652189274447901</v>
      </c>
      <c r="Q1292">
        <v>1.25576199330606</v>
      </c>
      <c r="R1292">
        <v>0.90008103209297396</v>
      </c>
      <c r="S1292">
        <v>0</v>
      </c>
      <c r="T1292">
        <v>0</v>
      </c>
      <c r="U1292">
        <v>2.20471663619744</v>
      </c>
      <c r="V1292">
        <v>1.05063596764157</v>
      </c>
      <c r="W1292">
        <v>0</v>
      </c>
      <c r="X1292">
        <v>0</v>
      </c>
    </row>
    <row r="1293" spans="1:24">
      <c r="A1293">
        <v>168</v>
      </c>
      <c r="B1293" t="s">
        <v>3486</v>
      </c>
      <c r="C1293">
        <v>2</v>
      </c>
      <c r="D1293" t="s">
        <v>3487</v>
      </c>
      <c r="E1293">
        <v>6</v>
      </c>
      <c r="F1293">
        <v>6</v>
      </c>
      <c r="G1293">
        <v>6</v>
      </c>
      <c r="H1293" t="s">
        <v>3488</v>
      </c>
      <c r="I1293">
        <v>14.1</v>
      </c>
      <c r="J1293">
        <v>62.942</v>
      </c>
      <c r="K1293" t="str">
        <f>"NARS"</f>
        <v>NARS</v>
      </c>
      <c r="L1293" t="str">
        <f>"NARS"</f>
        <v>NARS</v>
      </c>
      <c r="M1293">
        <v>0</v>
      </c>
      <c r="N1293">
        <v>1.78900344370861</v>
      </c>
      <c r="O1293">
        <v>3.64777357675273</v>
      </c>
      <c r="P1293">
        <v>0</v>
      </c>
      <c r="Q1293">
        <v>0</v>
      </c>
      <c r="R1293">
        <v>1.8001620641859499</v>
      </c>
      <c r="S1293">
        <v>1.1331355704698001</v>
      </c>
      <c r="T1293">
        <v>1.18448996772836</v>
      </c>
      <c r="U1293">
        <v>0</v>
      </c>
      <c r="V1293">
        <v>1.05063596764157</v>
      </c>
      <c r="W1293">
        <v>0</v>
      </c>
      <c r="X1293">
        <v>0.984645710619934</v>
      </c>
    </row>
    <row r="1294" spans="1:24">
      <c r="A1294">
        <v>247</v>
      </c>
      <c r="B1294" t="s">
        <v>3489</v>
      </c>
      <c r="C1294">
        <v>1</v>
      </c>
      <c r="D1294" t="s">
        <v>3490</v>
      </c>
      <c r="E1294">
        <v>5</v>
      </c>
      <c r="F1294">
        <v>5</v>
      </c>
      <c r="G1294">
        <v>5</v>
      </c>
      <c r="H1294" t="s">
        <v>3489</v>
      </c>
      <c r="I1294">
        <v>6.9</v>
      </c>
      <c r="J1294">
        <v>67.453999999999994</v>
      </c>
      <c r="K1294" t="str">
        <f>"TOMM70A"</f>
        <v>TOMM70A</v>
      </c>
      <c r="L1294" t="str">
        <f>"TOMM70"</f>
        <v>TOMM70</v>
      </c>
      <c r="M1294">
        <v>0</v>
      </c>
      <c r="N1294">
        <v>0.89450172185430499</v>
      </c>
      <c r="O1294">
        <v>0.91194339418818204</v>
      </c>
      <c r="P1294">
        <v>0</v>
      </c>
      <c r="Q1294">
        <v>0</v>
      </c>
      <c r="R1294">
        <v>1.8001620641859499</v>
      </c>
      <c r="S1294">
        <v>2.2662711409396001</v>
      </c>
      <c r="T1294">
        <v>0</v>
      </c>
      <c r="U1294">
        <v>1.10235831809872</v>
      </c>
      <c r="V1294">
        <v>1.05063596764157</v>
      </c>
      <c r="W1294">
        <v>1.27539809638918</v>
      </c>
      <c r="X1294">
        <v>1.96929142123987</v>
      </c>
    </row>
    <row r="1295" spans="1:24">
      <c r="A1295">
        <v>508</v>
      </c>
      <c r="B1295" t="s">
        <v>3491</v>
      </c>
      <c r="C1295">
        <v>1</v>
      </c>
      <c r="D1295" t="s">
        <v>3492</v>
      </c>
      <c r="E1295">
        <v>2</v>
      </c>
      <c r="F1295">
        <v>2</v>
      </c>
      <c r="G1295">
        <v>2</v>
      </c>
      <c r="H1295" t="s">
        <v>3491</v>
      </c>
      <c r="I1295">
        <v>16.7</v>
      </c>
      <c r="J1295">
        <v>10.18</v>
      </c>
      <c r="K1295" t="str">
        <f>"S100A6"</f>
        <v>S100A6</v>
      </c>
      <c r="L1295" t="str">
        <f>"S100A6"</f>
        <v>S100A6</v>
      </c>
      <c r="M1295">
        <v>1.2103892752168599</v>
      </c>
      <c r="N1295">
        <v>0.89450172185430499</v>
      </c>
      <c r="O1295">
        <v>0.91194339418818204</v>
      </c>
      <c r="P1295">
        <v>1.0652189274447901</v>
      </c>
      <c r="Q1295">
        <v>1.25576199330606</v>
      </c>
      <c r="R1295">
        <v>0.90008103209297396</v>
      </c>
      <c r="S1295">
        <v>0</v>
      </c>
      <c r="T1295">
        <v>1.18448996772836</v>
      </c>
      <c r="U1295">
        <v>1.10235831809872</v>
      </c>
      <c r="V1295">
        <v>1.05063596764157</v>
      </c>
      <c r="W1295">
        <v>1.27539809638918</v>
      </c>
      <c r="X1295">
        <v>0</v>
      </c>
    </row>
    <row r="1296" spans="1:24">
      <c r="A1296">
        <v>572</v>
      </c>
      <c r="B1296" t="s">
        <v>3493</v>
      </c>
      <c r="C1296">
        <v>2</v>
      </c>
      <c r="D1296" t="s">
        <v>3494</v>
      </c>
      <c r="E1296">
        <v>5</v>
      </c>
      <c r="F1296">
        <v>5</v>
      </c>
      <c r="G1296">
        <v>5</v>
      </c>
      <c r="H1296" t="s">
        <v>3495</v>
      </c>
      <c r="I1296">
        <v>24.3</v>
      </c>
      <c r="J1296">
        <v>44.292000000000002</v>
      </c>
      <c r="K1296" t="str">
        <f>"ACAA1"</f>
        <v>ACAA1</v>
      </c>
      <c r="L1296" t="str">
        <f>"ACAA1"</f>
        <v>ACAA1</v>
      </c>
      <c r="M1296">
        <v>0</v>
      </c>
      <c r="N1296">
        <v>0.89450172185430499</v>
      </c>
      <c r="O1296">
        <v>0</v>
      </c>
      <c r="P1296">
        <v>1.0652189274447901</v>
      </c>
      <c r="Q1296">
        <v>0</v>
      </c>
      <c r="R1296">
        <v>0</v>
      </c>
      <c r="S1296">
        <v>1.1331355704698001</v>
      </c>
      <c r="T1296">
        <v>0</v>
      </c>
      <c r="U1296">
        <v>1.10235831809872</v>
      </c>
      <c r="V1296">
        <v>0</v>
      </c>
      <c r="W1296">
        <v>1.27539809638918</v>
      </c>
      <c r="X1296">
        <v>1.96929142123987</v>
      </c>
    </row>
    <row r="1297" spans="1:24">
      <c r="A1297">
        <v>634</v>
      </c>
      <c r="B1297" t="s">
        <v>3496</v>
      </c>
      <c r="C1297">
        <v>1</v>
      </c>
      <c r="D1297" t="s">
        <v>3497</v>
      </c>
      <c r="E1297">
        <v>6</v>
      </c>
      <c r="F1297">
        <v>3</v>
      </c>
      <c r="G1297">
        <v>3</v>
      </c>
      <c r="H1297" t="s">
        <v>3496</v>
      </c>
      <c r="I1297">
        <v>28.6</v>
      </c>
      <c r="J1297">
        <v>23.567</v>
      </c>
      <c r="K1297" t="str">
        <f>"RALA"</f>
        <v>RALA</v>
      </c>
      <c r="L1297" t="str">
        <f>"RALA"</f>
        <v>RALA</v>
      </c>
      <c r="M1297">
        <v>0</v>
      </c>
      <c r="N1297">
        <v>1.78900344370861</v>
      </c>
      <c r="O1297">
        <v>1.8238867883763601</v>
      </c>
      <c r="P1297">
        <v>1.0652189274447901</v>
      </c>
      <c r="Q1297">
        <v>1.25576199330606</v>
      </c>
      <c r="R1297">
        <v>0</v>
      </c>
      <c r="S1297">
        <v>1.1331355704698001</v>
      </c>
      <c r="T1297">
        <v>0</v>
      </c>
      <c r="U1297">
        <v>0</v>
      </c>
      <c r="V1297">
        <v>0</v>
      </c>
      <c r="W1297">
        <v>1.27539809638918</v>
      </c>
      <c r="X1297">
        <v>0.984645710619934</v>
      </c>
    </row>
    <row r="1298" spans="1:24">
      <c r="A1298">
        <v>686</v>
      </c>
      <c r="B1298" t="s">
        <v>3498</v>
      </c>
      <c r="C1298">
        <v>1</v>
      </c>
      <c r="D1298" t="s">
        <v>3499</v>
      </c>
      <c r="E1298">
        <v>9</v>
      </c>
      <c r="F1298">
        <v>9</v>
      </c>
      <c r="G1298">
        <v>9</v>
      </c>
      <c r="H1298" t="s">
        <v>3498</v>
      </c>
      <c r="I1298">
        <v>43.4</v>
      </c>
      <c r="J1298">
        <v>36.573</v>
      </c>
      <c r="K1298" t="str">
        <f>"AKR1A1"</f>
        <v>AKR1A1</v>
      </c>
      <c r="L1298" t="str">
        <f>"AKR1A1"</f>
        <v>AKR1A1</v>
      </c>
      <c r="M1298">
        <v>0</v>
      </c>
      <c r="N1298">
        <v>0</v>
      </c>
      <c r="O1298">
        <v>2.7358301825645501</v>
      </c>
      <c r="P1298">
        <v>0</v>
      </c>
      <c r="Q1298">
        <v>0</v>
      </c>
      <c r="R1298">
        <v>0.90008103209297396</v>
      </c>
      <c r="S1298">
        <v>3.3994067114094002</v>
      </c>
      <c r="T1298">
        <v>0</v>
      </c>
      <c r="U1298">
        <v>2.20471663619744</v>
      </c>
      <c r="V1298">
        <v>0</v>
      </c>
      <c r="W1298">
        <v>2.5507961927783702</v>
      </c>
      <c r="X1298">
        <v>1.96929142123987</v>
      </c>
    </row>
    <row r="1299" spans="1:24">
      <c r="A1299">
        <v>704</v>
      </c>
      <c r="B1299" t="s">
        <v>3500</v>
      </c>
      <c r="C1299">
        <v>16</v>
      </c>
      <c r="D1299" t="s">
        <v>3501</v>
      </c>
      <c r="E1299">
        <v>3</v>
      </c>
      <c r="F1299">
        <v>3</v>
      </c>
      <c r="G1299">
        <v>3</v>
      </c>
      <c r="H1299" t="s">
        <v>3502</v>
      </c>
      <c r="I1299">
        <v>9.1999999999999993</v>
      </c>
      <c r="J1299">
        <v>39.313000000000002</v>
      </c>
      <c r="K1299" t="str">
        <f>"CD46"</f>
        <v>CD46</v>
      </c>
      <c r="L1299" t="str">
        <f>"CD46"</f>
        <v>CD46</v>
      </c>
      <c r="M1299">
        <v>1.2103892752168599</v>
      </c>
      <c r="N1299">
        <v>0</v>
      </c>
      <c r="O1299">
        <v>1.8238867883763601</v>
      </c>
      <c r="P1299">
        <v>2.1304378548895899</v>
      </c>
      <c r="Q1299">
        <v>0</v>
      </c>
      <c r="R1299">
        <v>0</v>
      </c>
      <c r="S1299">
        <v>1.1331355704698001</v>
      </c>
      <c r="T1299">
        <v>1.18448996772836</v>
      </c>
      <c r="U1299">
        <v>1.10235831809872</v>
      </c>
      <c r="V1299">
        <v>1.05063596764157</v>
      </c>
      <c r="W1299">
        <v>0</v>
      </c>
      <c r="X1299">
        <v>0.984645710619934</v>
      </c>
    </row>
    <row r="1300" spans="1:24">
      <c r="A1300">
        <v>749</v>
      </c>
      <c r="B1300" t="s">
        <v>3503</v>
      </c>
      <c r="C1300">
        <v>2</v>
      </c>
      <c r="D1300" t="s">
        <v>3504</v>
      </c>
      <c r="E1300">
        <v>4</v>
      </c>
      <c r="F1300">
        <v>4</v>
      </c>
      <c r="G1300">
        <v>4</v>
      </c>
      <c r="H1300" t="s">
        <v>3505</v>
      </c>
      <c r="I1300">
        <v>10.3</v>
      </c>
      <c r="J1300">
        <v>90.762</v>
      </c>
      <c r="K1300" t="str">
        <f>"SLC9A1"</f>
        <v>SLC9A1</v>
      </c>
      <c r="L1300" t="str">
        <f>"SLC9A1"</f>
        <v>SLC9A1</v>
      </c>
      <c r="M1300">
        <v>0</v>
      </c>
      <c r="N1300">
        <v>0.89450172185430499</v>
      </c>
      <c r="O1300">
        <v>0.91194339418818204</v>
      </c>
      <c r="P1300">
        <v>1.0652189274447901</v>
      </c>
      <c r="Q1300">
        <v>0</v>
      </c>
      <c r="R1300">
        <v>0.90008103209297396</v>
      </c>
      <c r="S1300">
        <v>1.1331355704698001</v>
      </c>
      <c r="T1300">
        <v>1.18448996772836</v>
      </c>
      <c r="U1300">
        <v>2.20471663619744</v>
      </c>
      <c r="V1300">
        <v>3.1519079029246999</v>
      </c>
      <c r="W1300">
        <v>0</v>
      </c>
      <c r="X1300">
        <v>1.96929142123987</v>
      </c>
    </row>
    <row r="1301" spans="1:24">
      <c r="A1301">
        <v>759</v>
      </c>
      <c r="B1301" t="s">
        <v>3506</v>
      </c>
      <c r="C1301">
        <v>1</v>
      </c>
      <c r="D1301" t="s">
        <v>3507</v>
      </c>
      <c r="E1301">
        <v>6</v>
      </c>
      <c r="F1301">
        <v>6</v>
      </c>
      <c r="G1301">
        <v>5</v>
      </c>
      <c r="H1301" t="s">
        <v>3506</v>
      </c>
      <c r="I1301">
        <v>37.200000000000003</v>
      </c>
      <c r="J1301">
        <v>24.388999999999999</v>
      </c>
      <c r="K1301" t="str">
        <f>"RAB4A"</f>
        <v>RAB4A</v>
      </c>
      <c r="L1301" t="str">
        <f>"RAB4A"</f>
        <v>RAB4A</v>
      </c>
      <c r="M1301">
        <v>0</v>
      </c>
      <c r="N1301">
        <v>1.78900344370861</v>
      </c>
      <c r="O1301">
        <v>0.91194339418818204</v>
      </c>
      <c r="P1301">
        <v>0</v>
      </c>
      <c r="Q1301">
        <v>0</v>
      </c>
      <c r="R1301">
        <v>0</v>
      </c>
      <c r="S1301">
        <v>2.2662711409396001</v>
      </c>
      <c r="T1301">
        <v>0</v>
      </c>
      <c r="U1301">
        <v>0</v>
      </c>
      <c r="V1301">
        <v>0</v>
      </c>
      <c r="W1301">
        <v>1.27539809638918</v>
      </c>
      <c r="X1301">
        <v>1.96929142123987</v>
      </c>
    </row>
    <row r="1302" spans="1:24">
      <c r="A1302">
        <v>886</v>
      </c>
      <c r="B1302" t="s">
        <v>3508</v>
      </c>
      <c r="C1302">
        <v>1</v>
      </c>
      <c r="D1302" t="s">
        <v>3509</v>
      </c>
      <c r="E1302">
        <v>5</v>
      </c>
      <c r="F1302">
        <v>5</v>
      </c>
      <c r="G1302">
        <v>5</v>
      </c>
      <c r="H1302" t="s">
        <v>3508</v>
      </c>
      <c r="I1302">
        <v>23.8</v>
      </c>
      <c r="J1302">
        <v>31.387</v>
      </c>
      <c r="K1302" t="str">
        <f>"ECHS1"</f>
        <v>ECHS1</v>
      </c>
      <c r="L1302" t="str">
        <f>"ECHS1"</f>
        <v>ECHS1</v>
      </c>
      <c r="M1302">
        <v>0</v>
      </c>
      <c r="N1302">
        <v>0</v>
      </c>
      <c r="O1302">
        <v>1.8238867883763601</v>
      </c>
      <c r="P1302">
        <v>0</v>
      </c>
      <c r="Q1302">
        <v>1.25576199330606</v>
      </c>
      <c r="R1302">
        <v>0.90008103209297396</v>
      </c>
      <c r="S1302">
        <v>1.1331355704698001</v>
      </c>
      <c r="T1302">
        <v>0</v>
      </c>
      <c r="U1302">
        <v>2.20471663619744</v>
      </c>
      <c r="V1302">
        <v>0</v>
      </c>
      <c r="W1302">
        <v>0</v>
      </c>
      <c r="X1302">
        <v>0</v>
      </c>
    </row>
    <row r="1303" spans="1:24">
      <c r="A1303">
        <v>988</v>
      </c>
      <c r="B1303" t="s">
        <v>3510</v>
      </c>
      <c r="C1303">
        <v>2</v>
      </c>
      <c r="D1303" t="s">
        <v>3511</v>
      </c>
      <c r="E1303">
        <v>8</v>
      </c>
      <c r="F1303">
        <v>3</v>
      </c>
      <c r="G1303">
        <v>3</v>
      </c>
      <c r="H1303" t="s">
        <v>3512</v>
      </c>
      <c r="I1303">
        <v>51.4</v>
      </c>
      <c r="J1303">
        <v>27.896000000000001</v>
      </c>
      <c r="K1303" t="str">
        <f>"CFHR2"</f>
        <v>CFHR2</v>
      </c>
      <c r="L1303" t="str">
        <f>"CFHR2"</f>
        <v>CFHR2</v>
      </c>
      <c r="M1303">
        <v>2.4207785504337198</v>
      </c>
      <c r="N1303">
        <v>0</v>
      </c>
      <c r="O1303">
        <v>0</v>
      </c>
      <c r="P1303">
        <v>0</v>
      </c>
      <c r="Q1303">
        <v>1.25576199330606</v>
      </c>
      <c r="R1303">
        <v>0</v>
      </c>
      <c r="S1303">
        <v>1.1331355704698001</v>
      </c>
      <c r="T1303">
        <v>1.18448996772836</v>
      </c>
      <c r="U1303">
        <v>0</v>
      </c>
      <c r="V1303">
        <v>1.05063596764157</v>
      </c>
      <c r="W1303">
        <v>0</v>
      </c>
      <c r="X1303">
        <v>0.984645710619934</v>
      </c>
    </row>
    <row r="1304" spans="1:24">
      <c r="A1304">
        <v>1060</v>
      </c>
      <c r="B1304" t="s">
        <v>3513</v>
      </c>
      <c r="C1304">
        <v>2</v>
      </c>
      <c r="D1304" t="s">
        <v>3514</v>
      </c>
      <c r="E1304">
        <v>5</v>
      </c>
      <c r="F1304">
        <v>5</v>
      </c>
      <c r="G1304">
        <v>5</v>
      </c>
      <c r="H1304" t="s">
        <v>3515</v>
      </c>
      <c r="I1304">
        <v>24.5</v>
      </c>
      <c r="J1304">
        <v>29.667999999999999</v>
      </c>
      <c r="K1304" t="str">
        <f>"UQCRFS1;UQCRFS1P1"</f>
        <v>UQCRFS1;UQCRFS1P1</v>
      </c>
      <c r="L1304" t="str">
        <f>"UQCRFS1;UQCRFS1P1"</f>
        <v>UQCRFS1;UQCRFS1P1</v>
      </c>
      <c r="M1304">
        <v>0</v>
      </c>
      <c r="N1304">
        <v>0.89450172185430499</v>
      </c>
      <c r="O1304">
        <v>2.7358301825645501</v>
      </c>
      <c r="P1304">
        <v>1.0652189274447901</v>
      </c>
      <c r="Q1304">
        <v>0</v>
      </c>
      <c r="R1304">
        <v>1.8001620641859499</v>
      </c>
      <c r="S1304">
        <v>0</v>
      </c>
      <c r="T1304">
        <v>0</v>
      </c>
      <c r="U1304">
        <v>0</v>
      </c>
      <c r="V1304">
        <v>1.05063596764157</v>
      </c>
      <c r="W1304">
        <v>1.27539809638918</v>
      </c>
      <c r="X1304">
        <v>0</v>
      </c>
    </row>
    <row r="1305" spans="1:24">
      <c r="A1305">
        <v>1080</v>
      </c>
      <c r="B1305" t="s">
        <v>3516</v>
      </c>
      <c r="C1305">
        <v>2</v>
      </c>
      <c r="D1305" t="s">
        <v>3517</v>
      </c>
      <c r="E1305">
        <v>4</v>
      </c>
      <c r="F1305">
        <v>4</v>
      </c>
      <c r="G1305">
        <v>4</v>
      </c>
      <c r="H1305" t="s">
        <v>3518</v>
      </c>
      <c r="I1305">
        <v>11.3</v>
      </c>
      <c r="J1305">
        <v>46.454000000000001</v>
      </c>
      <c r="K1305" t="str">
        <f>"ALDH9A1"</f>
        <v>ALDH9A1</v>
      </c>
      <c r="L1305" t="str">
        <f>"ALDH9A1"</f>
        <v>ALDH9A1</v>
      </c>
      <c r="M1305">
        <v>0</v>
      </c>
      <c r="N1305">
        <v>0.89450172185430499</v>
      </c>
      <c r="O1305">
        <v>0</v>
      </c>
      <c r="P1305">
        <v>0</v>
      </c>
      <c r="Q1305">
        <v>0</v>
      </c>
      <c r="R1305">
        <v>0.90008103209297396</v>
      </c>
      <c r="S1305">
        <v>0</v>
      </c>
      <c r="T1305">
        <v>1.18448996772836</v>
      </c>
      <c r="U1305">
        <v>3.3070749542961599</v>
      </c>
      <c r="V1305">
        <v>1.05063596764157</v>
      </c>
      <c r="W1305">
        <v>0</v>
      </c>
      <c r="X1305">
        <v>0</v>
      </c>
    </row>
    <row r="1306" spans="1:24">
      <c r="A1306">
        <v>1262</v>
      </c>
      <c r="B1306" t="s">
        <v>3519</v>
      </c>
      <c r="C1306">
        <v>2</v>
      </c>
      <c r="D1306" t="s">
        <v>3520</v>
      </c>
      <c r="E1306">
        <v>4</v>
      </c>
      <c r="F1306">
        <v>4</v>
      </c>
      <c r="G1306">
        <v>4</v>
      </c>
      <c r="H1306" t="s">
        <v>3521</v>
      </c>
      <c r="I1306">
        <v>27.6</v>
      </c>
      <c r="J1306">
        <v>17.173999999999999</v>
      </c>
      <c r="K1306" t="str">
        <f>"UBE2H"</f>
        <v>UBE2H</v>
      </c>
      <c r="L1306" t="str">
        <f>"UBE2H"</f>
        <v>UBE2H</v>
      </c>
      <c r="M1306">
        <v>1.2103892752168599</v>
      </c>
      <c r="N1306">
        <v>0.89450172185430499</v>
      </c>
      <c r="O1306">
        <v>0.91194339418818204</v>
      </c>
      <c r="P1306">
        <v>0</v>
      </c>
      <c r="Q1306">
        <v>0</v>
      </c>
      <c r="R1306">
        <v>1.8001620641859499</v>
      </c>
      <c r="S1306">
        <v>0</v>
      </c>
      <c r="T1306">
        <v>1.18448996772836</v>
      </c>
      <c r="U1306">
        <v>1.10235831809872</v>
      </c>
      <c r="V1306">
        <v>1.05063596764157</v>
      </c>
      <c r="W1306">
        <v>0</v>
      </c>
      <c r="X1306">
        <v>0</v>
      </c>
    </row>
    <row r="1307" spans="1:24">
      <c r="A1307">
        <v>1371</v>
      </c>
      <c r="B1307" t="s">
        <v>3522</v>
      </c>
      <c r="C1307">
        <v>2</v>
      </c>
      <c r="D1307" t="s">
        <v>3523</v>
      </c>
      <c r="E1307">
        <v>2</v>
      </c>
      <c r="F1307">
        <v>2</v>
      </c>
      <c r="G1307">
        <v>2</v>
      </c>
      <c r="H1307" t="s">
        <v>3524</v>
      </c>
      <c r="I1307">
        <v>18.399999999999999</v>
      </c>
      <c r="J1307">
        <v>16.690999999999999</v>
      </c>
      <c r="K1307" t="str">
        <f>"PLP2"</f>
        <v>PLP2</v>
      </c>
      <c r="L1307" t="str">
        <f>"PLP2"</f>
        <v>PLP2</v>
      </c>
      <c r="M1307">
        <v>1.2103892752168599</v>
      </c>
      <c r="N1307">
        <v>0</v>
      </c>
      <c r="O1307">
        <v>0</v>
      </c>
      <c r="P1307">
        <v>0</v>
      </c>
      <c r="Q1307">
        <v>1.25576199330606</v>
      </c>
      <c r="R1307">
        <v>0.90008103209297396</v>
      </c>
      <c r="S1307">
        <v>1.1331355704698001</v>
      </c>
      <c r="T1307">
        <v>0</v>
      </c>
      <c r="U1307">
        <v>0</v>
      </c>
      <c r="V1307">
        <v>1.05063596764157</v>
      </c>
      <c r="W1307">
        <v>1.27539809638918</v>
      </c>
      <c r="X1307">
        <v>0</v>
      </c>
    </row>
    <row r="1308" spans="1:24">
      <c r="A1308">
        <v>1383</v>
      </c>
      <c r="B1308" t="s">
        <v>3525</v>
      </c>
      <c r="C1308">
        <v>1</v>
      </c>
      <c r="D1308" t="s">
        <v>3526</v>
      </c>
      <c r="E1308">
        <v>3</v>
      </c>
      <c r="F1308">
        <v>3</v>
      </c>
      <c r="G1308">
        <v>3</v>
      </c>
      <c r="H1308" t="s">
        <v>3525</v>
      </c>
      <c r="I1308">
        <v>23.8</v>
      </c>
      <c r="J1308">
        <v>31.361999999999998</v>
      </c>
      <c r="K1308" t="str">
        <f>"C1QBP"</f>
        <v>C1QBP</v>
      </c>
      <c r="L1308" t="str">
        <f>"C1QBP"</f>
        <v>C1QBP</v>
      </c>
      <c r="M1308">
        <v>0</v>
      </c>
      <c r="N1308">
        <v>1.78900344370861</v>
      </c>
      <c r="O1308">
        <v>0.91194339418818204</v>
      </c>
      <c r="P1308">
        <v>0</v>
      </c>
      <c r="Q1308">
        <v>0</v>
      </c>
      <c r="R1308">
        <v>0.90008103209297396</v>
      </c>
      <c r="S1308">
        <v>0</v>
      </c>
      <c r="T1308">
        <v>0</v>
      </c>
      <c r="U1308">
        <v>0</v>
      </c>
      <c r="V1308">
        <v>1.05063596764157</v>
      </c>
      <c r="W1308">
        <v>0</v>
      </c>
      <c r="X1308">
        <v>0</v>
      </c>
    </row>
    <row r="1309" spans="1:24">
      <c r="A1309">
        <v>1524</v>
      </c>
      <c r="B1309" t="s">
        <v>3527</v>
      </c>
      <c r="C1309">
        <v>6</v>
      </c>
      <c r="D1309" t="s">
        <v>3528</v>
      </c>
      <c r="E1309">
        <v>6</v>
      </c>
      <c r="F1309">
        <v>6</v>
      </c>
      <c r="G1309">
        <v>6</v>
      </c>
      <c r="H1309" t="s">
        <v>3529</v>
      </c>
      <c r="I1309">
        <v>5.6</v>
      </c>
      <c r="J1309">
        <v>159.75</v>
      </c>
      <c r="K1309" t="str">
        <f>"GAPVD1"</f>
        <v>GAPVD1</v>
      </c>
      <c r="L1309" t="str">
        <f>"GAPVD1"</f>
        <v>GAPVD1</v>
      </c>
      <c r="M1309">
        <v>0</v>
      </c>
      <c r="N1309">
        <v>2.6835051655629099</v>
      </c>
      <c r="O1309">
        <v>0.91194339418818204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1.10235831809872</v>
      </c>
      <c r="V1309">
        <v>0</v>
      </c>
      <c r="W1309">
        <v>1.27539809638918</v>
      </c>
      <c r="X1309">
        <v>1.96929142123987</v>
      </c>
    </row>
    <row r="1310" spans="1:24">
      <c r="A1310">
        <v>1739</v>
      </c>
      <c r="B1310" t="s">
        <v>3530</v>
      </c>
      <c r="C1310">
        <v>1</v>
      </c>
      <c r="D1310" t="s">
        <v>3531</v>
      </c>
      <c r="E1310">
        <v>2</v>
      </c>
      <c r="F1310">
        <v>2</v>
      </c>
      <c r="G1310">
        <v>2</v>
      </c>
      <c r="H1310" t="s">
        <v>3530</v>
      </c>
      <c r="I1310">
        <v>6.7</v>
      </c>
      <c r="J1310">
        <v>31.538</v>
      </c>
      <c r="K1310" t="str">
        <f>"TSPAN33"</f>
        <v>TSPAN33</v>
      </c>
      <c r="L1310" t="str">
        <f>"TSPAN33"</f>
        <v>TSPAN33</v>
      </c>
      <c r="M1310">
        <v>0</v>
      </c>
      <c r="N1310">
        <v>1.78900344370861</v>
      </c>
      <c r="O1310">
        <v>1.8238867883763601</v>
      </c>
      <c r="P1310">
        <v>1.0652189274447901</v>
      </c>
      <c r="Q1310">
        <v>0</v>
      </c>
      <c r="R1310">
        <v>0.90008103209297396</v>
      </c>
      <c r="S1310">
        <v>0</v>
      </c>
      <c r="T1310">
        <v>1.18448996772836</v>
      </c>
      <c r="U1310">
        <v>1.10235831809872</v>
      </c>
      <c r="V1310">
        <v>1.05063596764157</v>
      </c>
      <c r="W1310">
        <v>0</v>
      </c>
      <c r="X1310">
        <v>0</v>
      </c>
    </row>
    <row r="1311" spans="1:24">
      <c r="A1311">
        <v>1774</v>
      </c>
      <c r="B1311" t="s">
        <v>3532</v>
      </c>
      <c r="C1311">
        <v>2</v>
      </c>
      <c r="D1311" t="s">
        <v>3533</v>
      </c>
      <c r="E1311">
        <v>1</v>
      </c>
      <c r="F1311">
        <v>1</v>
      </c>
      <c r="G1311">
        <v>1</v>
      </c>
      <c r="H1311" t="s">
        <v>3534</v>
      </c>
      <c r="I1311">
        <v>2.6</v>
      </c>
      <c r="J1311">
        <v>52.780999999999999</v>
      </c>
      <c r="K1311" t="str">
        <f>"KATNAL2"</f>
        <v>KATNAL2</v>
      </c>
      <c r="L1311" t="str">
        <f>"KATNAL2"</f>
        <v>KATNAL2</v>
      </c>
      <c r="M1311">
        <v>0</v>
      </c>
      <c r="N1311">
        <v>0.89450172185430499</v>
      </c>
      <c r="O1311">
        <v>0</v>
      </c>
      <c r="P1311">
        <v>0</v>
      </c>
      <c r="Q1311">
        <v>1.25576199330606</v>
      </c>
      <c r="R1311">
        <v>0.90008103209297396</v>
      </c>
      <c r="S1311">
        <v>1.1331355704698001</v>
      </c>
      <c r="T1311">
        <v>1.18448996772836</v>
      </c>
      <c r="U1311">
        <v>0</v>
      </c>
      <c r="V1311">
        <v>1.05063596764157</v>
      </c>
      <c r="W1311">
        <v>1.27539809638918</v>
      </c>
      <c r="X1311">
        <v>0.984645710619934</v>
      </c>
    </row>
    <row r="1312" spans="1:24">
      <c r="A1312">
        <v>1813</v>
      </c>
      <c r="B1312" t="s">
        <v>3535</v>
      </c>
      <c r="C1312">
        <v>4</v>
      </c>
      <c r="D1312" t="s">
        <v>3536</v>
      </c>
      <c r="E1312">
        <v>10</v>
      </c>
      <c r="F1312">
        <v>10</v>
      </c>
      <c r="G1312">
        <v>10</v>
      </c>
      <c r="H1312" t="s">
        <v>3537</v>
      </c>
      <c r="I1312">
        <v>6.5</v>
      </c>
      <c r="J1312">
        <v>227.47</v>
      </c>
      <c r="K1312" t="str">
        <f>"DOCK8"</f>
        <v>DOCK8</v>
      </c>
      <c r="L1312" t="str">
        <f>"DOCK8"</f>
        <v>DOCK8</v>
      </c>
      <c r="M1312">
        <v>0</v>
      </c>
      <c r="N1312">
        <v>0.89450172185430499</v>
      </c>
      <c r="O1312">
        <v>0</v>
      </c>
      <c r="P1312">
        <v>0</v>
      </c>
      <c r="Q1312">
        <v>0</v>
      </c>
      <c r="R1312">
        <v>1.8001620641859499</v>
      </c>
      <c r="S1312">
        <v>1.1331355704698001</v>
      </c>
      <c r="T1312">
        <v>0</v>
      </c>
      <c r="U1312">
        <v>1.10235831809872</v>
      </c>
      <c r="V1312">
        <v>0</v>
      </c>
      <c r="W1312">
        <v>0</v>
      </c>
      <c r="X1312">
        <v>0</v>
      </c>
    </row>
    <row r="1313" spans="1:24">
      <c r="A1313">
        <v>1944</v>
      </c>
      <c r="B1313" t="s">
        <v>3538</v>
      </c>
      <c r="C1313">
        <v>4</v>
      </c>
      <c r="D1313" t="s">
        <v>3539</v>
      </c>
      <c r="E1313">
        <v>5</v>
      </c>
      <c r="F1313">
        <v>5</v>
      </c>
      <c r="G1313">
        <v>5</v>
      </c>
      <c r="H1313" t="s">
        <v>3540</v>
      </c>
      <c r="I1313">
        <v>9.3000000000000007</v>
      </c>
      <c r="J1313">
        <v>56.92</v>
      </c>
      <c r="K1313" t="str">
        <f>"CDK5RAP3"</f>
        <v>CDK5RAP3</v>
      </c>
      <c r="L1313" t="str">
        <f>"CDK5RAP3"</f>
        <v>CDK5RAP3</v>
      </c>
      <c r="M1313">
        <v>0</v>
      </c>
      <c r="N1313">
        <v>0</v>
      </c>
      <c r="O1313">
        <v>0.91194339418818204</v>
      </c>
      <c r="P1313">
        <v>0</v>
      </c>
      <c r="Q1313">
        <v>0</v>
      </c>
      <c r="R1313">
        <v>0</v>
      </c>
      <c r="S1313">
        <v>1.1331355704698001</v>
      </c>
      <c r="T1313">
        <v>0</v>
      </c>
      <c r="U1313">
        <v>2.20471663619744</v>
      </c>
      <c r="V1313">
        <v>2.1012719352831399</v>
      </c>
      <c r="W1313">
        <v>1.27539809638918</v>
      </c>
      <c r="X1313">
        <v>0.984645710619934</v>
      </c>
    </row>
    <row r="1314" spans="1:24">
      <c r="A1314">
        <v>1978</v>
      </c>
      <c r="B1314" t="s">
        <v>3541</v>
      </c>
      <c r="C1314">
        <v>2</v>
      </c>
      <c r="D1314" t="s">
        <v>3542</v>
      </c>
      <c r="E1314">
        <v>4</v>
      </c>
      <c r="F1314">
        <v>4</v>
      </c>
      <c r="G1314">
        <v>4</v>
      </c>
      <c r="H1314" t="s">
        <v>3543</v>
      </c>
      <c r="I1314">
        <v>26</v>
      </c>
      <c r="J1314">
        <v>29.965</v>
      </c>
      <c r="K1314" t="str">
        <f>"PSMB7"</f>
        <v>PSMB7</v>
      </c>
      <c r="L1314" t="str">
        <f>"PSMB7"</f>
        <v>PSMB7</v>
      </c>
      <c r="M1314">
        <v>0</v>
      </c>
      <c r="N1314">
        <v>0</v>
      </c>
      <c r="O1314">
        <v>1.8238867883763601</v>
      </c>
      <c r="P1314">
        <v>0</v>
      </c>
      <c r="Q1314">
        <v>1.25576199330606</v>
      </c>
      <c r="R1314">
        <v>0.90008103209297396</v>
      </c>
      <c r="S1314">
        <v>1.1331355704698001</v>
      </c>
      <c r="T1314">
        <v>1.18448996772836</v>
      </c>
      <c r="U1314">
        <v>1.10235831809872</v>
      </c>
      <c r="V1314">
        <v>0</v>
      </c>
      <c r="W1314">
        <v>0</v>
      </c>
      <c r="X1314">
        <v>0</v>
      </c>
    </row>
    <row r="1315" spans="1:24">
      <c r="A1315">
        <v>2054</v>
      </c>
      <c r="B1315" t="s">
        <v>3544</v>
      </c>
      <c r="C1315">
        <v>3</v>
      </c>
      <c r="D1315" t="s">
        <v>3545</v>
      </c>
      <c r="E1315">
        <v>7</v>
      </c>
      <c r="F1315">
        <v>7</v>
      </c>
      <c r="G1315">
        <v>7</v>
      </c>
      <c r="H1315" t="s">
        <v>3546</v>
      </c>
      <c r="I1315">
        <v>6</v>
      </c>
      <c r="J1315">
        <v>148.49</v>
      </c>
      <c r="K1315" t="str">
        <f>"PITPNM2"</f>
        <v>PITPNM2</v>
      </c>
      <c r="L1315" t="str">
        <f>"PITPNM2"</f>
        <v>PITPNM2</v>
      </c>
      <c r="M1315">
        <v>0</v>
      </c>
      <c r="N1315">
        <v>1.78900344370861</v>
      </c>
      <c r="O1315">
        <v>0.91194339418818204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2.20471663619744</v>
      </c>
      <c r="V1315">
        <v>0</v>
      </c>
      <c r="W1315">
        <v>0</v>
      </c>
      <c r="X1315">
        <v>0.984645710619934</v>
      </c>
    </row>
    <row r="1316" spans="1:24">
      <c r="A1316">
        <v>2103</v>
      </c>
      <c r="B1316" t="s">
        <v>3547</v>
      </c>
      <c r="C1316">
        <v>2</v>
      </c>
      <c r="D1316" t="s">
        <v>3548</v>
      </c>
      <c r="E1316">
        <v>3</v>
      </c>
      <c r="F1316">
        <v>3</v>
      </c>
      <c r="G1316">
        <v>3</v>
      </c>
      <c r="H1316" t="s">
        <v>3549</v>
      </c>
      <c r="I1316">
        <v>47</v>
      </c>
      <c r="J1316">
        <v>12.923999999999999</v>
      </c>
      <c r="K1316" t="str">
        <f>"RGCC"</f>
        <v>RGCC</v>
      </c>
      <c r="L1316" t="str">
        <f>"RGCC"</f>
        <v>RGCC</v>
      </c>
      <c r="M1316">
        <v>0</v>
      </c>
      <c r="N1316">
        <v>0</v>
      </c>
      <c r="O1316">
        <v>0.91194339418818204</v>
      </c>
      <c r="P1316">
        <v>0</v>
      </c>
      <c r="Q1316">
        <v>0</v>
      </c>
      <c r="R1316">
        <v>1.8001620641859499</v>
      </c>
      <c r="S1316">
        <v>0</v>
      </c>
      <c r="T1316">
        <v>1.18448996772836</v>
      </c>
      <c r="U1316">
        <v>0</v>
      </c>
      <c r="V1316">
        <v>1.05063596764157</v>
      </c>
      <c r="W1316">
        <v>1.27539809638918</v>
      </c>
      <c r="X1316">
        <v>0.984645710619934</v>
      </c>
    </row>
    <row r="1317" spans="1:24">
      <c r="A1317">
        <v>2363</v>
      </c>
      <c r="B1317" t="s">
        <v>3550</v>
      </c>
      <c r="C1317">
        <v>1</v>
      </c>
      <c r="D1317" t="s">
        <v>3551</v>
      </c>
      <c r="E1317">
        <v>8</v>
      </c>
      <c r="F1317">
        <v>8</v>
      </c>
      <c r="G1317">
        <v>8</v>
      </c>
      <c r="H1317" t="s">
        <v>3550</v>
      </c>
      <c r="I1317">
        <v>19.399999999999999</v>
      </c>
      <c r="J1317">
        <v>71.45</v>
      </c>
      <c r="K1317" t="str">
        <f>"CD2AP"</f>
        <v>CD2AP</v>
      </c>
      <c r="L1317" t="str">
        <f>"CD2AP"</f>
        <v>CD2AP</v>
      </c>
      <c r="M1317">
        <v>0</v>
      </c>
      <c r="N1317">
        <v>0.89450172185430499</v>
      </c>
      <c r="O1317">
        <v>0</v>
      </c>
      <c r="P1317">
        <v>0</v>
      </c>
      <c r="Q1317">
        <v>0</v>
      </c>
      <c r="R1317">
        <v>1.8001620641859499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2.9539371318597998</v>
      </c>
    </row>
    <row r="1318" spans="1:24">
      <c r="A1318">
        <v>154</v>
      </c>
      <c r="B1318" t="s">
        <v>3552</v>
      </c>
      <c r="C1318">
        <v>5</v>
      </c>
      <c r="D1318" t="s">
        <v>3553</v>
      </c>
      <c r="E1318">
        <v>2</v>
      </c>
      <c r="F1318">
        <v>2</v>
      </c>
      <c r="G1318">
        <v>2</v>
      </c>
      <c r="H1318" t="s">
        <v>3554</v>
      </c>
      <c r="I1318">
        <v>13.4</v>
      </c>
      <c r="J1318">
        <v>24.829000000000001</v>
      </c>
      <c r="K1318" t="str">
        <f>"LAT"</f>
        <v>LAT</v>
      </c>
      <c r="L1318" t="str">
        <f>"LAT"</f>
        <v>LAT</v>
      </c>
      <c r="M1318">
        <v>0</v>
      </c>
      <c r="N1318">
        <v>0.89450172185430499</v>
      </c>
      <c r="O1318">
        <v>0</v>
      </c>
      <c r="P1318">
        <v>0</v>
      </c>
      <c r="Q1318">
        <v>0</v>
      </c>
      <c r="R1318">
        <v>0.90008103209297396</v>
      </c>
      <c r="S1318">
        <v>1.1331355704698001</v>
      </c>
      <c r="T1318">
        <v>1.18448996772836</v>
      </c>
      <c r="U1318">
        <v>2.20471663619744</v>
      </c>
      <c r="V1318">
        <v>1.05063596764157</v>
      </c>
      <c r="W1318">
        <v>1.27539809638918</v>
      </c>
      <c r="X1318">
        <v>0.984645710619934</v>
      </c>
    </row>
    <row r="1319" spans="1:24">
      <c r="A1319">
        <v>246</v>
      </c>
      <c r="B1319" t="s">
        <v>3555</v>
      </c>
      <c r="C1319">
        <v>1</v>
      </c>
      <c r="D1319" t="s">
        <v>3556</v>
      </c>
      <c r="E1319">
        <v>7</v>
      </c>
      <c r="F1319">
        <v>6</v>
      </c>
      <c r="G1319">
        <v>6</v>
      </c>
      <c r="H1319" t="s">
        <v>3555</v>
      </c>
      <c r="I1319">
        <v>8.6</v>
      </c>
      <c r="J1319">
        <v>112.13</v>
      </c>
      <c r="K1319" t="str">
        <f>"STK10"</f>
        <v>STK10</v>
      </c>
      <c r="L1319" t="str">
        <f>"STK10"</f>
        <v>STK10</v>
      </c>
      <c r="M1319">
        <v>0</v>
      </c>
      <c r="N1319">
        <v>1.78900344370861</v>
      </c>
      <c r="O1319">
        <v>1.8238867883763601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1.10235831809872</v>
      </c>
      <c r="V1319">
        <v>0</v>
      </c>
      <c r="W1319">
        <v>1.27539809638918</v>
      </c>
      <c r="X1319">
        <v>0.984645710619934</v>
      </c>
    </row>
    <row r="1320" spans="1:24">
      <c r="A1320">
        <v>500</v>
      </c>
      <c r="B1320" t="s">
        <v>3557</v>
      </c>
      <c r="C1320">
        <v>3</v>
      </c>
      <c r="D1320" t="s">
        <v>3558</v>
      </c>
      <c r="E1320">
        <v>6</v>
      </c>
      <c r="F1320">
        <v>1</v>
      </c>
      <c r="G1320">
        <v>0</v>
      </c>
      <c r="H1320" t="s">
        <v>3559</v>
      </c>
      <c r="I1320">
        <v>35.5</v>
      </c>
      <c r="J1320">
        <v>13.38</v>
      </c>
      <c r="K1320" t="str">
        <f>"IGKV4-1"</f>
        <v>IGKV4-1</v>
      </c>
      <c r="L1320" t="str">
        <f>"IGKV4-1"</f>
        <v>IGKV4-1</v>
      </c>
      <c r="M1320">
        <v>1.2103892752168599</v>
      </c>
      <c r="N1320">
        <v>0.89450172185430499</v>
      </c>
      <c r="O1320">
        <v>0.91194339418818204</v>
      </c>
      <c r="P1320">
        <v>1.0652189274447901</v>
      </c>
      <c r="Q1320">
        <v>1.25576199330606</v>
      </c>
      <c r="R1320">
        <v>0.90008103209297396</v>
      </c>
      <c r="S1320">
        <v>0</v>
      </c>
      <c r="T1320">
        <v>1.18448996772836</v>
      </c>
      <c r="U1320">
        <v>0</v>
      </c>
      <c r="V1320">
        <v>1.05063596764157</v>
      </c>
      <c r="W1320">
        <v>0</v>
      </c>
      <c r="X1320">
        <v>0</v>
      </c>
    </row>
    <row r="1321" spans="1:24">
      <c r="A1321">
        <v>588</v>
      </c>
      <c r="B1321" t="s">
        <v>3560</v>
      </c>
      <c r="C1321">
        <v>2</v>
      </c>
      <c r="D1321" t="s">
        <v>3561</v>
      </c>
      <c r="E1321">
        <v>8</v>
      </c>
      <c r="F1321">
        <v>8</v>
      </c>
      <c r="G1321">
        <v>8</v>
      </c>
      <c r="H1321" t="s">
        <v>3562</v>
      </c>
      <c r="I1321">
        <v>18.7</v>
      </c>
      <c r="J1321">
        <v>45.097999999999999</v>
      </c>
      <c r="K1321" t="str">
        <f>"CNP"</f>
        <v>CNP</v>
      </c>
      <c r="L1321" t="str">
        <f>"CNP"</f>
        <v>CNP</v>
      </c>
      <c r="M1321">
        <v>0</v>
      </c>
      <c r="N1321">
        <v>0.89450172185430499</v>
      </c>
      <c r="O1321">
        <v>0.91194339418818204</v>
      </c>
      <c r="P1321">
        <v>0</v>
      </c>
      <c r="Q1321">
        <v>0</v>
      </c>
      <c r="R1321">
        <v>2.7002430962789199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1.96929142123987</v>
      </c>
    </row>
    <row r="1322" spans="1:24">
      <c r="A1322">
        <v>678</v>
      </c>
      <c r="B1322" t="s">
        <v>3563</v>
      </c>
      <c r="C1322">
        <v>1</v>
      </c>
      <c r="D1322" t="s">
        <v>3564</v>
      </c>
      <c r="E1322">
        <v>2</v>
      </c>
      <c r="F1322">
        <v>2</v>
      </c>
      <c r="G1322">
        <v>2</v>
      </c>
      <c r="H1322" t="s">
        <v>3563</v>
      </c>
      <c r="I1322">
        <v>17.399999999999999</v>
      </c>
      <c r="J1322">
        <v>12.476000000000001</v>
      </c>
      <c r="K1322" t="str">
        <f>"MIF"</f>
        <v>MIF</v>
      </c>
      <c r="L1322" t="str">
        <f>"MIF"</f>
        <v>MIF</v>
      </c>
      <c r="M1322">
        <v>0</v>
      </c>
      <c r="N1322">
        <v>0</v>
      </c>
      <c r="O1322">
        <v>0</v>
      </c>
      <c r="P1322">
        <v>0</v>
      </c>
      <c r="Q1322">
        <v>1.25576199330606</v>
      </c>
      <c r="R1322">
        <v>0.90008103209297396</v>
      </c>
      <c r="S1322">
        <v>1.1331355704698001</v>
      </c>
      <c r="T1322">
        <v>1.18448996772836</v>
      </c>
      <c r="U1322">
        <v>2.20471663619744</v>
      </c>
      <c r="V1322">
        <v>2.1012719352831399</v>
      </c>
      <c r="W1322">
        <v>0</v>
      </c>
      <c r="X1322">
        <v>0</v>
      </c>
    </row>
    <row r="1323" spans="1:24">
      <c r="A1323">
        <v>839</v>
      </c>
      <c r="B1323" t="s">
        <v>3565</v>
      </c>
      <c r="C1323">
        <v>2</v>
      </c>
      <c r="D1323" t="s">
        <v>3566</v>
      </c>
      <c r="E1323">
        <v>10</v>
      </c>
      <c r="F1323">
        <v>10</v>
      </c>
      <c r="G1323">
        <v>10</v>
      </c>
      <c r="H1323" t="s">
        <v>3567</v>
      </c>
      <c r="I1323">
        <v>10.199999999999999</v>
      </c>
      <c r="J1323">
        <v>140.47</v>
      </c>
      <c r="K1323" t="str">
        <f>"VARS"</f>
        <v>VARS</v>
      </c>
      <c r="L1323" t="str">
        <f>"VARS"</f>
        <v>VARS</v>
      </c>
      <c r="M1323">
        <v>0</v>
      </c>
      <c r="N1323">
        <v>1.78900344370861</v>
      </c>
      <c r="O1323">
        <v>1.8238867883763601</v>
      </c>
      <c r="P1323">
        <v>0</v>
      </c>
      <c r="Q1323">
        <v>0</v>
      </c>
      <c r="R1323">
        <v>0.90008103209297396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0.984645710619934</v>
      </c>
    </row>
    <row r="1324" spans="1:24">
      <c r="A1324">
        <v>1009</v>
      </c>
      <c r="B1324" t="s">
        <v>3568</v>
      </c>
      <c r="C1324">
        <v>3</v>
      </c>
      <c r="D1324" t="s">
        <v>3569</v>
      </c>
      <c r="E1324">
        <v>9</v>
      </c>
      <c r="F1324">
        <v>9</v>
      </c>
      <c r="G1324">
        <v>9</v>
      </c>
      <c r="H1324" t="s">
        <v>3570</v>
      </c>
      <c r="I1324">
        <v>26.5</v>
      </c>
      <c r="J1324">
        <v>51.109000000000002</v>
      </c>
      <c r="K1324" t="str">
        <f>"EIF2S3;EIF2S3L"</f>
        <v>EIF2S3;EIF2S3L</v>
      </c>
      <c r="L1324" t="str">
        <f>"EIF2S3;EIF2S3L"</f>
        <v>EIF2S3;EIF2S3L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1.8001620641859499</v>
      </c>
      <c r="S1324">
        <v>0</v>
      </c>
      <c r="T1324">
        <v>0</v>
      </c>
      <c r="U1324">
        <v>1.10235831809872</v>
      </c>
      <c r="V1324">
        <v>1.05063596764157</v>
      </c>
      <c r="W1324">
        <v>0</v>
      </c>
      <c r="X1324">
        <v>0.984645710619934</v>
      </c>
    </row>
    <row r="1325" spans="1:24">
      <c r="A1325">
        <v>1103</v>
      </c>
      <c r="B1325" t="s">
        <v>3571</v>
      </c>
      <c r="C1325">
        <v>3</v>
      </c>
      <c r="D1325" t="s">
        <v>3572</v>
      </c>
      <c r="E1325">
        <v>7</v>
      </c>
      <c r="F1325">
        <v>7</v>
      </c>
      <c r="G1325">
        <v>7</v>
      </c>
      <c r="H1325" t="s">
        <v>3573</v>
      </c>
      <c r="I1325">
        <v>28.6</v>
      </c>
      <c r="J1325">
        <v>46.744</v>
      </c>
      <c r="K1325" t="str">
        <f>"GSK3B;GSK3A"</f>
        <v>GSK3B;GSK3A</v>
      </c>
      <c r="L1325" t="str">
        <f>"GSK3B;GSK3A"</f>
        <v>GSK3B;GSK3A</v>
      </c>
      <c r="M1325">
        <v>0</v>
      </c>
      <c r="N1325">
        <v>0.89450172185430499</v>
      </c>
      <c r="O1325">
        <v>0.91194339418818204</v>
      </c>
      <c r="P1325">
        <v>2.1304378548895899</v>
      </c>
      <c r="Q1325">
        <v>0</v>
      </c>
      <c r="R1325">
        <v>0.90008103209297396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1.96929142123987</v>
      </c>
    </row>
    <row r="1326" spans="1:24">
      <c r="A1326">
        <v>1150</v>
      </c>
      <c r="B1326" t="s">
        <v>3574</v>
      </c>
      <c r="C1326">
        <v>3</v>
      </c>
      <c r="D1326" t="s">
        <v>3575</v>
      </c>
      <c r="E1326">
        <v>10</v>
      </c>
      <c r="F1326">
        <v>10</v>
      </c>
      <c r="G1326">
        <v>10</v>
      </c>
      <c r="H1326" t="s">
        <v>3576</v>
      </c>
      <c r="I1326">
        <v>12.5</v>
      </c>
      <c r="J1326">
        <v>121.27</v>
      </c>
      <c r="K1326" t="str">
        <f>"JAK3"</f>
        <v>JAK3</v>
      </c>
      <c r="L1326" t="str">
        <f>"JAK3"</f>
        <v>JAK3</v>
      </c>
      <c r="M1326">
        <v>0</v>
      </c>
      <c r="N1326">
        <v>0.89450172185430499</v>
      </c>
      <c r="O1326">
        <v>0</v>
      </c>
      <c r="P1326">
        <v>0</v>
      </c>
      <c r="Q1326">
        <v>0</v>
      </c>
      <c r="R1326">
        <v>0.90008103209297396</v>
      </c>
      <c r="S1326">
        <v>1.1331355704698001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>
      <c r="A1327">
        <v>1183</v>
      </c>
      <c r="B1327" t="s">
        <v>3577</v>
      </c>
      <c r="C1327">
        <v>2</v>
      </c>
      <c r="D1327" t="s">
        <v>3578</v>
      </c>
      <c r="E1327">
        <v>3</v>
      </c>
      <c r="F1327">
        <v>3</v>
      </c>
      <c r="G1327">
        <v>3</v>
      </c>
      <c r="H1327" t="s">
        <v>3579</v>
      </c>
      <c r="I1327">
        <v>10.6</v>
      </c>
      <c r="J1327">
        <v>40.735999999999997</v>
      </c>
      <c r="K1327" t="str">
        <f>"PSMD4"</f>
        <v>PSMD4</v>
      </c>
      <c r="L1327" t="str">
        <f>"PSMD4"</f>
        <v>PSMD4</v>
      </c>
      <c r="M1327">
        <v>1.2103892752168599</v>
      </c>
      <c r="N1327">
        <v>0.89450172185430499</v>
      </c>
      <c r="O1327">
        <v>0.91194339418818204</v>
      </c>
      <c r="P1327">
        <v>1.0652189274447901</v>
      </c>
      <c r="Q1327">
        <v>1.25576199330606</v>
      </c>
      <c r="R1327">
        <v>0.90008103209297396</v>
      </c>
      <c r="S1327">
        <v>0</v>
      </c>
      <c r="T1327">
        <v>0</v>
      </c>
      <c r="U1327">
        <v>1.10235831809872</v>
      </c>
      <c r="V1327">
        <v>0</v>
      </c>
      <c r="W1327">
        <v>1.27539809638918</v>
      </c>
      <c r="X1327">
        <v>1.96929142123987</v>
      </c>
    </row>
    <row r="1328" spans="1:24">
      <c r="A1328">
        <v>1199</v>
      </c>
      <c r="B1328" t="s">
        <v>3580</v>
      </c>
      <c r="C1328">
        <v>2</v>
      </c>
      <c r="D1328" t="s">
        <v>3581</v>
      </c>
      <c r="E1328">
        <v>6</v>
      </c>
      <c r="F1328">
        <v>6</v>
      </c>
      <c r="G1328">
        <v>6</v>
      </c>
      <c r="H1328" t="s">
        <v>3582</v>
      </c>
      <c r="I1328">
        <v>14.8</v>
      </c>
      <c r="J1328">
        <v>56.156999999999996</v>
      </c>
      <c r="K1328" t="str">
        <f>"OXCT1"</f>
        <v>OXCT1</v>
      </c>
      <c r="L1328" t="str">
        <f>"OXCT1"</f>
        <v>OXCT1</v>
      </c>
      <c r="M1328">
        <v>0</v>
      </c>
      <c r="N1328">
        <v>0</v>
      </c>
      <c r="O1328">
        <v>1.8238867883763601</v>
      </c>
      <c r="P1328">
        <v>0</v>
      </c>
      <c r="Q1328">
        <v>0</v>
      </c>
      <c r="R1328">
        <v>1.8001620641859499</v>
      </c>
      <c r="S1328">
        <v>0</v>
      </c>
      <c r="T1328">
        <v>0</v>
      </c>
      <c r="U1328">
        <v>1.10235831809872</v>
      </c>
      <c r="V1328">
        <v>0</v>
      </c>
      <c r="W1328">
        <v>1.27539809638918</v>
      </c>
      <c r="X1328">
        <v>1.96929142123987</v>
      </c>
    </row>
    <row r="1329" spans="1:24">
      <c r="A1329">
        <v>1259</v>
      </c>
      <c r="B1329" t="s">
        <v>3583</v>
      </c>
      <c r="C1329">
        <v>2</v>
      </c>
      <c r="D1329" t="s">
        <v>3584</v>
      </c>
      <c r="E1329">
        <v>6</v>
      </c>
      <c r="F1329">
        <v>6</v>
      </c>
      <c r="G1329">
        <v>6</v>
      </c>
      <c r="H1329" t="s">
        <v>3585</v>
      </c>
      <c r="I1329">
        <v>19.100000000000001</v>
      </c>
      <c r="J1329">
        <v>49.183999999999997</v>
      </c>
      <c r="K1329" t="str">
        <f>"PSMC1"</f>
        <v>PSMC1</v>
      </c>
      <c r="L1329" t="str">
        <f>"PSMC1"</f>
        <v>PSMC1</v>
      </c>
      <c r="M1329">
        <v>1.2103892752168599</v>
      </c>
      <c r="N1329">
        <v>1.78900344370861</v>
      </c>
      <c r="O1329">
        <v>0.91194339418818204</v>
      </c>
      <c r="P1329">
        <v>0</v>
      </c>
      <c r="Q1329">
        <v>0</v>
      </c>
      <c r="R1329">
        <v>0.90008103209297396</v>
      </c>
      <c r="S1329">
        <v>1.1331355704698001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>
      <c r="A1330">
        <v>1324</v>
      </c>
      <c r="B1330" t="s">
        <v>3586</v>
      </c>
      <c r="C1330">
        <v>1</v>
      </c>
      <c r="D1330" t="s">
        <v>3587</v>
      </c>
      <c r="E1330">
        <v>7</v>
      </c>
      <c r="F1330">
        <v>3</v>
      </c>
      <c r="G1330">
        <v>3</v>
      </c>
      <c r="H1330" t="s">
        <v>3586</v>
      </c>
      <c r="I1330">
        <v>40.6</v>
      </c>
      <c r="J1330">
        <v>20.529</v>
      </c>
      <c r="K1330" t="str">
        <f>"ARF5"</f>
        <v>ARF5</v>
      </c>
      <c r="L1330" t="str">
        <f>"ARF5"</f>
        <v>ARF5</v>
      </c>
      <c r="M1330">
        <v>1.2103892752168599</v>
      </c>
      <c r="N1330">
        <v>1.78900344370861</v>
      </c>
      <c r="O1330">
        <v>0.91194339418818204</v>
      </c>
      <c r="P1330">
        <v>0</v>
      </c>
      <c r="Q1330">
        <v>1.25576199330606</v>
      </c>
      <c r="R1330">
        <v>0</v>
      </c>
      <c r="S1330">
        <v>1.1331355704698001</v>
      </c>
      <c r="T1330">
        <v>1.18448996772836</v>
      </c>
      <c r="U1330">
        <v>0</v>
      </c>
      <c r="V1330">
        <v>1.05063596764157</v>
      </c>
      <c r="W1330">
        <v>0</v>
      </c>
      <c r="X1330">
        <v>0.984645710619934</v>
      </c>
    </row>
    <row r="1331" spans="1:24">
      <c r="A1331">
        <v>1437</v>
      </c>
      <c r="B1331" t="s">
        <v>3588</v>
      </c>
      <c r="C1331">
        <v>2</v>
      </c>
      <c r="D1331" t="s">
        <v>3589</v>
      </c>
      <c r="E1331">
        <v>3</v>
      </c>
      <c r="F1331">
        <v>3</v>
      </c>
      <c r="G1331">
        <v>3</v>
      </c>
      <c r="H1331" t="s">
        <v>3590</v>
      </c>
      <c r="I1331">
        <v>7.3</v>
      </c>
      <c r="J1331">
        <v>52.164000000000001</v>
      </c>
      <c r="K1331" t="str">
        <f>"G3BP1"</f>
        <v>G3BP1</v>
      </c>
      <c r="L1331" t="str">
        <f>"G3BP1"</f>
        <v>G3BP1</v>
      </c>
      <c r="M1331">
        <v>0</v>
      </c>
      <c r="N1331">
        <v>0.89450172185430499</v>
      </c>
      <c r="O1331">
        <v>0.91194339418818204</v>
      </c>
      <c r="P1331">
        <v>1.0652189274447901</v>
      </c>
      <c r="Q1331">
        <v>0</v>
      </c>
      <c r="R1331">
        <v>0.90008103209297396</v>
      </c>
      <c r="S1331">
        <v>0</v>
      </c>
      <c r="T1331">
        <v>1.18448996772836</v>
      </c>
      <c r="U1331">
        <v>1.10235831809872</v>
      </c>
      <c r="V1331">
        <v>1.05063596764157</v>
      </c>
      <c r="W1331">
        <v>0</v>
      </c>
      <c r="X1331">
        <v>0.984645710619934</v>
      </c>
    </row>
    <row r="1332" spans="1:24">
      <c r="A1332">
        <v>1505</v>
      </c>
      <c r="B1332" t="s">
        <v>3591</v>
      </c>
      <c r="C1332">
        <v>2</v>
      </c>
      <c r="D1332" t="s">
        <v>3592</v>
      </c>
      <c r="E1332">
        <v>12</v>
      </c>
      <c r="F1332">
        <v>7</v>
      </c>
      <c r="G1332">
        <v>7</v>
      </c>
      <c r="H1332" t="s">
        <v>3593</v>
      </c>
      <c r="I1332">
        <v>4.5</v>
      </c>
      <c r="J1332">
        <v>308.06</v>
      </c>
      <c r="K1332" t="str">
        <f>"ITPR2"</f>
        <v>ITPR2</v>
      </c>
      <c r="L1332" t="str">
        <f>"ITPR2"</f>
        <v>ITPR2</v>
      </c>
      <c r="M1332">
        <v>1.2103892752168599</v>
      </c>
      <c r="N1332">
        <v>1.78900344370861</v>
      </c>
      <c r="O1332">
        <v>0.91194339418818204</v>
      </c>
      <c r="P1332">
        <v>0</v>
      </c>
      <c r="Q1332">
        <v>0</v>
      </c>
      <c r="R1332">
        <v>0.90008103209297396</v>
      </c>
      <c r="S1332">
        <v>0</v>
      </c>
      <c r="T1332">
        <v>0</v>
      </c>
      <c r="U1332">
        <v>1.10235831809872</v>
      </c>
      <c r="V1332">
        <v>1.05063596764157</v>
      </c>
      <c r="W1332">
        <v>0</v>
      </c>
      <c r="X1332">
        <v>1.96929142123987</v>
      </c>
    </row>
    <row r="1333" spans="1:24">
      <c r="A1333">
        <v>1537</v>
      </c>
      <c r="B1333" t="s">
        <v>3594</v>
      </c>
      <c r="C1333">
        <v>2</v>
      </c>
      <c r="D1333" t="s">
        <v>3595</v>
      </c>
      <c r="E1333">
        <v>8</v>
      </c>
      <c r="F1333">
        <v>8</v>
      </c>
      <c r="G1333">
        <v>8</v>
      </c>
      <c r="H1333" t="s">
        <v>3596</v>
      </c>
      <c r="I1333">
        <v>26.6</v>
      </c>
      <c r="J1333">
        <v>49.244</v>
      </c>
      <c r="K1333" t="str">
        <f>"PDK1"</f>
        <v>PDK1</v>
      </c>
      <c r="L1333" t="str">
        <f>"PDK1"</f>
        <v>PDK1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3.9385828424797298</v>
      </c>
    </row>
    <row r="1334" spans="1:24">
      <c r="A1334">
        <v>1593</v>
      </c>
      <c r="B1334" t="s">
        <v>3597</v>
      </c>
      <c r="C1334">
        <v>4</v>
      </c>
      <c r="D1334" t="s">
        <v>3598</v>
      </c>
      <c r="E1334">
        <v>5</v>
      </c>
      <c r="F1334">
        <v>3</v>
      </c>
      <c r="G1334">
        <v>3</v>
      </c>
      <c r="H1334" t="s">
        <v>3599</v>
      </c>
      <c r="I1334">
        <v>19.899999999999999</v>
      </c>
      <c r="J1334">
        <v>42.987000000000002</v>
      </c>
      <c r="K1334" t="str">
        <f>"MAPKAPK3;TSSK3;PRKY;PRKX"</f>
        <v>MAPKAPK3;TSSK3;PRKY;PRKX</v>
      </c>
      <c r="L1334" t="str">
        <f>"MAPKAPK3;TSSK3;PRKY;PRKX"</f>
        <v>MAPKAPK3;TSSK3;PRKY;PRKX</v>
      </c>
      <c r="M1334">
        <v>0</v>
      </c>
      <c r="N1334">
        <v>0.89450172185430499</v>
      </c>
      <c r="O1334">
        <v>0</v>
      </c>
      <c r="P1334">
        <v>0</v>
      </c>
      <c r="Q1334">
        <v>1.25576199330606</v>
      </c>
      <c r="R1334">
        <v>0.90008103209297396</v>
      </c>
      <c r="S1334">
        <v>0</v>
      </c>
      <c r="T1334">
        <v>0</v>
      </c>
      <c r="U1334">
        <v>0</v>
      </c>
      <c r="V1334">
        <v>1.05063596764157</v>
      </c>
      <c r="W1334">
        <v>0</v>
      </c>
      <c r="X1334">
        <v>0</v>
      </c>
    </row>
    <row r="1335" spans="1:24">
      <c r="A1335">
        <v>1675</v>
      </c>
      <c r="B1335" t="s">
        <v>3600</v>
      </c>
      <c r="C1335">
        <v>2</v>
      </c>
      <c r="D1335" t="s">
        <v>3601</v>
      </c>
      <c r="E1335">
        <v>5</v>
      </c>
      <c r="F1335">
        <v>5</v>
      </c>
      <c r="G1335">
        <v>5</v>
      </c>
      <c r="H1335" t="s">
        <v>3602</v>
      </c>
      <c r="I1335">
        <v>9.8000000000000007</v>
      </c>
      <c r="J1335">
        <v>51.353999999999999</v>
      </c>
      <c r="K1335" t="str">
        <f>"SLC25A24"</f>
        <v>SLC25A24</v>
      </c>
      <c r="L1335" t="str">
        <f>"SLC25A24"</f>
        <v>SLC25A24</v>
      </c>
      <c r="M1335">
        <v>1.2103892752168599</v>
      </c>
      <c r="N1335">
        <v>1.78900344370861</v>
      </c>
      <c r="O1335">
        <v>1.8238867883763601</v>
      </c>
      <c r="P1335">
        <v>0</v>
      </c>
      <c r="Q1335">
        <v>0</v>
      </c>
      <c r="R1335">
        <v>0.90008103209297396</v>
      </c>
      <c r="S1335">
        <v>1.1331355704698001</v>
      </c>
      <c r="T1335">
        <v>1.18448996772836</v>
      </c>
      <c r="U1335">
        <v>0</v>
      </c>
      <c r="V1335">
        <v>1.05063596764157</v>
      </c>
      <c r="W1335">
        <v>0</v>
      </c>
      <c r="X1335">
        <v>0</v>
      </c>
    </row>
    <row r="1336" spans="1:24">
      <c r="A1336">
        <v>1679</v>
      </c>
      <c r="B1336" t="s">
        <v>3603</v>
      </c>
      <c r="C1336">
        <v>2</v>
      </c>
      <c r="D1336" t="s">
        <v>3604</v>
      </c>
      <c r="E1336">
        <v>1</v>
      </c>
      <c r="F1336">
        <v>1</v>
      </c>
      <c r="G1336">
        <v>1</v>
      </c>
      <c r="H1336" t="s">
        <v>3605</v>
      </c>
      <c r="I1336">
        <v>2.6</v>
      </c>
      <c r="J1336">
        <v>42.764000000000003</v>
      </c>
      <c r="K1336" t="str">
        <f>"C16orf46"</f>
        <v>C16orf46</v>
      </c>
      <c r="L1336" t="str">
        <f>"C16orf46"</f>
        <v>C16orf46</v>
      </c>
      <c r="M1336">
        <v>2.4207785504337198</v>
      </c>
      <c r="N1336">
        <v>0.89450172185430499</v>
      </c>
      <c r="O1336">
        <v>0.91194339418818204</v>
      </c>
      <c r="P1336">
        <v>1.0652189274447901</v>
      </c>
      <c r="Q1336">
        <v>2.51152398661212</v>
      </c>
      <c r="R1336">
        <v>0.90008103209297396</v>
      </c>
      <c r="S1336">
        <v>0</v>
      </c>
      <c r="T1336">
        <v>0</v>
      </c>
      <c r="U1336">
        <v>0</v>
      </c>
      <c r="V1336">
        <v>2.1012719352831399</v>
      </c>
      <c r="W1336">
        <v>0</v>
      </c>
      <c r="X1336">
        <v>0.984645710619934</v>
      </c>
    </row>
    <row r="1337" spans="1:24">
      <c r="A1337">
        <v>1703</v>
      </c>
      <c r="B1337" t="s">
        <v>3606</v>
      </c>
      <c r="C1337">
        <v>3</v>
      </c>
      <c r="D1337" t="s">
        <v>3607</v>
      </c>
      <c r="E1337">
        <v>1</v>
      </c>
      <c r="F1337">
        <v>1</v>
      </c>
      <c r="G1337">
        <v>1</v>
      </c>
      <c r="H1337" t="s">
        <v>3608</v>
      </c>
      <c r="I1337">
        <v>3.1</v>
      </c>
      <c r="J1337">
        <v>34.762999999999998</v>
      </c>
      <c r="K1337" t="str">
        <f>"C15orf52"</f>
        <v>C15orf52</v>
      </c>
      <c r="L1337" t="str">
        <f>"C15orf52"</f>
        <v>C15orf52</v>
      </c>
      <c r="M1337">
        <v>0</v>
      </c>
      <c r="N1337">
        <v>0</v>
      </c>
      <c r="O1337">
        <v>0.91194339418818204</v>
      </c>
      <c r="P1337">
        <v>1.0652189274447901</v>
      </c>
      <c r="Q1337">
        <v>1.25576199330606</v>
      </c>
      <c r="R1337">
        <v>0.90008103209297396</v>
      </c>
      <c r="S1337">
        <v>1.1331355704698001</v>
      </c>
      <c r="T1337">
        <v>0</v>
      </c>
      <c r="U1337">
        <v>1.10235831809872</v>
      </c>
      <c r="V1337">
        <v>1.05063596764157</v>
      </c>
      <c r="W1337">
        <v>1.27539809638918</v>
      </c>
      <c r="X1337">
        <v>0.984645710619934</v>
      </c>
    </row>
    <row r="1338" spans="1:24">
      <c r="A1338">
        <v>1704</v>
      </c>
      <c r="B1338" t="s">
        <v>3609</v>
      </c>
      <c r="C1338">
        <v>1</v>
      </c>
      <c r="D1338" t="s">
        <v>3610</v>
      </c>
      <c r="E1338">
        <v>2</v>
      </c>
      <c r="F1338">
        <v>2</v>
      </c>
      <c r="G1338">
        <v>2</v>
      </c>
      <c r="H1338" t="s">
        <v>3609</v>
      </c>
      <c r="I1338">
        <v>14.9</v>
      </c>
      <c r="J1338">
        <v>24.486000000000001</v>
      </c>
      <c r="K1338" t="str">
        <f>"LHFPL2"</f>
        <v>LHFPL2</v>
      </c>
      <c r="L1338" t="str">
        <f>"LHFPL2"</f>
        <v>LHFPL2</v>
      </c>
      <c r="M1338">
        <v>0</v>
      </c>
      <c r="N1338">
        <v>0</v>
      </c>
      <c r="O1338">
        <v>0</v>
      </c>
      <c r="P1338">
        <v>0</v>
      </c>
      <c r="Q1338">
        <v>1.25576199330606</v>
      </c>
      <c r="R1338">
        <v>1.8001620641859499</v>
      </c>
      <c r="S1338">
        <v>1.1331355704698001</v>
      </c>
      <c r="T1338">
        <v>1.18448996772836</v>
      </c>
      <c r="U1338">
        <v>0</v>
      </c>
      <c r="V1338">
        <v>1.05063596764157</v>
      </c>
      <c r="W1338">
        <v>1.27539809638918</v>
      </c>
      <c r="X1338">
        <v>0.984645710619934</v>
      </c>
    </row>
    <row r="1339" spans="1:24">
      <c r="A1339">
        <v>1721</v>
      </c>
      <c r="B1339" t="s">
        <v>3611</v>
      </c>
      <c r="C1339">
        <v>1</v>
      </c>
      <c r="D1339" t="s">
        <v>3612</v>
      </c>
      <c r="E1339">
        <v>6</v>
      </c>
      <c r="F1339">
        <v>6</v>
      </c>
      <c r="G1339">
        <v>6</v>
      </c>
      <c r="H1339" t="s">
        <v>3611</v>
      </c>
      <c r="I1339">
        <v>28.4</v>
      </c>
      <c r="J1339">
        <v>36.162999999999997</v>
      </c>
      <c r="K1339" t="str">
        <f>"COPS6"</f>
        <v>COPS6</v>
      </c>
      <c r="L1339" t="str">
        <f>"COPS6"</f>
        <v>COPS6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1.8001620641859499</v>
      </c>
      <c r="S1339">
        <v>0</v>
      </c>
      <c r="T1339">
        <v>0</v>
      </c>
      <c r="U1339">
        <v>0</v>
      </c>
      <c r="V1339">
        <v>1.05063596764157</v>
      </c>
      <c r="W1339">
        <v>0</v>
      </c>
      <c r="X1339">
        <v>0</v>
      </c>
    </row>
    <row r="1340" spans="1:24">
      <c r="A1340">
        <v>1733</v>
      </c>
      <c r="B1340" t="s">
        <v>3613</v>
      </c>
      <c r="C1340">
        <v>3</v>
      </c>
      <c r="D1340" t="s">
        <v>3614</v>
      </c>
      <c r="E1340">
        <v>11</v>
      </c>
      <c r="F1340">
        <v>11</v>
      </c>
      <c r="G1340">
        <v>11</v>
      </c>
      <c r="H1340" t="s">
        <v>3615</v>
      </c>
      <c r="I1340">
        <v>3.5</v>
      </c>
      <c r="J1340">
        <v>480.19</v>
      </c>
      <c r="K1340" t="str">
        <f>"HUWE1"</f>
        <v>HUWE1</v>
      </c>
      <c r="L1340" t="str">
        <f>"HUWE1"</f>
        <v>HUWE1</v>
      </c>
      <c r="M1340">
        <v>1.2103892752168599</v>
      </c>
      <c r="N1340">
        <v>1.78900344370861</v>
      </c>
      <c r="O1340">
        <v>0</v>
      </c>
      <c r="P1340">
        <v>1.0652189274447901</v>
      </c>
      <c r="Q1340">
        <v>0</v>
      </c>
      <c r="R1340">
        <v>0.90008103209297396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0.984645710619934</v>
      </c>
    </row>
    <row r="1341" spans="1:24">
      <c r="A1341">
        <v>1807</v>
      </c>
      <c r="B1341" t="s">
        <v>3616</v>
      </c>
      <c r="C1341">
        <v>4</v>
      </c>
      <c r="D1341" t="s">
        <v>3617</v>
      </c>
      <c r="E1341">
        <v>8</v>
      </c>
      <c r="F1341">
        <v>8</v>
      </c>
      <c r="G1341">
        <v>8</v>
      </c>
      <c r="H1341" t="s">
        <v>3618</v>
      </c>
      <c r="I1341">
        <v>12.2</v>
      </c>
      <c r="J1341">
        <v>86.459000000000003</v>
      </c>
      <c r="K1341" t="str">
        <f>"BANK1"</f>
        <v>BANK1</v>
      </c>
      <c r="L1341" t="str">
        <f>"BANK1"</f>
        <v>BANK1</v>
      </c>
      <c r="M1341">
        <v>0</v>
      </c>
      <c r="N1341">
        <v>1.78900344370861</v>
      </c>
      <c r="O1341">
        <v>0.91194339418818204</v>
      </c>
      <c r="P1341">
        <v>1.0652189274447901</v>
      </c>
      <c r="Q1341">
        <v>0</v>
      </c>
      <c r="R1341">
        <v>1.8001620641859499</v>
      </c>
      <c r="S1341">
        <v>0</v>
      </c>
      <c r="T1341">
        <v>0</v>
      </c>
      <c r="U1341">
        <v>1.10235831809872</v>
      </c>
      <c r="V1341">
        <v>1.05063596764157</v>
      </c>
      <c r="W1341">
        <v>1.27539809638918</v>
      </c>
      <c r="X1341">
        <v>0.984645710619934</v>
      </c>
    </row>
    <row r="1342" spans="1:24">
      <c r="A1342">
        <v>1856</v>
      </c>
      <c r="B1342" t="s">
        <v>3619</v>
      </c>
      <c r="C1342">
        <v>3</v>
      </c>
      <c r="D1342" t="s">
        <v>3620</v>
      </c>
      <c r="E1342">
        <v>6</v>
      </c>
      <c r="F1342">
        <v>6</v>
      </c>
      <c r="G1342">
        <v>6</v>
      </c>
      <c r="H1342" t="s">
        <v>3621</v>
      </c>
      <c r="I1342">
        <v>10</v>
      </c>
      <c r="J1342">
        <v>82.430999999999997</v>
      </c>
      <c r="K1342" t="str">
        <f>"DDX1"</f>
        <v>DDX1</v>
      </c>
      <c r="L1342" t="str">
        <f>"DDX1"</f>
        <v>DDX1</v>
      </c>
      <c r="M1342">
        <v>1.2103892752168599</v>
      </c>
      <c r="N1342">
        <v>1.78900344370861</v>
      </c>
      <c r="O1342">
        <v>2.7358301825645501</v>
      </c>
      <c r="P1342">
        <v>0</v>
      </c>
      <c r="Q1342">
        <v>0</v>
      </c>
      <c r="R1342">
        <v>0.90008103209297396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0.984645710619934</v>
      </c>
    </row>
    <row r="1343" spans="1:24">
      <c r="A1343">
        <v>2027</v>
      </c>
      <c r="B1343" t="s">
        <v>3622</v>
      </c>
      <c r="C1343">
        <v>3</v>
      </c>
      <c r="D1343" t="s">
        <v>3623</v>
      </c>
      <c r="E1343">
        <v>2</v>
      </c>
      <c r="F1343">
        <v>2</v>
      </c>
      <c r="G1343">
        <v>2</v>
      </c>
      <c r="H1343" t="s">
        <v>3624</v>
      </c>
      <c r="I1343">
        <v>9.9</v>
      </c>
      <c r="J1343">
        <v>20.126000000000001</v>
      </c>
      <c r="K1343" t="str">
        <f>"DCTN5"</f>
        <v>DCTN5</v>
      </c>
      <c r="L1343" t="str">
        <f>"DCTN5"</f>
        <v>DCTN5</v>
      </c>
      <c r="M1343">
        <v>0</v>
      </c>
      <c r="N1343">
        <v>0.89450172185430499</v>
      </c>
      <c r="O1343">
        <v>0.91194339418818204</v>
      </c>
      <c r="P1343">
        <v>1.0652189274447901</v>
      </c>
      <c r="Q1343">
        <v>1.25576199330606</v>
      </c>
      <c r="R1343">
        <v>0.90008103209297396</v>
      </c>
      <c r="S1343">
        <v>0</v>
      </c>
      <c r="T1343">
        <v>0</v>
      </c>
      <c r="U1343">
        <v>0</v>
      </c>
      <c r="V1343">
        <v>1.05063596764157</v>
      </c>
      <c r="W1343">
        <v>0</v>
      </c>
      <c r="X1343">
        <v>0.984645710619934</v>
      </c>
    </row>
    <row r="1344" spans="1:24">
      <c r="A1344">
        <v>2060</v>
      </c>
      <c r="B1344" t="s">
        <v>3625</v>
      </c>
      <c r="C1344">
        <v>2</v>
      </c>
      <c r="D1344" t="s">
        <v>3626</v>
      </c>
      <c r="E1344">
        <v>4</v>
      </c>
      <c r="F1344">
        <v>4</v>
      </c>
      <c r="G1344">
        <v>4</v>
      </c>
      <c r="H1344" t="s">
        <v>3627</v>
      </c>
      <c r="I1344">
        <v>14.4</v>
      </c>
      <c r="J1344">
        <v>43.808</v>
      </c>
      <c r="K1344" t="str">
        <f>"UBXN6"</f>
        <v>UBXN6</v>
      </c>
      <c r="L1344" t="str">
        <f>"UBXN6"</f>
        <v>UBXN6</v>
      </c>
      <c r="M1344">
        <v>0</v>
      </c>
      <c r="N1344">
        <v>0.89450172185430499</v>
      </c>
      <c r="O1344">
        <v>1.8238867883763601</v>
      </c>
      <c r="P1344">
        <v>0</v>
      </c>
      <c r="Q1344">
        <v>0</v>
      </c>
      <c r="R1344">
        <v>0.90008103209297396</v>
      </c>
      <c r="S1344">
        <v>0</v>
      </c>
      <c r="T1344">
        <v>0</v>
      </c>
      <c r="U1344">
        <v>0</v>
      </c>
      <c r="V1344">
        <v>1.05063596764157</v>
      </c>
      <c r="W1344">
        <v>0</v>
      </c>
      <c r="X1344">
        <v>2.9539371318597998</v>
      </c>
    </row>
    <row r="1345" spans="1:24">
      <c r="A1345">
        <v>2114</v>
      </c>
      <c r="B1345" t="s">
        <v>3628</v>
      </c>
      <c r="C1345">
        <v>3</v>
      </c>
      <c r="D1345" t="s">
        <v>3629</v>
      </c>
      <c r="E1345">
        <v>3</v>
      </c>
      <c r="F1345">
        <v>3</v>
      </c>
      <c r="G1345">
        <v>3</v>
      </c>
      <c r="H1345" t="s">
        <v>3630</v>
      </c>
      <c r="I1345">
        <v>9.1</v>
      </c>
      <c r="J1345">
        <v>47.145000000000003</v>
      </c>
      <c r="K1345" t="str">
        <f>"GORASP2"</f>
        <v>GORASP2</v>
      </c>
      <c r="L1345" t="str">
        <f>"GORASP2"</f>
        <v>GORASP2</v>
      </c>
      <c r="M1345">
        <v>0</v>
      </c>
      <c r="N1345">
        <v>1.78900344370861</v>
      </c>
      <c r="O1345">
        <v>0.91194339418818204</v>
      </c>
      <c r="P1345">
        <v>0</v>
      </c>
      <c r="Q1345">
        <v>0</v>
      </c>
      <c r="R1345">
        <v>0.90008103209297396</v>
      </c>
      <c r="S1345">
        <v>1.1331355704698001</v>
      </c>
      <c r="T1345">
        <v>0</v>
      </c>
      <c r="U1345">
        <v>2.20471663619744</v>
      </c>
      <c r="V1345">
        <v>1.05063596764157</v>
      </c>
      <c r="W1345">
        <v>0</v>
      </c>
      <c r="X1345">
        <v>1.96929142123987</v>
      </c>
    </row>
    <row r="1346" spans="1:24">
      <c r="A1346">
        <v>2193</v>
      </c>
      <c r="B1346" t="s">
        <v>3631</v>
      </c>
      <c r="C1346">
        <v>1</v>
      </c>
      <c r="D1346" t="s">
        <v>3632</v>
      </c>
      <c r="E1346">
        <v>2</v>
      </c>
      <c r="F1346">
        <v>2</v>
      </c>
      <c r="G1346">
        <v>2</v>
      </c>
      <c r="H1346" t="s">
        <v>3631</v>
      </c>
      <c r="I1346">
        <v>11.5</v>
      </c>
      <c r="J1346">
        <v>20.419</v>
      </c>
      <c r="K1346" t="str">
        <f>"CMTM6"</f>
        <v>CMTM6</v>
      </c>
      <c r="L1346" t="str">
        <f>"CMTM6"</f>
        <v>CMTM6</v>
      </c>
      <c r="M1346">
        <v>0</v>
      </c>
      <c r="N1346">
        <v>0</v>
      </c>
      <c r="O1346">
        <v>0.91194339418818204</v>
      </c>
      <c r="P1346">
        <v>2.1304378548895899</v>
      </c>
      <c r="Q1346">
        <v>1.25576199330606</v>
      </c>
      <c r="R1346">
        <v>0</v>
      </c>
      <c r="S1346">
        <v>1.1331355704698001</v>
      </c>
      <c r="T1346">
        <v>1.18448996772836</v>
      </c>
      <c r="U1346">
        <v>1.10235831809872</v>
      </c>
      <c r="V1346">
        <v>1.05063596764157</v>
      </c>
      <c r="W1346">
        <v>1.27539809638918</v>
      </c>
      <c r="X1346">
        <v>0.984645710619934</v>
      </c>
    </row>
    <row r="1347" spans="1:24">
      <c r="A1347">
        <v>2344</v>
      </c>
      <c r="B1347" t="s">
        <v>3633</v>
      </c>
      <c r="C1347">
        <v>1</v>
      </c>
      <c r="D1347" t="s">
        <v>3634</v>
      </c>
      <c r="E1347">
        <v>1</v>
      </c>
      <c r="F1347">
        <v>1</v>
      </c>
      <c r="G1347">
        <v>1</v>
      </c>
      <c r="H1347" t="s">
        <v>3633</v>
      </c>
      <c r="I1347">
        <v>10.9</v>
      </c>
      <c r="J1347">
        <v>15.425000000000001</v>
      </c>
      <c r="K1347" t="str">
        <f>"GOLT1B"</f>
        <v>GOLT1B</v>
      </c>
      <c r="L1347" t="str">
        <f>"GOLT1B"</f>
        <v>GOLT1B</v>
      </c>
      <c r="M1347">
        <v>1.2103892752168599</v>
      </c>
      <c r="N1347">
        <v>0.89450172185430499</v>
      </c>
      <c r="O1347">
        <v>0.91194339418818204</v>
      </c>
      <c r="P1347">
        <v>0</v>
      </c>
      <c r="Q1347">
        <v>0</v>
      </c>
      <c r="R1347">
        <v>0</v>
      </c>
      <c r="S1347">
        <v>1.1331355704698001</v>
      </c>
      <c r="T1347">
        <v>0</v>
      </c>
      <c r="U1347">
        <v>0</v>
      </c>
      <c r="V1347">
        <v>1.05063596764157</v>
      </c>
      <c r="W1347">
        <v>0</v>
      </c>
      <c r="X1347">
        <v>0.984645710619934</v>
      </c>
    </row>
    <row r="1348" spans="1:24">
      <c r="A1348">
        <v>2345</v>
      </c>
      <c r="B1348" t="s">
        <v>3635</v>
      </c>
      <c r="C1348">
        <v>1</v>
      </c>
      <c r="D1348" t="s">
        <v>3636</v>
      </c>
      <c r="E1348">
        <v>1</v>
      </c>
      <c r="F1348">
        <v>1</v>
      </c>
      <c r="G1348">
        <v>1</v>
      </c>
      <c r="H1348" t="s">
        <v>3635</v>
      </c>
      <c r="I1348">
        <v>8.4</v>
      </c>
      <c r="J1348">
        <v>19.193000000000001</v>
      </c>
      <c r="K1348" t="str">
        <f>"PTRH2"</f>
        <v>PTRH2</v>
      </c>
      <c r="L1348" t="str">
        <f>"PTRH2"</f>
        <v>PTRH2</v>
      </c>
      <c r="M1348">
        <v>1.2103892752168599</v>
      </c>
      <c r="N1348">
        <v>0.89450172185430499</v>
      </c>
      <c r="O1348">
        <v>0.91194339418818204</v>
      </c>
      <c r="P1348">
        <v>1.0652189274447901</v>
      </c>
      <c r="Q1348">
        <v>0</v>
      </c>
      <c r="R1348">
        <v>0.90008103209297396</v>
      </c>
      <c r="S1348">
        <v>1.1331355704698001</v>
      </c>
      <c r="T1348">
        <v>0</v>
      </c>
      <c r="U1348">
        <v>0</v>
      </c>
      <c r="V1348">
        <v>1.05063596764157</v>
      </c>
      <c r="W1348">
        <v>0</v>
      </c>
      <c r="X1348">
        <v>0.984645710619934</v>
      </c>
    </row>
    <row r="1349" spans="1:24">
      <c r="A1349">
        <v>50</v>
      </c>
      <c r="B1349" t="s">
        <v>3637</v>
      </c>
      <c r="C1349">
        <v>7</v>
      </c>
      <c r="D1349" t="s">
        <v>3638</v>
      </c>
      <c r="E1349">
        <v>7</v>
      </c>
      <c r="F1349">
        <v>7</v>
      </c>
      <c r="G1349">
        <v>7</v>
      </c>
      <c r="H1349" t="s">
        <v>3639</v>
      </c>
      <c r="I1349">
        <v>27.1</v>
      </c>
      <c r="J1349">
        <v>36.567</v>
      </c>
      <c r="K1349" t="str">
        <f>"ACOT7"</f>
        <v>ACOT7</v>
      </c>
      <c r="L1349" t="str">
        <f>"ACOT7"</f>
        <v>ACOT7</v>
      </c>
      <c r="M1349">
        <v>0</v>
      </c>
      <c r="N1349">
        <v>0</v>
      </c>
      <c r="O1349">
        <v>0.91194339418818204</v>
      </c>
      <c r="P1349">
        <v>1.0652189274447901</v>
      </c>
      <c r="Q1349">
        <v>0</v>
      </c>
      <c r="R1349">
        <v>1.8001620641859499</v>
      </c>
      <c r="S1349">
        <v>0</v>
      </c>
      <c r="T1349">
        <v>0</v>
      </c>
      <c r="U1349">
        <v>0</v>
      </c>
      <c r="V1349">
        <v>1.05063596764157</v>
      </c>
      <c r="W1349">
        <v>1.27539809638918</v>
      </c>
      <c r="X1349">
        <v>1.96929142123987</v>
      </c>
    </row>
    <row r="1350" spans="1:24">
      <c r="A1350">
        <v>73</v>
      </c>
      <c r="B1350" t="s">
        <v>3640</v>
      </c>
      <c r="C1350">
        <v>1</v>
      </c>
      <c r="D1350" t="s">
        <v>3641</v>
      </c>
      <c r="E1350">
        <v>5</v>
      </c>
      <c r="F1350">
        <v>5</v>
      </c>
      <c r="G1350">
        <v>5</v>
      </c>
      <c r="H1350" t="s">
        <v>3640</v>
      </c>
      <c r="I1350">
        <v>23.5</v>
      </c>
      <c r="J1350">
        <v>34.576999999999998</v>
      </c>
      <c r="K1350" t="str">
        <f>"PSMD14"</f>
        <v>PSMD14</v>
      </c>
      <c r="L1350" t="str">
        <f>"PSMD14"</f>
        <v>PSMD14</v>
      </c>
      <c r="M1350">
        <v>0</v>
      </c>
      <c r="N1350">
        <v>0</v>
      </c>
      <c r="O1350">
        <v>1.8238867883763601</v>
      </c>
      <c r="P1350">
        <v>0</v>
      </c>
      <c r="Q1350">
        <v>0</v>
      </c>
      <c r="R1350">
        <v>0.90008103209297396</v>
      </c>
      <c r="S1350">
        <v>1.1331355704698001</v>
      </c>
      <c r="T1350">
        <v>1.18448996772836</v>
      </c>
      <c r="U1350">
        <v>0</v>
      </c>
      <c r="V1350">
        <v>1.05063596764157</v>
      </c>
      <c r="W1350">
        <v>0</v>
      </c>
      <c r="X1350">
        <v>0</v>
      </c>
    </row>
    <row r="1351" spans="1:24">
      <c r="A1351">
        <v>169</v>
      </c>
      <c r="B1351" t="s">
        <v>3642</v>
      </c>
      <c r="C1351">
        <v>1</v>
      </c>
      <c r="D1351" t="s">
        <v>3643</v>
      </c>
      <c r="E1351">
        <v>3</v>
      </c>
      <c r="F1351">
        <v>3</v>
      </c>
      <c r="G1351">
        <v>3</v>
      </c>
      <c r="H1351" t="s">
        <v>3642</v>
      </c>
      <c r="I1351">
        <v>12.5</v>
      </c>
      <c r="J1351">
        <v>45.283000000000001</v>
      </c>
      <c r="K1351" t="str">
        <f>"LANCL1"</f>
        <v>LANCL1</v>
      </c>
      <c r="L1351" t="str">
        <f>"LANCL1"</f>
        <v>LANCL1</v>
      </c>
      <c r="M1351">
        <v>0</v>
      </c>
      <c r="N1351">
        <v>0</v>
      </c>
      <c r="O1351">
        <v>1.8238867883763601</v>
      </c>
      <c r="P1351">
        <v>2.1304378548895899</v>
      </c>
      <c r="Q1351">
        <v>0</v>
      </c>
      <c r="R1351">
        <v>1.8001620641859499</v>
      </c>
      <c r="S1351">
        <v>1.1331355704698001</v>
      </c>
      <c r="T1351">
        <v>0</v>
      </c>
      <c r="U1351">
        <v>0</v>
      </c>
      <c r="V1351">
        <v>1.05063596764157</v>
      </c>
      <c r="W1351">
        <v>0</v>
      </c>
      <c r="X1351">
        <v>0.984645710619934</v>
      </c>
    </row>
    <row r="1352" spans="1:24">
      <c r="A1352">
        <v>230</v>
      </c>
      <c r="B1352" t="s">
        <v>3644</v>
      </c>
      <c r="C1352">
        <v>1</v>
      </c>
      <c r="D1352" t="s">
        <v>3645</v>
      </c>
      <c r="E1352">
        <v>1</v>
      </c>
      <c r="F1352">
        <v>1</v>
      </c>
      <c r="G1352">
        <v>1</v>
      </c>
      <c r="H1352" t="s">
        <v>3644</v>
      </c>
      <c r="I1352">
        <v>2.8</v>
      </c>
      <c r="J1352">
        <v>35.610999999999997</v>
      </c>
      <c r="K1352" t="str">
        <f>"EIF3G"</f>
        <v>EIF3G</v>
      </c>
      <c r="L1352" t="str">
        <f>"EIF3G"</f>
        <v>EIF3G</v>
      </c>
      <c r="M1352">
        <v>0</v>
      </c>
      <c r="N1352">
        <v>0.89450172185430499</v>
      </c>
      <c r="O1352">
        <v>0</v>
      </c>
      <c r="P1352">
        <v>0</v>
      </c>
      <c r="Q1352">
        <v>1.25576199330606</v>
      </c>
      <c r="R1352">
        <v>0.90008103209297396</v>
      </c>
      <c r="S1352">
        <v>0</v>
      </c>
      <c r="T1352">
        <v>1.18448996772836</v>
      </c>
      <c r="U1352">
        <v>0</v>
      </c>
      <c r="V1352">
        <v>1.05063596764157</v>
      </c>
      <c r="W1352">
        <v>0</v>
      </c>
      <c r="X1352">
        <v>0.984645710619934</v>
      </c>
    </row>
    <row r="1353" spans="1:24">
      <c r="A1353">
        <v>312</v>
      </c>
      <c r="B1353" t="s">
        <v>3646</v>
      </c>
      <c r="C1353">
        <v>1</v>
      </c>
      <c r="D1353" t="s">
        <v>3647</v>
      </c>
      <c r="E1353">
        <v>4</v>
      </c>
      <c r="F1353">
        <v>4</v>
      </c>
      <c r="G1353">
        <v>4</v>
      </c>
      <c r="H1353" t="s">
        <v>3646</v>
      </c>
      <c r="I1353">
        <v>30.4</v>
      </c>
      <c r="J1353">
        <v>27.033000000000001</v>
      </c>
      <c r="K1353" t="str">
        <f>"CFD"</f>
        <v>CFD</v>
      </c>
      <c r="L1353" t="str">
        <f>"CFD"</f>
        <v>CFD</v>
      </c>
      <c r="M1353">
        <v>1.2103892752168599</v>
      </c>
      <c r="N1353">
        <v>0</v>
      </c>
      <c r="O1353">
        <v>0</v>
      </c>
      <c r="P1353">
        <v>1.0652189274447901</v>
      </c>
      <c r="Q1353">
        <v>1.25576199330606</v>
      </c>
      <c r="R1353">
        <v>0.90008103209297396</v>
      </c>
      <c r="S1353">
        <v>1.1331355704698001</v>
      </c>
      <c r="T1353">
        <v>2.3689799354567098</v>
      </c>
      <c r="U1353">
        <v>0</v>
      </c>
      <c r="V1353">
        <v>2.1012719352831399</v>
      </c>
      <c r="W1353">
        <v>1.27539809638918</v>
      </c>
      <c r="X1353">
        <v>0</v>
      </c>
    </row>
    <row r="1354" spans="1:24">
      <c r="A1354">
        <v>354</v>
      </c>
      <c r="B1354" t="s">
        <v>3648</v>
      </c>
      <c r="C1354">
        <v>1</v>
      </c>
      <c r="D1354" t="s">
        <v>3649</v>
      </c>
      <c r="E1354">
        <v>4</v>
      </c>
      <c r="F1354">
        <v>2</v>
      </c>
      <c r="G1354">
        <v>2</v>
      </c>
      <c r="H1354" t="s">
        <v>3648</v>
      </c>
      <c r="I1354">
        <v>54</v>
      </c>
      <c r="J1354">
        <v>10.728999999999999</v>
      </c>
      <c r="K1354" t="s">
        <v>476</v>
      </c>
      <c r="L1354" t="s">
        <v>476</v>
      </c>
      <c r="M1354">
        <v>1.2103892752168599</v>
      </c>
      <c r="N1354">
        <v>0</v>
      </c>
      <c r="O1354">
        <v>0</v>
      </c>
      <c r="P1354">
        <v>0</v>
      </c>
      <c r="Q1354">
        <v>0</v>
      </c>
      <c r="R1354">
        <v>0.90008103209297396</v>
      </c>
      <c r="S1354">
        <v>1.1331355704698001</v>
      </c>
      <c r="T1354">
        <v>2.3689799354567098</v>
      </c>
      <c r="U1354">
        <v>1.10235831809872</v>
      </c>
      <c r="V1354">
        <v>0</v>
      </c>
      <c r="W1354">
        <v>2.5507961927783702</v>
      </c>
      <c r="X1354">
        <v>1.96929142123987</v>
      </c>
    </row>
    <row r="1355" spans="1:24">
      <c r="A1355">
        <v>458</v>
      </c>
      <c r="B1355" t="s">
        <v>3650</v>
      </c>
      <c r="C1355">
        <v>5</v>
      </c>
      <c r="D1355" t="s">
        <v>3651</v>
      </c>
      <c r="E1355">
        <v>6</v>
      </c>
      <c r="F1355">
        <v>6</v>
      </c>
      <c r="G1355">
        <v>6</v>
      </c>
      <c r="H1355" t="s">
        <v>3652</v>
      </c>
      <c r="I1355">
        <v>25.6</v>
      </c>
      <c r="J1355">
        <v>43.779000000000003</v>
      </c>
      <c r="K1355" t="str">
        <f>"SHBG"</f>
        <v>SHBG</v>
      </c>
      <c r="L1355" t="str">
        <f>"SHBG"</f>
        <v>SHBG</v>
      </c>
      <c r="M1355">
        <v>3.6311678256505799</v>
      </c>
      <c r="N1355">
        <v>0.89450172185430499</v>
      </c>
      <c r="O1355">
        <v>0.91194339418818204</v>
      </c>
      <c r="P1355">
        <v>0</v>
      </c>
      <c r="Q1355">
        <v>0</v>
      </c>
      <c r="R1355">
        <v>0.90008103209297396</v>
      </c>
      <c r="S1355">
        <v>0</v>
      </c>
      <c r="T1355">
        <v>2.3689799354567098</v>
      </c>
      <c r="U1355">
        <v>0</v>
      </c>
      <c r="V1355">
        <v>0</v>
      </c>
      <c r="W1355">
        <v>0</v>
      </c>
      <c r="X1355">
        <v>1.96929142123987</v>
      </c>
    </row>
    <row r="1356" spans="1:24">
      <c r="A1356">
        <v>460</v>
      </c>
      <c r="B1356" t="s">
        <v>3653</v>
      </c>
      <c r="C1356">
        <v>3</v>
      </c>
      <c r="D1356" t="s">
        <v>3654</v>
      </c>
      <c r="E1356">
        <v>9</v>
      </c>
      <c r="F1356">
        <v>9</v>
      </c>
      <c r="G1356">
        <v>9</v>
      </c>
      <c r="H1356" t="s">
        <v>3655</v>
      </c>
      <c r="I1356">
        <v>20</v>
      </c>
      <c r="J1356">
        <v>49.509</v>
      </c>
      <c r="K1356" t="str">
        <f>"ASL"</f>
        <v>ASL</v>
      </c>
      <c r="L1356" t="str">
        <f>"ASL"</f>
        <v>ASL</v>
      </c>
      <c r="M1356">
        <v>0</v>
      </c>
      <c r="N1356">
        <v>1.78900344370861</v>
      </c>
      <c r="O1356">
        <v>2.7358301825645501</v>
      </c>
      <c r="P1356">
        <v>0</v>
      </c>
      <c r="Q1356">
        <v>0</v>
      </c>
      <c r="R1356">
        <v>0.90008103209297396</v>
      </c>
      <c r="S1356">
        <v>1.1331355704698001</v>
      </c>
      <c r="T1356">
        <v>0</v>
      </c>
      <c r="U1356">
        <v>0</v>
      </c>
      <c r="V1356">
        <v>0</v>
      </c>
      <c r="W1356">
        <v>0</v>
      </c>
      <c r="X1356">
        <v>0</v>
      </c>
    </row>
    <row r="1357" spans="1:24">
      <c r="A1357">
        <v>671</v>
      </c>
      <c r="B1357" t="s">
        <v>3656</v>
      </c>
      <c r="C1357">
        <v>1</v>
      </c>
      <c r="D1357" t="s">
        <v>3657</v>
      </c>
      <c r="E1357">
        <v>9</v>
      </c>
      <c r="F1357">
        <v>6</v>
      </c>
      <c r="G1357">
        <v>6</v>
      </c>
      <c r="H1357" t="s">
        <v>3656</v>
      </c>
      <c r="I1357">
        <v>31.8</v>
      </c>
      <c r="J1357">
        <v>40.155999999999999</v>
      </c>
      <c r="K1357" t="str">
        <f>"HLA-E"</f>
        <v>HLA-E</v>
      </c>
      <c r="L1357" t="str">
        <f>"HLA-E"</f>
        <v>HLA-E</v>
      </c>
      <c r="M1357">
        <v>0</v>
      </c>
      <c r="N1357">
        <v>0</v>
      </c>
      <c r="O1357">
        <v>0</v>
      </c>
      <c r="P1357">
        <v>2.1304378548895899</v>
      </c>
      <c r="Q1357">
        <v>0</v>
      </c>
      <c r="R1357">
        <v>0.90008103209297396</v>
      </c>
      <c r="S1357">
        <v>0</v>
      </c>
      <c r="T1357">
        <v>0</v>
      </c>
      <c r="U1357">
        <v>2.20471663619744</v>
      </c>
      <c r="V1357">
        <v>0</v>
      </c>
      <c r="W1357">
        <v>0</v>
      </c>
      <c r="X1357">
        <v>2.9539371318597998</v>
      </c>
    </row>
    <row r="1358" spans="1:24">
      <c r="A1358">
        <v>925</v>
      </c>
      <c r="B1358" t="s">
        <v>3658</v>
      </c>
      <c r="C1358">
        <v>2</v>
      </c>
      <c r="D1358" t="s">
        <v>3659</v>
      </c>
      <c r="E1358">
        <v>4</v>
      </c>
      <c r="F1358">
        <v>3</v>
      </c>
      <c r="G1358">
        <v>2</v>
      </c>
      <c r="H1358" t="s">
        <v>3660</v>
      </c>
      <c r="I1358">
        <v>10</v>
      </c>
      <c r="J1358">
        <v>48.345999999999997</v>
      </c>
      <c r="K1358" t="str">
        <f>"AKT1"</f>
        <v>AKT1</v>
      </c>
      <c r="L1358" t="str">
        <f>"AKT1"</f>
        <v>AKT1</v>
      </c>
      <c r="M1358">
        <v>0</v>
      </c>
      <c r="N1358">
        <v>0.89450172185430499</v>
      </c>
      <c r="O1358">
        <v>0.91194339418818204</v>
      </c>
      <c r="P1358">
        <v>0</v>
      </c>
      <c r="Q1358">
        <v>0</v>
      </c>
      <c r="R1358">
        <v>1.8001620641859499</v>
      </c>
      <c r="S1358">
        <v>1.1331355704698001</v>
      </c>
      <c r="T1358">
        <v>0</v>
      </c>
      <c r="U1358">
        <v>0</v>
      </c>
      <c r="V1358">
        <v>1.05063596764157</v>
      </c>
      <c r="W1358">
        <v>0</v>
      </c>
      <c r="X1358">
        <v>0.984645710619934</v>
      </c>
    </row>
    <row r="1359" spans="1:24">
      <c r="A1359">
        <v>930</v>
      </c>
      <c r="B1359" t="s">
        <v>3661</v>
      </c>
      <c r="C1359">
        <v>2</v>
      </c>
      <c r="D1359" t="s">
        <v>3662</v>
      </c>
      <c r="E1359">
        <v>3</v>
      </c>
      <c r="F1359">
        <v>3</v>
      </c>
      <c r="G1359">
        <v>1</v>
      </c>
      <c r="H1359" t="s">
        <v>3663</v>
      </c>
      <c r="I1359">
        <v>9.6</v>
      </c>
      <c r="J1359">
        <v>49.228999999999999</v>
      </c>
      <c r="K1359" t="str">
        <f>"HNRNPH1;HNRNPH2"</f>
        <v>HNRNPH1;HNRNPH2</v>
      </c>
      <c r="L1359" t="str">
        <f>"HNRNPH1;HNRNPH2"</f>
        <v>HNRNPH1;HNRNPH2</v>
      </c>
      <c r="M1359">
        <v>0</v>
      </c>
      <c r="N1359">
        <v>0.89450172185430499</v>
      </c>
      <c r="O1359">
        <v>0.91194339418818204</v>
      </c>
      <c r="P1359">
        <v>0</v>
      </c>
      <c r="Q1359">
        <v>0</v>
      </c>
      <c r="R1359">
        <v>0.90008103209297396</v>
      </c>
      <c r="S1359">
        <v>2.2662711409396001</v>
      </c>
      <c r="T1359">
        <v>0</v>
      </c>
      <c r="U1359">
        <v>0</v>
      </c>
      <c r="V1359">
        <v>1.05063596764157</v>
      </c>
      <c r="W1359">
        <v>0</v>
      </c>
      <c r="X1359">
        <v>0</v>
      </c>
    </row>
    <row r="1360" spans="1:24">
      <c r="A1360">
        <v>1019</v>
      </c>
      <c r="B1360" t="s">
        <v>3664</v>
      </c>
      <c r="C1360">
        <v>2</v>
      </c>
      <c r="D1360" t="s">
        <v>3665</v>
      </c>
      <c r="E1360">
        <v>19</v>
      </c>
      <c r="F1360">
        <v>4</v>
      </c>
      <c r="G1360">
        <v>4</v>
      </c>
      <c r="H1360" t="s">
        <v>3666</v>
      </c>
      <c r="I1360">
        <v>25.6</v>
      </c>
      <c r="J1360">
        <v>90.646000000000001</v>
      </c>
      <c r="K1360" t="str">
        <f>"STAT5A"</f>
        <v>STAT5A</v>
      </c>
      <c r="L1360" t="str">
        <f>"STAT5A"</f>
        <v>STAT5A</v>
      </c>
      <c r="M1360">
        <v>2.4207785504337198</v>
      </c>
      <c r="N1360">
        <v>0.89450172185430499</v>
      </c>
      <c r="O1360">
        <v>0.91194339418818204</v>
      </c>
      <c r="P1360">
        <v>1.0652189274447901</v>
      </c>
      <c r="Q1360">
        <v>0</v>
      </c>
      <c r="R1360">
        <v>0.90008103209297396</v>
      </c>
      <c r="S1360">
        <v>0</v>
      </c>
      <c r="T1360">
        <v>0</v>
      </c>
      <c r="U1360">
        <v>1.10235831809872</v>
      </c>
      <c r="V1360">
        <v>1.05063596764157</v>
      </c>
      <c r="W1360">
        <v>0</v>
      </c>
      <c r="X1360">
        <v>0.984645710619934</v>
      </c>
    </row>
    <row r="1361" spans="1:24">
      <c r="A1361">
        <v>1032</v>
      </c>
      <c r="B1361" t="s">
        <v>3667</v>
      </c>
      <c r="C1361">
        <v>3</v>
      </c>
      <c r="D1361" t="s">
        <v>3668</v>
      </c>
      <c r="E1361">
        <v>5</v>
      </c>
      <c r="F1361">
        <v>5</v>
      </c>
      <c r="G1361">
        <v>5</v>
      </c>
      <c r="H1361" t="s">
        <v>3669</v>
      </c>
      <c r="I1361">
        <v>10.5</v>
      </c>
      <c r="J1361">
        <v>61.87</v>
      </c>
      <c r="K1361" t="str">
        <f>"CRAT"</f>
        <v>CRAT</v>
      </c>
      <c r="L1361" t="str">
        <f>"CRAT"</f>
        <v>CRAT</v>
      </c>
      <c r="M1361">
        <v>0</v>
      </c>
      <c r="N1361">
        <v>0.89450172185430499</v>
      </c>
      <c r="O1361">
        <v>1.8238867883763601</v>
      </c>
      <c r="P1361">
        <v>1.0652189274447901</v>
      </c>
      <c r="Q1361">
        <v>1.25576199330606</v>
      </c>
      <c r="R1361">
        <v>0.90008103209297396</v>
      </c>
      <c r="S1361">
        <v>1.1331355704698001</v>
      </c>
      <c r="T1361">
        <v>0</v>
      </c>
      <c r="U1361">
        <v>1.10235831809872</v>
      </c>
      <c r="V1361">
        <v>1.05063596764157</v>
      </c>
      <c r="W1361">
        <v>1.27539809638918</v>
      </c>
      <c r="X1361">
        <v>0.984645710619934</v>
      </c>
    </row>
    <row r="1362" spans="1:24">
      <c r="A1362">
        <v>1129</v>
      </c>
      <c r="B1362" t="s">
        <v>3670</v>
      </c>
      <c r="C1362">
        <v>2</v>
      </c>
      <c r="D1362" t="s">
        <v>3671</v>
      </c>
      <c r="E1362">
        <v>1</v>
      </c>
      <c r="F1362">
        <v>1</v>
      </c>
      <c r="G1362">
        <v>1</v>
      </c>
      <c r="H1362" t="s">
        <v>3672</v>
      </c>
      <c r="I1362">
        <v>2</v>
      </c>
      <c r="J1362">
        <v>52.514000000000003</v>
      </c>
      <c r="K1362" t="str">
        <f>"MMP16"</f>
        <v>MMP16</v>
      </c>
      <c r="L1362" t="str">
        <f>"MMP16"</f>
        <v>MMP16</v>
      </c>
      <c r="M1362">
        <v>2.4207785504337198</v>
      </c>
      <c r="N1362">
        <v>0</v>
      </c>
      <c r="O1362">
        <v>0</v>
      </c>
      <c r="P1362">
        <v>1.0652189274447901</v>
      </c>
      <c r="Q1362">
        <v>1.25576199330606</v>
      </c>
      <c r="R1362">
        <v>0.90008103209297396</v>
      </c>
      <c r="S1362">
        <v>0</v>
      </c>
      <c r="T1362">
        <v>1.18448996772836</v>
      </c>
      <c r="U1362">
        <v>0</v>
      </c>
      <c r="V1362">
        <v>1.05063596764157</v>
      </c>
      <c r="W1362">
        <v>1.27539809638918</v>
      </c>
      <c r="X1362">
        <v>0</v>
      </c>
    </row>
    <row r="1363" spans="1:24">
      <c r="A1363">
        <v>1204</v>
      </c>
      <c r="B1363" t="s">
        <v>3673</v>
      </c>
      <c r="C1363">
        <v>2</v>
      </c>
      <c r="D1363" t="s">
        <v>3674</v>
      </c>
      <c r="E1363">
        <v>7</v>
      </c>
      <c r="F1363">
        <v>7</v>
      </c>
      <c r="G1363">
        <v>7</v>
      </c>
      <c r="H1363" t="s">
        <v>3675</v>
      </c>
      <c r="I1363">
        <v>11</v>
      </c>
      <c r="J1363">
        <v>101.11</v>
      </c>
      <c r="K1363" t="str">
        <f>"MARS"</f>
        <v>MARS</v>
      </c>
      <c r="L1363" t="str">
        <f>"MARS"</f>
        <v>MARS</v>
      </c>
      <c r="M1363">
        <v>0</v>
      </c>
      <c r="N1363">
        <v>0</v>
      </c>
      <c r="O1363">
        <v>0.91194339418818204</v>
      </c>
      <c r="P1363">
        <v>0</v>
      </c>
      <c r="Q1363">
        <v>0</v>
      </c>
      <c r="R1363">
        <v>1.8001620641859499</v>
      </c>
      <c r="S1363">
        <v>1.1331355704698001</v>
      </c>
      <c r="T1363">
        <v>0</v>
      </c>
      <c r="U1363">
        <v>1.10235831809872</v>
      </c>
      <c r="V1363">
        <v>0</v>
      </c>
      <c r="W1363">
        <v>0</v>
      </c>
      <c r="X1363">
        <v>0.984645710619934</v>
      </c>
    </row>
    <row r="1364" spans="1:24">
      <c r="A1364">
        <v>1559</v>
      </c>
      <c r="B1364" t="s">
        <v>3676</v>
      </c>
      <c r="C1364">
        <v>3</v>
      </c>
      <c r="D1364" t="s">
        <v>3677</v>
      </c>
      <c r="E1364">
        <v>9</v>
      </c>
      <c r="F1364">
        <v>9</v>
      </c>
      <c r="G1364">
        <v>9</v>
      </c>
      <c r="H1364" t="s">
        <v>3678</v>
      </c>
      <c r="I1364">
        <v>16.100000000000001</v>
      </c>
      <c r="J1364">
        <v>86.16</v>
      </c>
      <c r="K1364" t="str">
        <f>"SEC23A;SEC23B"</f>
        <v>SEC23A;SEC23B</v>
      </c>
      <c r="L1364" t="str">
        <f>"SEC23A;SEC23B"</f>
        <v>SEC23A;SEC23B</v>
      </c>
      <c r="M1364">
        <v>0</v>
      </c>
      <c r="N1364">
        <v>1.78900344370861</v>
      </c>
      <c r="O1364">
        <v>1.8238867883763601</v>
      </c>
      <c r="P1364">
        <v>0</v>
      </c>
      <c r="Q1364">
        <v>1.25576199330606</v>
      </c>
      <c r="R1364">
        <v>0</v>
      </c>
      <c r="S1364">
        <v>1.1331355704698001</v>
      </c>
      <c r="T1364">
        <v>0</v>
      </c>
      <c r="U1364">
        <v>0</v>
      </c>
      <c r="V1364">
        <v>1.05063596764157</v>
      </c>
      <c r="W1364">
        <v>0</v>
      </c>
      <c r="X1364">
        <v>0.984645710619934</v>
      </c>
    </row>
    <row r="1365" spans="1:24">
      <c r="A1365">
        <v>1691</v>
      </c>
      <c r="B1365" t="s">
        <v>3679</v>
      </c>
      <c r="C1365">
        <v>3</v>
      </c>
      <c r="D1365" t="s">
        <v>3680</v>
      </c>
      <c r="E1365">
        <v>5</v>
      </c>
      <c r="F1365">
        <v>5</v>
      </c>
      <c r="G1365">
        <v>5</v>
      </c>
      <c r="H1365" t="s">
        <v>3681</v>
      </c>
      <c r="I1365">
        <v>6.7</v>
      </c>
      <c r="J1365">
        <v>82.963999999999999</v>
      </c>
      <c r="K1365" t="str">
        <f>"SUSD1"</f>
        <v>SUSD1</v>
      </c>
      <c r="L1365" t="str">
        <f>"SUSD1"</f>
        <v>SUSD1</v>
      </c>
      <c r="M1365">
        <v>0</v>
      </c>
      <c r="N1365">
        <v>0</v>
      </c>
      <c r="O1365">
        <v>0</v>
      </c>
      <c r="P1365">
        <v>3.19565678233438</v>
      </c>
      <c r="Q1365">
        <v>2.51152398661212</v>
      </c>
      <c r="R1365">
        <v>1.8001620641859499</v>
      </c>
      <c r="S1365">
        <v>1.1331355704698001</v>
      </c>
      <c r="T1365">
        <v>2.3689799354567098</v>
      </c>
      <c r="U1365">
        <v>0</v>
      </c>
      <c r="V1365">
        <v>1.05063596764157</v>
      </c>
      <c r="W1365">
        <v>0</v>
      </c>
      <c r="X1365">
        <v>0</v>
      </c>
    </row>
    <row r="1366" spans="1:24">
      <c r="A1366">
        <v>1871</v>
      </c>
      <c r="B1366" t="s">
        <v>3682</v>
      </c>
      <c r="C1366">
        <v>4</v>
      </c>
      <c r="D1366" t="s">
        <v>3683</v>
      </c>
      <c r="E1366">
        <v>5</v>
      </c>
      <c r="F1366">
        <v>5</v>
      </c>
      <c r="G1366">
        <v>5</v>
      </c>
      <c r="H1366" t="s">
        <v>3684</v>
      </c>
      <c r="I1366">
        <v>21</v>
      </c>
      <c r="J1366">
        <v>43.02</v>
      </c>
      <c r="K1366" t="str">
        <f>"TFG"</f>
        <v>TFG</v>
      </c>
      <c r="L1366" t="str">
        <f>"TFG"</f>
        <v>TFG</v>
      </c>
      <c r="M1366">
        <v>0</v>
      </c>
      <c r="N1366">
        <v>1.78900344370861</v>
      </c>
      <c r="O1366">
        <v>0.91194339418818204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1.05063596764157</v>
      </c>
      <c r="W1366">
        <v>0</v>
      </c>
      <c r="X1366">
        <v>0.984645710619934</v>
      </c>
    </row>
    <row r="1367" spans="1:24">
      <c r="A1367">
        <v>1967</v>
      </c>
      <c r="B1367" t="s">
        <v>3685</v>
      </c>
      <c r="C1367">
        <v>1</v>
      </c>
      <c r="D1367" t="s">
        <v>3686</v>
      </c>
      <c r="E1367">
        <v>2</v>
      </c>
      <c r="F1367">
        <v>2</v>
      </c>
      <c r="G1367">
        <v>2</v>
      </c>
      <c r="H1367" t="s">
        <v>3685</v>
      </c>
      <c r="I1367">
        <v>5.2</v>
      </c>
      <c r="J1367">
        <v>41.133000000000003</v>
      </c>
      <c r="K1367" t="str">
        <f>"F2RL3"</f>
        <v>F2RL3</v>
      </c>
      <c r="L1367" t="str">
        <f>"F2RL3"</f>
        <v>F2RL3</v>
      </c>
      <c r="M1367">
        <v>1.2103892752168599</v>
      </c>
      <c r="N1367">
        <v>0.89450172185430499</v>
      </c>
      <c r="O1367">
        <v>0.91194339418818204</v>
      </c>
      <c r="P1367">
        <v>1.0652189274447901</v>
      </c>
      <c r="Q1367">
        <v>1.25576199330606</v>
      </c>
      <c r="R1367">
        <v>1.8001620641859499</v>
      </c>
      <c r="S1367">
        <v>1.1331355704698001</v>
      </c>
      <c r="T1367">
        <v>1.18448996772836</v>
      </c>
      <c r="U1367">
        <v>0</v>
      </c>
      <c r="V1367">
        <v>0</v>
      </c>
      <c r="W1367">
        <v>0</v>
      </c>
      <c r="X1367">
        <v>0.984645710619934</v>
      </c>
    </row>
    <row r="1368" spans="1:24">
      <c r="A1368">
        <v>2032</v>
      </c>
      <c r="B1368" t="s">
        <v>3687</v>
      </c>
      <c r="C1368">
        <v>3</v>
      </c>
      <c r="D1368" t="s">
        <v>3688</v>
      </c>
      <c r="E1368">
        <v>4</v>
      </c>
      <c r="F1368">
        <v>4</v>
      </c>
      <c r="G1368">
        <v>4</v>
      </c>
      <c r="H1368" t="s">
        <v>3689</v>
      </c>
      <c r="I1368">
        <v>15.7</v>
      </c>
      <c r="J1368">
        <v>27.048999999999999</v>
      </c>
      <c r="K1368" t="str">
        <f>"HTATIP2"</f>
        <v>HTATIP2</v>
      </c>
      <c r="L1368" t="str">
        <f>"HTATIP2"</f>
        <v>HTATIP2</v>
      </c>
      <c r="M1368">
        <v>0</v>
      </c>
      <c r="N1368">
        <v>1.78900344370861</v>
      </c>
      <c r="O1368">
        <v>0.91194339418818204</v>
      </c>
      <c r="P1368">
        <v>1.0652189274447901</v>
      </c>
      <c r="Q1368">
        <v>0</v>
      </c>
      <c r="R1368">
        <v>0.90008103209297396</v>
      </c>
      <c r="S1368">
        <v>0</v>
      </c>
      <c r="T1368">
        <v>0</v>
      </c>
      <c r="U1368">
        <v>1.10235831809872</v>
      </c>
      <c r="V1368">
        <v>0</v>
      </c>
      <c r="W1368">
        <v>0</v>
      </c>
      <c r="X1368">
        <v>1.96929142123987</v>
      </c>
    </row>
    <row r="1369" spans="1:24">
      <c r="A1369">
        <v>2071</v>
      </c>
      <c r="B1369" t="s">
        <v>3690</v>
      </c>
      <c r="C1369">
        <v>2</v>
      </c>
      <c r="D1369" t="s">
        <v>3691</v>
      </c>
      <c r="E1369">
        <v>3</v>
      </c>
      <c r="F1369">
        <v>3</v>
      </c>
      <c r="G1369">
        <v>3</v>
      </c>
      <c r="H1369" t="s">
        <v>3692</v>
      </c>
      <c r="I1369">
        <v>12.4</v>
      </c>
      <c r="J1369">
        <v>44.863</v>
      </c>
      <c r="K1369" t="str">
        <f>"UBA5"</f>
        <v>UBA5</v>
      </c>
      <c r="L1369" t="str">
        <f>"UBA5"</f>
        <v>UBA5</v>
      </c>
      <c r="M1369">
        <v>0</v>
      </c>
      <c r="N1369">
        <v>1.78900344370861</v>
      </c>
      <c r="O1369">
        <v>0.91194339418818204</v>
      </c>
      <c r="P1369">
        <v>0</v>
      </c>
      <c r="Q1369">
        <v>0</v>
      </c>
      <c r="R1369">
        <v>0</v>
      </c>
      <c r="S1369">
        <v>2.2662711409396001</v>
      </c>
      <c r="T1369">
        <v>1.18448996772836</v>
      </c>
      <c r="U1369">
        <v>0</v>
      </c>
      <c r="V1369">
        <v>1.05063596764157</v>
      </c>
      <c r="W1369">
        <v>0</v>
      </c>
      <c r="X1369">
        <v>0.984645710619934</v>
      </c>
    </row>
    <row r="1370" spans="1:24">
      <c r="A1370">
        <v>2078</v>
      </c>
      <c r="B1370" t="s">
        <v>3693</v>
      </c>
      <c r="C1370">
        <v>4</v>
      </c>
      <c r="D1370" t="s">
        <v>3694</v>
      </c>
      <c r="E1370">
        <v>6</v>
      </c>
      <c r="F1370">
        <v>6</v>
      </c>
      <c r="G1370">
        <v>6</v>
      </c>
      <c r="H1370" t="s">
        <v>3695</v>
      </c>
      <c r="I1370">
        <v>30.4</v>
      </c>
      <c r="J1370">
        <v>33.097999999999999</v>
      </c>
      <c r="K1370" t="str">
        <f>"C11orf54"</f>
        <v>C11orf54</v>
      </c>
      <c r="L1370" t="str">
        <f>"C11orf54"</f>
        <v>C11orf54</v>
      </c>
      <c r="M1370">
        <v>1.2103892752168599</v>
      </c>
      <c r="N1370">
        <v>0.89450172185430499</v>
      </c>
      <c r="O1370">
        <v>0.91194339418818204</v>
      </c>
      <c r="P1370">
        <v>0</v>
      </c>
      <c r="Q1370">
        <v>0</v>
      </c>
      <c r="R1370">
        <v>1.8001620641859499</v>
      </c>
      <c r="S1370">
        <v>0</v>
      </c>
      <c r="T1370">
        <v>0</v>
      </c>
      <c r="U1370">
        <v>0</v>
      </c>
      <c r="V1370">
        <v>1.05063596764157</v>
      </c>
      <c r="W1370">
        <v>0</v>
      </c>
      <c r="X1370">
        <v>0</v>
      </c>
    </row>
    <row r="1371" spans="1:24">
      <c r="A1371">
        <v>2248</v>
      </c>
      <c r="B1371" t="s">
        <v>3696</v>
      </c>
      <c r="C1371">
        <v>8</v>
      </c>
      <c r="D1371" t="s">
        <v>3697</v>
      </c>
      <c r="E1371">
        <v>4</v>
      </c>
      <c r="F1371">
        <v>4</v>
      </c>
      <c r="G1371">
        <v>4</v>
      </c>
      <c r="H1371" t="s">
        <v>3698</v>
      </c>
      <c r="I1371">
        <v>15.2</v>
      </c>
      <c r="J1371">
        <v>38.518000000000001</v>
      </c>
      <c r="K1371" t="str">
        <f>"SEPT9"</f>
        <v>SEPT9</v>
      </c>
      <c r="L1371" t="str">
        <f>"SEPT9"</f>
        <v>SEPT9</v>
      </c>
      <c r="M1371">
        <v>0</v>
      </c>
      <c r="N1371">
        <v>0.89450172185430499</v>
      </c>
      <c r="O1371">
        <v>0.91194339418818204</v>
      </c>
      <c r="P1371">
        <v>0</v>
      </c>
      <c r="Q1371">
        <v>1.25576199330606</v>
      </c>
      <c r="R1371">
        <v>2.7002430962789199</v>
      </c>
      <c r="S1371">
        <v>0</v>
      </c>
      <c r="T1371">
        <v>0</v>
      </c>
      <c r="U1371">
        <v>0</v>
      </c>
      <c r="V1371">
        <v>2.1012719352831399</v>
      </c>
      <c r="W1371">
        <v>2.5507961927783702</v>
      </c>
      <c r="X1371">
        <v>0.984645710619934</v>
      </c>
    </row>
    <row r="1372" spans="1:24">
      <c r="A1372">
        <v>2335</v>
      </c>
      <c r="B1372" t="s">
        <v>3699</v>
      </c>
      <c r="C1372">
        <v>1</v>
      </c>
      <c r="D1372" t="s">
        <v>3700</v>
      </c>
      <c r="E1372">
        <v>10</v>
      </c>
      <c r="F1372">
        <v>10</v>
      </c>
      <c r="G1372">
        <v>10</v>
      </c>
      <c r="H1372" t="s">
        <v>3699</v>
      </c>
      <c r="I1372">
        <v>35.799999999999997</v>
      </c>
      <c r="J1372">
        <v>35.229999999999997</v>
      </c>
      <c r="K1372" t="str">
        <f>"DERA"</f>
        <v>DERA</v>
      </c>
      <c r="L1372" t="str">
        <f>"DERA"</f>
        <v>DERA</v>
      </c>
      <c r="M1372">
        <v>1.2103892752168599</v>
      </c>
      <c r="N1372">
        <v>0</v>
      </c>
      <c r="O1372">
        <v>0</v>
      </c>
      <c r="P1372">
        <v>0</v>
      </c>
      <c r="Q1372">
        <v>0</v>
      </c>
      <c r="R1372">
        <v>1.8001620641859499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0.984645710619934</v>
      </c>
    </row>
    <row r="1373" spans="1:24">
      <c r="A1373">
        <v>5</v>
      </c>
      <c r="B1373" t="s">
        <v>3701</v>
      </c>
      <c r="C1373">
        <v>2</v>
      </c>
      <c r="D1373" t="s">
        <v>3702</v>
      </c>
      <c r="E1373">
        <v>4</v>
      </c>
      <c r="F1373">
        <v>4</v>
      </c>
      <c r="G1373">
        <v>4</v>
      </c>
      <c r="H1373" t="s">
        <v>3703</v>
      </c>
      <c r="I1373">
        <v>2</v>
      </c>
      <c r="J1373">
        <v>254.81</v>
      </c>
      <c r="K1373" t="str">
        <f>"NBAS"</f>
        <v>NBAS</v>
      </c>
      <c r="L1373" t="str">
        <f>"NBAS"</f>
        <v>NBAS</v>
      </c>
      <c r="M1373">
        <v>0</v>
      </c>
      <c r="N1373">
        <v>0.89450172185430499</v>
      </c>
      <c r="O1373">
        <v>0.91194339418818204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1.05063596764157</v>
      </c>
      <c r="W1373">
        <v>1.27539809638918</v>
      </c>
      <c r="X1373">
        <v>0.984645710619934</v>
      </c>
    </row>
    <row r="1374" spans="1:24">
      <c r="A1374">
        <v>199</v>
      </c>
      <c r="B1374" t="s">
        <v>3704</v>
      </c>
      <c r="C1374">
        <v>3</v>
      </c>
      <c r="D1374" t="s">
        <v>3705</v>
      </c>
      <c r="E1374">
        <v>1</v>
      </c>
      <c r="F1374">
        <v>1</v>
      </c>
      <c r="G1374">
        <v>1</v>
      </c>
      <c r="H1374" t="s">
        <v>3706</v>
      </c>
      <c r="I1374">
        <v>9</v>
      </c>
      <c r="J1374">
        <v>16.832000000000001</v>
      </c>
      <c r="K1374" t="str">
        <f>"CUTA"</f>
        <v>CUTA</v>
      </c>
      <c r="L1374" t="str">
        <f>"CUTA"</f>
        <v>CUTA</v>
      </c>
      <c r="M1374">
        <v>0</v>
      </c>
      <c r="N1374">
        <v>0</v>
      </c>
      <c r="O1374">
        <v>0</v>
      </c>
      <c r="P1374">
        <v>1.0652189274447901</v>
      </c>
      <c r="Q1374">
        <v>1.25576199330606</v>
      </c>
      <c r="R1374">
        <v>0.90008103209297396</v>
      </c>
      <c r="S1374">
        <v>0</v>
      </c>
      <c r="T1374">
        <v>1.18448996772836</v>
      </c>
      <c r="U1374">
        <v>1.10235831809872</v>
      </c>
      <c r="V1374">
        <v>1.05063596764157</v>
      </c>
      <c r="W1374">
        <v>1.27539809638918</v>
      </c>
      <c r="X1374">
        <v>0.984645710619934</v>
      </c>
    </row>
    <row r="1375" spans="1:24">
      <c r="A1375">
        <v>209</v>
      </c>
      <c r="B1375" t="s">
        <v>3707</v>
      </c>
      <c r="C1375">
        <v>2</v>
      </c>
      <c r="D1375" t="s">
        <v>3708</v>
      </c>
      <c r="E1375">
        <v>5</v>
      </c>
      <c r="F1375">
        <v>5</v>
      </c>
      <c r="G1375">
        <v>5</v>
      </c>
      <c r="H1375" t="s">
        <v>3709</v>
      </c>
      <c r="I1375">
        <v>21</v>
      </c>
      <c r="J1375">
        <v>33.741999999999997</v>
      </c>
      <c r="K1375" t="str">
        <f>"GBAS"</f>
        <v>GBAS</v>
      </c>
      <c r="L1375" t="str">
        <f>"GBAS"</f>
        <v>GBAS</v>
      </c>
      <c r="M1375">
        <v>0</v>
      </c>
      <c r="N1375">
        <v>0.89450172185430499</v>
      </c>
      <c r="O1375">
        <v>0.91194339418818204</v>
      </c>
      <c r="P1375">
        <v>0</v>
      </c>
      <c r="Q1375">
        <v>1.25576199330606</v>
      </c>
      <c r="R1375">
        <v>1.8001620641859499</v>
      </c>
      <c r="S1375">
        <v>1.1331355704698001</v>
      </c>
      <c r="T1375">
        <v>0</v>
      </c>
      <c r="U1375">
        <v>0</v>
      </c>
      <c r="V1375">
        <v>0</v>
      </c>
      <c r="W1375">
        <v>1.27539809638918</v>
      </c>
      <c r="X1375">
        <v>2.9539371318597998</v>
      </c>
    </row>
    <row r="1376" spans="1:24">
      <c r="A1376">
        <v>374</v>
      </c>
      <c r="B1376" t="s">
        <v>3710</v>
      </c>
      <c r="C1376">
        <v>1</v>
      </c>
      <c r="D1376" t="s">
        <v>3711</v>
      </c>
      <c r="E1376">
        <v>1</v>
      </c>
      <c r="F1376">
        <v>1</v>
      </c>
      <c r="G1376">
        <v>1</v>
      </c>
      <c r="H1376" t="s">
        <v>3710</v>
      </c>
      <c r="I1376">
        <v>9.1999999999999993</v>
      </c>
      <c r="J1376">
        <v>12.265000000000001</v>
      </c>
      <c r="K1376" t="s">
        <v>3712</v>
      </c>
      <c r="L1376" t="s">
        <v>3712</v>
      </c>
      <c r="M1376">
        <v>1.2103892752168599</v>
      </c>
      <c r="N1376">
        <v>0.89450172185430499</v>
      </c>
      <c r="O1376">
        <v>0.91194339418818204</v>
      </c>
      <c r="P1376">
        <v>1.0652189274447901</v>
      </c>
      <c r="Q1376">
        <v>1.25576199330606</v>
      </c>
      <c r="R1376">
        <v>0.90008103209297396</v>
      </c>
      <c r="S1376">
        <v>0</v>
      </c>
      <c r="T1376">
        <v>0</v>
      </c>
      <c r="U1376">
        <v>0</v>
      </c>
      <c r="V1376">
        <v>0</v>
      </c>
      <c r="W1376">
        <v>1.27539809638918</v>
      </c>
      <c r="X1376">
        <v>0.984645710619934</v>
      </c>
    </row>
    <row r="1377" spans="1:24">
      <c r="A1377">
        <v>551</v>
      </c>
      <c r="B1377" t="s">
        <v>3713</v>
      </c>
      <c r="C1377">
        <v>3</v>
      </c>
      <c r="D1377" t="s">
        <v>3714</v>
      </c>
      <c r="E1377">
        <v>3</v>
      </c>
      <c r="F1377">
        <v>3</v>
      </c>
      <c r="G1377">
        <v>3</v>
      </c>
      <c r="H1377" t="s">
        <v>3715</v>
      </c>
      <c r="I1377">
        <v>5.0999999999999996</v>
      </c>
      <c r="J1377">
        <v>58.344999999999999</v>
      </c>
      <c r="K1377" t="str">
        <f>"GUSB"</f>
        <v>GUSB</v>
      </c>
      <c r="L1377" t="str">
        <f>"GUSB"</f>
        <v>GUSB</v>
      </c>
      <c r="M1377">
        <v>0</v>
      </c>
      <c r="N1377">
        <v>0</v>
      </c>
      <c r="O1377">
        <v>0.91194339418818204</v>
      </c>
      <c r="P1377">
        <v>0</v>
      </c>
      <c r="Q1377">
        <v>0</v>
      </c>
      <c r="R1377">
        <v>0</v>
      </c>
      <c r="S1377">
        <v>2.2662711409396001</v>
      </c>
      <c r="T1377">
        <v>0</v>
      </c>
      <c r="U1377">
        <v>0</v>
      </c>
      <c r="V1377">
        <v>1.05063596764157</v>
      </c>
      <c r="W1377">
        <v>1.27539809638918</v>
      </c>
      <c r="X1377">
        <v>0</v>
      </c>
    </row>
    <row r="1378" spans="1:24">
      <c r="A1378">
        <v>575</v>
      </c>
      <c r="B1378" t="s">
        <v>3716</v>
      </c>
      <c r="C1378">
        <v>4</v>
      </c>
      <c r="D1378" t="s">
        <v>3717</v>
      </c>
      <c r="E1378">
        <v>10</v>
      </c>
      <c r="F1378">
        <v>10</v>
      </c>
      <c r="G1378">
        <v>10</v>
      </c>
      <c r="H1378" t="s">
        <v>3718</v>
      </c>
      <c r="I1378">
        <v>14.6</v>
      </c>
      <c r="J1378">
        <v>92.694000000000003</v>
      </c>
      <c r="K1378" t="str">
        <f>"VIL1;AVIL"</f>
        <v>VIL1;AVIL</v>
      </c>
      <c r="L1378" t="str">
        <f>"VIL1;AVIL"</f>
        <v>VIL1;AVIL</v>
      </c>
      <c r="M1378">
        <v>0</v>
      </c>
      <c r="N1378">
        <v>0.89450172185430499</v>
      </c>
      <c r="O1378">
        <v>0.91194339418818204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1.10235831809872</v>
      </c>
      <c r="V1378">
        <v>1.05063596764157</v>
      </c>
      <c r="W1378">
        <v>0</v>
      </c>
      <c r="X1378">
        <v>0</v>
      </c>
    </row>
    <row r="1379" spans="1:24">
      <c r="A1379">
        <v>619</v>
      </c>
      <c r="B1379" t="s">
        <v>3719</v>
      </c>
      <c r="C1379">
        <v>2</v>
      </c>
      <c r="D1379" t="s">
        <v>3720</v>
      </c>
      <c r="E1379">
        <v>4</v>
      </c>
      <c r="F1379">
        <v>4</v>
      </c>
      <c r="G1379">
        <v>4</v>
      </c>
      <c r="H1379" t="s">
        <v>3721</v>
      </c>
      <c r="I1379">
        <v>17.100000000000001</v>
      </c>
      <c r="J1379">
        <v>35.015000000000001</v>
      </c>
      <c r="K1379" t="str">
        <f>"TFPI"</f>
        <v>TFPI</v>
      </c>
      <c r="L1379" t="str">
        <f>"TFPI"</f>
        <v>TFPI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1.8001620641859499</v>
      </c>
      <c r="S1379">
        <v>0</v>
      </c>
      <c r="T1379">
        <v>1.18448996772836</v>
      </c>
      <c r="U1379">
        <v>0</v>
      </c>
      <c r="V1379">
        <v>1.05063596764157</v>
      </c>
      <c r="W1379">
        <v>0</v>
      </c>
      <c r="X1379">
        <v>0</v>
      </c>
    </row>
    <row r="1380" spans="1:24">
      <c r="A1380">
        <v>771</v>
      </c>
      <c r="B1380" t="s">
        <v>3722</v>
      </c>
      <c r="C1380">
        <v>1</v>
      </c>
      <c r="D1380" t="s">
        <v>3723</v>
      </c>
      <c r="E1380">
        <v>4</v>
      </c>
      <c r="F1380">
        <v>4</v>
      </c>
      <c r="G1380">
        <v>4</v>
      </c>
      <c r="H1380" t="s">
        <v>3722</v>
      </c>
      <c r="I1380">
        <v>8.9</v>
      </c>
      <c r="J1380">
        <v>43.941000000000003</v>
      </c>
      <c r="K1380" t="str">
        <f>"ATP6V1C1"</f>
        <v>ATP6V1C1</v>
      </c>
      <c r="L1380" t="str">
        <f>"ATP6V1C1"</f>
        <v>ATP6V1C1</v>
      </c>
      <c r="M1380">
        <v>0</v>
      </c>
      <c r="N1380">
        <v>0</v>
      </c>
      <c r="O1380">
        <v>0.91194339418818204</v>
      </c>
      <c r="P1380">
        <v>2.1304378548895899</v>
      </c>
      <c r="Q1380">
        <v>0</v>
      </c>
      <c r="R1380">
        <v>1.8001620641859499</v>
      </c>
      <c r="S1380">
        <v>0</v>
      </c>
      <c r="T1380">
        <v>0</v>
      </c>
      <c r="U1380">
        <v>0</v>
      </c>
      <c r="V1380">
        <v>1.05063596764157</v>
      </c>
      <c r="W1380">
        <v>1.27539809638918</v>
      </c>
      <c r="X1380">
        <v>0.984645710619934</v>
      </c>
    </row>
    <row r="1381" spans="1:24">
      <c r="A1381">
        <v>914</v>
      </c>
      <c r="B1381" t="s">
        <v>3724</v>
      </c>
      <c r="C1381">
        <v>3</v>
      </c>
      <c r="D1381" t="s">
        <v>3725</v>
      </c>
      <c r="E1381">
        <v>10</v>
      </c>
      <c r="F1381">
        <v>10</v>
      </c>
      <c r="G1381">
        <v>8</v>
      </c>
      <c r="H1381" t="s">
        <v>3726</v>
      </c>
      <c r="I1381">
        <v>9.3000000000000007</v>
      </c>
      <c r="J1381">
        <v>156.78</v>
      </c>
      <c r="K1381" t="str">
        <f>"CLIP1"</f>
        <v>CLIP1</v>
      </c>
      <c r="L1381" t="str">
        <f>"CLIP1"</f>
        <v>CLIP1</v>
      </c>
      <c r="M1381">
        <v>0</v>
      </c>
      <c r="N1381">
        <v>0</v>
      </c>
      <c r="O1381">
        <v>1.8238867883763601</v>
      </c>
      <c r="P1381">
        <v>1.0652189274447901</v>
      </c>
      <c r="Q1381">
        <v>0</v>
      </c>
      <c r="R1381">
        <v>0</v>
      </c>
      <c r="S1381">
        <v>0</v>
      </c>
      <c r="T1381">
        <v>1.18448996772836</v>
      </c>
      <c r="U1381">
        <v>0</v>
      </c>
      <c r="V1381">
        <v>0</v>
      </c>
      <c r="W1381">
        <v>0</v>
      </c>
      <c r="X1381">
        <v>0.984645710619934</v>
      </c>
    </row>
    <row r="1382" spans="1:24">
      <c r="A1382">
        <v>1141</v>
      </c>
      <c r="B1382" t="s">
        <v>3727</v>
      </c>
      <c r="C1382">
        <v>1</v>
      </c>
      <c r="D1382" t="s">
        <v>3728</v>
      </c>
      <c r="E1382">
        <v>9</v>
      </c>
      <c r="F1382">
        <v>9</v>
      </c>
      <c r="G1382">
        <v>4</v>
      </c>
      <c r="H1382" t="s">
        <v>3727</v>
      </c>
      <c r="I1382">
        <v>16.8</v>
      </c>
      <c r="J1382">
        <v>83.734999999999999</v>
      </c>
      <c r="K1382" t="str">
        <f>"RPS6KA3"</f>
        <v>RPS6KA3</v>
      </c>
      <c r="L1382" t="str">
        <f>"RPS6KA3"</f>
        <v>RPS6KA3</v>
      </c>
      <c r="M1382">
        <v>0</v>
      </c>
      <c r="N1382">
        <v>0.89450172185430499</v>
      </c>
      <c r="O1382">
        <v>0</v>
      </c>
      <c r="P1382">
        <v>0</v>
      </c>
      <c r="Q1382">
        <v>0</v>
      </c>
      <c r="R1382">
        <v>0</v>
      </c>
      <c r="S1382">
        <v>1.1331355704698001</v>
      </c>
      <c r="T1382">
        <v>0</v>
      </c>
      <c r="U1382">
        <v>0</v>
      </c>
      <c r="V1382">
        <v>1.05063596764157</v>
      </c>
      <c r="W1382">
        <v>0</v>
      </c>
      <c r="X1382">
        <v>0</v>
      </c>
    </row>
    <row r="1383" spans="1:24">
      <c r="A1383">
        <v>1153</v>
      </c>
      <c r="B1383" t="s">
        <v>3729</v>
      </c>
      <c r="C1383">
        <v>4</v>
      </c>
      <c r="D1383" t="s">
        <v>3730</v>
      </c>
      <c r="E1383">
        <v>3</v>
      </c>
      <c r="F1383">
        <v>3</v>
      </c>
      <c r="G1383">
        <v>3</v>
      </c>
      <c r="H1383" t="s">
        <v>3731</v>
      </c>
      <c r="I1383">
        <v>9.4</v>
      </c>
      <c r="J1383">
        <v>54.180999999999997</v>
      </c>
      <c r="K1383" t="str">
        <f>"AGFG1"</f>
        <v>AGFG1</v>
      </c>
      <c r="L1383" t="str">
        <f>"AGFG1"</f>
        <v>AGFG1</v>
      </c>
      <c r="M1383">
        <v>0</v>
      </c>
      <c r="N1383">
        <v>0</v>
      </c>
      <c r="O1383">
        <v>0</v>
      </c>
      <c r="P1383">
        <v>1.0652189274447901</v>
      </c>
      <c r="Q1383">
        <v>0</v>
      </c>
      <c r="R1383">
        <v>0.90008103209297396</v>
      </c>
      <c r="S1383">
        <v>0</v>
      </c>
      <c r="T1383">
        <v>0</v>
      </c>
      <c r="U1383">
        <v>1.10235831809872</v>
      </c>
      <c r="V1383">
        <v>1.05063596764157</v>
      </c>
      <c r="W1383">
        <v>0</v>
      </c>
      <c r="X1383">
        <v>0.984645710619934</v>
      </c>
    </row>
    <row r="1384" spans="1:24">
      <c r="A1384">
        <v>1257</v>
      </c>
      <c r="B1384" t="s">
        <v>3732</v>
      </c>
      <c r="C1384">
        <v>1</v>
      </c>
      <c r="D1384" t="s">
        <v>3733</v>
      </c>
      <c r="E1384">
        <v>15</v>
      </c>
      <c r="F1384">
        <v>4</v>
      </c>
      <c r="G1384">
        <v>4</v>
      </c>
      <c r="H1384" t="s">
        <v>3732</v>
      </c>
      <c r="I1384">
        <v>40.700000000000003</v>
      </c>
      <c r="J1384">
        <v>37.186</v>
      </c>
      <c r="K1384" t="str">
        <f>"PPP1CB"</f>
        <v>PPP1CB</v>
      </c>
      <c r="L1384" t="str">
        <f>"PPP1CB"</f>
        <v>PPP1CB</v>
      </c>
      <c r="M1384">
        <v>0</v>
      </c>
      <c r="N1384">
        <v>1.78900344370861</v>
      </c>
      <c r="O1384">
        <v>0.91194339418818204</v>
      </c>
      <c r="P1384">
        <v>0</v>
      </c>
      <c r="Q1384">
        <v>0</v>
      </c>
      <c r="R1384">
        <v>0.90008103209297396</v>
      </c>
      <c r="S1384">
        <v>0</v>
      </c>
      <c r="T1384">
        <v>0</v>
      </c>
      <c r="U1384">
        <v>1.10235831809872</v>
      </c>
      <c r="V1384">
        <v>2.1012719352831399</v>
      </c>
      <c r="W1384">
        <v>1.27539809638918</v>
      </c>
      <c r="X1384">
        <v>1.96929142123987</v>
      </c>
    </row>
    <row r="1385" spans="1:24">
      <c r="A1385">
        <v>1319</v>
      </c>
      <c r="B1385" t="s">
        <v>3734</v>
      </c>
      <c r="C1385">
        <v>2</v>
      </c>
      <c r="D1385" t="s">
        <v>3735</v>
      </c>
      <c r="E1385">
        <v>1</v>
      </c>
      <c r="F1385">
        <v>1</v>
      </c>
      <c r="G1385">
        <v>1</v>
      </c>
      <c r="H1385" t="s">
        <v>3736</v>
      </c>
      <c r="I1385">
        <v>2.1</v>
      </c>
      <c r="J1385">
        <v>50.2</v>
      </c>
      <c r="K1385" t="str">
        <f>"NUCB2"</f>
        <v>NUCB2</v>
      </c>
      <c r="L1385" t="str">
        <f>"NUCB2"</f>
        <v>NUCB2</v>
      </c>
      <c r="M1385">
        <v>1.2103892752168599</v>
      </c>
      <c r="N1385">
        <v>0.89450172185430499</v>
      </c>
      <c r="O1385">
        <v>0</v>
      </c>
      <c r="P1385">
        <v>1.0652189274447901</v>
      </c>
      <c r="Q1385">
        <v>0</v>
      </c>
      <c r="R1385">
        <v>0.90008103209297396</v>
      </c>
      <c r="S1385">
        <v>1.1331355704698001</v>
      </c>
      <c r="T1385">
        <v>1.18448996772836</v>
      </c>
      <c r="U1385">
        <v>0</v>
      </c>
      <c r="V1385">
        <v>1.05063596764157</v>
      </c>
      <c r="W1385">
        <v>1.27539809638918</v>
      </c>
      <c r="X1385">
        <v>0</v>
      </c>
    </row>
    <row r="1386" spans="1:24">
      <c r="A1386">
        <v>1446</v>
      </c>
      <c r="B1386" t="s">
        <v>3737</v>
      </c>
      <c r="C1386">
        <v>2</v>
      </c>
      <c r="D1386" t="s">
        <v>3738</v>
      </c>
      <c r="E1386">
        <v>7</v>
      </c>
      <c r="F1386">
        <v>7</v>
      </c>
      <c r="G1386">
        <v>7</v>
      </c>
      <c r="H1386" t="s">
        <v>3739</v>
      </c>
      <c r="I1386">
        <v>5.3</v>
      </c>
      <c r="J1386">
        <v>229.14</v>
      </c>
      <c r="K1386" t="str">
        <f>"MYO9B"</f>
        <v>MYO9B</v>
      </c>
      <c r="L1386" t="str">
        <f>"MYO9B"</f>
        <v>MYO9B</v>
      </c>
      <c r="M1386">
        <v>0</v>
      </c>
      <c r="N1386">
        <v>1.78900344370861</v>
      </c>
      <c r="O1386">
        <v>0</v>
      </c>
      <c r="P1386">
        <v>0</v>
      </c>
      <c r="Q1386">
        <v>0</v>
      </c>
      <c r="R1386">
        <v>0.90008103209297396</v>
      </c>
      <c r="S1386">
        <v>2.2662711409396001</v>
      </c>
      <c r="T1386">
        <v>0</v>
      </c>
      <c r="U1386">
        <v>1.10235831809872</v>
      </c>
      <c r="V1386">
        <v>0</v>
      </c>
      <c r="W1386">
        <v>1.27539809638918</v>
      </c>
      <c r="X1386">
        <v>0.984645710619934</v>
      </c>
    </row>
    <row r="1387" spans="1:24">
      <c r="A1387">
        <v>1571</v>
      </c>
      <c r="B1387" t="s">
        <v>3740</v>
      </c>
      <c r="C1387">
        <v>2</v>
      </c>
      <c r="D1387" t="s">
        <v>3741</v>
      </c>
      <c r="E1387">
        <v>3</v>
      </c>
      <c r="F1387">
        <v>3</v>
      </c>
      <c r="G1387">
        <v>3</v>
      </c>
      <c r="H1387" t="s">
        <v>3742</v>
      </c>
      <c r="I1387">
        <v>13.3</v>
      </c>
      <c r="J1387">
        <v>23.058</v>
      </c>
      <c r="K1387" t="str">
        <f>"RAB30"</f>
        <v>RAB30</v>
      </c>
      <c r="L1387" t="str">
        <f>"RAB30"</f>
        <v>RAB30</v>
      </c>
      <c r="M1387">
        <v>0</v>
      </c>
      <c r="N1387">
        <v>0.89450172185430499</v>
      </c>
      <c r="O1387">
        <v>0.91194339418818204</v>
      </c>
      <c r="P1387">
        <v>3.19565678233438</v>
      </c>
      <c r="Q1387">
        <v>0</v>
      </c>
      <c r="R1387">
        <v>0.90008103209297396</v>
      </c>
      <c r="S1387">
        <v>0</v>
      </c>
      <c r="T1387">
        <v>0</v>
      </c>
      <c r="U1387">
        <v>0</v>
      </c>
      <c r="V1387">
        <v>1.05063596764157</v>
      </c>
      <c r="W1387">
        <v>1.27539809638918</v>
      </c>
      <c r="X1387">
        <v>0.984645710619934</v>
      </c>
    </row>
    <row r="1388" spans="1:24">
      <c r="A1388">
        <v>1630</v>
      </c>
      <c r="B1388" t="s">
        <v>3743</v>
      </c>
      <c r="C1388">
        <v>6</v>
      </c>
      <c r="D1388" t="s">
        <v>3744</v>
      </c>
      <c r="E1388">
        <v>4</v>
      </c>
      <c r="F1388">
        <v>4</v>
      </c>
      <c r="G1388">
        <v>4</v>
      </c>
      <c r="H1388" t="s">
        <v>3745</v>
      </c>
      <c r="I1388">
        <v>7.5</v>
      </c>
      <c r="J1388">
        <v>94.444000000000003</v>
      </c>
      <c r="K1388" t="str">
        <f>"PPP6R3"</f>
        <v>PPP6R3</v>
      </c>
      <c r="L1388" t="str">
        <f>"PPP6R3"</f>
        <v>PPP6R3</v>
      </c>
      <c r="M1388">
        <v>0</v>
      </c>
      <c r="N1388">
        <v>0.89450172185430499</v>
      </c>
      <c r="O1388">
        <v>0</v>
      </c>
      <c r="P1388">
        <v>0</v>
      </c>
      <c r="Q1388">
        <v>0</v>
      </c>
      <c r="R1388">
        <v>1.8001620641859499</v>
      </c>
      <c r="S1388">
        <v>2.2662711409396001</v>
      </c>
      <c r="T1388">
        <v>0</v>
      </c>
      <c r="U1388">
        <v>1.10235831809872</v>
      </c>
      <c r="V1388">
        <v>1.05063596764157</v>
      </c>
      <c r="W1388">
        <v>1.27539809638918</v>
      </c>
      <c r="X1388">
        <v>0.984645710619934</v>
      </c>
    </row>
    <row r="1389" spans="1:24">
      <c r="A1389">
        <v>1891</v>
      </c>
      <c r="B1389" t="s">
        <v>3746</v>
      </c>
      <c r="C1389">
        <v>1</v>
      </c>
      <c r="D1389" t="s">
        <v>3747</v>
      </c>
      <c r="E1389">
        <v>6</v>
      </c>
      <c r="F1389">
        <v>6</v>
      </c>
      <c r="G1389">
        <v>6</v>
      </c>
      <c r="H1389" t="s">
        <v>3746</v>
      </c>
      <c r="I1389">
        <v>10.8</v>
      </c>
      <c r="J1389">
        <v>90.953999999999994</v>
      </c>
      <c r="K1389" t="str">
        <f>"CUL5"</f>
        <v>CUL5</v>
      </c>
      <c r="L1389" t="str">
        <f>"CUL5"</f>
        <v>CUL5</v>
      </c>
      <c r="M1389">
        <v>0</v>
      </c>
      <c r="N1389">
        <v>0.89450172185430499</v>
      </c>
      <c r="O1389">
        <v>1.8238867883763601</v>
      </c>
      <c r="P1389">
        <v>0</v>
      </c>
      <c r="Q1389">
        <v>0</v>
      </c>
      <c r="R1389">
        <v>0.90008103209297396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0.984645710619934</v>
      </c>
    </row>
    <row r="1390" spans="1:24">
      <c r="A1390">
        <v>1901</v>
      </c>
      <c r="B1390" t="s">
        <v>3748</v>
      </c>
      <c r="C1390">
        <v>2</v>
      </c>
      <c r="D1390" t="s">
        <v>3749</v>
      </c>
      <c r="E1390">
        <v>5</v>
      </c>
      <c r="F1390">
        <v>5</v>
      </c>
      <c r="G1390">
        <v>5</v>
      </c>
      <c r="H1390" t="s">
        <v>3750</v>
      </c>
      <c r="I1390">
        <v>32.799999999999997</v>
      </c>
      <c r="J1390">
        <v>22.16</v>
      </c>
      <c r="K1390" t="str">
        <f>"ERGIC1"</f>
        <v>ERGIC1</v>
      </c>
      <c r="L1390" t="str">
        <f>"ERGIC1"</f>
        <v>ERGIC1</v>
      </c>
      <c r="M1390">
        <v>1.2103892752168599</v>
      </c>
      <c r="N1390">
        <v>1.78900344370861</v>
      </c>
      <c r="O1390">
        <v>0</v>
      </c>
      <c r="P1390">
        <v>1.0652189274447901</v>
      </c>
      <c r="Q1390">
        <v>0</v>
      </c>
      <c r="R1390">
        <v>1.8001620641859499</v>
      </c>
      <c r="S1390">
        <v>0</v>
      </c>
      <c r="T1390">
        <v>1.18448996772836</v>
      </c>
      <c r="U1390">
        <v>1.10235831809872</v>
      </c>
      <c r="V1390">
        <v>1.05063596764157</v>
      </c>
      <c r="W1390">
        <v>0</v>
      </c>
      <c r="X1390">
        <v>0.984645710619934</v>
      </c>
    </row>
    <row r="1391" spans="1:24">
      <c r="A1391">
        <v>1927</v>
      </c>
      <c r="B1391" t="s">
        <v>3751</v>
      </c>
      <c r="C1391">
        <v>2</v>
      </c>
      <c r="D1391" t="s">
        <v>3752</v>
      </c>
      <c r="E1391">
        <v>22</v>
      </c>
      <c r="F1391">
        <v>3</v>
      </c>
      <c r="G1391">
        <v>3</v>
      </c>
      <c r="H1391" t="s">
        <v>3753</v>
      </c>
      <c r="I1391">
        <v>16.2</v>
      </c>
      <c r="J1391">
        <v>145.66999999999999</v>
      </c>
      <c r="K1391" t="str">
        <f>"CYFIP2"</f>
        <v>CYFIP2</v>
      </c>
      <c r="L1391" t="str">
        <f>"CYFIP2"</f>
        <v>CYFIP2</v>
      </c>
      <c r="M1391">
        <v>0</v>
      </c>
      <c r="N1391">
        <v>0.89450172185430499</v>
      </c>
      <c r="O1391">
        <v>0</v>
      </c>
      <c r="P1391">
        <v>1.0652189274447901</v>
      </c>
      <c r="Q1391">
        <v>0</v>
      </c>
      <c r="R1391">
        <v>0</v>
      </c>
      <c r="S1391">
        <v>1.1331355704698001</v>
      </c>
      <c r="T1391">
        <v>0</v>
      </c>
      <c r="U1391">
        <v>3.3070749542961599</v>
      </c>
      <c r="V1391">
        <v>1.05063596764157</v>
      </c>
      <c r="W1391">
        <v>1.27539809638918</v>
      </c>
      <c r="X1391">
        <v>2.9539371318597998</v>
      </c>
    </row>
    <row r="1392" spans="1:24">
      <c r="A1392">
        <v>1976</v>
      </c>
      <c r="B1392" t="s">
        <v>3754</v>
      </c>
      <c r="C1392">
        <v>7</v>
      </c>
      <c r="D1392" t="s">
        <v>3755</v>
      </c>
      <c r="E1392">
        <v>5</v>
      </c>
      <c r="F1392">
        <v>5</v>
      </c>
      <c r="G1392">
        <v>5</v>
      </c>
      <c r="H1392" t="s">
        <v>3756</v>
      </c>
      <c r="I1392">
        <v>16.5</v>
      </c>
      <c r="J1392">
        <v>46.488999999999997</v>
      </c>
      <c r="K1392" t="str">
        <f>"CYTH2;CYTH1;CYTH3"</f>
        <v>CYTH2;CYTH1;CYTH3</v>
      </c>
      <c r="L1392" t="str">
        <f>"CYTH2;CYTH1;CYTH3"</f>
        <v>CYTH2;CYTH1;CYTH3</v>
      </c>
      <c r="M1392">
        <v>0</v>
      </c>
      <c r="N1392">
        <v>0</v>
      </c>
      <c r="O1392">
        <v>1.8238867883763601</v>
      </c>
      <c r="P1392">
        <v>1.0652189274447901</v>
      </c>
      <c r="Q1392">
        <v>0</v>
      </c>
      <c r="R1392">
        <v>0.90008103209297396</v>
      </c>
      <c r="S1392">
        <v>0</v>
      </c>
      <c r="T1392">
        <v>0</v>
      </c>
      <c r="U1392">
        <v>1.10235831809872</v>
      </c>
      <c r="V1392">
        <v>1.05063596764157</v>
      </c>
      <c r="W1392">
        <v>0</v>
      </c>
      <c r="X1392">
        <v>0</v>
      </c>
    </row>
    <row r="1393" spans="1:24">
      <c r="A1393">
        <v>1999</v>
      </c>
      <c r="B1393" t="s">
        <v>3757</v>
      </c>
      <c r="C1393">
        <v>2</v>
      </c>
      <c r="D1393" t="s">
        <v>3758</v>
      </c>
      <c r="E1393">
        <v>8</v>
      </c>
      <c r="F1393">
        <v>8</v>
      </c>
      <c r="G1393">
        <v>8</v>
      </c>
      <c r="H1393" t="s">
        <v>3759</v>
      </c>
      <c r="I1393">
        <v>28.2</v>
      </c>
      <c r="J1393">
        <v>34.746000000000002</v>
      </c>
      <c r="K1393" t="str">
        <f>"NAPG"</f>
        <v>NAPG</v>
      </c>
      <c r="L1393" t="str">
        <f>"NAPG"</f>
        <v>NAPG</v>
      </c>
      <c r="M1393">
        <v>1.2103892752168599</v>
      </c>
      <c r="N1393">
        <v>0</v>
      </c>
      <c r="O1393">
        <v>0.91194339418818204</v>
      </c>
      <c r="P1393">
        <v>0</v>
      </c>
      <c r="Q1393">
        <v>0</v>
      </c>
      <c r="R1393">
        <v>0.90008103209297396</v>
      </c>
      <c r="S1393">
        <v>1.1331355704698001</v>
      </c>
      <c r="T1393">
        <v>1.18448996772836</v>
      </c>
      <c r="U1393">
        <v>0</v>
      </c>
      <c r="V1393">
        <v>0</v>
      </c>
      <c r="W1393">
        <v>0</v>
      </c>
      <c r="X1393">
        <v>0</v>
      </c>
    </row>
    <row r="1394" spans="1:24">
      <c r="A1394">
        <v>2035</v>
      </c>
      <c r="B1394" t="s">
        <v>3760</v>
      </c>
      <c r="C1394">
        <v>1</v>
      </c>
      <c r="D1394" t="s">
        <v>3761</v>
      </c>
      <c r="E1394">
        <v>1</v>
      </c>
      <c r="F1394">
        <v>1</v>
      </c>
      <c r="G1394">
        <v>1</v>
      </c>
      <c r="H1394" t="s">
        <v>3760</v>
      </c>
      <c r="I1394">
        <v>4.9000000000000004</v>
      </c>
      <c r="J1394">
        <v>26.21</v>
      </c>
      <c r="K1394" t="str">
        <f>"TMEM109"</f>
        <v>TMEM109</v>
      </c>
      <c r="L1394" t="str">
        <f>"TMEM109"</f>
        <v>TMEM109</v>
      </c>
      <c r="M1394">
        <v>0</v>
      </c>
      <c r="N1394">
        <v>1.78900344370861</v>
      </c>
      <c r="O1394">
        <v>0.91194339418818204</v>
      </c>
      <c r="P1394">
        <v>1.0652189274447901</v>
      </c>
      <c r="Q1394">
        <v>0</v>
      </c>
      <c r="R1394">
        <v>0</v>
      </c>
      <c r="S1394">
        <v>0</v>
      </c>
      <c r="T1394">
        <v>1.18448996772836</v>
      </c>
      <c r="U1394">
        <v>1.10235831809872</v>
      </c>
      <c r="V1394">
        <v>0</v>
      </c>
      <c r="W1394">
        <v>2.5507961927783702</v>
      </c>
      <c r="X1394">
        <v>0.984645710619934</v>
      </c>
    </row>
    <row r="1395" spans="1:24">
      <c r="A1395">
        <v>2064</v>
      </c>
      <c r="B1395" t="s">
        <v>3762</v>
      </c>
      <c r="C1395">
        <v>4</v>
      </c>
      <c r="D1395" t="s">
        <v>3763</v>
      </c>
      <c r="E1395">
        <v>4</v>
      </c>
      <c r="F1395">
        <v>4</v>
      </c>
      <c r="G1395">
        <v>4</v>
      </c>
      <c r="H1395" t="s">
        <v>3764</v>
      </c>
      <c r="I1395">
        <v>9.8000000000000007</v>
      </c>
      <c r="J1395">
        <v>54.139000000000003</v>
      </c>
      <c r="K1395" t="str">
        <f>"TTYH3"</f>
        <v>TTYH3</v>
      </c>
      <c r="L1395" t="str">
        <f>"TTYH3"</f>
        <v>TTYH3</v>
      </c>
      <c r="M1395">
        <v>0</v>
      </c>
      <c r="N1395">
        <v>0.89450172185430499</v>
      </c>
      <c r="O1395">
        <v>0</v>
      </c>
      <c r="P1395">
        <v>1.0652189274447901</v>
      </c>
      <c r="Q1395">
        <v>1.25576199330606</v>
      </c>
      <c r="R1395">
        <v>0.90008103209297396</v>
      </c>
      <c r="S1395">
        <v>0</v>
      </c>
      <c r="T1395">
        <v>1.18448996772836</v>
      </c>
      <c r="U1395">
        <v>1.10235831809872</v>
      </c>
      <c r="V1395">
        <v>0</v>
      </c>
      <c r="W1395">
        <v>0</v>
      </c>
      <c r="X1395">
        <v>0.984645710619934</v>
      </c>
    </row>
    <row r="1396" spans="1:24">
      <c r="A1396">
        <v>2108</v>
      </c>
      <c r="B1396" t="s">
        <v>3765</v>
      </c>
      <c r="C1396">
        <v>1</v>
      </c>
      <c r="D1396" t="s">
        <v>3766</v>
      </c>
      <c r="E1396">
        <v>3</v>
      </c>
      <c r="F1396">
        <v>3</v>
      </c>
      <c r="G1396">
        <v>3</v>
      </c>
      <c r="H1396" t="s">
        <v>3765</v>
      </c>
      <c r="I1396">
        <v>8.4</v>
      </c>
      <c r="J1396">
        <v>33.908000000000001</v>
      </c>
      <c r="K1396" t="str">
        <f>"C10orf54"</f>
        <v>C10orf54</v>
      </c>
      <c r="L1396" t="str">
        <f>"C10orf54"</f>
        <v>C10orf54</v>
      </c>
      <c r="M1396">
        <v>0</v>
      </c>
      <c r="N1396">
        <v>0.89450172185430499</v>
      </c>
      <c r="O1396">
        <v>0.91194339418818204</v>
      </c>
      <c r="P1396">
        <v>1.0652189274447901</v>
      </c>
      <c r="Q1396">
        <v>1.25576199330606</v>
      </c>
      <c r="R1396">
        <v>0.90008103209297396</v>
      </c>
      <c r="S1396">
        <v>1.1331355704698001</v>
      </c>
      <c r="T1396">
        <v>0</v>
      </c>
      <c r="U1396">
        <v>2.20471663619744</v>
      </c>
      <c r="V1396">
        <v>0</v>
      </c>
      <c r="W1396">
        <v>0</v>
      </c>
      <c r="X1396">
        <v>1.96929142123987</v>
      </c>
    </row>
    <row r="1397" spans="1:24">
      <c r="A1397">
        <v>2111</v>
      </c>
      <c r="B1397" t="s">
        <v>3767</v>
      </c>
      <c r="C1397">
        <v>1</v>
      </c>
      <c r="D1397" t="s">
        <v>3768</v>
      </c>
      <c r="E1397">
        <v>5</v>
      </c>
      <c r="F1397">
        <v>5</v>
      </c>
      <c r="G1397">
        <v>5</v>
      </c>
      <c r="H1397" t="s">
        <v>3767</v>
      </c>
      <c r="I1397">
        <v>29.5</v>
      </c>
      <c r="J1397">
        <v>28.318999999999999</v>
      </c>
      <c r="K1397" t="str">
        <f>"METTL7A"</f>
        <v>METTL7A</v>
      </c>
      <c r="L1397" t="str">
        <f>"METTL7A"</f>
        <v>METTL7A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2.7002430962789199</v>
      </c>
      <c r="S1397">
        <v>1.1331355704698001</v>
      </c>
      <c r="T1397">
        <v>0</v>
      </c>
      <c r="U1397">
        <v>1.10235831809872</v>
      </c>
      <c r="V1397">
        <v>0</v>
      </c>
      <c r="W1397">
        <v>1.27539809638918</v>
      </c>
      <c r="X1397">
        <v>0.984645710619934</v>
      </c>
    </row>
    <row r="1398" spans="1:24">
      <c r="A1398">
        <v>2225</v>
      </c>
      <c r="B1398" t="s">
        <v>3769</v>
      </c>
      <c r="C1398">
        <v>3</v>
      </c>
      <c r="D1398" t="s">
        <v>3770</v>
      </c>
      <c r="E1398">
        <v>6</v>
      </c>
      <c r="F1398">
        <v>3</v>
      </c>
      <c r="G1398">
        <v>3</v>
      </c>
      <c r="H1398" t="s">
        <v>3771</v>
      </c>
      <c r="I1398">
        <v>14.1</v>
      </c>
      <c r="J1398">
        <v>37.874000000000002</v>
      </c>
      <c r="K1398" t="str">
        <f>"GMPR2"</f>
        <v>GMPR2</v>
      </c>
      <c r="L1398" t="str">
        <f>"GMPR2"</f>
        <v>GMPR2</v>
      </c>
      <c r="M1398">
        <v>1.2103892752168599</v>
      </c>
      <c r="N1398">
        <v>0</v>
      </c>
      <c r="O1398">
        <v>1.8238867883763601</v>
      </c>
      <c r="P1398">
        <v>1.0652189274447901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2.1012719352831399</v>
      </c>
      <c r="W1398">
        <v>0</v>
      </c>
      <c r="X1398">
        <v>0</v>
      </c>
    </row>
    <row r="1399" spans="1:24">
      <c r="A1399">
        <v>2356</v>
      </c>
      <c r="B1399" t="s">
        <v>3772</v>
      </c>
      <c r="C1399">
        <v>5</v>
      </c>
      <c r="D1399" t="s">
        <v>3773</v>
      </c>
      <c r="E1399">
        <v>6</v>
      </c>
      <c r="F1399">
        <v>6</v>
      </c>
      <c r="G1399">
        <v>6</v>
      </c>
      <c r="H1399" t="s">
        <v>3774</v>
      </c>
      <c r="I1399">
        <v>3.6</v>
      </c>
      <c r="J1399">
        <v>212.27</v>
      </c>
      <c r="K1399" t="str">
        <f>"MYO5A;MYO5B"</f>
        <v>MYO5A;MYO5B</v>
      </c>
      <c r="L1399" t="str">
        <f>"MYO5A;MYO5B"</f>
        <v>MYO5A;MYO5B</v>
      </c>
      <c r="M1399">
        <v>0</v>
      </c>
      <c r="N1399">
        <v>1.78900344370861</v>
      </c>
      <c r="O1399">
        <v>0</v>
      </c>
      <c r="P1399">
        <v>0</v>
      </c>
      <c r="Q1399">
        <v>0</v>
      </c>
      <c r="R1399">
        <v>0.90008103209297396</v>
      </c>
      <c r="S1399">
        <v>1.1331355704698001</v>
      </c>
      <c r="T1399">
        <v>0</v>
      </c>
      <c r="U1399">
        <v>0</v>
      </c>
      <c r="V1399">
        <v>1.05063596764157</v>
      </c>
      <c r="W1399">
        <v>1.27539809638918</v>
      </c>
      <c r="X1399">
        <v>0.984645710619934</v>
      </c>
    </row>
    <row r="1400" spans="1:24">
      <c r="A1400">
        <v>232</v>
      </c>
      <c r="B1400" t="s">
        <v>3775</v>
      </c>
      <c r="C1400">
        <v>2</v>
      </c>
      <c r="D1400" t="s">
        <v>3776</v>
      </c>
      <c r="E1400">
        <v>5</v>
      </c>
      <c r="F1400">
        <v>5</v>
      </c>
      <c r="G1400">
        <v>5</v>
      </c>
      <c r="H1400" t="s">
        <v>3777</v>
      </c>
      <c r="I1400">
        <v>30.5</v>
      </c>
      <c r="J1400">
        <v>24.428000000000001</v>
      </c>
      <c r="K1400" t="str">
        <f>"PSMD10"</f>
        <v>PSMD10</v>
      </c>
      <c r="L1400" t="str">
        <f>"PSMD10"</f>
        <v>PSMD10</v>
      </c>
      <c r="M1400">
        <v>1.2103892752168599</v>
      </c>
      <c r="N1400">
        <v>0.89450172185430499</v>
      </c>
      <c r="O1400">
        <v>0.91194339418818204</v>
      </c>
      <c r="P1400">
        <v>0</v>
      </c>
      <c r="Q1400">
        <v>0</v>
      </c>
      <c r="R1400">
        <v>0.90008103209297396</v>
      </c>
      <c r="S1400">
        <v>0</v>
      </c>
      <c r="T1400">
        <v>0</v>
      </c>
      <c r="U1400">
        <v>0</v>
      </c>
      <c r="V1400">
        <v>1.05063596764157</v>
      </c>
      <c r="W1400">
        <v>0</v>
      </c>
      <c r="X1400">
        <v>0.984645710619934</v>
      </c>
    </row>
    <row r="1401" spans="1:24">
      <c r="A1401">
        <v>244</v>
      </c>
      <c r="B1401" t="s">
        <v>3778</v>
      </c>
      <c r="C1401">
        <v>1</v>
      </c>
      <c r="D1401" t="s">
        <v>3779</v>
      </c>
      <c r="E1401">
        <v>4</v>
      </c>
      <c r="F1401">
        <v>4</v>
      </c>
      <c r="G1401">
        <v>4</v>
      </c>
      <c r="H1401" t="s">
        <v>3778</v>
      </c>
      <c r="I1401">
        <v>17</v>
      </c>
      <c r="J1401">
        <v>37.432000000000002</v>
      </c>
      <c r="K1401" t="str">
        <f>"GLRX3"</f>
        <v>GLRX3</v>
      </c>
      <c r="L1401" t="str">
        <f>"GLRX3"</f>
        <v>GLRX3</v>
      </c>
      <c r="M1401">
        <v>0</v>
      </c>
      <c r="N1401">
        <v>0.89450172185430499</v>
      </c>
      <c r="O1401">
        <v>0</v>
      </c>
      <c r="P1401">
        <v>0</v>
      </c>
      <c r="Q1401">
        <v>0</v>
      </c>
      <c r="R1401">
        <v>1.8001620641859499</v>
      </c>
      <c r="S1401">
        <v>0</v>
      </c>
      <c r="T1401">
        <v>0</v>
      </c>
      <c r="U1401">
        <v>0</v>
      </c>
      <c r="V1401">
        <v>1.05063596764157</v>
      </c>
      <c r="W1401">
        <v>0</v>
      </c>
      <c r="X1401">
        <v>0</v>
      </c>
    </row>
    <row r="1402" spans="1:24">
      <c r="A1402">
        <v>290</v>
      </c>
      <c r="B1402" t="s">
        <v>3780</v>
      </c>
      <c r="C1402">
        <v>2</v>
      </c>
      <c r="D1402" t="s">
        <v>3781</v>
      </c>
      <c r="E1402">
        <v>3</v>
      </c>
      <c r="F1402">
        <v>3</v>
      </c>
      <c r="G1402">
        <v>3</v>
      </c>
      <c r="H1402" t="s">
        <v>3782</v>
      </c>
      <c r="I1402">
        <v>20.9</v>
      </c>
      <c r="J1402">
        <v>20.776</v>
      </c>
      <c r="K1402" t="str">
        <f>"NDUFB10"</f>
        <v>NDUFB10</v>
      </c>
      <c r="L1402" t="str">
        <f>"NDUFB10"</f>
        <v>NDUFB10</v>
      </c>
      <c r="M1402">
        <v>0</v>
      </c>
      <c r="N1402">
        <v>0.89450172185430499</v>
      </c>
      <c r="O1402">
        <v>0</v>
      </c>
      <c r="P1402">
        <v>0</v>
      </c>
      <c r="Q1402">
        <v>0</v>
      </c>
      <c r="R1402">
        <v>0.90008103209297396</v>
      </c>
      <c r="S1402">
        <v>1.1331355704698001</v>
      </c>
      <c r="T1402">
        <v>0</v>
      </c>
      <c r="U1402">
        <v>1.10235831809872</v>
      </c>
      <c r="V1402">
        <v>0</v>
      </c>
      <c r="W1402">
        <v>1.27539809638918</v>
      </c>
      <c r="X1402">
        <v>2.9539371318597998</v>
      </c>
    </row>
    <row r="1403" spans="1:24">
      <c r="A1403">
        <v>371</v>
      </c>
      <c r="B1403" t="s">
        <v>3783</v>
      </c>
      <c r="C1403">
        <v>1</v>
      </c>
      <c r="D1403" t="s">
        <v>3784</v>
      </c>
      <c r="E1403">
        <v>1</v>
      </c>
      <c r="F1403">
        <v>1</v>
      </c>
      <c r="G1403">
        <v>1</v>
      </c>
      <c r="H1403" t="s">
        <v>3783</v>
      </c>
      <c r="I1403">
        <v>15.6</v>
      </c>
      <c r="J1403">
        <v>11.706</v>
      </c>
      <c r="K1403" t="s">
        <v>3712</v>
      </c>
      <c r="L1403" t="s">
        <v>3712</v>
      </c>
      <c r="M1403">
        <v>0</v>
      </c>
      <c r="N1403">
        <v>1.78900344370861</v>
      </c>
      <c r="O1403">
        <v>1.8238867883763601</v>
      </c>
      <c r="P1403">
        <v>0</v>
      </c>
      <c r="Q1403">
        <v>1.25576199330606</v>
      </c>
      <c r="R1403">
        <v>0</v>
      </c>
      <c r="S1403">
        <v>0</v>
      </c>
      <c r="T1403">
        <v>0</v>
      </c>
      <c r="U1403">
        <v>0</v>
      </c>
      <c r="V1403">
        <v>1.05063596764157</v>
      </c>
      <c r="W1403">
        <v>0</v>
      </c>
      <c r="X1403">
        <v>0</v>
      </c>
    </row>
    <row r="1404" spans="1:24">
      <c r="A1404">
        <v>534</v>
      </c>
      <c r="B1404" t="s">
        <v>3785</v>
      </c>
      <c r="C1404">
        <v>1</v>
      </c>
      <c r="D1404" t="s">
        <v>3786</v>
      </c>
      <c r="E1404">
        <v>2</v>
      </c>
      <c r="F1404">
        <v>2</v>
      </c>
      <c r="G1404">
        <v>2</v>
      </c>
      <c r="H1404" t="s">
        <v>3785</v>
      </c>
      <c r="I1404">
        <v>6.7</v>
      </c>
      <c r="J1404">
        <v>63.110999999999997</v>
      </c>
      <c r="K1404" t="str">
        <f>"HEXB"</f>
        <v>HEXB</v>
      </c>
      <c r="L1404" t="str">
        <f>"HEXB"</f>
        <v>HEXB</v>
      </c>
      <c r="M1404">
        <v>0</v>
      </c>
      <c r="N1404">
        <v>0.89450172185430499</v>
      </c>
      <c r="O1404">
        <v>0.91194339418818204</v>
      </c>
      <c r="P1404">
        <v>0</v>
      </c>
      <c r="Q1404">
        <v>0</v>
      </c>
      <c r="R1404">
        <v>2.7002430962789199</v>
      </c>
      <c r="S1404">
        <v>1.1331355704698001</v>
      </c>
      <c r="T1404">
        <v>0</v>
      </c>
      <c r="U1404">
        <v>0</v>
      </c>
      <c r="V1404">
        <v>0</v>
      </c>
      <c r="W1404">
        <v>1.27539809638918</v>
      </c>
      <c r="X1404">
        <v>0.984645710619934</v>
      </c>
    </row>
    <row r="1405" spans="1:24">
      <c r="A1405">
        <v>576</v>
      </c>
      <c r="B1405" t="s">
        <v>3787</v>
      </c>
      <c r="C1405">
        <v>1</v>
      </c>
      <c r="D1405" t="s">
        <v>3788</v>
      </c>
      <c r="E1405">
        <v>4</v>
      </c>
      <c r="F1405">
        <v>4</v>
      </c>
      <c r="G1405">
        <v>4</v>
      </c>
      <c r="H1405" t="s">
        <v>3787</v>
      </c>
      <c r="I1405">
        <v>30.4</v>
      </c>
      <c r="J1405">
        <v>14.715999999999999</v>
      </c>
      <c r="K1405" t="str">
        <f>"LGALS1"</f>
        <v>LGALS1</v>
      </c>
      <c r="L1405" t="str">
        <f>"LGALS1"</f>
        <v>LGALS1</v>
      </c>
      <c r="M1405">
        <v>0</v>
      </c>
      <c r="N1405">
        <v>0</v>
      </c>
      <c r="O1405">
        <v>0.91194339418818204</v>
      </c>
      <c r="P1405">
        <v>1.0652189274447901</v>
      </c>
      <c r="Q1405">
        <v>0</v>
      </c>
      <c r="R1405">
        <v>0.90008103209297396</v>
      </c>
      <c r="S1405">
        <v>1.1331355704698001</v>
      </c>
      <c r="T1405">
        <v>1.18448996772836</v>
      </c>
      <c r="U1405">
        <v>1.10235831809872</v>
      </c>
      <c r="V1405">
        <v>0</v>
      </c>
      <c r="W1405">
        <v>0</v>
      </c>
      <c r="X1405">
        <v>0</v>
      </c>
    </row>
    <row r="1406" spans="1:24">
      <c r="A1406">
        <v>601</v>
      </c>
      <c r="B1406" t="s">
        <v>3789</v>
      </c>
      <c r="C1406">
        <v>1</v>
      </c>
      <c r="D1406" t="s">
        <v>3790</v>
      </c>
      <c r="E1406">
        <v>12</v>
      </c>
      <c r="F1406">
        <v>2</v>
      </c>
      <c r="G1406">
        <v>2</v>
      </c>
      <c r="H1406" t="s">
        <v>3789</v>
      </c>
      <c r="I1406">
        <v>89.6</v>
      </c>
      <c r="J1406">
        <v>11.237</v>
      </c>
      <c r="K1406" t="str">
        <f>"IGLC3"</f>
        <v>IGLC3</v>
      </c>
      <c r="L1406" t="str">
        <f>"IGLC3"</f>
        <v>IGLC3</v>
      </c>
      <c r="M1406">
        <v>1.2103892752168599</v>
      </c>
      <c r="N1406">
        <v>0.89450172185430499</v>
      </c>
      <c r="O1406">
        <v>0</v>
      </c>
      <c r="P1406">
        <v>0</v>
      </c>
      <c r="Q1406">
        <v>1.25576199330606</v>
      </c>
      <c r="R1406">
        <v>1.8001620641859499</v>
      </c>
      <c r="S1406">
        <v>0</v>
      </c>
      <c r="T1406">
        <v>1.18448996772836</v>
      </c>
      <c r="U1406">
        <v>0</v>
      </c>
      <c r="V1406">
        <v>0</v>
      </c>
      <c r="W1406">
        <v>0</v>
      </c>
      <c r="X1406">
        <v>0</v>
      </c>
    </row>
    <row r="1407" spans="1:24">
      <c r="A1407">
        <v>697</v>
      </c>
      <c r="B1407" t="s">
        <v>3791</v>
      </c>
      <c r="C1407">
        <v>1</v>
      </c>
      <c r="D1407" t="s">
        <v>3792</v>
      </c>
      <c r="E1407">
        <v>9</v>
      </c>
      <c r="F1407">
        <v>9</v>
      </c>
      <c r="G1407">
        <v>9</v>
      </c>
      <c r="H1407" t="s">
        <v>3791</v>
      </c>
      <c r="I1407">
        <v>12.4</v>
      </c>
      <c r="J1407">
        <v>109.54</v>
      </c>
      <c r="K1407" t="str">
        <f>"ANPEP"</f>
        <v>ANPEP</v>
      </c>
      <c r="L1407" t="str">
        <f>"ANPEP"</f>
        <v>ANPEP</v>
      </c>
      <c r="M1407">
        <v>1.2103892752168599</v>
      </c>
      <c r="N1407">
        <v>0.89450172185430499</v>
      </c>
      <c r="O1407">
        <v>6.3836037593172703</v>
      </c>
      <c r="P1407">
        <v>0</v>
      </c>
      <c r="Q1407">
        <v>0</v>
      </c>
      <c r="R1407">
        <v>0</v>
      </c>
      <c r="S1407">
        <v>2.2662711409396001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>
      <c r="A1408">
        <v>706</v>
      </c>
      <c r="B1408" t="s">
        <v>3793</v>
      </c>
      <c r="C1408">
        <v>1</v>
      </c>
      <c r="D1408" t="s">
        <v>3794</v>
      </c>
      <c r="E1408">
        <v>2</v>
      </c>
      <c r="F1408">
        <v>2</v>
      </c>
      <c r="G1408">
        <v>2</v>
      </c>
      <c r="H1408" t="s">
        <v>3793</v>
      </c>
      <c r="I1408">
        <v>14.1</v>
      </c>
      <c r="J1408">
        <v>22.963000000000001</v>
      </c>
      <c r="K1408" t="str">
        <f>"IGLL1"</f>
        <v>IGLL1</v>
      </c>
      <c r="L1408" t="str">
        <f>"IGLL1"</f>
        <v>IGLL1</v>
      </c>
      <c r="M1408">
        <v>1.2103892752168599</v>
      </c>
      <c r="N1408">
        <v>0</v>
      </c>
      <c r="O1408">
        <v>0</v>
      </c>
      <c r="P1408">
        <v>0</v>
      </c>
      <c r="Q1408">
        <v>1.25576199330606</v>
      </c>
      <c r="R1408">
        <v>0.90008103209297396</v>
      </c>
      <c r="S1408">
        <v>0</v>
      </c>
      <c r="T1408">
        <v>2.3689799354567098</v>
      </c>
      <c r="U1408">
        <v>1.10235831809872</v>
      </c>
      <c r="V1408">
        <v>0</v>
      </c>
      <c r="W1408">
        <v>0</v>
      </c>
      <c r="X1408">
        <v>0</v>
      </c>
    </row>
    <row r="1409" spans="1:24">
      <c r="A1409">
        <v>813</v>
      </c>
      <c r="B1409" t="s">
        <v>3795</v>
      </c>
      <c r="C1409">
        <v>2</v>
      </c>
      <c r="D1409" t="s">
        <v>3796</v>
      </c>
      <c r="E1409">
        <v>5</v>
      </c>
      <c r="F1409">
        <v>5</v>
      </c>
      <c r="G1409">
        <v>5</v>
      </c>
      <c r="H1409" t="s">
        <v>3797</v>
      </c>
      <c r="I1409">
        <v>26.1</v>
      </c>
      <c r="J1409">
        <v>21.064</v>
      </c>
      <c r="K1409" t="str">
        <f>"DTYMK"</f>
        <v>DTYMK</v>
      </c>
      <c r="L1409" t="str">
        <f>"DTYMK"</f>
        <v>DTYMK</v>
      </c>
      <c r="M1409">
        <v>0</v>
      </c>
      <c r="N1409">
        <v>0.89450172185430499</v>
      </c>
      <c r="O1409">
        <v>0</v>
      </c>
      <c r="P1409">
        <v>1.0652189274447901</v>
      </c>
      <c r="Q1409">
        <v>0</v>
      </c>
      <c r="R1409">
        <v>0.90008103209297396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0.984645710619934</v>
      </c>
    </row>
    <row r="1410" spans="1:24">
      <c r="A1410">
        <v>1433</v>
      </c>
      <c r="B1410" t="s">
        <v>3798</v>
      </c>
      <c r="C1410">
        <v>2</v>
      </c>
      <c r="D1410" t="s">
        <v>3799</v>
      </c>
      <c r="E1410">
        <v>8</v>
      </c>
      <c r="F1410">
        <v>4</v>
      </c>
      <c r="G1410">
        <v>4</v>
      </c>
      <c r="H1410" t="s">
        <v>3800</v>
      </c>
      <c r="I1410">
        <v>18.100000000000001</v>
      </c>
      <c r="J1410">
        <v>56.3</v>
      </c>
      <c r="K1410" t="str">
        <f>"STK3"</f>
        <v>STK3</v>
      </c>
      <c r="L1410" t="str">
        <f>"STK3"</f>
        <v>STK3</v>
      </c>
      <c r="M1410">
        <v>0</v>
      </c>
      <c r="N1410">
        <v>1.78900344370861</v>
      </c>
      <c r="O1410">
        <v>0</v>
      </c>
      <c r="P1410">
        <v>0</v>
      </c>
      <c r="Q1410">
        <v>0</v>
      </c>
      <c r="R1410">
        <v>0.90008103209297396</v>
      </c>
      <c r="S1410">
        <v>0</v>
      </c>
      <c r="T1410">
        <v>0</v>
      </c>
      <c r="U1410">
        <v>1.10235831809872</v>
      </c>
      <c r="V1410">
        <v>0</v>
      </c>
      <c r="W1410">
        <v>1.27539809638918</v>
      </c>
      <c r="X1410">
        <v>1.96929142123987</v>
      </c>
    </row>
    <row r="1411" spans="1:24">
      <c r="A1411">
        <v>1440</v>
      </c>
      <c r="B1411" t="s">
        <v>3801</v>
      </c>
      <c r="C1411">
        <v>1</v>
      </c>
      <c r="D1411" t="s">
        <v>3802</v>
      </c>
      <c r="E1411">
        <v>4</v>
      </c>
      <c r="F1411">
        <v>4</v>
      </c>
      <c r="G1411">
        <v>4</v>
      </c>
      <c r="H1411" t="s">
        <v>3801</v>
      </c>
      <c r="I1411">
        <v>16</v>
      </c>
      <c r="J1411">
        <v>36.500999999999998</v>
      </c>
      <c r="K1411" t="str">
        <f>"EIF3I"</f>
        <v>EIF3I</v>
      </c>
      <c r="L1411" t="str">
        <f>"EIF3I"</f>
        <v>EIF3I</v>
      </c>
      <c r="M1411">
        <v>0</v>
      </c>
      <c r="N1411">
        <v>0.89450172185430499</v>
      </c>
      <c r="O1411">
        <v>1.8238867883763601</v>
      </c>
      <c r="P1411">
        <v>1.0652189274447901</v>
      </c>
      <c r="Q1411">
        <v>0</v>
      </c>
      <c r="R1411">
        <v>0.90008103209297396</v>
      </c>
      <c r="S1411">
        <v>0</v>
      </c>
      <c r="T1411">
        <v>1.18448996772836</v>
      </c>
      <c r="U1411">
        <v>0</v>
      </c>
      <c r="V1411">
        <v>1.05063596764157</v>
      </c>
      <c r="W1411">
        <v>0</v>
      </c>
      <c r="X1411">
        <v>0.984645710619934</v>
      </c>
    </row>
    <row r="1412" spans="1:24">
      <c r="A1412">
        <v>1445</v>
      </c>
      <c r="B1412" t="s">
        <v>3803</v>
      </c>
      <c r="C1412">
        <v>2</v>
      </c>
      <c r="D1412" t="s">
        <v>3804</v>
      </c>
      <c r="E1412">
        <v>6</v>
      </c>
      <c r="F1412">
        <v>6</v>
      </c>
      <c r="G1412">
        <v>6</v>
      </c>
      <c r="H1412" t="s">
        <v>3805</v>
      </c>
      <c r="I1412">
        <v>18.399999999999999</v>
      </c>
      <c r="J1412">
        <v>51.212000000000003</v>
      </c>
      <c r="K1412" t="str">
        <f>"FKBP5"</f>
        <v>FKBP5</v>
      </c>
      <c r="L1412" t="str">
        <f>"FKBP5"</f>
        <v>FKBP5</v>
      </c>
      <c r="M1412">
        <v>0</v>
      </c>
      <c r="N1412">
        <v>0.89450172185430499</v>
      </c>
      <c r="O1412">
        <v>0</v>
      </c>
      <c r="P1412">
        <v>0</v>
      </c>
      <c r="Q1412">
        <v>0</v>
      </c>
      <c r="R1412">
        <v>1.8001620641859499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</row>
    <row r="1413" spans="1:24">
      <c r="A1413">
        <v>1453</v>
      </c>
      <c r="B1413" t="s">
        <v>3806</v>
      </c>
      <c r="C1413">
        <v>1</v>
      </c>
      <c r="D1413" t="s">
        <v>3807</v>
      </c>
      <c r="E1413">
        <v>5</v>
      </c>
      <c r="F1413">
        <v>5</v>
      </c>
      <c r="G1413">
        <v>5</v>
      </c>
      <c r="H1413" t="s">
        <v>3806</v>
      </c>
      <c r="I1413">
        <v>44.2</v>
      </c>
      <c r="J1413">
        <v>18.242999999999999</v>
      </c>
      <c r="K1413" t="str">
        <f>"PIN1"</f>
        <v>PIN1</v>
      </c>
      <c r="L1413" t="str">
        <f>"PIN1"</f>
        <v>PIN1</v>
      </c>
      <c r="M1413">
        <v>0</v>
      </c>
      <c r="N1413">
        <v>0.89450172185430499</v>
      </c>
      <c r="O1413">
        <v>0</v>
      </c>
      <c r="P1413">
        <v>1.0652189274447901</v>
      </c>
      <c r="Q1413">
        <v>0</v>
      </c>
      <c r="R1413">
        <v>0.90008103209297396</v>
      </c>
      <c r="S1413">
        <v>1.1331355704698001</v>
      </c>
      <c r="T1413">
        <v>0</v>
      </c>
      <c r="U1413">
        <v>1.10235831809872</v>
      </c>
      <c r="V1413">
        <v>0</v>
      </c>
      <c r="W1413">
        <v>0</v>
      </c>
      <c r="X1413">
        <v>0.984645710619934</v>
      </c>
    </row>
    <row r="1414" spans="1:24">
      <c r="A1414">
        <v>1600</v>
      </c>
      <c r="B1414" t="s">
        <v>3808</v>
      </c>
      <c r="C1414">
        <v>1</v>
      </c>
      <c r="D1414" t="s">
        <v>3809</v>
      </c>
      <c r="E1414">
        <v>5</v>
      </c>
      <c r="F1414">
        <v>5</v>
      </c>
      <c r="G1414">
        <v>5</v>
      </c>
      <c r="H1414" t="s">
        <v>3808</v>
      </c>
      <c r="I1414">
        <v>16.7</v>
      </c>
      <c r="J1414">
        <v>42.509</v>
      </c>
      <c r="K1414" t="str">
        <f>"NDUFA9"</f>
        <v>NDUFA9</v>
      </c>
      <c r="L1414" t="str">
        <f>"NDUFA9"</f>
        <v>NDUFA9</v>
      </c>
      <c r="M1414">
        <v>1.2103892752168599</v>
      </c>
      <c r="N1414">
        <v>0</v>
      </c>
      <c r="O1414">
        <v>0</v>
      </c>
      <c r="P1414">
        <v>1.0652189274447901</v>
      </c>
      <c r="Q1414">
        <v>0</v>
      </c>
      <c r="R1414">
        <v>0.90008103209297396</v>
      </c>
      <c r="S1414">
        <v>0</v>
      </c>
      <c r="T1414">
        <v>0</v>
      </c>
      <c r="U1414">
        <v>0</v>
      </c>
      <c r="V1414">
        <v>1.05063596764157</v>
      </c>
      <c r="W1414">
        <v>1.27539809638918</v>
      </c>
      <c r="X1414">
        <v>0</v>
      </c>
    </row>
    <row r="1415" spans="1:24">
      <c r="A1415">
        <v>1720</v>
      </c>
      <c r="B1415" t="s">
        <v>3810</v>
      </c>
      <c r="C1415">
        <v>2</v>
      </c>
      <c r="D1415" t="s">
        <v>3811</v>
      </c>
      <c r="E1415">
        <v>3</v>
      </c>
      <c r="F1415">
        <v>3</v>
      </c>
      <c r="G1415">
        <v>3</v>
      </c>
      <c r="H1415" t="s">
        <v>3812</v>
      </c>
      <c r="I1415">
        <v>10.4</v>
      </c>
      <c r="J1415">
        <v>36.503999999999998</v>
      </c>
      <c r="K1415" t="str">
        <f>"GET4"</f>
        <v>GET4</v>
      </c>
      <c r="L1415" t="str">
        <f>"GET4"</f>
        <v>GET4</v>
      </c>
      <c r="M1415">
        <v>0</v>
      </c>
      <c r="N1415">
        <v>0</v>
      </c>
      <c r="O1415">
        <v>1.8238867883763601</v>
      </c>
      <c r="P1415">
        <v>0</v>
      </c>
      <c r="Q1415">
        <v>0</v>
      </c>
      <c r="R1415">
        <v>0.90008103209297396</v>
      </c>
      <c r="S1415">
        <v>1.1331355704698001</v>
      </c>
      <c r="T1415">
        <v>0</v>
      </c>
      <c r="U1415">
        <v>0</v>
      </c>
      <c r="V1415">
        <v>0</v>
      </c>
      <c r="W1415">
        <v>0</v>
      </c>
      <c r="X1415">
        <v>0.984645710619934</v>
      </c>
    </row>
    <row r="1416" spans="1:24">
      <c r="A1416">
        <v>1765</v>
      </c>
      <c r="B1416" t="s">
        <v>3813</v>
      </c>
      <c r="C1416">
        <v>3</v>
      </c>
      <c r="D1416" t="s">
        <v>3814</v>
      </c>
      <c r="E1416">
        <v>8</v>
      </c>
      <c r="F1416">
        <v>8</v>
      </c>
      <c r="G1416">
        <v>8</v>
      </c>
      <c r="H1416" t="s">
        <v>3815</v>
      </c>
      <c r="I1416">
        <v>11.6</v>
      </c>
      <c r="J1416">
        <v>79.844999999999999</v>
      </c>
      <c r="K1416" t="str">
        <f>"SLC44A2"</f>
        <v>SLC44A2</v>
      </c>
      <c r="L1416" t="str">
        <f>"SLC44A2"</f>
        <v>SLC44A2</v>
      </c>
      <c r="M1416">
        <v>0</v>
      </c>
      <c r="N1416">
        <v>0.89450172185430499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1.05063596764157</v>
      </c>
      <c r="W1416">
        <v>2.5507961927783702</v>
      </c>
      <c r="X1416">
        <v>1.96929142123987</v>
      </c>
    </row>
    <row r="1417" spans="1:24">
      <c r="A1417">
        <v>1788</v>
      </c>
      <c r="B1417" t="s">
        <v>3816</v>
      </c>
      <c r="C1417">
        <v>1</v>
      </c>
      <c r="D1417" t="s">
        <v>3817</v>
      </c>
      <c r="E1417">
        <v>4</v>
      </c>
      <c r="F1417">
        <v>4</v>
      </c>
      <c r="G1417">
        <v>4</v>
      </c>
      <c r="H1417" t="s">
        <v>3816</v>
      </c>
      <c r="I1417">
        <v>26.8</v>
      </c>
      <c r="J1417">
        <v>28.081</v>
      </c>
      <c r="K1417" t="str">
        <f>"TMEM55A"</f>
        <v>TMEM55A</v>
      </c>
      <c r="L1417" t="str">
        <f>"TMEM55A"</f>
        <v>TMEM55A</v>
      </c>
      <c r="M1417">
        <v>0</v>
      </c>
      <c r="N1417">
        <v>1.78900344370861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1.10235831809872</v>
      </c>
      <c r="V1417">
        <v>0</v>
      </c>
      <c r="W1417">
        <v>0</v>
      </c>
      <c r="X1417">
        <v>0</v>
      </c>
    </row>
    <row r="1418" spans="1:24">
      <c r="A1418">
        <v>1794</v>
      </c>
      <c r="B1418" t="s">
        <v>3818</v>
      </c>
      <c r="C1418">
        <v>4</v>
      </c>
      <c r="D1418" t="s">
        <v>3819</v>
      </c>
      <c r="E1418">
        <v>2</v>
      </c>
      <c r="F1418">
        <v>2</v>
      </c>
      <c r="G1418">
        <v>2</v>
      </c>
      <c r="H1418" t="s">
        <v>3820</v>
      </c>
      <c r="I1418">
        <v>3.7</v>
      </c>
      <c r="J1418">
        <v>109.42</v>
      </c>
      <c r="K1418" t="str">
        <f>"EMC1"</f>
        <v>EMC1</v>
      </c>
      <c r="L1418" t="str">
        <f>"EMC1"</f>
        <v>EMC1</v>
      </c>
      <c r="M1418">
        <v>0</v>
      </c>
      <c r="N1418">
        <v>0.89450172185430499</v>
      </c>
      <c r="O1418">
        <v>0.91194339418818204</v>
      </c>
      <c r="P1418">
        <v>0</v>
      </c>
      <c r="Q1418">
        <v>0</v>
      </c>
      <c r="R1418">
        <v>0.90008103209297396</v>
      </c>
      <c r="S1418">
        <v>1.1331355704698001</v>
      </c>
      <c r="T1418">
        <v>0</v>
      </c>
      <c r="U1418">
        <v>0</v>
      </c>
      <c r="V1418">
        <v>1.05063596764157</v>
      </c>
      <c r="W1418">
        <v>1.27539809638918</v>
      </c>
      <c r="X1418">
        <v>0.984645710619934</v>
      </c>
    </row>
    <row r="1419" spans="1:24">
      <c r="A1419">
        <v>1855</v>
      </c>
      <c r="B1419" t="s">
        <v>3821</v>
      </c>
      <c r="C1419">
        <v>12</v>
      </c>
      <c r="D1419" t="s">
        <v>3822</v>
      </c>
      <c r="E1419">
        <v>2</v>
      </c>
      <c r="F1419">
        <v>2</v>
      </c>
      <c r="G1419">
        <v>2</v>
      </c>
      <c r="H1419" t="s">
        <v>3823</v>
      </c>
      <c r="I1419">
        <v>0.2</v>
      </c>
      <c r="J1419">
        <v>2992.9</v>
      </c>
      <c r="K1419" t="str">
        <f>"TTN"</f>
        <v>TTN</v>
      </c>
      <c r="L1419" t="str">
        <f>"TTN"</f>
        <v>TTN</v>
      </c>
      <c r="M1419">
        <v>0</v>
      </c>
      <c r="N1419">
        <v>0</v>
      </c>
      <c r="O1419">
        <v>0</v>
      </c>
      <c r="P1419">
        <v>1.0652189274447901</v>
      </c>
      <c r="Q1419">
        <v>1.25576199330606</v>
      </c>
      <c r="R1419">
        <v>0.90008103209297396</v>
      </c>
      <c r="S1419">
        <v>0</v>
      </c>
      <c r="T1419">
        <v>0</v>
      </c>
      <c r="U1419">
        <v>0</v>
      </c>
      <c r="V1419">
        <v>1.05063596764157</v>
      </c>
      <c r="W1419">
        <v>0</v>
      </c>
      <c r="X1419">
        <v>1.96929142123987</v>
      </c>
    </row>
    <row r="1420" spans="1:24">
      <c r="A1420">
        <v>1952</v>
      </c>
      <c r="B1420" t="s">
        <v>3824</v>
      </c>
      <c r="C1420">
        <v>1</v>
      </c>
      <c r="D1420" t="s">
        <v>3825</v>
      </c>
      <c r="E1420">
        <v>6</v>
      </c>
      <c r="F1420">
        <v>6</v>
      </c>
      <c r="G1420">
        <v>6</v>
      </c>
      <c r="H1420" t="s">
        <v>3824</v>
      </c>
      <c r="I1420">
        <v>16.8</v>
      </c>
      <c r="J1420">
        <v>56.704999999999998</v>
      </c>
      <c r="K1420" t="str">
        <f>"CNDP1"</f>
        <v>CNDP1</v>
      </c>
      <c r="L1420" t="str">
        <f>"CNDP1"</f>
        <v>CNDP1</v>
      </c>
      <c r="M1420">
        <v>3.6311678256505799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1.18448996772836</v>
      </c>
      <c r="U1420">
        <v>0</v>
      </c>
      <c r="V1420">
        <v>1.05063596764157</v>
      </c>
      <c r="W1420">
        <v>1.27539809638918</v>
      </c>
      <c r="X1420">
        <v>0</v>
      </c>
    </row>
    <row r="1421" spans="1:24">
      <c r="A1421">
        <v>1985</v>
      </c>
      <c r="B1421" t="s">
        <v>3826</v>
      </c>
      <c r="C1421">
        <v>4</v>
      </c>
      <c r="D1421" t="s">
        <v>3827</v>
      </c>
      <c r="E1421">
        <v>6</v>
      </c>
      <c r="F1421">
        <v>6</v>
      </c>
      <c r="G1421">
        <v>6</v>
      </c>
      <c r="H1421" t="s">
        <v>3828</v>
      </c>
      <c r="I1421">
        <v>13.4</v>
      </c>
      <c r="J1421">
        <v>72.715999999999994</v>
      </c>
      <c r="K1421" t="str">
        <f>"GAS2L1"</f>
        <v>GAS2L1</v>
      </c>
      <c r="L1421" t="str">
        <f>"GAS2L1"</f>
        <v>GAS2L1</v>
      </c>
      <c r="M1421">
        <v>0</v>
      </c>
      <c r="N1421">
        <v>1.78900344370861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1.10235831809872</v>
      </c>
      <c r="V1421">
        <v>0</v>
      </c>
      <c r="W1421">
        <v>0</v>
      </c>
      <c r="X1421">
        <v>0.984645710619934</v>
      </c>
    </row>
    <row r="1422" spans="1:24">
      <c r="A1422">
        <v>1997</v>
      </c>
      <c r="B1422" t="s">
        <v>3829</v>
      </c>
      <c r="C1422">
        <v>1</v>
      </c>
      <c r="D1422" t="s">
        <v>3830</v>
      </c>
      <c r="E1422">
        <v>14</v>
      </c>
      <c r="F1422">
        <v>3</v>
      </c>
      <c r="G1422">
        <v>3</v>
      </c>
      <c r="H1422" t="s">
        <v>3829</v>
      </c>
      <c r="I1422">
        <v>39.299999999999997</v>
      </c>
      <c r="J1422">
        <v>39.331000000000003</v>
      </c>
      <c r="K1422" t="str">
        <f>"SEPT5"</f>
        <v>SEPT5</v>
      </c>
      <c r="L1422" t="str">
        <f>"SEPT5"</f>
        <v>SEPT5</v>
      </c>
      <c r="M1422">
        <v>0</v>
      </c>
      <c r="N1422">
        <v>0.89450172185430499</v>
      </c>
      <c r="O1422">
        <v>0</v>
      </c>
      <c r="P1422">
        <v>1.0652189274447901</v>
      </c>
      <c r="Q1422">
        <v>0</v>
      </c>
      <c r="R1422">
        <v>0.90008103209297396</v>
      </c>
      <c r="S1422">
        <v>1.1331355704698001</v>
      </c>
      <c r="T1422">
        <v>0</v>
      </c>
      <c r="U1422">
        <v>1.10235831809872</v>
      </c>
      <c r="V1422">
        <v>0</v>
      </c>
      <c r="W1422">
        <v>1.27539809638918</v>
      </c>
      <c r="X1422">
        <v>1.96929142123987</v>
      </c>
    </row>
    <row r="1423" spans="1:24">
      <c r="A1423">
        <v>2025</v>
      </c>
      <c r="B1423" t="s">
        <v>3831</v>
      </c>
      <c r="C1423">
        <v>2</v>
      </c>
      <c r="D1423" t="s">
        <v>3832</v>
      </c>
      <c r="E1423">
        <v>1</v>
      </c>
      <c r="F1423">
        <v>1</v>
      </c>
      <c r="G1423">
        <v>1</v>
      </c>
      <c r="H1423" t="s">
        <v>3833</v>
      </c>
      <c r="I1423">
        <v>2.7</v>
      </c>
      <c r="J1423">
        <v>42.783000000000001</v>
      </c>
      <c r="K1423" t="str">
        <f>"INPP5K"</f>
        <v>INPP5K</v>
      </c>
      <c r="L1423" t="str">
        <f>"INPP5K"</f>
        <v>INPP5K</v>
      </c>
      <c r="M1423">
        <v>0</v>
      </c>
      <c r="N1423">
        <v>0.89450172185430499</v>
      </c>
      <c r="O1423">
        <v>0.91194339418818204</v>
      </c>
      <c r="P1423">
        <v>1.0652189274447901</v>
      </c>
      <c r="Q1423">
        <v>0</v>
      </c>
      <c r="R1423">
        <v>0</v>
      </c>
      <c r="S1423">
        <v>1.1331355704698001</v>
      </c>
      <c r="T1423">
        <v>0</v>
      </c>
      <c r="U1423">
        <v>0</v>
      </c>
      <c r="V1423">
        <v>0</v>
      </c>
      <c r="W1423">
        <v>0</v>
      </c>
      <c r="X1423">
        <v>0.984645710619934</v>
      </c>
    </row>
    <row r="1424" spans="1:24">
      <c r="A1424">
        <v>2081</v>
      </c>
      <c r="B1424" t="s">
        <v>3834</v>
      </c>
      <c r="C1424">
        <v>1</v>
      </c>
      <c r="D1424" t="s">
        <v>3835</v>
      </c>
      <c r="E1424">
        <v>1</v>
      </c>
      <c r="F1424">
        <v>1</v>
      </c>
      <c r="G1424">
        <v>1</v>
      </c>
      <c r="H1424" t="s">
        <v>3834</v>
      </c>
      <c r="I1424">
        <v>3.7</v>
      </c>
      <c r="J1424">
        <v>38.951999999999998</v>
      </c>
      <c r="K1424" t="str">
        <f>"TMX4"</f>
        <v>TMX4</v>
      </c>
      <c r="L1424" t="str">
        <f>"TMX4"</f>
        <v>TMX4</v>
      </c>
      <c r="M1424">
        <v>0</v>
      </c>
      <c r="N1424">
        <v>0.89450172185430499</v>
      </c>
      <c r="O1424">
        <v>1.8238867883763601</v>
      </c>
      <c r="P1424">
        <v>0</v>
      </c>
      <c r="Q1424">
        <v>0</v>
      </c>
      <c r="R1424">
        <v>0.90008103209297396</v>
      </c>
      <c r="S1424">
        <v>1.1331355704698001</v>
      </c>
      <c r="T1424">
        <v>0</v>
      </c>
      <c r="U1424">
        <v>1.10235831809872</v>
      </c>
      <c r="V1424">
        <v>0</v>
      </c>
      <c r="W1424">
        <v>1.27539809638918</v>
      </c>
      <c r="X1424">
        <v>0.984645710619934</v>
      </c>
    </row>
    <row r="1425" spans="1:24">
      <c r="A1425">
        <v>2090</v>
      </c>
      <c r="B1425" t="s">
        <v>3836</v>
      </c>
      <c r="C1425">
        <v>2</v>
      </c>
      <c r="D1425" t="s">
        <v>3837</v>
      </c>
      <c r="E1425">
        <v>9</v>
      </c>
      <c r="F1425">
        <v>9</v>
      </c>
      <c r="G1425">
        <v>9</v>
      </c>
      <c r="H1425" t="s">
        <v>3838</v>
      </c>
      <c r="I1425">
        <v>7.2</v>
      </c>
      <c r="J1425">
        <v>155.97999999999999</v>
      </c>
      <c r="K1425" t="str">
        <f>"RAB3GAP2"</f>
        <v>RAB3GAP2</v>
      </c>
      <c r="L1425" t="str">
        <f>"RAB3GAP2"</f>
        <v>RAB3GAP2</v>
      </c>
      <c r="M1425">
        <v>0</v>
      </c>
      <c r="N1425">
        <v>0.89450172185430499</v>
      </c>
      <c r="O1425">
        <v>1.8238867883763601</v>
      </c>
      <c r="P1425">
        <v>0</v>
      </c>
      <c r="Q1425">
        <v>0</v>
      </c>
      <c r="R1425">
        <v>1.8001620641859499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0.984645710619934</v>
      </c>
    </row>
    <row r="1426" spans="1:24">
      <c r="A1426">
        <v>2096</v>
      </c>
      <c r="B1426" t="s">
        <v>3839</v>
      </c>
      <c r="C1426">
        <v>6</v>
      </c>
      <c r="D1426" t="s">
        <v>3840</v>
      </c>
      <c r="E1426">
        <v>2</v>
      </c>
      <c r="F1426">
        <v>2</v>
      </c>
      <c r="G1426">
        <v>2</v>
      </c>
      <c r="H1426" t="s">
        <v>3841</v>
      </c>
      <c r="I1426">
        <v>5.4</v>
      </c>
      <c r="J1426">
        <v>46.619</v>
      </c>
      <c r="K1426" t="str">
        <f>"MFSD1"</f>
        <v>MFSD1</v>
      </c>
      <c r="L1426" t="str">
        <f>"MFSD1"</f>
        <v>MFSD1</v>
      </c>
      <c r="M1426">
        <v>0</v>
      </c>
      <c r="N1426">
        <v>0</v>
      </c>
      <c r="O1426">
        <v>1.8238867883763601</v>
      </c>
      <c r="P1426">
        <v>1.0652189274447901</v>
      </c>
      <c r="Q1426">
        <v>0</v>
      </c>
      <c r="R1426">
        <v>0.90008103209297396</v>
      </c>
      <c r="S1426">
        <v>1.1331355704698001</v>
      </c>
      <c r="T1426">
        <v>1.18448996772836</v>
      </c>
      <c r="U1426">
        <v>0</v>
      </c>
      <c r="V1426">
        <v>0</v>
      </c>
      <c r="W1426">
        <v>0</v>
      </c>
      <c r="X1426">
        <v>0.984645710619934</v>
      </c>
    </row>
    <row r="1427" spans="1:24">
      <c r="A1427">
        <v>2188</v>
      </c>
      <c r="B1427" t="s">
        <v>3842</v>
      </c>
      <c r="C1427">
        <v>2</v>
      </c>
      <c r="D1427" t="s">
        <v>3843</v>
      </c>
      <c r="E1427">
        <v>1</v>
      </c>
      <c r="F1427">
        <v>1</v>
      </c>
      <c r="G1427">
        <v>1</v>
      </c>
      <c r="H1427" t="s">
        <v>3844</v>
      </c>
      <c r="I1427">
        <v>4.2</v>
      </c>
      <c r="J1427">
        <v>35.918999999999997</v>
      </c>
      <c r="K1427" t="str">
        <f>"CLN6"</f>
        <v>CLN6</v>
      </c>
      <c r="L1427" t="str">
        <f>"CLN6"</f>
        <v>CLN6</v>
      </c>
      <c r="M1427">
        <v>1.2103892752168599</v>
      </c>
      <c r="N1427">
        <v>0</v>
      </c>
      <c r="O1427">
        <v>0.91194339418818204</v>
      </c>
      <c r="P1427">
        <v>0</v>
      </c>
      <c r="Q1427">
        <v>0</v>
      </c>
      <c r="R1427">
        <v>0.90008103209297396</v>
      </c>
      <c r="S1427">
        <v>1.1331355704698001</v>
      </c>
      <c r="T1427">
        <v>1.18448996772836</v>
      </c>
      <c r="U1427">
        <v>1.10235831809872</v>
      </c>
      <c r="V1427">
        <v>1.05063596764157</v>
      </c>
      <c r="W1427">
        <v>0</v>
      </c>
      <c r="X1427">
        <v>0.984645710619934</v>
      </c>
    </row>
    <row r="1428" spans="1:24">
      <c r="A1428">
        <v>2189</v>
      </c>
      <c r="B1428" t="s">
        <v>3845</v>
      </c>
      <c r="C1428">
        <v>2</v>
      </c>
      <c r="D1428" t="s">
        <v>3846</v>
      </c>
      <c r="E1428">
        <v>5</v>
      </c>
      <c r="F1428">
        <v>5</v>
      </c>
      <c r="G1428">
        <v>5</v>
      </c>
      <c r="H1428" t="s">
        <v>3847</v>
      </c>
      <c r="I1428">
        <v>13.5</v>
      </c>
      <c r="J1428">
        <v>51.529000000000003</v>
      </c>
      <c r="K1428" t="str">
        <f>"IRAK4"</f>
        <v>IRAK4</v>
      </c>
      <c r="L1428" t="str">
        <f>"IRAK4"</f>
        <v>IRAK4</v>
      </c>
      <c r="M1428">
        <v>0</v>
      </c>
      <c r="N1428">
        <v>0.89450172185430499</v>
      </c>
      <c r="O1428">
        <v>0</v>
      </c>
      <c r="P1428">
        <v>1.0652189274447901</v>
      </c>
      <c r="Q1428">
        <v>0</v>
      </c>
      <c r="R1428">
        <v>0.90008103209297396</v>
      </c>
      <c r="S1428">
        <v>0</v>
      </c>
      <c r="T1428">
        <v>0</v>
      </c>
      <c r="U1428">
        <v>1.10235831809872</v>
      </c>
      <c r="V1428">
        <v>1.05063596764157</v>
      </c>
      <c r="W1428">
        <v>1.27539809638918</v>
      </c>
      <c r="X1428">
        <v>0</v>
      </c>
    </row>
    <row r="1429" spans="1:24">
      <c r="A1429">
        <v>2235</v>
      </c>
      <c r="B1429" t="s">
        <v>3848</v>
      </c>
      <c r="C1429">
        <v>2</v>
      </c>
      <c r="D1429" t="s">
        <v>3849</v>
      </c>
      <c r="E1429">
        <v>6</v>
      </c>
      <c r="F1429">
        <v>4</v>
      </c>
      <c r="G1429">
        <v>4</v>
      </c>
      <c r="H1429" t="s">
        <v>3850</v>
      </c>
      <c r="I1429">
        <v>8.3000000000000007</v>
      </c>
      <c r="J1429">
        <v>111.78</v>
      </c>
      <c r="K1429" t="str">
        <f>"CLIP2"</f>
        <v>CLIP2</v>
      </c>
      <c r="L1429" t="str">
        <f>"CLIP2"</f>
        <v>CLIP2</v>
      </c>
      <c r="M1429">
        <v>0</v>
      </c>
      <c r="N1429">
        <v>1.78900344370861</v>
      </c>
      <c r="O1429">
        <v>0.91194339418818204</v>
      </c>
      <c r="P1429">
        <v>1.0652189274447901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0.984645710619934</v>
      </c>
    </row>
    <row r="1430" spans="1:24">
      <c r="A1430">
        <v>2334</v>
      </c>
      <c r="B1430" t="s">
        <v>3851</v>
      </c>
      <c r="C1430">
        <v>4</v>
      </c>
      <c r="D1430" t="s">
        <v>3852</v>
      </c>
      <c r="E1430">
        <v>7</v>
      </c>
      <c r="F1430">
        <v>7</v>
      </c>
      <c r="G1430">
        <v>7</v>
      </c>
      <c r="H1430" t="s">
        <v>3853</v>
      </c>
      <c r="I1430">
        <v>25.1</v>
      </c>
      <c r="J1430">
        <v>43.206000000000003</v>
      </c>
      <c r="K1430" t="str">
        <f>"ACOT9"</f>
        <v>ACOT9</v>
      </c>
      <c r="L1430" t="str">
        <f>"ACOT9"</f>
        <v>ACOT9</v>
      </c>
      <c r="M1430">
        <v>0</v>
      </c>
      <c r="N1430">
        <v>0</v>
      </c>
      <c r="O1430">
        <v>0.91194339418818204</v>
      </c>
      <c r="P1430">
        <v>0</v>
      </c>
      <c r="Q1430">
        <v>0</v>
      </c>
      <c r="R1430">
        <v>0.90008103209297396</v>
      </c>
      <c r="S1430">
        <v>1.1331355704698001</v>
      </c>
      <c r="T1430">
        <v>0</v>
      </c>
      <c r="U1430">
        <v>0</v>
      </c>
      <c r="V1430">
        <v>1.05063596764157</v>
      </c>
      <c r="W1430">
        <v>1.27539809638918</v>
      </c>
      <c r="X1430">
        <v>0.984645710619934</v>
      </c>
    </row>
    <row r="1431" spans="1:24">
      <c r="A1431">
        <v>2336</v>
      </c>
      <c r="B1431" t="s">
        <v>3854</v>
      </c>
      <c r="C1431">
        <v>3</v>
      </c>
      <c r="D1431" t="s">
        <v>3855</v>
      </c>
      <c r="E1431">
        <v>4</v>
      </c>
      <c r="F1431">
        <v>4</v>
      </c>
      <c r="G1431">
        <v>4</v>
      </c>
      <c r="H1431" t="s">
        <v>3856</v>
      </c>
      <c r="I1431">
        <v>17.899999999999999</v>
      </c>
      <c r="J1431">
        <v>31.306999999999999</v>
      </c>
      <c r="K1431" t="str">
        <f>"MEMO1"</f>
        <v>MEMO1</v>
      </c>
      <c r="L1431" t="str">
        <f>"MEMO1"</f>
        <v>MEMO1</v>
      </c>
      <c r="M1431">
        <v>0</v>
      </c>
      <c r="N1431">
        <v>0.89450172185430499</v>
      </c>
      <c r="O1431">
        <v>0.91194339418818204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1.10235831809872</v>
      </c>
      <c r="V1431">
        <v>1.05063596764157</v>
      </c>
      <c r="W1431">
        <v>0</v>
      </c>
      <c r="X1431">
        <v>0.984645710619934</v>
      </c>
    </row>
    <row r="1432" spans="1:24">
      <c r="A1432">
        <v>8</v>
      </c>
      <c r="B1432" t="s">
        <v>3857</v>
      </c>
      <c r="C1432">
        <v>1</v>
      </c>
      <c r="D1432" t="s">
        <v>3858</v>
      </c>
      <c r="E1432">
        <v>4</v>
      </c>
      <c r="F1432">
        <v>4</v>
      </c>
      <c r="G1432">
        <v>4</v>
      </c>
      <c r="H1432" t="s">
        <v>3857</v>
      </c>
      <c r="I1432">
        <v>25.2</v>
      </c>
      <c r="J1432">
        <v>33.619999999999997</v>
      </c>
      <c r="K1432" t="str">
        <f>"C5orf51"</f>
        <v>C5orf51</v>
      </c>
      <c r="L1432" t="str">
        <f>"C5orf51"</f>
        <v>C5orf51</v>
      </c>
      <c r="M1432">
        <v>0</v>
      </c>
      <c r="N1432">
        <v>0.89450172185430499</v>
      </c>
      <c r="O1432">
        <v>0</v>
      </c>
      <c r="P1432">
        <v>0</v>
      </c>
      <c r="Q1432">
        <v>0</v>
      </c>
      <c r="R1432">
        <v>1.8001620641859499</v>
      </c>
      <c r="S1432">
        <v>1.1331355704698001</v>
      </c>
      <c r="T1432">
        <v>0</v>
      </c>
      <c r="U1432">
        <v>1.10235831809872</v>
      </c>
      <c r="V1432">
        <v>0</v>
      </c>
      <c r="W1432">
        <v>1.27539809638918</v>
      </c>
      <c r="X1432">
        <v>0</v>
      </c>
    </row>
    <row r="1433" spans="1:24">
      <c r="A1433">
        <v>94</v>
      </c>
      <c r="B1433" t="s">
        <v>3859</v>
      </c>
      <c r="C1433">
        <v>3</v>
      </c>
      <c r="D1433" t="s">
        <v>3860</v>
      </c>
      <c r="E1433">
        <v>4</v>
      </c>
      <c r="F1433">
        <v>4</v>
      </c>
      <c r="G1433">
        <v>4</v>
      </c>
      <c r="H1433" t="s">
        <v>3861</v>
      </c>
      <c r="I1433">
        <v>20.8</v>
      </c>
      <c r="J1433">
        <v>31.247</v>
      </c>
      <c r="K1433" t="str">
        <f>"GNB5"</f>
        <v>GNB5</v>
      </c>
      <c r="L1433" t="str">
        <f>"GNB5"</f>
        <v>GNB5</v>
      </c>
      <c r="M1433">
        <v>0</v>
      </c>
      <c r="N1433">
        <v>0</v>
      </c>
      <c r="O1433">
        <v>0</v>
      </c>
      <c r="P1433">
        <v>1.0652189274447901</v>
      </c>
      <c r="Q1433">
        <v>0</v>
      </c>
      <c r="R1433">
        <v>1.8001620641859499</v>
      </c>
      <c r="S1433">
        <v>0</v>
      </c>
      <c r="T1433">
        <v>1.18448996772836</v>
      </c>
      <c r="U1433">
        <v>0</v>
      </c>
      <c r="V1433">
        <v>0</v>
      </c>
      <c r="W1433">
        <v>0</v>
      </c>
      <c r="X1433">
        <v>1.96929142123987</v>
      </c>
    </row>
    <row r="1434" spans="1:24">
      <c r="A1434">
        <v>114</v>
      </c>
      <c r="B1434" t="s">
        <v>3862</v>
      </c>
      <c r="C1434">
        <v>1</v>
      </c>
      <c r="D1434" t="s">
        <v>3863</v>
      </c>
      <c r="E1434">
        <v>2</v>
      </c>
      <c r="F1434">
        <v>2</v>
      </c>
      <c r="G1434">
        <v>2</v>
      </c>
      <c r="H1434" t="s">
        <v>3862</v>
      </c>
      <c r="I1434">
        <v>17.3</v>
      </c>
      <c r="J1434">
        <v>15.179</v>
      </c>
      <c r="K1434" t="str">
        <f>"LSM1"</f>
        <v>LSM1</v>
      </c>
      <c r="L1434" t="str">
        <f>"LSM1"</f>
        <v>LSM1</v>
      </c>
      <c r="M1434">
        <v>0</v>
      </c>
      <c r="N1434">
        <v>0</v>
      </c>
      <c r="O1434">
        <v>0.91194339418818204</v>
      </c>
      <c r="P1434">
        <v>1.0652189274447901</v>
      </c>
      <c r="Q1434">
        <v>0</v>
      </c>
      <c r="R1434">
        <v>0</v>
      </c>
      <c r="S1434">
        <v>1.1331355704698001</v>
      </c>
      <c r="T1434">
        <v>0</v>
      </c>
      <c r="U1434">
        <v>1.10235831809872</v>
      </c>
      <c r="V1434">
        <v>1.05063596764157</v>
      </c>
      <c r="W1434">
        <v>1.27539809638918</v>
      </c>
      <c r="X1434">
        <v>0.984645710619934</v>
      </c>
    </row>
    <row r="1435" spans="1:24">
      <c r="A1435">
        <v>256</v>
      </c>
      <c r="B1435" t="s">
        <v>3864</v>
      </c>
      <c r="C1435">
        <v>5</v>
      </c>
      <c r="D1435" t="s">
        <v>3865</v>
      </c>
      <c r="E1435">
        <v>5</v>
      </c>
      <c r="F1435">
        <v>5</v>
      </c>
      <c r="G1435">
        <v>5</v>
      </c>
      <c r="H1435" t="s">
        <v>3866</v>
      </c>
      <c r="I1435">
        <v>7.8</v>
      </c>
      <c r="J1435">
        <v>86.400999999999996</v>
      </c>
      <c r="K1435" t="str">
        <f>"MFN2;MFN1"</f>
        <v>MFN2;MFN1</v>
      </c>
      <c r="L1435" t="str">
        <f>"MFN2;MFN1"</f>
        <v>MFN2;MFN1</v>
      </c>
      <c r="M1435">
        <v>0</v>
      </c>
      <c r="N1435">
        <v>0.89450172185430499</v>
      </c>
      <c r="O1435">
        <v>0</v>
      </c>
      <c r="P1435">
        <v>0</v>
      </c>
      <c r="Q1435">
        <v>0</v>
      </c>
      <c r="R1435">
        <v>0.90008103209297396</v>
      </c>
      <c r="S1435">
        <v>0</v>
      </c>
      <c r="T1435">
        <v>0</v>
      </c>
      <c r="U1435">
        <v>1.10235831809872</v>
      </c>
      <c r="V1435">
        <v>1.05063596764157</v>
      </c>
      <c r="W1435">
        <v>0</v>
      </c>
      <c r="X1435">
        <v>0.984645710619934</v>
      </c>
    </row>
    <row r="1436" spans="1:24">
      <c r="A1436">
        <v>265</v>
      </c>
      <c r="B1436" t="s">
        <v>3867</v>
      </c>
      <c r="C1436">
        <v>1</v>
      </c>
      <c r="D1436" t="s">
        <v>3868</v>
      </c>
      <c r="E1436">
        <v>3</v>
      </c>
      <c r="F1436">
        <v>3</v>
      </c>
      <c r="G1436">
        <v>3</v>
      </c>
      <c r="H1436" t="s">
        <v>3867</v>
      </c>
      <c r="I1436">
        <v>14.7</v>
      </c>
      <c r="J1436">
        <v>24.736999999999998</v>
      </c>
      <c r="K1436" t="str">
        <f>"LYPLA2"</f>
        <v>LYPLA2</v>
      </c>
      <c r="L1436" t="str">
        <f>"LYPLA2"</f>
        <v>LYPLA2</v>
      </c>
      <c r="M1436">
        <v>0</v>
      </c>
      <c r="N1436">
        <v>0</v>
      </c>
      <c r="O1436">
        <v>0</v>
      </c>
      <c r="P1436">
        <v>2.1304378548895899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>
      <c r="A1437">
        <v>289</v>
      </c>
      <c r="B1437" t="s">
        <v>3869</v>
      </c>
      <c r="C1437">
        <v>1</v>
      </c>
      <c r="D1437" t="s">
        <v>3870</v>
      </c>
      <c r="E1437">
        <v>4</v>
      </c>
      <c r="F1437">
        <v>4</v>
      </c>
      <c r="G1437">
        <v>4</v>
      </c>
      <c r="H1437" t="s">
        <v>3869</v>
      </c>
      <c r="I1437">
        <v>32.6</v>
      </c>
      <c r="J1437">
        <v>19.471</v>
      </c>
      <c r="K1437" t="str">
        <f>"NUDT3"</f>
        <v>NUDT3</v>
      </c>
      <c r="L1437" t="str">
        <f>"NUDT3"</f>
        <v>NUDT3</v>
      </c>
      <c r="M1437">
        <v>1.2103892752168599</v>
      </c>
      <c r="N1437">
        <v>0</v>
      </c>
      <c r="O1437">
        <v>0.91194339418818204</v>
      </c>
      <c r="P1437">
        <v>0</v>
      </c>
      <c r="Q1437">
        <v>0</v>
      </c>
      <c r="R1437">
        <v>0</v>
      </c>
      <c r="S1437">
        <v>1.1331355704698001</v>
      </c>
      <c r="T1437">
        <v>0</v>
      </c>
      <c r="U1437">
        <v>0</v>
      </c>
      <c r="V1437">
        <v>0</v>
      </c>
      <c r="W1437">
        <v>0</v>
      </c>
      <c r="X1437">
        <v>0.984645710619934</v>
      </c>
    </row>
    <row r="1438" spans="1:24">
      <c r="A1438">
        <v>335</v>
      </c>
      <c r="B1438" t="s">
        <v>3871</v>
      </c>
      <c r="C1438">
        <v>1</v>
      </c>
      <c r="D1438" t="s">
        <v>3872</v>
      </c>
      <c r="E1438">
        <v>2</v>
      </c>
      <c r="F1438">
        <v>1</v>
      </c>
      <c r="G1438">
        <v>1</v>
      </c>
      <c r="H1438" t="s">
        <v>3871</v>
      </c>
      <c r="I1438">
        <v>33.6</v>
      </c>
      <c r="J1438">
        <v>11.346</v>
      </c>
      <c r="K1438" t="s">
        <v>1648</v>
      </c>
      <c r="L1438" t="s">
        <v>1648</v>
      </c>
      <c r="M1438">
        <v>1.2103892752168599</v>
      </c>
      <c r="N1438">
        <v>0</v>
      </c>
      <c r="O1438">
        <v>0</v>
      </c>
      <c r="P1438">
        <v>0</v>
      </c>
      <c r="Q1438">
        <v>0</v>
      </c>
      <c r="R1438">
        <v>0.90008103209297396</v>
      </c>
      <c r="S1438">
        <v>1.1331355704698001</v>
      </c>
      <c r="T1438">
        <v>0</v>
      </c>
      <c r="U1438">
        <v>0</v>
      </c>
      <c r="V1438">
        <v>0</v>
      </c>
      <c r="W1438">
        <v>1.27539809638918</v>
      </c>
      <c r="X1438">
        <v>0.984645710619934</v>
      </c>
    </row>
    <row r="1439" spans="1:24">
      <c r="A1439">
        <v>343</v>
      </c>
      <c r="B1439" t="s">
        <v>3873</v>
      </c>
      <c r="C1439">
        <v>4</v>
      </c>
      <c r="D1439" t="s">
        <v>3874</v>
      </c>
      <c r="E1439">
        <v>2</v>
      </c>
      <c r="F1439">
        <v>1</v>
      </c>
      <c r="G1439">
        <v>1</v>
      </c>
      <c r="H1439" t="s">
        <v>3875</v>
      </c>
      <c r="I1439">
        <v>24.1</v>
      </c>
      <c r="J1439">
        <v>11.782</v>
      </c>
      <c r="K1439" t="s">
        <v>3876</v>
      </c>
      <c r="L1439" t="s">
        <v>3876</v>
      </c>
      <c r="M1439">
        <v>1.2103892752168599</v>
      </c>
      <c r="N1439">
        <v>0</v>
      </c>
      <c r="O1439">
        <v>0</v>
      </c>
      <c r="P1439">
        <v>1.0652189274447901</v>
      </c>
      <c r="Q1439">
        <v>1.25576199330606</v>
      </c>
      <c r="R1439">
        <v>0.90008103209297396</v>
      </c>
      <c r="S1439">
        <v>0</v>
      </c>
      <c r="T1439">
        <v>1.18448996772836</v>
      </c>
      <c r="U1439">
        <v>0</v>
      </c>
      <c r="V1439">
        <v>1.05063596764157</v>
      </c>
      <c r="W1439">
        <v>0</v>
      </c>
      <c r="X1439">
        <v>0</v>
      </c>
    </row>
    <row r="1440" spans="1:24">
      <c r="A1440">
        <v>376</v>
      </c>
      <c r="B1440" t="s">
        <v>3877</v>
      </c>
      <c r="C1440">
        <v>1</v>
      </c>
      <c r="D1440" t="s">
        <v>3878</v>
      </c>
      <c r="E1440">
        <v>2</v>
      </c>
      <c r="F1440">
        <v>1</v>
      </c>
      <c r="G1440">
        <v>0</v>
      </c>
      <c r="H1440" t="s">
        <v>3877</v>
      </c>
      <c r="I1440">
        <v>26.7</v>
      </c>
      <c r="J1440">
        <v>12.188000000000001</v>
      </c>
      <c r="K1440" t="s">
        <v>1307</v>
      </c>
      <c r="L1440" t="s">
        <v>1307</v>
      </c>
      <c r="M1440">
        <v>1.2103892752168599</v>
      </c>
      <c r="N1440">
        <v>0.89450172185430499</v>
      </c>
      <c r="O1440">
        <v>0</v>
      </c>
      <c r="P1440">
        <v>1.0652189274447901</v>
      </c>
      <c r="Q1440">
        <v>1.25576199330606</v>
      </c>
      <c r="R1440">
        <v>0</v>
      </c>
      <c r="S1440">
        <v>1.1331355704698001</v>
      </c>
      <c r="T1440">
        <v>1.18448996772836</v>
      </c>
      <c r="U1440">
        <v>1.10235831809872</v>
      </c>
      <c r="V1440">
        <v>0</v>
      </c>
      <c r="W1440">
        <v>1.27539809638918</v>
      </c>
      <c r="X1440">
        <v>0.984645710619934</v>
      </c>
    </row>
    <row r="1441" spans="1:24">
      <c r="A1441">
        <v>379</v>
      </c>
      <c r="B1441" t="s">
        <v>3879</v>
      </c>
      <c r="C1441">
        <v>1</v>
      </c>
      <c r="D1441" t="s">
        <v>3880</v>
      </c>
      <c r="E1441">
        <v>2</v>
      </c>
      <c r="F1441">
        <v>2</v>
      </c>
      <c r="G1441">
        <v>2</v>
      </c>
      <c r="H1441" t="s">
        <v>3879</v>
      </c>
      <c r="I1441">
        <v>13.2</v>
      </c>
      <c r="J1441">
        <v>14.117000000000001</v>
      </c>
      <c r="K1441" t="s">
        <v>3881</v>
      </c>
      <c r="L1441" t="s">
        <v>3881</v>
      </c>
      <c r="M1441">
        <v>1.2103892752168599</v>
      </c>
      <c r="N1441">
        <v>0.89450172185430499</v>
      </c>
      <c r="O1441">
        <v>0</v>
      </c>
      <c r="P1441">
        <v>1.0652189274447901</v>
      </c>
      <c r="Q1441">
        <v>0</v>
      </c>
      <c r="R1441">
        <v>0</v>
      </c>
      <c r="S1441">
        <v>1.1331355704698001</v>
      </c>
      <c r="T1441">
        <v>2.3689799354567098</v>
      </c>
      <c r="U1441">
        <v>0</v>
      </c>
      <c r="V1441">
        <v>0</v>
      </c>
      <c r="W1441">
        <v>1.27539809638918</v>
      </c>
      <c r="X1441">
        <v>0</v>
      </c>
    </row>
    <row r="1442" spans="1:24">
      <c r="A1442">
        <v>517</v>
      </c>
      <c r="B1442" t="s">
        <v>3882</v>
      </c>
      <c r="C1442">
        <v>1</v>
      </c>
      <c r="D1442" t="s">
        <v>3883</v>
      </c>
      <c r="E1442">
        <v>1</v>
      </c>
      <c r="F1442">
        <v>1</v>
      </c>
      <c r="G1442">
        <v>1</v>
      </c>
      <c r="H1442" t="s">
        <v>3882</v>
      </c>
      <c r="I1442">
        <v>23.6</v>
      </c>
      <c r="J1442">
        <v>11.143000000000001</v>
      </c>
      <c r="K1442" t="s">
        <v>3884</v>
      </c>
      <c r="L1442" t="s">
        <v>3884</v>
      </c>
      <c r="M1442">
        <v>0</v>
      </c>
      <c r="N1442">
        <v>0</v>
      </c>
      <c r="O1442">
        <v>0</v>
      </c>
      <c r="P1442">
        <v>2.1304378548895899</v>
      </c>
      <c r="Q1442">
        <v>0</v>
      </c>
      <c r="R1442">
        <v>0</v>
      </c>
      <c r="S1442">
        <v>0</v>
      </c>
      <c r="T1442">
        <v>1.18448996772836</v>
      </c>
      <c r="U1442">
        <v>0</v>
      </c>
      <c r="V1442">
        <v>0</v>
      </c>
      <c r="W1442">
        <v>0</v>
      </c>
      <c r="X1442">
        <v>0</v>
      </c>
    </row>
    <row r="1443" spans="1:24">
      <c r="A1443">
        <v>538</v>
      </c>
      <c r="B1443" t="s">
        <v>3885</v>
      </c>
      <c r="C1443">
        <v>1</v>
      </c>
      <c r="D1443" t="s">
        <v>3886</v>
      </c>
      <c r="E1443">
        <v>10</v>
      </c>
      <c r="F1443">
        <v>10</v>
      </c>
      <c r="G1443">
        <v>10</v>
      </c>
      <c r="H1443" t="s">
        <v>3885</v>
      </c>
      <c r="I1443">
        <v>9.1</v>
      </c>
      <c r="J1443">
        <v>170.59</v>
      </c>
      <c r="K1443" t="str">
        <f>"EPRS"</f>
        <v>EPRS</v>
      </c>
      <c r="L1443" t="str">
        <f>"EPRS"</f>
        <v>EPRS</v>
      </c>
      <c r="M1443">
        <v>0</v>
      </c>
      <c r="N1443">
        <v>0.89450172185430499</v>
      </c>
      <c r="O1443">
        <v>0.91194339418818204</v>
      </c>
      <c r="P1443">
        <v>0</v>
      </c>
      <c r="Q1443">
        <v>1.25576199330606</v>
      </c>
      <c r="R1443">
        <v>0</v>
      </c>
      <c r="S1443">
        <v>1.1331355704698001</v>
      </c>
      <c r="T1443">
        <v>0</v>
      </c>
      <c r="U1443">
        <v>0</v>
      </c>
      <c r="V1443">
        <v>0</v>
      </c>
      <c r="W1443">
        <v>0</v>
      </c>
      <c r="X1443">
        <v>0</v>
      </c>
    </row>
    <row r="1444" spans="1:24">
      <c r="A1444">
        <v>564</v>
      </c>
      <c r="B1444" t="s">
        <v>3887</v>
      </c>
      <c r="C1444">
        <v>1</v>
      </c>
      <c r="D1444" t="s">
        <v>3888</v>
      </c>
      <c r="E1444">
        <v>5</v>
      </c>
      <c r="F1444">
        <v>5</v>
      </c>
      <c r="G1444">
        <v>5</v>
      </c>
      <c r="H1444" t="s">
        <v>3887</v>
      </c>
      <c r="I1444">
        <v>7.7</v>
      </c>
      <c r="J1444">
        <v>114.54</v>
      </c>
      <c r="K1444" t="str">
        <f>"ITGA5"</f>
        <v>ITGA5</v>
      </c>
      <c r="L1444" t="str">
        <f>"ITGA5"</f>
        <v>ITGA5</v>
      </c>
      <c r="M1444">
        <v>0</v>
      </c>
      <c r="N1444">
        <v>0.89450172185430499</v>
      </c>
      <c r="O1444">
        <v>0</v>
      </c>
      <c r="P1444">
        <v>0</v>
      </c>
      <c r="Q1444">
        <v>0</v>
      </c>
      <c r="R1444">
        <v>0.90008103209297396</v>
      </c>
      <c r="S1444">
        <v>0</v>
      </c>
      <c r="T1444">
        <v>1.18448996772836</v>
      </c>
      <c r="U1444">
        <v>0</v>
      </c>
      <c r="V1444">
        <v>1.05063596764157</v>
      </c>
      <c r="W1444">
        <v>0</v>
      </c>
      <c r="X1444">
        <v>0.984645710619934</v>
      </c>
    </row>
    <row r="1445" spans="1:24">
      <c r="A1445">
        <v>586</v>
      </c>
      <c r="B1445" t="s">
        <v>3889</v>
      </c>
      <c r="C1445">
        <v>2</v>
      </c>
      <c r="D1445" t="s">
        <v>3890</v>
      </c>
      <c r="E1445">
        <v>4</v>
      </c>
      <c r="F1445">
        <v>4</v>
      </c>
      <c r="G1445">
        <v>4</v>
      </c>
      <c r="H1445" t="s">
        <v>3891</v>
      </c>
      <c r="I1445">
        <v>16.600000000000001</v>
      </c>
      <c r="J1445">
        <v>23.181000000000001</v>
      </c>
      <c r="K1445" t="str">
        <f>"CLTB"</f>
        <v>CLTB</v>
      </c>
      <c r="L1445" t="str">
        <f>"CLTB"</f>
        <v>CLTB</v>
      </c>
      <c r="M1445">
        <v>0</v>
      </c>
      <c r="N1445">
        <v>0.89450172185430499</v>
      </c>
      <c r="O1445">
        <v>0</v>
      </c>
      <c r="P1445">
        <v>1.0652189274447901</v>
      </c>
      <c r="Q1445">
        <v>0</v>
      </c>
      <c r="R1445">
        <v>3.6003241283718901</v>
      </c>
      <c r="S1445">
        <v>0</v>
      </c>
      <c r="T1445">
        <v>0</v>
      </c>
      <c r="U1445">
        <v>0</v>
      </c>
      <c r="V1445">
        <v>2.1012719352831399</v>
      </c>
      <c r="W1445">
        <v>0</v>
      </c>
      <c r="X1445">
        <v>0</v>
      </c>
    </row>
    <row r="1446" spans="1:24">
      <c r="A1446">
        <v>802</v>
      </c>
      <c r="B1446" t="s">
        <v>3892</v>
      </c>
      <c r="C1446">
        <v>2</v>
      </c>
      <c r="D1446" t="s">
        <v>3893</v>
      </c>
      <c r="E1446">
        <v>8</v>
      </c>
      <c r="F1446">
        <v>8</v>
      </c>
      <c r="G1446">
        <v>8</v>
      </c>
      <c r="H1446" t="s">
        <v>3894</v>
      </c>
      <c r="I1446">
        <v>25.7</v>
      </c>
      <c r="J1446">
        <v>51.168999999999997</v>
      </c>
      <c r="K1446" t="str">
        <f>"TUBG1;TUBG2"</f>
        <v>TUBG1;TUBG2</v>
      </c>
      <c r="L1446" t="str">
        <f>"TUBG1;TUBG2"</f>
        <v>TUBG1;TUBG2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0.90008103209297396</v>
      </c>
      <c r="S1446">
        <v>1.1331355704698001</v>
      </c>
      <c r="T1446">
        <v>0</v>
      </c>
      <c r="U1446">
        <v>2.20471663619744</v>
      </c>
      <c r="V1446">
        <v>0</v>
      </c>
      <c r="W1446">
        <v>0</v>
      </c>
      <c r="X1446">
        <v>0.984645710619934</v>
      </c>
    </row>
    <row r="1447" spans="1:24">
      <c r="A1447">
        <v>941</v>
      </c>
      <c r="B1447" t="s">
        <v>3895</v>
      </c>
      <c r="C1447">
        <v>3</v>
      </c>
      <c r="D1447" t="s">
        <v>3896</v>
      </c>
      <c r="E1447">
        <v>5</v>
      </c>
      <c r="F1447">
        <v>5</v>
      </c>
      <c r="G1447">
        <v>5</v>
      </c>
      <c r="H1447" t="s">
        <v>3897</v>
      </c>
      <c r="I1447">
        <v>10.6</v>
      </c>
      <c r="J1447">
        <v>77.906000000000006</v>
      </c>
      <c r="K1447" t="str">
        <f>"ACSL1"</f>
        <v>ACSL1</v>
      </c>
      <c r="L1447" t="str">
        <f>"ACSL1"</f>
        <v>ACSL1</v>
      </c>
      <c r="M1447">
        <v>0</v>
      </c>
      <c r="N1447">
        <v>1.78900344370861</v>
      </c>
      <c r="O1447">
        <v>0</v>
      </c>
      <c r="P1447">
        <v>0</v>
      </c>
      <c r="Q1447">
        <v>0</v>
      </c>
      <c r="R1447">
        <v>0</v>
      </c>
      <c r="S1447">
        <v>1.1331355704698001</v>
      </c>
      <c r="T1447">
        <v>0</v>
      </c>
      <c r="U1447">
        <v>0</v>
      </c>
      <c r="V1447">
        <v>0</v>
      </c>
      <c r="W1447">
        <v>0</v>
      </c>
      <c r="X1447">
        <v>0</v>
      </c>
    </row>
    <row r="1448" spans="1:24">
      <c r="A1448">
        <v>946</v>
      </c>
      <c r="B1448" t="s">
        <v>3898</v>
      </c>
      <c r="C1448">
        <v>4</v>
      </c>
      <c r="D1448" t="s">
        <v>3899</v>
      </c>
      <c r="E1448">
        <v>8</v>
      </c>
      <c r="F1448">
        <v>7</v>
      </c>
      <c r="G1448">
        <v>7</v>
      </c>
      <c r="H1448" t="s">
        <v>3900</v>
      </c>
      <c r="I1448">
        <v>26.4</v>
      </c>
      <c r="J1448">
        <v>49.027000000000001</v>
      </c>
      <c r="K1448" t="str">
        <f>"SHMT1"</f>
        <v>SHMT1</v>
      </c>
      <c r="L1448" t="str">
        <f>"SHMT1"</f>
        <v>SHMT1</v>
      </c>
      <c r="M1448">
        <v>0</v>
      </c>
      <c r="N1448">
        <v>0.89450172185430499</v>
      </c>
      <c r="O1448">
        <v>1.8238867883763601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</row>
    <row r="1449" spans="1:24">
      <c r="A1449">
        <v>1048</v>
      </c>
      <c r="B1449" t="s">
        <v>3901</v>
      </c>
      <c r="C1449">
        <v>5</v>
      </c>
      <c r="D1449" t="s">
        <v>3902</v>
      </c>
      <c r="E1449">
        <v>7</v>
      </c>
      <c r="F1449">
        <v>7</v>
      </c>
      <c r="G1449">
        <v>7</v>
      </c>
      <c r="H1449" t="s">
        <v>3903</v>
      </c>
      <c r="I1449">
        <v>10.7</v>
      </c>
      <c r="J1449">
        <v>96.798000000000002</v>
      </c>
      <c r="K1449" t="str">
        <f>"BAG6"</f>
        <v>BAG6</v>
      </c>
      <c r="L1449" t="str">
        <f>"BAG6"</f>
        <v>BAG6</v>
      </c>
      <c r="M1449">
        <v>0</v>
      </c>
      <c r="N1449">
        <v>1.78900344370861</v>
      </c>
      <c r="O1449">
        <v>2.7358301825645501</v>
      </c>
      <c r="P1449">
        <v>0</v>
      </c>
      <c r="Q1449">
        <v>0</v>
      </c>
      <c r="R1449">
        <v>0.90008103209297396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>
      <c r="A1450">
        <v>1104</v>
      </c>
      <c r="B1450" t="s">
        <v>3904</v>
      </c>
      <c r="C1450">
        <v>2</v>
      </c>
      <c r="D1450" t="s">
        <v>3905</v>
      </c>
      <c r="E1450">
        <v>6</v>
      </c>
      <c r="F1450">
        <v>6</v>
      </c>
      <c r="G1450">
        <v>6</v>
      </c>
      <c r="H1450" t="s">
        <v>3906</v>
      </c>
      <c r="I1450">
        <v>11.5</v>
      </c>
      <c r="J1450">
        <v>61.44</v>
      </c>
      <c r="K1450" t="str">
        <f>"NT5C2"</f>
        <v>NT5C2</v>
      </c>
      <c r="L1450" t="str">
        <f>"NT5C2"</f>
        <v>NT5C2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0.90008103209297396</v>
      </c>
      <c r="S1450">
        <v>0</v>
      </c>
      <c r="T1450">
        <v>0</v>
      </c>
      <c r="U1450">
        <v>1.10235831809872</v>
      </c>
      <c r="V1450">
        <v>0</v>
      </c>
      <c r="W1450">
        <v>0</v>
      </c>
      <c r="X1450">
        <v>0</v>
      </c>
    </row>
    <row r="1451" spans="1:24">
      <c r="A1451">
        <v>1139</v>
      </c>
      <c r="B1451" t="s">
        <v>3907</v>
      </c>
      <c r="C1451">
        <v>6</v>
      </c>
      <c r="D1451" t="s">
        <v>3908</v>
      </c>
      <c r="E1451">
        <v>4</v>
      </c>
      <c r="F1451">
        <v>4</v>
      </c>
      <c r="G1451">
        <v>3</v>
      </c>
      <c r="H1451" t="s">
        <v>3909</v>
      </c>
      <c r="I1451">
        <v>5.3</v>
      </c>
      <c r="J1451">
        <v>88.462999999999994</v>
      </c>
      <c r="K1451" t="str">
        <f>"CLCN3;CLCN4"</f>
        <v>CLCN3;CLCN4</v>
      </c>
      <c r="L1451" t="str">
        <f>"CLCN3;CLCN4"</f>
        <v>CLCN3;CLCN4</v>
      </c>
      <c r="M1451">
        <v>1.2103892752168599</v>
      </c>
      <c r="N1451">
        <v>0.89450172185430499</v>
      </c>
      <c r="O1451">
        <v>0</v>
      </c>
      <c r="P1451">
        <v>1.0652189274447901</v>
      </c>
      <c r="Q1451">
        <v>0</v>
      </c>
      <c r="R1451">
        <v>0.90008103209297396</v>
      </c>
      <c r="S1451">
        <v>0</v>
      </c>
      <c r="T1451">
        <v>1.18448996772836</v>
      </c>
      <c r="U1451">
        <v>0</v>
      </c>
      <c r="V1451">
        <v>1.05063596764157</v>
      </c>
      <c r="W1451">
        <v>0</v>
      </c>
      <c r="X1451">
        <v>0</v>
      </c>
    </row>
    <row r="1452" spans="1:24">
      <c r="A1452">
        <v>1182</v>
      </c>
      <c r="B1452" t="s">
        <v>3910</v>
      </c>
      <c r="C1452">
        <v>1</v>
      </c>
      <c r="D1452" t="s">
        <v>3911</v>
      </c>
      <c r="E1452">
        <v>4</v>
      </c>
      <c r="F1452">
        <v>4</v>
      </c>
      <c r="G1452">
        <v>4</v>
      </c>
      <c r="H1452" t="s">
        <v>3910</v>
      </c>
      <c r="I1452">
        <v>6.7</v>
      </c>
      <c r="J1452">
        <v>49.222000000000001</v>
      </c>
      <c r="K1452" t="str">
        <f>"EIF5"</f>
        <v>EIF5</v>
      </c>
      <c r="L1452" t="str">
        <f>"EIF5"</f>
        <v>EIF5</v>
      </c>
      <c r="M1452">
        <v>0</v>
      </c>
      <c r="N1452">
        <v>0.89450172185430499</v>
      </c>
      <c r="O1452">
        <v>0</v>
      </c>
      <c r="P1452">
        <v>0</v>
      </c>
      <c r="Q1452">
        <v>0</v>
      </c>
      <c r="R1452">
        <v>1.8001620641859499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>
      <c r="A1453">
        <v>1269</v>
      </c>
      <c r="B1453" t="s">
        <v>3912</v>
      </c>
      <c r="C1453">
        <v>3</v>
      </c>
      <c r="D1453" t="s">
        <v>3913</v>
      </c>
      <c r="E1453">
        <v>5</v>
      </c>
      <c r="F1453">
        <v>5</v>
      </c>
      <c r="G1453">
        <v>5</v>
      </c>
      <c r="H1453" t="s">
        <v>3914</v>
      </c>
      <c r="I1453">
        <v>20.5</v>
      </c>
      <c r="J1453">
        <v>29.597000000000001</v>
      </c>
      <c r="K1453" t="str">
        <f>"RPS4X;RPS4Y2;RPS4Y1"</f>
        <v>RPS4X;RPS4Y2;RPS4Y1</v>
      </c>
      <c r="L1453" t="str">
        <f>"RPS4X;RPS4Y2;RPS4Y1"</f>
        <v>RPS4X;RPS4Y2;RPS4Y1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1.8001620641859499</v>
      </c>
      <c r="S1453">
        <v>1.1331355704698001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>
      <c r="A1454">
        <v>1424</v>
      </c>
      <c r="B1454" t="s">
        <v>3915</v>
      </c>
      <c r="C1454">
        <v>4</v>
      </c>
      <c r="D1454" t="s">
        <v>3916</v>
      </c>
      <c r="E1454">
        <v>6</v>
      </c>
      <c r="F1454">
        <v>6</v>
      </c>
      <c r="G1454">
        <v>6</v>
      </c>
      <c r="H1454" t="s">
        <v>3917</v>
      </c>
      <c r="I1454">
        <v>16.2</v>
      </c>
      <c r="J1454">
        <v>55.091999999999999</v>
      </c>
      <c r="K1454" t="str">
        <f>"GPS1"</f>
        <v>GPS1</v>
      </c>
      <c r="L1454" t="str">
        <f>"GPS1"</f>
        <v>GPS1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2.7002430962789199</v>
      </c>
      <c r="S1454">
        <v>0</v>
      </c>
      <c r="T1454">
        <v>0</v>
      </c>
      <c r="U1454">
        <v>1.10235831809872</v>
      </c>
      <c r="V1454">
        <v>0</v>
      </c>
      <c r="W1454">
        <v>0</v>
      </c>
      <c r="X1454">
        <v>0.984645710619934</v>
      </c>
    </row>
    <row r="1455" spans="1:24">
      <c r="A1455">
        <v>1654</v>
      </c>
      <c r="B1455" t="s">
        <v>3918</v>
      </c>
      <c r="C1455">
        <v>1</v>
      </c>
      <c r="D1455" t="s">
        <v>3919</v>
      </c>
      <c r="E1455">
        <v>2</v>
      </c>
      <c r="F1455">
        <v>2</v>
      </c>
      <c r="G1455">
        <v>2</v>
      </c>
      <c r="H1455" t="s">
        <v>3918</v>
      </c>
      <c r="I1455">
        <v>9.5</v>
      </c>
      <c r="J1455">
        <v>27.52</v>
      </c>
      <c r="K1455" t="str">
        <f>"HACD4"</f>
        <v>HACD4</v>
      </c>
      <c r="L1455" t="str">
        <f>"HACD4"</f>
        <v>HACD4</v>
      </c>
      <c r="M1455">
        <v>0</v>
      </c>
      <c r="N1455">
        <v>0</v>
      </c>
      <c r="O1455">
        <v>0.91194339418818204</v>
      </c>
      <c r="P1455">
        <v>1.0652189274447901</v>
      </c>
      <c r="Q1455">
        <v>0</v>
      </c>
      <c r="R1455">
        <v>0.90008103209297396</v>
      </c>
      <c r="S1455">
        <v>0</v>
      </c>
      <c r="T1455">
        <v>0</v>
      </c>
      <c r="U1455">
        <v>1.10235831809872</v>
      </c>
      <c r="V1455">
        <v>0</v>
      </c>
      <c r="W1455">
        <v>1.27539809638918</v>
      </c>
      <c r="X1455">
        <v>0.984645710619934</v>
      </c>
    </row>
    <row r="1456" spans="1:24">
      <c r="A1456">
        <v>1716</v>
      </c>
      <c r="B1456" t="s">
        <v>3920</v>
      </c>
      <c r="C1456">
        <v>2</v>
      </c>
      <c r="D1456" t="s">
        <v>3921</v>
      </c>
      <c r="E1456">
        <v>1</v>
      </c>
      <c r="F1456">
        <v>1</v>
      </c>
      <c r="G1456">
        <v>1</v>
      </c>
      <c r="H1456" t="s">
        <v>3922</v>
      </c>
      <c r="I1456">
        <v>8.3000000000000007</v>
      </c>
      <c r="J1456">
        <v>27.864999999999998</v>
      </c>
      <c r="K1456" t="str">
        <f>"EIF3M"</f>
        <v>EIF3M</v>
      </c>
      <c r="L1456" t="str">
        <f>"EIF3M"</f>
        <v>EIF3M</v>
      </c>
      <c r="M1456">
        <v>0</v>
      </c>
      <c r="N1456">
        <v>0.89450172185430499</v>
      </c>
      <c r="O1456">
        <v>0.91194339418818204</v>
      </c>
      <c r="P1456">
        <v>0</v>
      </c>
      <c r="Q1456">
        <v>0</v>
      </c>
      <c r="R1456">
        <v>0.90008103209297396</v>
      </c>
      <c r="S1456">
        <v>1.1331355704698001</v>
      </c>
      <c r="T1456">
        <v>0</v>
      </c>
      <c r="U1456">
        <v>1.10235831809872</v>
      </c>
      <c r="V1456">
        <v>0</v>
      </c>
      <c r="W1456">
        <v>0</v>
      </c>
      <c r="X1456">
        <v>0.984645710619934</v>
      </c>
    </row>
    <row r="1457" spans="1:24">
      <c r="A1457">
        <v>1859</v>
      </c>
      <c r="B1457" t="s">
        <v>3923</v>
      </c>
      <c r="C1457">
        <v>3</v>
      </c>
      <c r="D1457" t="s">
        <v>3924</v>
      </c>
      <c r="E1457">
        <v>5</v>
      </c>
      <c r="F1457">
        <v>5</v>
      </c>
      <c r="G1457">
        <v>5</v>
      </c>
      <c r="H1457" t="s">
        <v>3925</v>
      </c>
      <c r="I1457">
        <v>3.6</v>
      </c>
      <c r="J1457">
        <v>206.01</v>
      </c>
      <c r="K1457" t="str">
        <f>"GBF1"</f>
        <v>GBF1</v>
      </c>
      <c r="L1457" t="str">
        <f>"GBF1"</f>
        <v>GBF1</v>
      </c>
      <c r="M1457">
        <v>0</v>
      </c>
      <c r="N1457">
        <v>1.78900344370861</v>
      </c>
      <c r="O1457">
        <v>0</v>
      </c>
      <c r="P1457">
        <v>0</v>
      </c>
      <c r="Q1457">
        <v>0</v>
      </c>
      <c r="R1457">
        <v>0.90008103209297396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>
      <c r="A1458">
        <v>1872</v>
      </c>
      <c r="B1458" t="s">
        <v>3926</v>
      </c>
      <c r="C1458">
        <v>2</v>
      </c>
      <c r="D1458" t="s">
        <v>3927</v>
      </c>
      <c r="E1458">
        <v>3</v>
      </c>
      <c r="F1458">
        <v>3</v>
      </c>
      <c r="G1458">
        <v>3</v>
      </c>
      <c r="H1458" t="s">
        <v>3928</v>
      </c>
      <c r="I1458">
        <v>0.7</v>
      </c>
      <c r="J1458">
        <v>564.55999999999995</v>
      </c>
      <c r="K1458" t="str">
        <f>"RYR2"</f>
        <v>RYR2</v>
      </c>
      <c r="L1458" t="str">
        <f>"RYR2"</f>
        <v>RYR2</v>
      </c>
      <c r="M1458">
        <v>1.2103892752168599</v>
      </c>
      <c r="N1458">
        <v>0</v>
      </c>
      <c r="O1458">
        <v>0</v>
      </c>
      <c r="P1458">
        <v>1.0652189274447901</v>
      </c>
      <c r="Q1458">
        <v>2.51152398661212</v>
      </c>
      <c r="R1458">
        <v>0</v>
      </c>
      <c r="S1458">
        <v>0</v>
      </c>
      <c r="T1458">
        <v>1.18448996772836</v>
      </c>
      <c r="U1458">
        <v>1.10235831809872</v>
      </c>
      <c r="V1458">
        <v>0</v>
      </c>
      <c r="W1458">
        <v>0</v>
      </c>
      <c r="X1458">
        <v>0.984645710619934</v>
      </c>
    </row>
    <row r="1459" spans="1:24">
      <c r="A1459">
        <v>1947</v>
      </c>
      <c r="B1459" t="s">
        <v>3929</v>
      </c>
      <c r="C1459">
        <v>2</v>
      </c>
      <c r="D1459" t="s">
        <v>3930</v>
      </c>
      <c r="E1459">
        <v>6</v>
      </c>
      <c r="F1459">
        <v>6</v>
      </c>
      <c r="G1459">
        <v>6</v>
      </c>
      <c r="H1459" t="s">
        <v>3931</v>
      </c>
      <c r="I1459">
        <v>12.6</v>
      </c>
      <c r="J1459">
        <v>51.871000000000002</v>
      </c>
      <c r="K1459" t="str">
        <f>"TMX3"</f>
        <v>TMX3</v>
      </c>
      <c r="L1459" t="str">
        <f>"TMX3"</f>
        <v>TMX3</v>
      </c>
      <c r="M1459">
        <v>1.2103892752168599</v>
      </c>
      <c r="N1459">
        <v>0.89450172185430499</v>
      </c>
      <c r="O1459">
        <v>0</v>
      </c>
      <c r="P1459">
        <v>0</v>
      </c>
      <c r="Q1459">
        <v>0</v>
      </c>
      <c r="R1459">
        <v>0.90008103209297396</v>
      </c>
      <c r="S1459">
        <v>0</v>
      </c>
      <c r="T1459">
        <v>0</v>
      </c>
      <c r="U1459">
        <v>1.10235831809872</v>
      </c>
      <c r="V1459">
        <v>0</v>
      </c>
      <c r="W1459">
        <v>1.27539809638918</v>
      </c>
      <c r="X1459">
        <v>0.984645710619934</v>
      </c>
    </row>
    <row r="1460" spans="1:24">
      <c r="A1460">
        <v>1953</v>
      </c>
      <c r="B1460" t="s">
        <v>3932</v>
      </c>
      <c r="C1460">
        <v>1</v>
      </c>
      <c r="D1460" t="s">
        <v>3933</v>
      </c>
      <c r="E1460">
        <v>7</v>
      </c>
      <c r="F1460">
        <v>7</v>
      </c>
      <c r="G1460">
        <v>7</v>
      </c>
      <c r="H1460" t="s">
        <v>3932</v>
      </c>
      <c r="I1460">
        <v>10.4</v>
      </c>
      <c r="J1460">
        <v>104.07</v>
      </c>
      <c r="K1460" t="str">
        <f>"EXOC2"</f>
        <v>EXOC2</v>
      </c>
      <c r="L1460" t="str">
        <f>"EXOC2"</f>
        <v>EXOC2</v>
      </c>
      <c r="M1460">
        <v>0</v>
      </c>
      <c r="N1460">
        <v>1.78900344370861</v>
      </c>
      <c r="O1460">
        <v>1.8238867883763601</v>
      </c>
      <c r="P1460">
        <v>0</v>
      </c>
      <c r="Q1460">
        <v>0</v>
      </c>
      <c r="R1460">
        <v>0.90008103209297396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</row>
    <row r="1461" spans="1:24">
      <c r="A1461">
        <v>1981</v>
      </c>
      <c r="B1461" t="s">
        <v>3934</v>
      </c>
      <c r="C1461">
        <v>1</v>
      </c>
      <c r="D1461" t="s">
        <v>3935</v>
      </c>
      <c r="E1461">
        <v>1</v>
      </c>
      <c r="F1461">
        <v>1</v>
      </c>
      <c r="G1461">
        <v>1</v>
      </c>
      <c r="H1461" t="s">
        <v>3934</v>
      </c>
      <c r="I1461">
        <v>1.1000000000000001</v>
      </c>
      <c r="J1461">
        <v>92.25</v>
      </c>
      <c r="K1461" t="str">
        <f>"CDC5L"</f>
        <v>CDC5L</v>
      </c>
      <c r="L1461" t="str">
        <f>"CDC5L"</f>
        <v>CDC5L</v>
      </c>
      <c r="M1461">
        <v>2.4207785504337198</v>
      </c>
      <c r="N1461">
        <v>0</v>
      </c>
      <c r="O1461">
        <v>0</v>
      </c>
      <c r="P1461">
        <v>1.0652189274447901</v>
      </c>
      <c r="Q1461">
        <v>0</v>
      </c>
      <c r="R1461">
        <v>0</v>
      </c>
      <c r="S1461">
        <v>1.1331355704698001</v>
      </c>
      <c r="T1461">
        <v>1.18448996772836</v>
      </c>
      <c r="U1461">
        <v>1.10235831809872</v>
      </c>
      <c r="V1461">
        <v>1.05063596764157</v>
      </c>
      <c r="W1461">
        <v>1.27539809638918</v>
      </c>
      <c r="X1461">
        <v>0</v>
      </c>
    </row>
    <row r="1462" spans="1:24">
      <c r="A1462">
        <v>2269</v>
      </c>
      <c r="B1462" t="s">
        <v>3936</v>
      </c>
      <c r="C1462">
        <v>3</v>
      </c>
      <c r="D1462" t="s">
        <v>3937</v>
      </c>
      <c r="E1462">
        <v>2</v>
      </c>
      <c r="F1462">
        <v>2</v>
      </c>
      <c r="G1462">
        <v>2</v>
      </c>
      <c r="H1462" t="s">
        <v>3938</v>
      </c>
      <c r="I1462">
        <v>6.9</v>
      </c>
      <c r="J1462">
        <v>45.756</v>
      </c>
      <c r="K1462" t="str">
        <f>"DCTN4"</f>
        <v>DCTN4</v>
      </c>
      <c r="L1462" t="str">
        <f>"DCTN4"</f>
        <v>DCTN4</v>
      </c>
      <c r="M1462">
        <v>0</v>
      </c>
      <c r="N1462">
        <v>1.78900344370861</v>
      </c>
      <c r="O1462">
        <v>0.91194339418818204</v>
      </c>
      <c r="P1462">
        <v>0</v>
      </c>
      <c r="Q1462">
        <v>0</v>
      </c>
      <c r="R1462">
        <v>0.90008103209297396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</row>
    <row r="1463" spans="1:24">
      <c r="A1463">
        <v>4</v>
      </c>
      <c r="B1463" t="s">
        <v>3939</v>
      </c>
      <c r="C1463">
        <v>1</v>
      </c>
      <c r="D1463" t="s">
        <v>3940</v>
      </c>
      <c r="E1463">
        <v>2</v>
      </c>
      <c r="F1463">
        <v>2</v>
      </c>
      <c r="G1463">
        <v>2</v>
      </c>
      <c r="H1463" t="s">
        <v>3939</v>
      </c>
      <c r="I1463">
        <v>6.4</v>
      </c>
      <c r="J1463">
        <v>33.356000000000002</v>
      </c>
      <c r="K1463" t="str">
        <f>"ELOVL7"</f>
        <v>ELOVL7</v>
      </c>
      <c r="L1463" t="str">
        <f>"ELOVL7"</f>
        <v>ELOVL7</v>
      </c>
      <c r="M1463">
        <v>0</v>
      </c>
      <c r="N1463">
        <v>0.89450172185430499</v>
      </c>
      <c r="O1463">
        <v>0.91194339418818204</v>
      </c>
      <c r="P1463">
        <v>0</v>
      </c>
      <c r="Q1463">
        <v>0</v>
      </c>
      <c r="R1463">
        <v>0</v>
      </c>
      <c r="S1463">
        <v>1.1331355704698001</v>
      </c>
      <c r="T1463">
        <v>1.18448996772836</v>
      </c>
      <c r="U1463">
        <v>1.10235831809872</v>
      </c>
      <c r="V1463">
        <v>0</v>
      </c>
      <c r="W1463">
        <v>0</v>
      </c>
      <c r="X1463">
        <v>0.984645710619934</v>
      </c>
    </row>
    <row r="1464" spans="1:24">
      <c r="A1464">
        <v>66</v>
      </c>
      <c r="B1464" t="s">
        <v>3941</v>
      </c>
      <c r="C1464">
        <v>1</v>
      </c>
      <c r="D1464" t="s">
        <v>3942</v>
      </c>
      <c r="E1464">
        <v>3</v>
      </c>
      <c r="F1464">
        <v>3</v>
      </c>
      <c r="G1464">
        <v>3</v>
      </c>
      <c r="H1464" t="s">
        <v>3941</v>
      </c>
      <c r="I1464">
        <v>8.6999999999999993</v>
      </c>
      <c r="J1464">
        <v>37.563000000000002</v>
      </c>
      <c r="K1464" t="str">
        <f>"EIF3F"</f>
        <v>EIF3F</v>
      </c>
      <c r="L1464" t="str">
        <f>"EIF3F"</f>
        <v>EIF3F</v>
      </c>
      <c r="M1464">
        <v>1.2103892752168599</v>
      </c>
      <c r="N1464">
        <v>0</v>
      </c>
      <c r="O1464">
        <v>1.8238867883763601</v>
      </c>
      <c r="P1464">
        <v>0</v>
      </c>
      <c r="Q1464">
        <v>0</v>
      </c>
      <c r="R1464">
        <v>0.90008103209297396</v>
      </c>
      <c r="S1464">
        <v>0</v>
      </c>
      <c r="T1464">
        <v>0</v>
      </c>
      <c r="U1464">
        <v>0</v>
      </c>
      <c r="V1464">
        <v>0</v>
      </c>
      <c r="W1464">
        <v>1.27539809638918</v>
      </c>
      <c r="X1464">
        <v>0.984645710619934</v>
      </c>
    </row>
    <row r="1465" spans="1:24">
      <c r="A1465">
        <v>102</v>
      </c>
      <c r="B1465" t="s">
        <v>3943</v>
      </c>
      <c r="C1465">
        <v>1</v>
      </c>
      <c r="D1465" t="s">
        <v>3944</v>
      </c>
      <c r="E1465">
        <v>3</v>
      </c>
      <c r="F1465">
        <v>3</v>
      </c>
      <c r="G1465">
        <v>3</v>
      </c>
      <c r="H1465" t="s">
        <v>3943</v>
      </c>
      <c r="I1465">
        <v>35.4</v>
      </c>
      <c r="J1465">
        <v>9.9062000000000001</v>
      </c>
      <c r="K1465" t="str">
        <f>"UQCRQ"</f>
        <v>UQCRQ</v>
      </c>
      <c r="L1465" t="str">
        <f>"UQCRQ"</f>
        <v>UQCRQ</v>
      </c>
      <c r="M1465">
        <v>0</v>
      </c>
      <c r="N1465">
        <v>0.89450172185430499</v>
      </c>
      <c r="O1465">
        <v>0</v>
      </c>
      <c r="P1465">
        <v>1.0652189274447901</v>
      </c>
      <c r="Q1465">
        <v>0</v>
      </c>
      <c r="R1465">
        <v>1.8001620641859499</v>
      </c>
      <c r="S1465">
        <v>0</v>
      </c>
      <c r="T1465">
        <v>0</v>
      </c>
      <c r="U1465">
        <v>0</v>
      </c>
      <c r="V1465">
        <v>1.05063596764157</v>
      </c>
      <c r="W1465">
        <v>0</v>
      </c>
      <c r="X1465">
        <v>0</v>
      </c>
    </row>
    <row r="1466" spans="1:24">
      <c r="A1466">
        <v>138</v>
      </c>
      <c r="B1466" t="s">
        <v>3945</v>
      </c>
      <c r="C1466">
        <v>3</v>
      </c>
      <c r="D1466" t="s">
        <v>3946</v>
      </c>
      <c r="E1466">
        <v>15</v>
      </c>
      <c r="F1466">
        <v>15</v>
      </c>
      <c r="G1466">
        <v>15</v>
      </c>
      <c r="H1466" t="s">
        <v>3947</v>
      </c>
      <c r="I1466">
        <v>7.1</v>
      </c>
      <c r="J1466">
        <v>331.07</v>
      </c>
      <c r="K1466" t="str">
        <f>"ZZEF1"</f>
        <v>ZZEF1</v>
      </c>
      <c r="L1466" t="str">
        <f>"ZZEF1"</f>
        <v>ZZEF1</v>
      </c>
      <c r="M1466">
        <v>0</v>
      </c>
      <c r="N1466">
        <v>0.89450172185430499</v>
      </c>
      <c r="O1466">
        <v>2.7358301825645501</v>
      </c>
      <c r="P1466">
        <v>0</v>
      </c>
      <c r="Q1466">
        <v>0</v>
      </c>
      <c r="R1466">
        <v>1.8001620641859499</v>
      </c>
      <c r="S1466">
        <v>0</v>
      </c>
      <c r="T1466">
        <v>0</v>
      </c>
      <c r="U1466">
        <v>1.10235831809872</v>
      </c>
      <c r="V1466">
        <v>0</v>
      </c>
      <c r="W1466">
        <v>1.27539809638918</v>
      </c>
      <c r="X1466">
        <v>1.96929142123987</v>
      </c>
    </row>
    <row r="1467" spans="1:24">
      <c r="A1467">
        <v>158</v>
      </c>
      <c r="B1467" t="s">
        <v>3948</v>
      </c>
      <c r="C1467">
        <v>1</v>
      </c>
      <c r="D1467" t="s">
        <v>3949</v>
      </c>
      <c r="E1467">
        <v>4</v>
      </c>
      <c r="F1467">
        <v>4</v>
      </c>
      <c r="G1467">
        <v>4</v>
      </c>
      <c r="H1467" t="s">
        <v>3948</v>
      </c>
      <c r="I1467">
        <v>14.4</v>
      </c>
      <c r="J1467">
        <v>25.103999999999999</v>
      </c>
      <c r="K1467" t="str">
        <f>"CHMP2A"</f>
        <v>CHMP2A</v>
      </c>
      <c r="L1467" t="str">
        <f>"CHMP2A"</f>
        <v>CHMP2A</v>
      </c>
      <c r="M1467">
        <v>1.2103892752168599</v>
      </c>
      <c r="N1467">
        <v>1.78900344370861</v>
      </c>
      <c r="O1467">
        <v>0.91194339418818204</v>
      </c>
      <c r="P1467">
        <v>1.0652189274447901</v>
      </c>
      <c r="Q1467">
        <v>0</v>
      </c>
      <c r="R1467">
        <v>0.90008103209297396</v>
      </c>
      <c r="S1467">
        <v>0</v>
      </c>
      <c r="T1467">
        <v>1.18448996772836</v>
      </c>
      <c r="U1467">
        <v>0</v>
      </c>
      <c r="V1467">
        <v>0</v>
      </c>
      <c r="W1467">
        <v>0</v>
      </c>
      <c r="X1467">
        <v>0</v>
      </c>
    </row>
    <row r="1468" spans="1:24">
      <c r="A1468">
        <v>179</v>
      </c>
      <c r="B1468" t="s">
        <v>3950</v>
      </c>
      <c r="C1468">
        <v>6</v>
      </c>
      <c r="D1468" t="s">
        <v>3951</v>
      </c>
      <c r="E1468">
        <v>8</v>
      </c>
      <c r="F1468">
        <v>8</v>
      </c>
      <c r="G1468">
        <v>8</v>
      </c>
      <c r="H1468" t="s">
        <v>3952</v>
      </c>
      <c r="I1468">
        <v>32.200000000000003</v>
      </c>
      <c r="J1468">
        <v>40.924999999999997</v>
      </c>
      <c r="K1468" t="str">
        <f>"PRPSAP2;PRPSAP1"</f>
        <v>PRPSAP2;PRPSAP1</v>
      </c>
      <c r="L1468" t="str">
        <f>"PRPSAP2;PRPSAP1"</f>
        <v>PRPSAP2;PRPSAP1</v>
      </c>
      <c r="M1468">
        <v>0</v>
      </c>
      <c r="N1468">
        <v>0</v>
      </c>
      <c r="O1468">
        <v>0.91194339418818204</v>
      </c>
      <c r="P1468">
        <v>0</v>
      </c>
      <c r="Q1468">
        <v>0</v>
      </c>
      <c r="R1468">
        <v>0.90008103209297396</v>
      </c>
      <c r="S1468">
        <v>0</v>
      </c>
      <c r="T1468">
        <v>0</v>
      </c>
      <c r="U1468">
        <v>0</v>
      </c>
      <c r="V1468">
        <v>0</v>
      </c>
      <c r="W1468">
        <v>2.5507961927783702</v>
      </c>
      <c r="X1468">
        <v>0.984645710619934</v>
      </c>
    </row>
    <row r="1469" spans="1:24">
      <c r="A1469">
        <v>192</v>
      </c>
      <c r="B1469" t="s">
        <v>3953</v>
      </c>
      <c r="C1469">
        <v>32</v>
      </c>
      <c r="D1469" t="s">
        <v>3954</v>
      </c>
      <c r="E1469">
        <v>3</v>
      </c>
      <c r="F1469">
        <v>3</v>
      </c>
      <c r="G1469">
        <v>3</v>
      </c>
      <c r="H1469" t="s">
        <v>3955</v>
      </c>
      <c r="I1469">
        <v>5.9</v>
      </c>
      <c r="J1469">
        <v>65.64</v>
      </c>
      <c r="K1469" t="str">
        <f>"CTNND1"</f>
        <v>CTNND1</v>
      </c>
      <c r="L1469" t="str">
        <f>"CTNND1"</f>
        <v>CTNND1</v>
      </c>
      <c r="M1469">
        <v>1.2103892752168599</v>
      </c>
      <c r="N1469">
        <v>0.89450172185430499</v>
      </c>
      <c r="O1469">
        <v>1.8238867883763601</v>
      </c>
      <c r="P1469">
        <v>0</v>
      </c>
      <c r="Q1469">
        <v>0</v>
      </c>
      <c r="R1469">
        <v>0.90008103209297396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</row>
    <row r="1470" spans="1:24">
      <c r="A1470">
        <v>207</v>
      </c>
      <c r="B1470" t="s">
        <v>3956</v>
      </c>
      <c r="C1470">
        <v>3</v>
      </c>
      <c r="D1470" t="s">
        <v>3957</v>
      </c>
      <c r="E1470">
        <v>3</v>
      </c>
      <c r="F1470">
        <v>3</v>
      </c>
      <c r="G1470">
        <v>3</v>
      </c>
      <c r="H1470" t="s">
        <v>3958</v>
      </c>
      <c r="I1470">
        <v>23.9</v>
      </c>
      <c r="J1470">
        <v>22.315999999999999</v>
      </c>
      <c r="K1470" t="str">
        <f>"RTN2"</f>
        <v>RTN2</v>
      </c>
      <c r="L1470" t="str">
        <f>"RTN2"</f>
        <v>RTN2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0.90008103209297396</v>
      </c>
      <c r="S1470">
        <v>2.2662711409396001</v>
      </c>
      <c r="T1470">
        <v>1.18448996772836</v>
      </c>
      <c r="U1470">
        <v>1.10235831809872</v>
      </c>
      <c r="V1470">
        <v>0</v>
      </c>
      <c r="W1470">
        <v>1.27539809638918</v>
      </c>
      <c r="X1470">
        <v>0.984645710619934</v>
      </c>
    </row>
    <row r="1471" spans="1:24">
      <c r="A1471">
        <v>208</v>
      </c>
      <c r="B1471" t="s">
        <v>3959</v>
      </c>
      <c r="C1471">
        <v>2</v>
      </c>
      <c r="D1471" t="s">
        <v>3960</v>
      </c>
      <c r="E1471">
        <v>3</v>
      </c>
      <c r="F1471">
        <v>3</v>
      </c>
      <c r="G1471">
        <v>3</v>
      </c>
      <c r="H1471" t="s">
        <v>3961</v>
      </c>
      <c r="I1471">
        <v>9.4</v>
      </c>
      <c r="J1471">
        <v>51.850999999999999</v>
      </c>
      <c r="K1471" t="str">
        <f>"NDUFS2"</f>
        <v>NDUFS2</v>
      </c>
      <c r="L1471" t="str">
        <f>"NDUFS2"</f>
        <v>NDUFS2</v>
      </c>
      <c r="M1471">
        <v>1.2103892752168599</v>
      </c>
      <c r="N1471">
        <v>0.89450172185430499</v>
      </c>
      <c r="O1471">
        <v>1.8238867883763601</v>
      </c>
      <c r="P1471">
        <v>1.0652189274447901</v>
      </c>
      <c r="Q1471">
        <v>0</v>
      </c>
      <c r="R1471">
        <v>0</v>
      </c>
      <c r="S1471">
        <v>1.1331355704698001</v>
      </c>
      <c r="T1471">
        <v>0</v>
      </c>
      <c r="U1471">
        <v>1.10235831809872</v>
      </c>
      <c r="V1471">
        <v>0</v>
      </c>
      <c r="W1471">
        <v>1.27539809638918</v>
      </c>
      <c r="X1471">
        <v>0.984645710619934</v>
      </c>
    </row>
    <row r="1472" spans="1:24">
      <c r="A1472">
        <v>451</v>
      </c>
      <c r="B1472" t="s">
        <v>3962</v>
      </c>
      <c r="C1472">
        <v>1</v>
      </c>
      <c r="D1472" t="s">
        <v>3963</v>
      </c>
      <c r="E1472">
        <v>2</v>
      </c>
      <c r="F1472">
        <v>2</v>
      </c>
      <c r="G1472">
        <v>2</v>
      </c>
      <c r="H1472" t="s">
        <v>3962</v>
      </c>
      <c r="I1472">
        <v>21.4</v>
      </c>
      <c r="J1472">
        <v>11.581</v>
      </c>
      <c r="K1472" t="s">
        <v>3964</v>
      </c>
      <c r="L1472" t="s">
        <v>3964</v>
      </c>
      <c r="M1472">
        <v>1.2103892752168599</v>
      </c>
      <c r="N1472">
        <v>0</v>
      </c>
      <c r="O1472">
        <v>0</v>
      </c>
      <c r="P1472">
        <v>2.1304378548895899</v>
      </c>
      <c r="Q1472">
        <v>0</v>
      </c>
      <c r="R1472">
        <v>1.8001620641859499</v>
      </c>
      <c r="S1472">
        <v>1.1331355704698001</v>
      </c>
      <c r="T1472">
        <v>1.18448996772836</v>
      </c>
      <c r="U1472">
        <v>0</v>
      </c>
      <c r="V1472">
        <v>0</v>
      </c>
      <c r="W1472">
        <v>0</v>
      </c>
      <c r="X1472">
        <v>0</v>
      </c>
    </row>
    <row r="1473" spans="1:24">
      <c r="A1473">
        <v>472</v>
      </c>
      <c r="B1473" t="s">
        <v>3965</v>
      </c>
      <c r="C1473">
        <v>11</v>
      </c>
      <c r="D1473" t="s">
        <v>3966</v>
      </c>
      <c r="E1473">
        <v>9</v>
      </c>
      <c r="F1473">
        <v>9</v>
      </c>
      <c r="G1473">
        <v>8</v>
      </c>
      <c r="H1473" t="s">
        <v>3967</v>
      </c>
      <c r="I1473">
        <v>10.6</v>
      </c>
      <c r="J1473">
        <v>113</v>
      </c>
      <c r="K1473" t="str">
        <f>"ATP1A1;ATP1A3;ATP1A2;ATP1A4;ATP12A"</f>
        <v>ATP1A1;ATP1A3;ATP1A2;ATP1A4;ATP12A</v>
      </c>
      <c r="L1473" t="str">
        <f>"ATP1A1;ATP1A3;ATP1A2;ATP1A4;ATP12A"</f>
        <v>ATP1A1;ATP1A3;ATP1A2;ATP1A4;ATP12A</v>
      </c>
      <c r="M1473">
        <v>0</v>
      </c>
      <c r="N1473">
        <v>1.78900344370861</v>
      </c>
      <c r="O1473">
        <v>0</v>
      </c>
      <c r="P1473">
        <v>1.0652189274447901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1.27539809638918</v>
      </c>
      <c r="X1473">
        <v>1.96929142123987</v>
      </c>
    </row>
    <row r="1474" spans="1:24">
      <c r="A1474">
        <v>547</v>
      </c>
      <c r="B1474" t="s">
        <v>3968</v>
      </c>
      <c r="C1474">
        <v>2</v>
      </c>
      <c r="D1474" t="s">
        <v>3969</v>
      </c>
      <c r="E1474">
        <v>10</v>
      </c>
      <c r="F1474">
        <v>3</v>
      </c>
      <c r="G1474">
        <v>3</v>
      </c>
      <c r="H1474" t="s">
        <v>3970</v>
      </c>
      <c r="I1474">
        <v>45.1</v>
      </c>
      <c r="J1474">
        <v>22.006</v>
      </c>
      <c r="K1474" t="str">
        <f>"RHOC;RHOB"</f>
        <v>RHOC;RHOB</v>
      </c>
      <c r="L1474" t="str">
        <f>"RHOC;RHOB"</f>
        <v>RHOC;RHOB</v>
      </c>
      <c r="M1474">
        <v>0</v>
      </c>
      <c r="N1474">
        <v>0</v>
      </c>
      <c r="O1474">
        <v>0.91194339418818204</v>
      </c>
      <c r="P1474">
        <v>1.0652189274447901</v>
      </c>
      <c r="Q1474">
        <v>0</v>
      </c>
      <c r="R1474">
        <v>0</v>
      </c>
      <c r="S1474">
        <v>0</v>
      </c>
      <c r="T1474">
        <v>1.18448996772836</v>
      </c>
      <c r="U1474">
        <v>0</v>
      </c>
      <c r="V1474">
        <v>1.05063596764157</v>
      </c>
      <c r="W1474">
        <v>1.27539809638918</v>
      </c>
      <c r="X1474">
        <v>0</v>
      </c>
    </row>
    <row r="1475" spans="1:24">
      <c r="A1475">
        <v>754</v>
      </c>
      <c r="B1475" t="s">
        <v>3971</v>
      </c>
      <c r="C1475">
        <v>3</v>
      </c>
      <c r="D1475" t="s">
        <v>3972</v>
      </c>
      <c r="E1475">
        <v>3</v>
      </c>
      <c r="F1475">
        <v>3</v>
      </c>
      <c r="G1475">
        <v>3</v>
      </c>
      <c r="H1475" t="s">
        <v>3973</v>
      </c>
      <c r="I1475">
        <v>5.6</v>
      </c>
      <c r="J1475">
        <v>105.35</v>
      </c>
      <c r="K1475" t="str">
        <f>"NFKB1"</f>
        <v>NFKB1</v>
      </c>
      <c r="L1475" t="str">
        <f>"NFKB1"</f>
        <v>NFKB1</v>
      </c>
      <c r="M1475">
        <v>0</v>
      </c>
      <c r="N1475">
        <v>0.89450172185430499</v>
      </c>
      <c r="O1475">
        <v>0.91194339418818204</v>
      </c>
      <c r="P1475">
        <v>0</v>
      </c>
      <c r="Q1475">
        <v>0</v>
      </c>
      <c r="R1475">
        <v>0.90008103209297396</v>
      </c>
      <c r="S1475">
        <v>1.1331355704698001</v>
      </c>
      <c r="T1475">
        <v>0</v>
      </c>
      <c r="U1475">
        <v>0</v>
      </c>
      <c r="V1475">
        <v>1.05063596764157</v>
      </c>
      <c r="W1475">
        <v>0</v>
      </c>
      <c r="X1475">
        <v>0</v>
      </c>
    </row>
    <row r="1476" spans="1:24">
      <c r="A1476">
        <v>949</v>
      </c>
      <c r="B1476" t="s">
        <v>3974</v>
      </c>
      <c r="C1476">
        <v>1</v>
      </c>
      <c r="D1476" t="s">
        <v>3975</v>
      </c>
      <c r="E1476">
        <v>13</v>
      </c>
      <c r="F1476">
        <v>1</v>
      </c>
      <c r="G1476">
        <v>1</v>
      </c>
      <c r="H1476" t="s">
        <v>3974</v>
      </c>
      <c r="I1476">
        <v>20.6</v>
      </c>
      <c r="J1476">
        <v>70.373999999999995</v>
      </c>
      <c r="K1476" t="str">
        <f>"HSPA1L"</f>
        <v>HSPA1L</v>
      </c>
      <c r="L1476" t="str">
        <f>"HSPA1L"</f>
        <v>HSPA1L</v>
      </c>
      <c r="M1476">
        <v>1.2103892752168599</v>
      </c>
      <c r="N1476">
        <v>0</v>
      </c>
      <c r="O1476">
        <v>0.91194339418818204</v>
      </c>
      <c r="P1476">
        <v>1.0652189274447901</v>
      </c>
      <c r="Q1476">
        <v>0</v>
      </c>
      <c r="R1476">
        <v>0</v>
      </c>
      <c r="S1476">
        <v>1.1331355704698001</v>
      </c>
      <c r="T1476">
        <v>1.18448996772836</v>
      </c>
      <c r="U1476">
        <v>0</v>
      </c>
      <c r="V1476">
        <v>0</v>
      </c>
      <c r="W1476">
        <v>1.27539809638918</v>
      </c>
      <c r="X1476">
        <v>0</v>
      </c>
    </row>
    <row r="1477" spans="1:24">
      <c r="A1477">
        <v>1090</v>
      </c>
      <c r="B1477" t="s">
        <v>3976</v>
      </c>
      <c r="C1477">
        <v>3</v>
      </c>
      <c r="D1477" t="s">
        <v>3977</v>
      </c>
      <c r="E1477">
        <v>6</v>
      </c>
      <c r="F1477">
        <v>6</v>
      </c>
      <c r="G1477">
        <v>6</v>
      </c>
      <c r="H1477" t="s">
        <v>3978</v>
      </c>
      <c r="I1477">
        <v>9.6</v>
      </c>
      <c r="J1477">
        <v>82.844999999999999</v>
      </c>
      <c r="K1477" t="str">
        <f>"CARS"</f>
        <v>CARS</v>
      </c>
      <c r="L1477" t="str">
        <f>"CARS"</f>
        <v>CARS</v>
      </c>
      <c r="M1477">
        <v>0</v>
      </c>
      <c r="N1477">
        <v>0.89450172185430499</v>
      </c>
      <c r="O1477">
        <v>0.91194339418818204</v>
      </c>
      <c r="P1477">
        <v>0</v>
      </c>
      <c r="Q1477">
        <v>0</v>
      </c>
      <c r="R1477">
        <v>0.90008103209297396</v>
      </c>
      <c r="S1477">
        <v>0</v>
      </c>
      <c r="T1477">
        <v>0</v>
      </c>
      <c r="U1477">
        <v>1.10235831809872</v>
      </c>
      <c r="V1477">
        <v>0</v>
      </c>
      <c r="W1477">
        <v>0</v>
      </c>
      <c r="X1477">
        <v>0.984645710619934</v>
      </c>
    </row>
    <row r="1478" spans="1:24">
      <c r="A1478">
        <v>1100</v>
      </c>
      <c r="B1478" t="s">
        <v>3979</v>
      </c>
      <c r="C1478">
        <v>20</v>
      </c>
      <c r="D1478" t="s">
        <v>3980</v>
      </c>
      <c r="E1478">
        <v>4</v>
      </c>
      <c r="F1478">
        <v>4</v>
      </c>
      <c r="G1478">
        <v>4</v>
      </c>
      <c r="H1478" t="s">
        <v>3981</v>
      </c>
      <c r="I1478">
        <v>16.2</v>
      </c>
      <c r="J1478">
        <v>40.588000000000001</v>
      </c>
      <c r="K1478" t="str">
        <f>"RGS6;RGS7"</f>
        <v>RGS6;RGS7</v>
      </c>
      <c r="L1478" t="str">
        <f>"RGS6;RGS7"</f>
        <v>RGS6;RGS7</v>
      </c>
      <c r="M1478">
        <v>0</v>
      </c>
      <c r="N1478">
        <v>1.78900344370861</v>
      </c>
      <c r="O1478">
        <v>1.8238867883763601</v>
      </c>
      <c r="P1478">
        <v>0</v>
      </c>
      <c r="Q1478">
        <v>0</v>
      </c>
      <c r="R1478">
        <v>0</v>
      </c>
      <c r="S1478">
        <v>1.1331355704698001</v>
      </c>
      <c r="T1478">
        <v>0</v>
      </c>
      <c r="U1478">
        <v>0</v>
      </c>
      <c r="V1478">
        <v>1.05063596764157</v>
      </c>
      <c r="W1478">
        <v>0</v>
      </c>
      <c r="X1478">
        <v>1.96929142123987</v>
      </c>
    </row>
    <row r="1479" spans="1:24">
      <c r="A1479">
        <v>1209</v>
      </c>
      <c r="B1479" t="s">
        <v>3982</v>
      </c>
      <c r="C1479">
        <v>1</v>
      </c>
      <c r="D1479" t="s">
        <v>3983</v>
      </c>
      <c r="E1479">
        <v>4</v>
      </c>
      <c r="F1479">
        <v>4</v>
      </c>
      <c r="G1479">
        <v>4</v>
      </c>
      <c r="H1479" t="s">
        <v>3982</v>
      </c>
      <c r="I1479">
        <v>9.3000000000000007</v>
      </c>
      <c r="J1479">
        <v>52.8</v>
      </c>
      <c r="K1479" t="str">
        <f>"GSDMD"</f>
        <v>GSDMD</v>
      </c>
      <c r="L1479" t="str">
        <f>"GSDMD"</f>
        <v>GSDMD</v>
      </c>
      <c r="M1479">
        <v>0</v>
      </c>
      <c r="N1479">
        <v>0.89450172185430499</v>
      </c>
      <c r="O1479">
        <v>0.91194339418818204</v>
      </c>
      <c r="P1479">
        <v>0</v>
      </c>
      <c r="Q1479">
        <v>0</v>
      </c>
      <c r="R1479">
        <v>0.90008103209297396</v>
      </c>
      <c r="S1479">
        <v>1.1331355704698001</v>
      </c>
      <c r="T1479">
        <v>0</v>
      </c>
      <c r="U1479">
        <v>1.10235831809872</v>
      </c>
      <c r="V1479">
        <v>0</v>
      </c>
      <c r="W1479">
        <v>1.27539809638918</v>
      </c>
      <c r="X1479">
        <v>0.984645710619934</v>
      </c>
    </row>
    <row r="1480" spans="1:24">
      <c r="A1480">
        <v>1335</v>
      </c>
      <c r="B1480" t="s">
        <v>3984</v>
      </c>
      <c r="C1480">
        <v>29</v>
      </c>
      <c r="D1480" t="s">
        <v>3985</v>
      </c>
      <c r="E1480">
        <v>4</v>
      </c>
      <c r="F1480">
        <v>4</v>
      </c>
      <c r="G1480">
        <v>3</v>
      </c>
      <c r="H1480" t="s">
        <v>3986</v>
      </c>
      <c r="I1480">
        <v>14.7</v>
      </c>
      <c r="J1480">
        <v>33.304000000000002</v>
      </c>
      <c r="K1480" t="str">
        <f>"CDK5;CDK4;CDK2;CDK1;CDK3;CDK6;CDK15;CDK9;CDK14;CDK18;CDK16;CDK17;CDK13"</f>
        <v>CDK5;CDK4;CDK2;CDK1;CDK3;CDK6;CDK15;CDK9;CDK14;CDK18;CDK16;CDK17;CDK13</v>
      </c>
      <c r="L1480" t="str">
        <f>"CDK5;CDK4;CDK2;CDK1;CDK3;CDK6;CDK15;CDK9;CDK14;CDK18;CDK16;CDK17;CDK13"</f>
        <v>CDK5;CDK4;CDK2;CDK1;CDK3;CDK6;CDK15;CDK9;CDK14;CDK18;CDK16;CDK17;CDK13</v>
      </c>
      <c r="M1480">
        <v>0</v>
      </c>
      <c r="N1480">
        <v>1.78900344370861</v>
      </c>
      <c r="O1480">
        <v>0</v>
      </c>
      <c r="P1480">
        <v>0</v>
      </c>
      <c r="Q1480">
        <v>0</v>
      </c>
      <c r="R1480">
        <v>0.90008103209297396</v>
      </c>
      <c r="S1480">
        <v>0</v>
      </c>
      <c r="T1480">
        <v>1.18448996772836</v>
      </c>
      <c r="U1480">
        <v>1.10235831809872</v>
      </c>
      <c r="V1480">
        <v>0</v>
      </c>
      <c r="W1480">
        <v>0</v>
      </c>
      <c r="X1480">
        <v>0.984645710619934</v>
      </c>
    </row>
    <row r="1481" spans="1:24">
      <c r="A1481">
        <v>1348</v>
      </c>
      <c r="B1481" t="s">
        <v>3987</v>
      </c>
      <c r="C1481">
        <v>2</v>
      </c>
      <c r="D1481" t="s">
        <v>3988</v>
      </c>
      <c r="E1481">
        <v>4</v>
      </c>
      <c r="F1481">
        <v>4</v>
      </c>
      <c r="G1481">
        <v>4</v>
      </c>
      <c r="H1481" t="s">
        <v>3989</v>
      </c>
      <c r="I1481">
        <v>4.5999999999999996</v>
      </c>
      <c r="J1481">
        <v>131.19999999999999</v>
      </c>
      <c r="K1481" t="str">
        <f>"PLCB3"</f>
        <v>PLCB3</v>
      </c>
      <c r="L1481" t="str">
        <f>"PLCB3"</f>
        <v>PLCB3</v>
      </c>
      <c r="M1481">
        <v>0</v>
      </c>
      <c r="N1481">
        <v>0.89450172185430499</v>
      </c>
      <c r="O1481">
        <v>0.91194339418818204</v>
      </c>
      <c r="P1481">
        <v>0</v>
      </c>
      <c r="Q1481">
        <v>1.25576199330606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>
      <c r="A1482">
        <v>1555</v>
      </c>
      <c r="B1482" t="s">
        <v>3990</v>
      </c>
      <c r="C1482">
        <v>1</v>
      </c>
      <c r="D1482" t="s">
        <v>3991</v>
      </c>
      <c r="E1482">
        <v>7</v>
      </c>
      <c r="F1482">
        <v>7</v>
      </c>
      <c r="G1482">
        <v>7</v>
      </c>
      <c r="H1482" t="s">
        <v>3990</v>
      </c>
      <c r="I1482">
        <v>8.8000000000000007</v>
      </c>
      <c r="J1482">
        <v>123.92</v>
      </c>
      <c r="K1482" t="str">
        <f>"UBE3C"</f>
        <v>UBE3C</v>
      </c>
      <c r="L1482" t="str">
        <f>"UBE3C"</f>
        <v>UBE3C</v>
      </c>
      <c r="M1482">
        <v>0</v>
      </c>
      <c r="N1482">
        <v>0.89450172185430499</v>
      </c>
      <c r="O1482">
        <v>0</v>
      </c>
      <c r="P1482">
        <v>0</v>
      </c>
      <c r="Q1482">
        <v>0</v>
      </c>
      <c r="R1482">
        <v>0.90008103209297396</v>
      </c>
      <c r="S1482">
        <v>0</v>
      </c>
      <c r="T1482">
        <v>0</v>
      </c>
      <c r="U1482">
        <v>1.10235831809872</v>
      </c>
      <c r="V1482">
        <v>0</v>
      </c>
      <c r="W1482">
        <v>0</v>
      </c>
      <c r="X1482">
        <v>1.96929142123987</v>
      </c>
    </row>
    <row r="1483" spans="1:24">
      <c r="A1483">
        <v>1577</v>
      </c>
      <c r="B1483" t="s">
        <v>3992</v>
      </c>
      <c r="C1483">
        <v>1</v>
      </c>
      <c r="D1483" t="s">
        <v>3993</v>
      </c>
      <c r="E1483">
        <v>1</v>
      </c>
      <c r="F1483">
        <v>1</v>
      </c>
      <c r="G1483">
        <v>1</v>
      </c>
      <c r="H1483" t="s">
        <v>3992</v>
      </c>
      <c r="I1483">
        <v>6.1</v>
      </c>
      <c r="J1483">
        <v>26.413</v>
      </c>
      <c r="K1483" t="str">
        <f>"ADIPOQ"</f>
        <v>ADIPOQ</v>
      </c>
      <c r="L1483" t="str">
        <f>"ADIPOQ"</f>
        <v>ADIPOQ</v>
      </c>
      <c r="M1483">
        <v>1.2103892752168599</v>
      </c>
      <c r="N1483">
        <v>0</v>
      </c>
      <c r="O1483">
        <v>0.91194339418818204</v>
      </c>
      <c r="P1483">
        <v>0</v>
      </c>
      <c r="Q1483">
        <v>1.25576199330606</v>
      </c>
      <c r="R1483">
        <v>0</v>
      </c>
      <c r="S1483">
        <v>1.1331355704698001</v>
      </c>
      <c r="T1483">
        <v>0</v>
      </c>
      <c r="U1483">
        <v>1.10235831809872</v>
      </c>
      <c r="V1483">
        <v>0</v>
      </c>
      <c r="W1483">
        <v>1.27539809638918</v>
      </c>
      <c r="X1483">
        <v>0</v>
      </c>
    </row>
    <row r="1484" spans="1:24">
      <c r="A1484">
        <v>1579</v>
      </c>
      <c r="B1484" t="s">
        <v>3994</v>
      </c>
      <c r="C1484">
        <v>9</v>
      </c>
      <c r="D1484" t="s">
        <v>3995</v>
      </c>
      <c r="E1484">
        <v>2</v>
      </c>
      <c r="F1484">
        <v>2</v>
      </c>
      <c r="G1484">
        <v>2</v>
      </c>
      <c r="H1484" t="s">
        <v>3996</v>
      </c>
      <c r="I1484">
        <v>0.5</v>
      </c>
      <c r="J1484">
        <v>393.73</v>
      </c>
      <c r="K1484" t="str">
        <f>"ZFHX4;ZFHX3;ZFHX2"</f>
        <v>ZFHX4;ZFHX3;ZFHX2</v>
      </c>
      <c r="L1484" t="str">
        <f>"ZFHX4;ZFHX3;ZFHX2"</f>
        <v>ZFHX4;ZFHX3;ZFHX2</v>
      </c>
      <c r="M1484">
        <v>0</v>
      </c>
      <c r="N1484">
        <v>0</v>
      </c>
      <c r="O1484">
        <v>0.91194339418818204</v>
      </c>
      <c r="P1484">
        <v>0</v>
      </c>
      <c r="Q1484">
        <v>0</v>
      </c>
      <c r="R1484">
        <v>0.90008103209297396</v>
      </c>
      <c r="S1484">
        <v>0</v>
      </c>
      <c r="T1484">
        <v>1.18448996772836</v>
      </c>
      <c r="U1484">
        <v>0</v>
      </c>
      <c r="V1484">
        <v>1.05063596764157</v>
      </c>
      <c r="W1484">
        <v>0</v>
      </c>
      <c r="X1484">
        <v>0.984645710619934</v>
      </c>
    </row>
    <row r="1485" spans="1:24">
      <c r="A1485">
        <v>1598</v>
      </c>
      <c r="B1485" t="s">
        <v>3997</v>
      </c>
      <c r="C1485">
        <v>2</v>
      </c>
      <c r="D1485" t="s">
        <v>3998</v>
      </c>
      <c r="E1485">
        <v>4</v>
      </c>
      <c r="F1485">
        <v>4</v>
      </c>
      <c r="G1485">
        <v>4</v>
      </c>
      <c r="H1485" t="s">
        <v>3999</v>
      </c>
      <c r="I1485">
        <v>20</v>
      </c>
      <c r="J1485">
        <v>28.86</v>
      </c>
      <c r="K1485" t="str">
        <f>"HAGH"</f>
        <v>HAGH</v>
      </c>
      <c r="L1485" t="str">
        <f>"HAGH"</f>
        <v>HAGH</v>
      </c>
      <c r="M1485">
        <v>0</v>
      </c>
      <c r="N1485">
        <v>0.89450172185430499</v>
      </c>
      <c r="O1485">
        <v>0.91194339418818204</v>
      </c>
      <c r="P1485">
        <v>1.0652189274447901</v>
      </c>
      <c r="Q1485">
        <v>0</v>
      </c>
      <c r="R1485">
        <v>0</v>
      </c>
      <c r="S1485">
        <v>0</v>
      </c>
      <c r="T1485">
        <v>0</v>
      </c>
      <c r="U1485">
        <v>1.10235831809872</v>
      </c>
      <c r="V1485">
        <v>0</v>
      </c>
      <c r="W1485">
        <v>1.27539809638918</v>
      </c>
      <c r="X1485">
        <v>0.984645710619934</v>
      </c>
    </row>
    <row r="1486" spans="1:24">
      <c r="A1486">
        <v>1631</v>
      </c>
      <c r="B1486" t="s">
        <v>4000</v>
      </c>
      <c r="C1486">
        <v>3</v>
      </c>
      <c r="D1486" t="s">
        <v>4001</v>
      </c>
      <c r="E1486">
        <v>7</v>
      </c>
      <c r="F1486">
        <v>7</v>
      </c>
      <c r="G1486">
        <v>7</v>
      </c>
      <c r="H1486" t="s">
        <v>4002</v>
      </c>
      <c r="I1486">
        <v>10.3</v>
      </c>
      <c r="J1486">
        <v>106.06</v>
      </c>
      <c r="K1486" t="str">
        <f>"PITRM1"</f>
        <v>PITRM1</v>
      </c>
      <c r="L1486" t="str">
        <f>"PITRM1"</f>
        <v>PITRM1</v>
      </c>
      <c r="M1486">
        <v>0</v>
      </c>
      <c r="N1486">
        <v>0</v>
      </c>
      <c r="O1486">
        <v>0.91194339418818204</v>
      </c>
      <c r="P1486">
        <v>0</v>
      </c>
      <c r="Q1486">
        <v>0</v>
      </c>
      <c r="R1486">
        <v>1.8001620641859499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</row>
    <row r="1487" spans="1:24">
      <c r="A1487">
        <v>1689</v>
      </c>
      <c r="B1487" t="s">
        <v>4003</v>
      </c>
      <c r="C1487">
        <v>1</v>
      </c>
      <c r="D1487" t="s">
        <v>4004</v>
      </c>
      <c r="E1487">
        <v>6</v>
      </c>
      <c r="F1487">
        <v>6</v>
      </c>
      <c r="G1487">
        <v>6</v>
      </c>
      <c r="H1487" t="s">
        <v>4003</v>
      </c>
      <c r="I1487">
        <v>22.5</v>
      </c>
      <c r="J1487">
        <v>35.74</v>
      </c>
      <c r="K1487" t="str">
        <f>"TMED8"</f>
        <v>TMED8</v>
      </c>
      <c r="L1487" t="str">
        <f>"TMED8"</f>
        <v>TMED8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1.1331355704698001</v>
      </c>
      <c r="T1487">
        <v>0</v>
      </c>
      <c r="U1487">
        <v>1.10235831809872</v>
      </c>
      <c r="V1487">
        <v>0</v>
      </c>
      <c r="W1487">
        <v>0</v>
      </c>
      <c r="X1487">
        <v>1.96929142123987</v>
      </c>
    </row>
    <row r="1488" spans="1:24">
      <c r="A1488">
        <v>1692</v>
      </c>
      <c r="B1488" t="s">
        <v>4005</v>
      </c>
      <c r="C1488">
        <v>3</v>
      </c>
      <c r="D1488" t="s">
        <v>4006</v>
      </c>
      <c r="E1488">
        <v>5</v>
      </c>
      <c r="F1488">
        <v>5</v>
      </c>
      <c r="G1488">
        <v>5</v>
      </c>
      <c r="H1488" t="s">
        <v>4007</v>
      </c>
      <c r="I1488">
        <v>13.3</v>
      </c>
      <c r="J1488">
        <v>53.911000000000001</v>
      </c>
      <c r="K1488" t="str">
        <f>"PLXDC2"</f>
        <v>PLXDC2</v>
      </c>
      <c r="L1488" t="str">
        <f>"PLXDC2"</f>
        <v>PLXDC2</v>
      </c>
      <c r="M1488">
        <v>0</v>
      </c>
      <c r="N1488">
        <v>0</v>
      </c>
      <c r="O1488">
        <v>0</v>
      </c>
      <c r="P1488">
        <v>2.1304378548895899</v>
      </c>
      <c r="Q1488">
        <v>0</v>
      </c>
      <c r="R1488">
        <v>1.8001620641859499</v>
      </c>
      <c r="S1488">
        <v>1.1331355704698001</v>
      </c>
      <c r="T1488">
        <v>0</v>
      </c>
      <c r="U1488">
        <v>2.20471663619744</v>
      </c>
      <c r="V1488">
        <v>1.05063596764157</v>
      </c>
      <c r="W1488">
        <v>0</v>
      </c>
      <c r="X1488">
        <v>0.984645710619934</v>
      </c>
    </row>
    <row r="1489" spans="1:24">
      <c r="A1489">
        <v>1803</v>
      </c>
      <c r="B1489" t="s">
        <v>4008</v>
      </c>
      <c r="C1489">
        <v>2</v>
      </c>
      <c r="D1489" t="s">
        <v>4009</v>
      </c>
      <c r="E1489">
        <v>2</v>
      </c>
      <c r="F1489">
        <v>2</v>
      </c>
      <c r="G1489">
        <v>2</v>
      </c>
      <c r="H1489" t="s">
        <v>4010</v>
      </c>
      <c r="I1489">
        <v>6.6</v>
      </c>
      <c r="J1489">
        <v>55.271999999999998</v>
      </c>
      <c r="K1489" t="str">
        <f>"FAM98A"</f>
        <v>FAM98A</v>
      </c>
      <c r="L1489" t="str">
        <f>"FAM98A"</f>
        <v>FAM98A</v>
      </c>
      <c r="M1489">
        <v>0</v>
      </c>
      <c r="N1489">
        <v>1.78900344370861</v>
      </c>
      <c r="O1489">
        <v>0.91194339418818204</v>
      </c>
      <c r="P1489">
        <v>0</v>
      </c>
      <c r="Q1489">
        <v>0</v>
      </c>
      <c r="R1489">
        <v>0.90008103209297396</v>
      </c>
      <c r="S1489">
        <v>0</v>
      </c>
      <c r="T1489">
        <v>0</v>
      </c>
      <c r="U1489">
        <v>1.10235831809872</v>
      </c>
      <c r="V1489">
        <v>0</v>
      </c>
      <c r="W1489">
        <v>0</v>
      </c>
      <c r="X1489">
        <v>0.984645710619934</v>
      </c>
    </row>
    <row r="1490" spans="1:24">
      <c r="A1490">
        <v>1886</v>
      </c>
      <c r="B1490" t="s">
        <v>4011</v>
      </c>
      <c r="C1490">
        <v>3</v>
      </c>
      <c r="D1490" t="s">
        <v>4012</v>
      </c>
      <c r="E1490">
        <v>1</v>
      </c>
      <c r="F1490">
        <v>1</v>
      </c>
      <c r="G1490">
        <v>1</v>
      </c>
      <c r="H1490" t="s">
        <v>4013</v>
      </c>
      <c r="I1490">
        <v>6.6</v>
      </c>
      <c r="J1490">
        <v>21.632999999999999</v>
      </c>
      <c r="K1490" t="str">
        <f>"RIT1"</f>
        <v>RIT1</v>
      </c>
      <c r="L1490" t="str">
        <f>"RIT1"</f>
        <v>RIT1</v>
      </c>
      <c r="M1490">
        <v>1.2103892752168599</v>
      </c>
      <c r="N1490">
        <v>0</v>
      </c>
      <c r="O1490">
        <v>0</v>
      </c>
      <c r="P1490">
        <v>1.0652189274447901</v>
      </c>
      <c r="Q1490">
        <v>0</v>
      </c>
      <c r="R1490">
        <v>0</v>
      </c>
      <c r="S1490">
        <v>1.1331355704698001</v>
      </c>
      <c r="T1490">
        <v>1.18448996772836</v>
      </c>
      <c r="U1490">
        <v>0</v>
      </c>
      <c r="V1490">
        <v>0</v>
      </c>
      <c r="W1490">
        <v>1.27539809638918</v>
      </c>
      <c r="X1490">
        <v>0.984645710619934</v>
      </c>
    </row>
    <row r="1491" spans="1:24">
      <c r="A1491">
        <v>1925</v>
      </c>
      <c r="B1491" t="s">
        <v>4014</v>
      </c>
      <c r="C1491">
        <v>1</v>
      </c>
      <c r="D1491" t="s">
        <v>4015</v>
      </c>
      <c r="E1491">
        <v>3</v>
      </c>
      <c r="F1491">
        <v>2</v>
      </c>
      <c r="G1491">
        <v>2</v>
      </c>
      <c r="H1491" t="s">
        <v>4014</v>
      </c>
      <c r="I1491">
        <v>18.100000000000001</v>
      </c>
      <c r="J1491">
        <v>25.952000000000002</v>
      </c>
      <c r="K1491" t="str">
        <f>"RAB3C"</f>
        <v>RAB3C</v>
      </c>
      <c r="L1491" t="str">
        <f>"RAB3C"</f>
        <v>RAB3C</v>
      </c>
      <c r="M1491">
        <v>0</v>
      </c>
      <c r="N1491">
        <v>0.89450172185430499</v>
      </c>
      <c r="O1491">
        <v>0</v>
      </c>
      <c r="P1491">
        <v>1.0652189274447901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1.05063596764157</v>
      </c>
      <c r="W1491">
        <v>0</v>
      </c>
      <c r="X1491">
        <v>1.96929142123987</v>
      </c>
    </row>
    <row r="1492" spans="1:24">
      <c r="A1492">
        <v>2051</v>
      </c>
      <c r="B1492" t="s">
        <v>4016</v>
      </c>
      <c r="C1492">
        <v>4</v>
      </c>
      <c r="D1492" t="s">
        <v>4017</v>
      </c>
      <c r="E1492">
        <v>6</v>
      </c>
      <c r="F1492">
        <v>6</v>
      </c>
      <c r="G1492">
        <v>6</v>
      </c>
      <c r="H1492" t="s">
        <v>4018</v>
      </c>
      <c r="I1492">
        <v>12.9</v>
      </c>
      <c r="J1492">
        <v>66.515000000000001</v>
      </c>
      <c r="K1492" t="str">
        <f>"FUT8"</f>
        <v>FUT8</v>
      </c>
      <c r="L1492" t="str">
        <f>"FUT8"</f>
        <v>FUT8</v>
      </c>
      <c r="M1492">
        <v>0</v>
      </c>
      <c r="N1492">
        <v>0</v>
      </c>
      <c r="O1492">
        <v>0</v>
      </c>
      <c r="P1492">
        <v>1.0652189274447901</v>
      </c>
      <c r="Q1492">
        <v>0</v>
      </c>
      <c r="R1492">
        <v>3.6003241283718901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</row>
    <row r="1493" spans="1:24">
      <c r="A1493">
        <v>2119</v>
      </c>
      <c r="B1493" t="s">
        <v>4019</v>
      </c>
      <c r="C1493">
        <v>2</v>
      </c>
      <c r="D1493" t="s">
        <v>4020</v>
      </c>
      <c r="E1493">
        <v>3</v>
      </c>
      <c r="F1493">
        <v>3</v>
      </c>
      <c r="G1493">
        <v>3</v>
      </c>
      <c r="H1493" t="s">
        <v>4021</v>
      </c>
      <c r="I1493">
        <v>10.5</v>
      </c>
      <c r="J1493">
        <v>54.572000000000003</v>
      </c>
      <c r="K1493" t="str">
        <f>"SIAE"</f>
        <v>SIAE</v>
      </c>
      <c r="L1493" t="str">
        <f>"SIAE"</f>
        <v>SIAE</v>
      </c>
      <c r="M1493">
        <v>1.2103892752168599</v>
      </c>
      <c r="N1493">
        <v>0</v>
      </c>
      <c r="O1493">
        <v>0.91194339418818204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1.10235831809872</v>
      </c>
      <c r="V1493">
        <v>1.05063596764157</v>
      </c>
      <c r="W1493">
        <v>0</v>
      </c>
      <c r="X1493">
        <v>0.984645710619934</v>
      </c>
    </row>
    <row r="1494" spans="1:24">
      <c r="A1494">
        <v>2165</v>
      </c>
      <c r="B1494" t="s">
        <v>4022</v>
      </c>
      <c r="C1494">
        <v>1</v>
      </c>
      <c r="D1494" t="s">
        <v>4023</v>
      </c>
      <c r="E1494">
        <v>3</v>
      </c>
      <c r="F1494">
        <v>3</v>
      </c>
      <c r="G1494">
        <v>3</v>
      </c>
      <c r="H1494" t="s">
        <v>4022</v>
      </c>
      <c r="I1494">
        <v>8.5</v>
      </c>
      <c r="J1494">
        <v>55.468000000000004</v>
      </c>
      <c r="K1494" t="str">
        <f>"FAM114A2"</f>
        <v>FAM114A2</v>
      </c>
      <c r="L1494" t="str">
        <f>"FAM114A2"</f>
        <v>FAM114A2</v>
      </c>
      <c r="M1494">
        <v>0</v>
      </c>
      <c r="N1494">
        <v>0</v>
      </c>
      <c r="O1494">
        <v>0</v>
      </c>
      <c r="P1494">
        <v>1.0652189274447901</v>
      </c>
      <c r="Q1494">
        <v>0</v>
      </c>
      <c r="R1494">
        <v>0.90008103209297396</v>
      </c>
      <c r="S1494">
        <v>1.1331355704698001</v>
      </c>
      <c r="T1494">
        <v>0</v>
      </c>
      <c r="U1494">
        <v>1.10235831809872</v>
      </c>
      <c r="V1494">
        <v>0</v>
      </c>
      <c r="W1494">
        <v>1.27539809638918</v>
      </c>
      <c r="X1494">
        <v>1.96929142123987</v>
      </c>
    </row>
    <row r="1495" spans="1:24">
      <c r="A1495">
        <v>2187</v>
      </c>
      <c r="B1495" t="s">
        <v>4024</v>
      </c>
      <c r="C1495">
        <v>1</v>
      </c>
      <c r="D1495" t="s">
        <v>4025</v>
      </c>
      <c r="E1495">
        <v>3</v>
      </c>
      <c r="F1495">
        <v>3</v>
      </c>
      <c r="G1495">
        <v>3</v>
      </c>
      <c r="H1495" t="s">
        <v>4024</v>
      </c>
      <c r="I1495">
        <v>30</v>
      </c>
      <c r="J1495">
        <v>18.047999999999998</v>
      </c>
      <c r="K1495" t="str">
        <f>"C1orf123"</f>
        <v>C1orf123</v>
      </c>
      <c r="L1495" t="str">
        <f>"C1orf123"</f>
        <v>C1orf123</v>
      </c>
      <c r="M1495">
        <v>1.2103892752168599</v>
      </c>
      <c r="N1495">
        <v>0.89450172185430499</v>
      </c>
      <c r="O1495">
        <v>0.91194339418818204</v>
      </c>
      <c r="P1495">
        <v>1.0652189274447901</v>
      </c>
      <c r="Q1495">
        <v>0</v>
      </c>
      <c r="R1495">
        <v>0</v>
      </c>
      <c r="S1495">
        <v>0</v>
      </c>
      <c r="T1495">
        <v>1.18448996772836</v>
      </c>
      <c r="U1495">
        <v>0</v>
      </c>
      <c r="V1495">
        <v>0</v>
      </c>
      <c r="W1495">
        <v>0</v>
      </c>
      <c r="X1495">
        <v>0.984645710619934</v>
      </c>
    </row>
    <row r="1496" spans="1:24">
      <c r="A1496">
        <v>2203</v>
      </c>
      <c r="B1496" t="s">
        <v>4026</v>
      </c>
      <c r="C1496">
        <v>1</v>
      </c>
      <c r="D1496" t="s">
        <v>4027</v>
      </c>
      <c r="E1496">
        <v>4</v>
      </c>
      <c r="F1496">
        <v>4</v>
      </c>
      <c r="G1496">
        <v>4</v>
      </c>
      <c r="H1496" t="s">
        <v>4026</v>
      </c>
      <c r="I1496">
        <v>12.7</v>
      </c>
      <c r="J1496">
        <v>46.305999999999997</v>
      </c>
      <c r="K1496" t="str">
        <f>"ACTR10"</f>
        <v>ACTR10</v>
      </c>
      <c r="L1496" t="str">
        <f>"ACTR10"</f>
        <v>ACTR10</v>
      </c>
      <c r="M1496">
        <v>0</v>
      </c>
      <c r="N1496">
        <v>0</v>
      </c>
      <c r="O1496">
        <v>1.8238867883763601</v>
      </c>
      <c r="P1496">
        <v>0</v>
      </c>
      <c r="Q1496">
        <v>1.25576199330606</v>
      </c>
      <c r="R1496">
        <v>0</v>
      </c>
      <c r="S1496">
        <v>0</v>
      </c>
      <c r="T1496">
        <v>0</v>
      </c>
      <c r="U1496">
        <v>1.10235831809872</v>
      </c>
      <c r="V1496">
        <v>1.05063596764157</v>
      </c>
      <c r="W1496">
        <v>1.27539809638918</v>
      </c>
      <c r="X1496">
        <v>0</v>
      </c>
    </row>
    <row r="1497" spans="1:24">
      <c r="A1497">
        <v>2227</v>
      </c>
      <c r="B1497" t="s">
        <v>4028</v>
      </c>
      <c r="C1497">
        <v>2</v>
      </c>
      <c r="D1497" t="s">
        <v>4029</v>
      </c>
      <c r="E1497">
        <v>9</v>
      </c>
      <c r="F1497">
        <v>7</v>
      </c>
      <c r="G1497">
        <v>7</v>
      </c>
      <c r="H1497" t="s">
        <v>4030</v>
      </c>
      <c r="I1497">
        <v>14.2</v>
      </c>
      <c r="J1497">
        <v>97.620999999999995</v>
      </c>
      <c r="K1497" t="str">
        <f>"COPG2"</f>
        <v>COPG2</v>
      </c>
      <c r="L1497" t="str">
        <f>"COPG2"</f>
        <v>COPG2</v>
      </c>
      <c r="M1497">
        <v>0</v>
      </c>
      <c r="N1497">
        <v>0</v>
      </c>
      <c r="O1497">
        <v>0.91194339418818204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1.10235831809872</v>
      </c>
      <c r="V1497">
        <v>0</v>
      </c>
      <c r="W1497">
        <v>0</v>
      </c>
      <c r="X1497">
        <v>0.984645710619934</v>
      </c>
    </row>
    <row r="1498" spans="1:24">
      <c r="A1498">
        <v>2387</v>
      </c>
      <c r="B1498" t="s">
        <v>4031</v>
      </c>
      <c r="C1498">
        <v>1</v>
      </c>
      <c r="D1498" t="s">
        <v>4032</v>
      </c>
      <c r="E1498">
        <v>3</v>
      </c>
      <c r="F1498">
        <v>3</v>
      </c>
      <c r="G1498">
        <v>3</v>
      </c>
      <c r="H1498" t="s">
        <v>4031</v>
      </c>
      <c r="I1498">
        <v>23.5</v>
      </c>
      <c r="J1498">
        <v>21.831</v>
      </c>
      <c r="K1498" t="str">
        <f>"NDUFB9"</f>
        <v>NDUFB9</v>
      </c>
      <c r="L1498" t="str">
        <f>"NDUFB9"</f>
        <v>NDUFB9</v>
      </c>
      <c r="M1498">
        <v>0</v>
      </c>
      <c r="N1498">
        <v>0.89450172185430499</v>
      </c>
      <c r="O1498">
        <v>1.8238867883763601</v>
      </c>
      <c r="P1498">
        <v>0</v>
      </c>
      <c r="Q1498">
        <v>0</v>
      </c>
      <c r="R1498">
        <v>1.8001620641859499</v>
      </c>
      <c r="S1498">
        <v>0</v>
      </c>
      <c r="T1498">
        <v>0</v>
      </c>
      <c r="U1498">
        <v>1.10235831809872</v>
      </c>
      <c r="V1498">
        <v>1.05063596764157</v>
      </c>
      <c r="W1498">
        <v>0</v>
      </c>
      <c r="X1498">
        <v>0</v>
      </c>
    </row>
    <row r="1499" spans="1:24">
      <c r="A1499">
        <v>126</v>
      </c>
      <c r="B1499" t="s">
        <v>4033</v>
      </c>
      <c r="C1499">
        <v>2</v>
      </c>
      <c r="D1499" t="s">
        <v>4034</v>
      </c>
      <c r="E1499">
        <v>3</v>
      </c>
      <c r="F1499">
        <v>3</v>
      </c>
      <c r="G1499">
        <v>3</v>
      </c>
      <c r="H1499" t="s">
        <v>4035</v>
      </c>
      <c r="I1499">
        <v>5.7</v>
      </c>
      <c r="J1499">
        <v>62.923999999999999</v>
      </c>
      <c r="K1499" t="str">
        <f>"SPTLC2;SPTLC3"</f>
        <v>SPTLC2;SPTLC3</v>
      </c>
      <c r="L1499" t="str">
        <f>"SPTLC2;SPTLC3"</f>
        <v>SPTLC2;SPTLC3</v>
      </c>
      <c r="M1499">
        <v>0</v>
      </c>
      <c r="N1499">
        <v>0.89450172185430499</v>
      </c>
      <c r="O1499">
        <v>0</v>
      </c>
      <c r="P1499">
        <v>0</v>
      </c>
      <c r="Q1499">
        <v>0</v>
      </c>
      <c r="R1499">
        <v>0</v>
      </c>
      <c r="S1499">
        <v>2.2662711409396001</v>
      </c>
      <c r="T1499">
        <v>1.18448996772836</v>
      </c>
      <c r="U1499">
        <v>1.10235831809872</v>
      </c>
      <c r="V1499">
        <v>2.1012719352831399</v>
      </c>
      <c r="W1499">
        <v>1.27539809638918</v>
      </c>
      <c r="X1499">
        <v>0</v>
      </c>
    </row>
    <row r="1500" spans="1:24">
      <c r="A1500">
        <v>149</v>
      </c>
      <c r="B1500" t="s">
        <v>4036</v>
      </c>
      <c r="C1500">
        <v>2</v>
      </c>
      <c r="D1500" t="s">
        <v>4037</v>
      </c>
      <c r="E1500">
        <v>3</v>
      </c>
      <c r="F1500">
        <v>3</v>
      </c>
      <c r="G1500">
        <v>3</v>
      </c>
      <c r="H1500" t="s">
        <v>4038</v>
      </c>
      <c r="I1500">
        <v>10.9</v>
      </c>
      <c r="J1500">
        <v>41.21</v>
      </c>
      <c r="K1500" t="str">
        <f>"FIBP"</f>
        <v>FIBP</v>
      </c>
      <c r="L1500" t="str">
        <f>"FIBP"</f>
        <v>FIBP</v>
      </c>
      <c r="M1500">
        <v>1.2103892752168599</v>
      </c>
      <c r="N1500">
        <v>1.78900344370861</v>
      </c>
      <c r="O1500">
        <v>0.91194339418818204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>
      <c r="A1501">
        <v>167</v>
      </c>
      <c r="B1501" t="s">
        <v>4039</v>
      </c>
      <c r="C1501">
        <v>1</v>
      </c>
      <c r="D1501" t="s">
        <v>4040</v>
      </c>
      <c r="E1501">
        <v>4</v>
      </c>
      <c r="F1501">
        <v>4</v>
      </c>
      <c r="G1501">
        <v>4</v>
      </c>
      <c r="H1501" t="s">
        <v>4039</v>
      </c>
      <c r="I1501">
        <v>12.6</v>
      </c>
      <c r="J1501">
        <v>32.942999999999998</v>
      </c>
      <c r="K1501" t="str">
        <f>"SLC25A20"</f>
        <v>SLC25A20</v>
      </c>
      <c r="L1501" t="str">
        <f>"SLC25A20"</f>
        <v>SLC25A20</v>
      </c>
      <c r="M1501">
        <v>2.4207785504337198</v>
      </c>
      <c r="N1501">
        <v>0</v>
      </c>
      <c r="O1501">
        <v>0</v>
      </c>
      <c r="P1501">
        <v>0</v>
      </c>
      <c r="Q1501">
        <v>0</v>
      </c>
      <c r="R1501">
        <v>0.90008103209297396</v>
      </c>
      <c r="S1501">
        <v>2.2662711409396001</v>
      </c>
      <c r="T1501">
        <v>0</v>
      </c>
      <c r="U1501">
        <v>0</v>
      </c>
      <c r="V1501">
        <v>0</v>
      </c>
      <c r="W1501">
        <v>1.27539809638918</v>
      </c>
      <c r="X1501">
        <v>0</v>
      </c>
    </row>
    <row r="1502" spans="1:24">
      <c r="A1502">
        <v>218</v>
      </c>
      <c r="B1502" t="s">
        <v>4041</v>
      </c>
      <c r="C1502">
        <v>14</v>
      </c>
      <c r="D1502" t="s">
        <v>4042</v>
      </c>
      <c r="E1502">
        <v>4</v>
      </c>
      <c r="F1502">
        <v>4</v>
      </c>
      <c r="G1502">
        <v>4</v>
      </c>
      <c r="H1502" t="s">
        <v>4043</v>
      </c>
      <c r="I1502">
        <v>5.2</v>
      </c>
      <c r="J1502">
        <v>79.870999999999995</v>
      </c>
      <c r="K1502" t="str">
        <f>"TACC1;TACC2"</f>
        <v>TACC1;TACC2</v>
      </c>
      <c r="L1502" t="str">
        <f>"TACC1;TACC2"</f>
        <v>TACC1;TACC2</v>
      </c>
      <c r="M1502">
        <v>1.2103892752168599</v>
      </c>
      <c r="N1502">
        <v>0.89450172185430499</v>
      </c>
      <c r="O1502">
        <v>1.8238867883763601</v>
      </c>
      <c r="P1502">
        <v>0</v>
      </c>
      <c r="Q1502">
        <v>0</v>
      </c>
      <c r="R1502">
        <v>1.8001620641859499</v>
      </c>
      <c r="S1502">
        <v>0</v>
      </c>
      <c r="T1502">
        <v>0</v>
      </c>
      <c r="U1502">
        <v>0</v>
      </c>
      <c r="V1502">
        <v>2.1012719352831399</v>
      </c>
      <c r="W1502">
        <v>0</v>
      </c>
      <c r="X1502">
        <v>0</v>
      </c>
    </row>
    <row r="1503" spans="1:24">
      <c r="A1503">
        <v>254</v>
      </c>
      <c r="B1503" t="s">
        <v>4044</v>
      </c>
      <c r="C1503">
        <v>13</v>
      </c>
      <c r="D1503" t="s">
        <v>4045</v>
      </c>
      <c r="E1503">
        <v>6</v>
      </c>
      <c r="F1503">
        <v>6</v>
      </c>
      <c r="G1503">
        <v>6</v>
      </c>
      <c r="H1503" t="s">
        <v>4046</v>
      </c>
      <c r="I1503">
        <v>9.1999999999999993</v>
      </c>
      <c r="J1503">
        <v>77.801000000000002</v>
      </c>
      <c r="K1503" t="str">
        <f>"ABLIM3;ABLIM2"</f>
        <v>ABLIM3;ABLIM2</v>
      </c>
      <c r="L1503" t="str">
        <f>"ABLIM3;ABLIM2"</f>
        <v>ABLIM3;ABLIM2</v>
      </c>
      <c r="M1503">
        <v>0</v>
      </c>
      <c r="N1503">
        <v>0.89450172185430499</v>
      </c>
      <c r="O1503">
        <v>0.91194339418818204</v>
      </c>
      <c r="P1503">
        <v>0</v>
      </c>
      <c r="Q1503">
        <v>0</v>
      </c>
      <c r="R1503">
        <v>0.90008103209297396</v>
      </c>
      <c r="S1503">
        <v>0</v>
      </c>
      <c r="T1503">
        <v>0</v>
      </c>
      <c r="U1503">
        <v>0</v>
      </c>
      <c r="V1503">
        <v>1.05063596764157</v>
      </c>
      <c r="W1503">
        <v>0</v>
      </c>
      <c r="X1503">
        <v>0</v>
      </c>
    </row>
    <row r="1504" spans="1:24">
      <c r="A1504">
        <v>349</v>
      </c>
      <c r="B1504" t="s">
        <v>4047</v>
      </c>
      <c r="C1504">
        <v>1</v>
      </c>
      <c r="D1504" t="s">
        <v>4048</v>
      </c>
      <c r="E1504">
        <v>2</v>
      </c>
      <c r="F1504">
        <v>1</v>
      </c>
      <c r="G1504">
        <v>1</v>
      </c>
      <c r="H1504" t="s">
        <v>4047</v>
      </c>
      <c r="I1504">
        <v>17.7</v>
      </c>
      <c r="J1504">
        <v>12.058999999999999</v>
      </c>
      <c r="K1504" t="s">
        <v>1301</v>
      </c>
      <c r="L1504" t="s">
        <v>1301</v>
      </c>
      <c r="M1504">
        <v>0</v>
      </c>
      <c r="N1504">
        <v>0.89450172185430499</v>
      </c>
      <c r="O1504">
        <v>0</v>
      </c>
      <c r="P1504">
        <v>1.0652189274447901</v>
      </c>
      <c r="Q1504">
        <v>1.25576199330606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1.27539809638918</v>
      </c>
      <c r="X1504">
        <v>0</v>
      </c>
    </row>
    <row r="1505" spans="1:24">
      <c r="A1505">
        <v>396</v>
      </c>
      <c r="B1505" t="s">
        <v>4049</v>
      </c>
      <c r="C1505">
        <v>6</v>
      </c>
      <c r="D1505" t="s">
        <v>4050</v>
      </c>
      <c r="E1505">
        <v>6</v>
      </c>
      <c r="F1505">
        <v>6</v>
      </c>
      <c r="G1505">
        <v>5</v>
      </c>
      <c r="H1505" t="s">
        <v>4051</v>
      </c>
      <c r="I1505">
        <v>13.8</v>
      </c>
      <c r="J1505">
        <v>65.134</v>
      </c>
      <c r="K1505" t="str">
        <f>"LMNA"</f>
        <v>LMNA</v>
      </c>
      <c r="L1505" t="str">
        <f>"LMNA"</f>
        <v>LMNA</v>
      </c>
      <c r="M1505">
        <v>0</v>
      </c>
      <c r="N1505">
        <v>0</v>
      </c>
      <c r="O1505">
        <v>0.91194339418818204</v>
      </c>
      <c r="P1505">
        <v>1.0652189274447901</v>
      </c>
      <c r="Q1505">
        <v>0</v>
      </c>
      <c r="R1505">
        <v>1.8001620641859499</v>
      </c>
      <c r="S1505">
        <v>2.2662711409396001</v>
      </c>
      <c r="T1505">
        <v>0</v>
      </c>
      <c r="U1505">
        <v>0</v>
      </c>
      <c r="V1505">
        <v>0</v>
      </c>
      <c r="W1505">
        <v>0</v>
      </c>
      <c r="X1505">
        <v>0</v>
      </c>
    </row>
    <row r="1506" spans="1:24">
      <c r="A1506">
        <v>397</v>
      </c>
      <c r="B1506" t="s">
        <v>4052</v>
      </c>
      <c r="C1506">
        <v>2</v>
      </c>
      <c r="D1506" t="s">
        <v>4053</v>
      </c>
      <c r="E1506">
        <v>9</v>
      </c>
      <c r="F1506">
        <v>9</v>
      </c>
      <c r="G1506">
        <v>9</v>
      </c>
      <c r="H1506" t="s">
        <v>4054</v>
      </c>
      <c r="I1506">
        <v>5</v>
      </c>
      <c r="J1506">
        <v>279.67</v>
      </c>
      <c r="K1506" t="str">
        <f>"SPTA1"</f>
        <v>SPTA1</v>
      </c>
      <c r="L1506" t="str">
        <f>"SPTA1"</f>
        <v>SPTA1</v>
      </c>
      <c r="M1506">
        <v>0</v>
      </c>
      <c r="N1506">
        <v>0.89450172185430499</v>
      </c>
      <c r="O1506">
        <v>0</v>
      </c>
      <c r="P1506">
        <v>0</v>
      </c>
      <c r="Q1506">
        <v>0</v>
      </c>
      <c r="R1506">
        <v>2.7002430962789199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</row>
    <row r="1507" spans="1:24">
      <c r="A1507">
        <v>432</v>
      </c>
      <c r="B1507" t="s">
        <v>4055</v>
      </c>
      <c r="C1507">
        <v>2</v>
      </c>
      <c r="D1507" t="s">
        <v>4056</v>
      </c>
      <c r="E1507">
        <v>7</v>
      </c>
      <c r="F1507">
        <v>6</v>
      </c>
      <c r="G1507">
        <v>6</v>
      </c>
      <c r="H1507" t="s">
        <v>4057</v>
      </c>
      <c r="I1507">
        <v>15.8</v>
      </c>
      <c r="J1507">
        <v>63.84</v>
      </c>
      <c r="K1507" t="str">
        <f>"F11"</f>
        <v>F11</v>
      </c>
      <c r="L1507" t="str">
        <f>"F11"</f>
        <v>F11</v>
      </c>
      <c r="M1507">
        <v>2.4207785504337198</v>
      </c>
      <c r="N1507">
        <v>0</v>
      </c>
      <c r="O1507">
        <v>0</v>
      </c>
      <c r="P1507">
        <v>1.0652189274447901</v>
      </c>
      <c r="Q1507">
        <v>1.25576199330606</v>
      </c>
      <c r="R1507">
        <v>0</v>
      </c>
      <c r="S1507">
        <v>1.1331355704698001</v>
      </c>
      <c r="T1507">
        <v>1.18448996772836</v>
      </c>
      <c r="U1507">
        <v>0</v>
      </c>
      <c r="V1507">
        <v>0</v>
      </c>
      <c r="W1507">
        <v>0</v>
      </c>
      <c r="X1507">
        <v>0</v>
      </c>
    </row>
    <row r="1508" spans="1:24">
      <c r="A1508">
        <v>442</v>
      </c>
      <c r="B1508" t="s">
        <v>4058</v>
      </c>
      <c r="C1508">
        <v>2</v>
      </c>
      <c r="D1508" t="s">
        <v>4059</v>
      </c>
      <c r="E1508">
        <v>1</v>
      </c>
      <c r="F1508">
        <v>1</v>
      </c>
      <c r="G1508">
        <v>1</v>
      </c>
      <c r="H1508" t="s">
        <v>4060</v>
      </c>
      <c r="I1508">
        <v>4.0999999999999996</v>
      </c>
      <c r="J1508">
        <v>22.253</v>
      </c>
      <c r="K1508" t="str">
        <f>"PDGFA"</f>
        <v>PDGFA</v>
      </c>
      <c r="L1508" t="str">
        <f>"PDGFA"</f>
        <v>PDGFA</v>
      </c>
      <c r="M1508">
        <v>0</v>
      </c>
      <c r="N1508">
        <v>0</v>
      </c>
      <c r="O1508">
        <v>0.91194339418818204</v>
      </c>
      <c r="P1508">
        <v>1.0652189274447901</v>
      </c>
      <c r="Q1508">
        <v>1.25576199330606</v>
      </c>
      <c r="R1508">
        <v>0.90008103209297396</v>
      </c>
      <c r="S1508">
        <v>0</v>
      </c>
      <c r="T1508">
        <v>0</v>
      </c>
      <c r="U1508">
        <v>0</v>
      </c>
      <c r="V1508">
        <v>1.05063596764157</v>
      </c>
      <c r="W1508">
        <v>0</v>
      </c>
      <c r="X1508">
        <v>0</v>
      </c>
    </row>
    <row r="1509" spans="1:24">
      <c r="A1509">
        <v>679</v>
      </c>
      <c r="B1509" t="s">
        <v>4061</v>
      </c>
      <c r="C1509">
        <v>2</v>
      </c>
      <c r="D1509" t="s">
        <v>4062</v>
      </c>
      <c r="E1509">
        <v>2</v>
      </c>
      <c r="F1509">
        <v>2</v>
      </c>
      <c r="G1509">
        <v>2</v>
      </c>
      <c r="H1509" t="s">
        <v>4063</v>
      </c>
      <c r="I1509">
        <v>14.2</v>
      </c>
      <c r="J1509">
        <v>17.128</v>
      </c>
      <c r="K1509" t="str">
        <f>"CD99"</f>
        <v>CD99</v>
      </c>
      <c r="L1509" t="str">
        <f>"CD99"</f>
        <v>CD99</v>
      </c>
      <c r="M1509">
        <v>0</v>
      </c>
      <c r="N1509">
        <v>0.89450172185430499</v>
      </c>
      <c r="O1509">
        <v>0.91194339418818204</v>
      </c>
      <c r="P1509">
        <v>1.0652189274447901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1.96929142123987</v>
      </c>
    </row>
    <row r="1510" spans="1:24">
      <c r="A1510">
        <v>688</v>
      </c>
      <c r="B1510" t="s">
        <v>4064</v>
      </c>
      <c r="C1510">
        <v>3</v>
      </c>
      <c r="D1510" t="s">
        <v>4065</v>
      </c>
      <c r="E1510">
        <v>45</v>
      </c>
      <c r="F1510">
        <v>3</v>
      </c>
      <c r="G1510">
        <v>3</v>
      </c>
      <c r="H1510" t="s">
        <v>4066</v>
      </c>
      <c r="I1510">
        <v>79.3</v>
      </c>
      <c r="J1510">
        <v>58.061</v>
      </c>
      <c r="K1510" t="str">
        <f>"PKM;PKLR"</f>
        <v>PKM;PKLR</v>
      </c>
      <c r="L1510" t="str">
        <f>"PKM;PKLR"</f>
        <v>PKM;PKLR</v>
      </c>
      <c r="M1510">
        <v>1.2103892752168599</v>
      </c>
      <c r="N1510">
        <v>0</v>
      </c>
      <c r="O1510">
        <v>0</v>
      </c>
      <c r="P1510">
        <v>0</v>
      </c>
      <c r="Q1510">
        <v>0</v>
      </c>
      <c r="R1510">
        <v>0.90008103209297396</v>
      </c>
      <c r="S1510">
        <v>2.2662711409396001</v>
      </c>
      <c r="T1510">
        <v>1.18448996772836</v>
      </c>
      <c r="U1510">
        <v>0</v>
      </c>
      <c r="V1510">
        <v>0</v>
      </c>
      <c r="W1510">
        <v>0</v>
      </c>
      <c r="X1510">
        <v>1.96929142123987</v>
      </c>
    </row>
    <row r="1511" spans="1:24">
      <c r="A1511">
        <v>741</v>
      </c>
      <c r="B1511" t="s">
        <v>4067</v>
      </c>
      <c r="C1511">
        <v>4</v>
      </c>
      <c r="D1511" t="s">
        <v>4068</v>
      </c>
      <c r="E1511">
        <v>5</v>
      </c>
      <c r="F1511">
        <v>5</v>
      </c>
      <c r="G1511">
        <v>5</v>
      </c>
      <c r="H1511" t="s">
        <v>4069</v>
      </c>
      <c r="I1511">
        <v>8.4</v>
      </c>
      <c r="J1511">
        <v>89.701999999999998</v>
      </c>
      <c r="K1511" t="str">
        <f>"PTPRA"</f>
        <v>PTPRA</v>
      </c>
      <c r="L1511" t="str">
        <f>"PTPRA"</f>
        <v>PTPRA</v>
      </c>
      <c r="M1511">
        <v>0</v>
      </c>
      <c r="N1511">
        <v>0.89450172185430499</v>
      </c>
      <c r="O1511">
        <v>0</v>
      </c>
      <c r="P1511">
        <v>0</v>
      </c>
      <c r="Q1511">
        <v>1.25576199330606</v>
      </c>
      <c r="R1511">
        <v>0.90008103209297396</v>
      </c>
      <c r="S1511">
        <v>0</v>
      </c>
      <c r="T1511">
        <v>0</v>
      </c>
      <c r="U1511">
        <v>1.10235831809872</v>
      </c>
      <c r="V1511">
        <v>1.05063596764157</v>
      </c>
      <c r="W1511">
        <v>0</v>
      </c>
      <c r="X1511">
        <v>1.96929142123987</v>
      </c>
    </row>
    <row r="1512" spans="1:24">
      <c r="A1512">
        <v>756</v>
      </c>
      <c r="B1512" t="s">
        <v>4070</v>
      </c>
      <c r="C1512">
        <v>1</v>
      </c>
      <c r="D1512" t="s">
        <v>4071</v>
      </c>
      <c r="E1512">
        <v>5</v>
      </c>
      <c r="F1512">
        <v>5</v>
      </c>
      <c r="G1512">
        <v>5</v>
      </c>
      <c r="H1512" t="s">
        <v>4070</v>
      </c>
      <c r="I1512">
        <v>14.4</v>
      </c>
      <c r="J1512">
        <v>38.387999999999998</v>
      </c>
      <c r="K1512" t="str">
        <f>"EIF2S2"</f>
        <v>EIF2S2</v>
      </c>
      <c r="L1512" t="str">
        <f>"EIF2S2"</f>
        <v>EIF2S2</v>
      </c>
      <c r="M1512">
        <v>1.2103892752168599</v>
      </c>
      <c r="N1512">
        <v>0.89450172185430499</v>
      </c>
      <c r="O1512">
        <v>0</v>
      </c>
      <c r="P1512">
        <v>0</v>
      </c>
      <c r="Q1512">
        <v>0</v>
      </c>
      <c r="R1512">
        <v>1.8001620641859499</v>
      </c>
      <c r="S1512">
        <v>0</v>
      </c>
      <c r="T1512">
        <v>0</v>
      </c>
      <c r="U1512">
        <v>0</v>
      </c>
      <c r="V1512">
        <v>2.1012719352831399</v>
      </c>
      <c r="W1512">
        <v>1.27539809638918</v>
      </c>
      <c r="X1512">
        <v>0</v>
      </c>
    </row>
    <row r="1513" spans="1:24">
      <c r="A1513">
        <v>769</v>
      </c>
      <c r="B1513" t="s">
        <v>4072</v>
      </c>
      <c r="C1513">
        <v>1</v>
      </c>
      <c r="D1513" t="s">
        <v>4073</v>
      </c>
      <c r="E1513">
        <v>8</v>
      </c>
      <c r="F1513">
        <v>7</v>
      </c>
      <c r="G1513">
        <v>7</v>
      </c>
      <c r="H1513" t="s">
        <v>4072</v>
      </c>
      <c r="I1513">
        <v>38.700000000000003</v>
      </c>
      <c r="J1513">
        <v>26.559000000000001</v>
      </c>
      <c r="K1513" t="str">
        <f>"GSTM3"</f>
        <v>GSTM3</v>
      </c>
      <c r="L1513" t="str">
        <f>"GSTM3"</f>
        <v>GSTM3</v>
      </c>
      <c r="M1513">
        <v>1.2103892752168599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1.1331355704698001</v>
      </c>
      <c r="T1513">
        <v>2.3689799354567098</v>
      </c>
      <c r="U1513">
        <v>0</v>
      </c>
      <c r="V1513">
        <v>0</v>
      </c>
      <c r="W1513">
        <v>0</v>
      </c>
      <c r="X1513">
        <v>0</v>
      </c>
    </row>
    <row r="1514" spans="1:24">
      <c r="A1514">
        <v>775</v>
      </c>
      <c r="B1514" t="s">
        <v>4074</v>
      </c>
      <c r="C1514">
        <v>2</v>
      </c>
      <c r="D1514" t="s">
        <v>4075</v>
      </c>
      <c r="E1514">
        <v>2</v>
      </c>
      <c r="F1514">
        <v>2</v>
      </c>
      <c r="G1514">
        <v>2</v>
      </c>
      <c r="H1514" t="s">
        <v>4076</v>
      </c>
      <c r="I1514">
        <v>6.1</v>
      </c>
      <c r="J1514">
        <v>37.430999999999997</v>
      </c>
      <c r="K1514" t="str">
        <f>"TBXA2R"</f>
        <v>TBXA2R</v>
      </c>
      <c r="L1514" t="str">
        <f>"TBXA2R"</f>
        <v>TBXA2R</v>
      </c>
      <c r="M1514">
        <v>0</v>
      </c>
      <c r="N1514">
        <v>0.89450172185430499</v>
      </c>
      <c r="O1514">
        <v>0.91194339418818204</v>
      </c>
      <c r="P1514">
        <v>1.0652189274447901</v>
      </c>
      <c r="Q1514">
        <v>0</v>
      </c>
      <c r="R1514">
        <v>0</v>
      </c>
      <c r="S1514">
        <v>0</v>
      </c>
      <c r="T1514">
        <v>1.18448996772836</v>
      </c>
      <c r="U1514">
        <v>0</v>
      </c>
      <c r="V1514">
        <v>0</v>
      </c>
      <c r="W1514">
        <v>0</v>
      </c>
      <c r="X1514">
        <v>0.984645710619934</v>
      </c>
    </row>
    <row r="1515" spans="1:24">
      <c r="A1515">
        <v>894</v>
      </c>
      <c r="B1515" t="s">
        <v>4077</v>
      </c>
      <c r="C1515">
        <v>2</v>
      </c>
      <c r="D1515" t="s">
        <v>4078</v>
      </c>
      <c r="E1515">
        <v>22</v>
      </c>
      <c r="F1515">
        <v>4</v>
      </c>
      <c r="G1515">
        <v>3</v>
      </c>
      <c r="H1515" t="s">
        <v>4079</v>
      </c>
      <c r="I1515">
        <v>59.7</v>
      </c>
      <c r="J1515">
        <v>40.844999999999999</v>
      </c>
      <c r="K1515" t="str">
        <f>"HLA-A"</f>
        <v>HLA-A</v>
      </c>
      <c r="L1515" t="str">
        <f>"HLA-A"</f>
        <v>HLA-A</v>
      </c>
      <c r="M1515">
        <v>1.2103892752168599</v>
      </c>
      <c r="N1515">
        <v>0</v>
      </c>
      <c r="O1515">
        <v>0.91194339418818204</v>
      </c>
      <c r="P1515">
        <v>1.0652189274447901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</row>
    <row r="1516" spans="1:24">
      <c r="A1516">
        <v>974</v>
      </c>
      <c r="B1516" t="s">
        <v>4080</v>
      </c>
      <c r="C1516">
        <v>1</v>
      </c>
      <c r="D1516" t="s">
        <v>4081</v>
      </c>
      <c r="E1516">
        <v>2</v>
      </c>
      <c r="F1516">
        <v>2</v>
      </c>
      <c r="G1516">
        <v>2</v>
      </c>
      <c r="H1516" t="s">
        <v>4080</v>
      </c>
      <c r="I1516">
        <v>15.9</v>
      </c>
      <c r="J1516">
        <v>20.454999999999998</v>
      </c>
      <c r="K1516" t="str">
        <f>"ARL3"</f>
        <v>ARL3</v>
      </c>
      <c r="L1516" t="str">
        <f>"ARL3"</f>
        <v>ARL3</v>
      </c>
      <c r="M1516">
        <v>0</v>
      </c>
      <c r="N1516">
        <v>0.89450172185430499</v>
      </c>
      <c r="O1516">
        <v>0.91194339418818204</v>
      </c>
      <c r="P1516">
        <v>0</v>
      </c>
      <c r="Q1516">
        <v>0</v>
      </c>
      <c r="R1516">
        <v>0.90008103209297396</v>
      </c>
      <c r="S1516">
        <v>0</v>
      </c>
      <c r="T1516">
        <v>0</v>
      </c>
      <c r="U1516">
        <v>1.10235831809872</v>
      </c>
      <c r="V1516">
        <v>0</v>
      </c>
      <c r="W1516">
        <v>0</v>
      </c>
      <c r="X1516">
        <v>0.984645710619934</v>
      </c>
    </row>
    <row r="1517" spans="1:24">
      <c r="A1517">
        <v>1105</v>
      </c>
      <c r="B1517" t="s">
        <v>4082</v>
      </c>
      <c r="C1517">
        <v>1</v>
      </c>
      <c r="D1517" t="s">
        <v>4083</v>
      </c>
      <c r="E1517">
        <v>3</v>
      </c>
      <c r="F1517">
        <v>3</v>
      </c>
      <c r="G1517">
        <v>3</v>
      </c>
      <c r="H1517" t="s">
        <v>4082</v>
      </c>
      <c r="I1517">
        <v>6.8</v>
      </c>
      <c r="J1517">
        <v>43.173000000000002</v>
      </c>
      <c r="K1517" t="str">
        <f>"SEPP1"</f>
        <v>SEPP1</v>
      </c>
      <c r="L1517" t="str">
        <f>"SEPP1"</f>
        <v>SEPP1</v>
      </c>
      <c r="M1517">
        <v>2.4207785504337198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1.18448996772836</v>
      </c>
      <c r="U1517">
        <v>0</v>
      </c>
      <c r="V1517">
        <v>1.05063596764157</v>
      </c>
      <c r="W1517">
        <v>1.27539809638918</v>
      </c>
      <c r="X1517">
        <v>0</v>
      </c>
    </row>
    <row r="1518" spans="1:24">
      <c r="A1518">
        <v>1163</v>
      </c>
      <c r="B1518" t="s">
        <v>4084</v>
      </c>
      <c r="C1518">
        <v>1</v>
      </c>
      <c r="D1518" t="s">
        <v>4085</v>
      </c>
      <c r="E1518">
        <v>3</v>
      </c>
      <c r="F1518">
        <v>3</v>
      </c>
      <c r="G1518">
        <v>3</v>
      </c>
      <c r="H1518" t="s">
        <v>4084</v>
      </c>
      <c r="I1518">
        <v>14.7</v>
      </c>
      <c r="J1518">
        <v>36.249000000000002</v>
      </c>
      <c r="K1518" t="str">
        <f>"SUCLG1"</f>
        <v>SUCLG1</v>
      </c>
      <c r="L1518" t="str">
        <f>"SUCLG1"</f>
        <v>SUCLG1</v>
      </c>
      <c r="M1518">
        <v>0</v>
      </c>
      <c r="N1518">
        <v>1.78900344370861</v>
      </c>
      <c r="O1518">
        <v>0.91194339418818204</v>
      </c>
      <c r="P1518">
        <v>1.0652189274447901</v>
      </c>
      <c r="Q1518">
        <v>0</v>
      </c>
      <c r="R1518">
        <v>0.90008103209297396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0.984645710619934</v>
      </c>
    </row>
    <row r="1519" spans="1:24">
      <c r="A1519">
        <v>1316</v>
      </c>
      <c r="B1519" t="s">
        <v>4086</v>
      </c>
      <c r="C1519">
        <v>3</v>
      </c>
      <c r="D1519" t="s">
        <v>4087</v>
      </c>
      <c r="E1519">
        <v>5</v>
      </c>
      <c r="F1519">
        <v>5</v>
      </c>
      <c r="G1519">
        <v>5</v>
      </c>
      <c r="H1519" t="s">
        <v>4088</v>
      </c>
      <c r="I1519">
        <v>2.2999999999999998</v>
      </c>
      <c r="J1519">
        <v>305.48</v>
      </c>
      <c r="K1519" t="str">
        <f>"MAP1A;MAP1B"</f>
        <v>MAP1A;MAP1B</v>
      </c>
      <c r="L1519" t="str">
        <f>"MAP1A;MAP1B"</f>
        <v>MAP1A;MAP1B</v>
      </c>
      <c r="M1519">
        <v>0</v>
      </c>
      <c r="N1519">
        <v>0.89450172185430499</v>
      </c>
      <c r="O1519">
        <v>1.8238867883763601</v>
      </c>
      <c r="P1519">
        <v>0</v>
      </c>
      <c r="Q1519">
        <v>0</v>
      </c>
      <c r="R1519">
        <v>0.90008103209297396</v>
      </c>
      <c r="S1519">
        <v>0</v>
      </c>
      <c r="T1519">
        <v>0</v>
      </c>
      <c r="U1519">
        <v>1.10235831809872</v>
      </c>
      <c r="V1519">
        <v>0</v>
      </c>
      <c r="W1519">
        <v>0</v>
      </c>
      <c r="X1519">
        <v>0</v>
      </c>
    </row>
    <row r="1520" spans="1:24">
      <c r="A1520">
        <v>1326</v>
      </c>
      <c r="B1520" t="s">
        <v>4089</v>
      </c>
      <c r="C1520">
        <v>3</v>
      </c>
      <c r="D1520" t="s">
        <v>4090</v>
      </c>
      <c r="E1520">
        <v>5</v>
      </c>
      <c r="F1520">
        <v>5</v>
      </c>
      <c r="G1520">
        <v>5</v>
      </c>
      <c r="H1520" t="s">
        <v>4091</v>
      </c>
      <c r="I1520">
        <v>10.8</v>
      </c>
      <c r="J1520">
        <v>80.227000000000004</v>
      </c>
      <c r="K1520" t="str">
        <f>"DAB2"</f>
        <v>DAB2</v>
      </c>
      <c r="L1520" t="str">
        <f>"DAB2"</f>
        <v>DAB2</v>
      </c>
      <c r="M1520">
        <v>0</v>
      </c>
      <c r="N1520">
        <v>0.89450172185430499</v>
      </c>
      <c r="O1520">
        <v>0.91194339418818204</v>
      </c>
      <c r="P1520">
        <v>1.0652189274447901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0.984645710619934</v>
      </c>
    </row>
    <row r="1521" spans="1:24">
      <c r="A1521">
        <v>1356</v>
      </c>
      <c r="B1521" t="s">
        <v>4092</v>
      </c>
      <c r="C1521">
        <v>1</v>
      </c>
      <c r="D1521" t="s">
        <v>4093</v>
      </c>
      <c r="E1521">
        <v>3</v>
      </c>
      <c r="F1521">
        <v>3</v>
      </c>
      <c r="G1521">
        <v>3</v>
      </c>
      <c r="H1521" t="s">
        <v>4092</v>
      </c>
      <c r="I1521">
        <v>8.5</v>
      </c>
      <c r="J1521">
        <v>53.878999999999998</v>
      </c>
      <c r="K1521" t="str">
        <f>"NUCB1"</f>
        <v>NUCB1</v>
      </c>
      <c r="L1521" t="str">
        <f>"NUCB1"</f>
        <v>NUCB1</v>
      </c>
      <c r="M1521">
        <v>0</v>
      </c>
      <c r="N1521">
        <v>0.89450172185430499</v>
      </c>
      <c r="O1521">
        <v>0.91194339418818204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1.10235831809872</v>
      </c>
      <c r="V1521">
        <v>1.05063596764157</v>
      </c>
      <c r="W1521">
        <v>0</v>
      </c>
      <c r="X1521">
        <v>0.984645710619934</v>
      </c>
    </row>
    <row r="1522" spans="1:24">
      <c r="A1522">
        <v>1438</v>
      </c>
      <c r="B1522" t="s">
        <v>4094</v>
      </c>
      <c r="C1522">
        <v>5</v>
      </c>
      <c r="D1522" t="s">
        <v>4095</v>
      </c>
      <c r="E1522">
        <v>3</v>
      </c>
      <c r="F1522">
        <v>3</v>
      </c>
      <c r="G1522">
        <v>3</v>
      </c>
      <c r="H1522" t="s">
        <v>4096</v>
      </c>
      <c r="I1522">
        <v>14.3</v>
      </c>
      <c r="J1522">
        <v>33.655999999999999</v>
      </c>
      <c r="K1522" t="str">
        <f>"KCNAB2"</f>
        <v>KCNAB2</v>
      </c>
      <c r="L1522" t="str">
        <f>"KCNAB2"</f>
        <v>KCNAB2</v>
      </c>
      <c r="M1522">
        <v>0</v>
      </c>
      <c r="N1522">
        <v>0.89450172185430499</v>
      </c>
      <c r="O1522">
        <v>0</v>
      </c>
      <c r="P1522">
        <v>0</v>
      </c>
      <c r="Q1522">
        <v>0</v>
      </c>
      <c r="R1522">
        <v>1.8001620641859499</v>
      </c>
      <c r="S1522">
        <v>0</v>
      </c>
      <c r="T1522">
        <v>0</v>
      </c>
      <c r="U1522">
        <v>0</v>
      </c>
      <c r="V1522">
        <v>2.1012719352831399</v>
      </c>
      <c r="W1522">
        <v>0</v>
      </c>
      <c r="X1522">
        <v>0</v>
      </c>
    </row>
    <row r="1523" spans="1:24">
      <c r="A1523">
        <v>1553</v>
      </c>
      <c r="B1523" t="s">
        <v>4097</v>
      </c>
      <c r="C1523">
        <v>2</v>
      </c>
      <c r="D1523" t="s">
        <v>4098</v>
      </c>
      <c r="E1523">
        <v>5</v>
      </c>
      <c r="F1523">
        <v>5</v>
      </c>
      <c r="G1523">
        <v>5</v>
      </c>
      <c r="H1523" t="s">
        <v>4099</v>
      </c>
      <c r="I1523">
        <v>38.1</v>
      </c>
      <c r="J1523">
        <v>13.132999999999999</v>
      </c>
      <c r="K1523" t="str">
        <f>"TCEB2"</f>
        <v>TCEB2</v>
      </c>
      <c r="L1523" t="str">
        <f>"TCEB2"</f>
        <v>TCEB2</v>
      </c>
      <c r="M1523">
        <v>0</v>
      </c>
      <c r="N1523">
        <v>0.89450172185430499</v>
      </c>
      <c r="O1523">
        <v>1.8238867883763601</v>
      </c>
      <c r="P1523">
        <v>0</v>
      </c>
      <c r="Q1523">
        <v>0</v>
      </c>
      <c r="R1523">
        <v>0</v>
      </c>
      <c r="S1523">
        <v>1.1331355704698001</v>
      </c>
      <c r="T1523">
        <v>0</v>
      </c>
      <c r="U1523">
        <v>0</v>
      </c>
      <c r="V1523">
        <v>0</v>
      </c>
      <c r="W1523">
        <v>1.27539809638918</v>
      </c>
      <c r="X1523">
        <v>0</v>
      </c>
    </row>
    <row r="1524" spans="1:24">
      <c r="A1524">
        <v>1684</v>
      </c>
      <c r="B1524" t="s">
        <v>4100</v>
      </c>
      <c r="C1524">
        <v>1</v>
      </c>
      <c r="D1524" t="s">
        <v>4101</v>
      </c>
      <c r="E1524">
        <v>1</v>
      </c>
      <c r="F1524">
        <v>1</v>
      </c>
      <c r="G1524">
        <v>1</v>
      </c>
      <c r="H1524" t="s">
        <v>4100</v>
      </c>
      <c r="I1524">
        <v>3.5</v>
      </c>
      <c r="J1524">
        <v>50.993000000000002</v>
      </c>
      <c r="K1524" t="str">
        <f>"TLDC1"</f>
        <v>TLDC1</v>
      </c>
      <c r="L1524" t="str">
        <f>"TLDC1"</f>
        <v>TLDC1</v>
      </c>
      <c r="M1524">
        <v>0</v>
      </c>
      <c r="N1524">
        <v>0.89450172185430499</v>
      </c>
      <c r="O1524">
        <v>0.91194339418818204</v>
      </c>
      <c r="P1524">
        <v>0</v>
      </c>
      <c r="Q1524">
        <v>0</v>
      </c>
      <c r="R1524">
        <v>0.90008103209297396</v>
      </c>
      <c r="S1524">
        <v>0</v>
      </c>
      <c r="T1524">
        <v>0</v>
      </c>
      <c r="U1524">
        <v>0</v>
      </c>
      <c r="V1524">
        <v>1.05063596764157</v>
      </c>
      <c r="W1524">
        <v>0</v>
      </c>
      <c r="X1524">
        <v>0</v>
      </c>
    </row>
    <row r="1525" spans="1:24">
      <c r="A1525">
        <v>1708</v>
      </c>
      <c r="B1525" t="s">
        <v>4102</v>
      </c>
      <c r="C1525">
        <v>1</v>
      </c>
      <c r="D1525" t="s">
        <v>4103</v>
      </c>
      <c r="E1525">
        <v>3</v>
      </c>
      <c r="F1525">
        <v>3</v>
      </c>
      <c r="G1525">
        <v>3</v>
      </c>
      <c r="H1525" t="s">
        <v>4102</v>
      </c>
      <c r="I1525">
        <v>12</v>
      </c>
      <c r="J1525">
        <v>25.622</v>
      </c>
      <c r="K1525" t="str">
        <f>"MOB3C"</f>
        <v>MOB3C</v>
      </c>
      <c r="L1525" t="str">
        <f>"MOB3C"</f>
        <v>MOB3C</v>
      </c>
      <c r="M1525">
        <v>0</v>
      </c>
      <c r="N1525">
        <v>0.89450172185430499</v>
      </c>
      <c r="O1525">
        <v>0</v>
      </c>
      <c r="P1525">
        <v>0</v>
      </c>
      <c r="Q1525">
        <v>0</v>
      </c>
      <c r="R1525">
        <v>0.90008103209297396</v>
      </c>
      <c r="S1525">
        <v>0</v>
      </c>
      <c r="T1525">
        <v>0</v>
      </c>
      <c r="U1525">
        <v>1.10235831809872</v>
      </c>
      <c r="V1525">
        <v>0</v>
      </c>
      <c r="W1525">
        <v>0</v>
      </c>
      <c r="X1525">
        <v>0.984645710619934</v>
      </c>
    </row>
    <row r="1526" spans="1:24">
      <c r="A1526">
        <v>1731</v>
      </c>
      <c r="B1526" t="s">
        <v>4104</v>
      </c>
      <c r="C1526">
        <v>1</v>
      </c>
      <c r="D1526" t="s">
        <v>4105</v>
      </c>
      <c r="E1526">
        <v>3</v>
      </c>
      <c r="F1526">
        <v>3</v>
      </c>
      <c r="G1526">
        <v>3</v>
      </c>
      <c r="H1526" t="s">
        <v>4104</v>
      </c>
      <c r="I1526">
        <v>11.9</v>
      </c>
      <c r="J1526">
        <v>25.913</v>
      </c>
      <c r="K1526" t="str">
        <f>"DCXR"</f>
        <v>DCXR</v>
      </c>
      <c r="L1526" t="str">
        <f>"DCXR"</f>
        <v>DCXR</v>
      </c>
      <c r="M1526">
        <v>0</v>
      </c>
      <c r="N1526">
        <v>0.89450172185430499</v>
      </c>
      <c r="O1526">
        <v>0</v>
      </c>
      <c r="P1526">
        <v>0</v>
      </c>
      <c r="Q1526">
        <v>0</v>
      </c>
      <c r="R1526">
        <v>0</v>
      </c>
      <c r="S1526">
        <v>1.1331355704698001</v>
      </c>
      <c r="T1526">
        <v>0</v>
      </c>
      <c r="U1526">
        <v>1.10235831809872</v>
      </c>
      <c r="V1526">
        <v>0</v>
      </c>
      <c r="W1526">
        <v>0</v>
      </c>
      <c r="X1526">
        <v>0.984645710619934</v>
      </c>
    </row>
    <row r="1527" spans="1:24">
      <c r="A1527">
        <v>1738</v>
      </c>
      <c r="B1527" t="s">
        <v>4106</v>
      </c>
      <c r="C1527">
        <v>1</v>
      </c>
      <c r="D1527" t="s">
        <v>4107</v>
      </c>
      <c r="E1527">
        <v>5</v>
      </c>
      <c r="F1527">
        <v>5</v>
      </c>
      <c r="G1527">
        <v>5</v>
      </c>
      <c r="H1527" t="s">
        <v>4106</v>
      </c>
      <c r="I1527">
        <v>9.3000000000000007</v>
      </c>
      <c r="J1527">
        <v>63.835999999999999</v>
      </c>
      <c r="K1527" t="str">
        <f>"MTDH"</f>
        <v>MTDH</v>
      </c>
      <c r="L1527" t="str">
        <f>"MTDH"</f>
        <v>MTDH</v>
      </c>
      <c r="M1527">
        <v>0</v>
      </c>
      <c r="N1527">
        <v>0.89450172185430499</v>
      </c>
      <c r="O1527">
        <v>0</v>
      </c>
      <c r="P1527">
        <v>0</v>
      </c>
      <c r="Q1527">
        <v>0</v>
      </c>
      <c r="R1527">
        <v>0.90008103209297396</v>
      </c>
      <c r="S1527">
        <v>0</v>
      </c>
      <c r="T1527">
        <v>0</v>
      </c>
      <c r="U1527">
        <v>0</v>
      </c>
      <c r="V1527">
        <v>1.05063596764157</v>
      </c>
      <c r="W1527">
        <v>0</v>
      </c>
      <c r="X1527">
        <v>0</v>
      </c>
    </row>
    <row r="1528" spans="1:24">
      <c r="A1528">
        <v>1764</v>
      </c>
      <c r="B1528" t="s">
        <v>4108</v>
      </c>
      <c r="C1528">
        <v>4</v>
      </c>
      <c r="D1528" t="s">
        <v>4109</v>
      </c>
      <c r="E1528">
        <v>4</v>
      </c>
      <c r="F1528">
        <v>4</v>
      </c>
      <c r="G1528">
        <v>4</v>
      </c>
      <c r="H1528" t="s">
        <v>4110</v>
      </c>
      <c r="I1528">
        <v>6.2</v>
      </c>
      <c r="J1528">
        <v>97.114000000000004</v>
      </c>
      <c r="K1528" t="str">
        <f>"KSR1"</f>
        <v>KSR1</v>
      </c>
      <c r="L1528" t="str">
        <f>"KSR1"</f>
        <v>KSR1</v>
      </c>
      <c r="M1528">
        <v>1.2103892752168599</v>
      </c>
      <c r="N1528">
        <v>1.78900344370861</v>
      </c>
      <c r="O1528">
        <v>0</v>
      </c>
      <c r="P1528">
        <v>0</v>
      </c>
      <c r="Q1528">
        <v>0</v>
      </c>
      <c r="R1528">
        <v>1.8001620641859499</v>
      </c>
      <c r="S1528">
        <v>0</v>
      </c>
      <c r="T1528">
        <v>0</v>
      </c>
      <c r="U1528">
        <v>0</v>
      </c>
      <c r="V1528">
        <v>1.05063596764157</v>
      </c>
      <c r="W1528">
        <v>0</v>
      </c>
      <c r="X1528">
        <v>0</v>
      </c>
    </row>
    <row r="1529" spans="1:24">
      <c r="A1529">
        <v>1793</v>
      </c>
      <c r="B1529" t="s">
        <v>4111</v>
      </c>
      <c r="C1529">
        <v>5</v>
      </c>
      <c r="D1529" t="s">
        <v>4112</v>
      </c>
      <c r="E1529">
        <v>4</v>
      </c>
      <c r="F1529">
        <v>4</v>
      </c>
      <c r="G1529">
        <v>4</v>
      </c>
      <c r="H1529" t="s">
        <v>4113</v>
      </c>
      <c r="I1529">
        <v>10</v>
      </c>
      <c r="J1529">
        <v>56.72</v>
      </c>
      <c r="K1529" t="str">
        <f>"ARFGAP2;ARFGAP3"</f>
        <v>ARFGAP2;ARFGAP3</v>
      </c>
      <c r="L1529" t="str">
        <f>"ARFGAP2;ARFGAP3"</f>
        <v>ARFGAP2;ARFGAP3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1.1331355704698001</v>
      </c>
      <c r="T1529">
        <v>1.18448996772836</v>
      </c>
      <c r="U1529">
        <v>2.20471663619744</v>
      </c>
      <c r="V1529">
        <v>0</v>
      </c>
      <c r="W1529">
        <v>1.27539809638918</v>
      </c>
      <c r="X1529">
        <v>0.984645710619934</v>
      </c>
    </row>
    <row r="1530" spans="1:24">
      <c r="A1530">
        <v>2049</v>
      </c>
      <c r="B1530" t="s">
        <v>4114</v>
      </c>
      <c r="C1530">
        <v>3</v>
      </c>
      <c r="D1530" t="s">
        <v>4115</v>
      </c>
      <c r="E1530">
        <v>2</v>
      </c>
      <c r="F1530">
        <v>2</v>
      </c>
      <c r="G1530">
        <v>2</v>
      </c>
      <c r="H1530" t="s">
        <v>4116</v>
      </c>
      <c r="I1530">
        <v>19.100000000000001</v>
      </c>
      <c r="J1530">
        <v>21.445</v>
      </c>
      <c r="K1530" t="str">
        <f>"ITPA"</f>
        <v>ITPA</v>
      </c>
      <c r="L1530" t="str">
        <f>"ITPA"</f>
        <v>ITPA</v>
      </c>
      <c r="M1530">
        <v>0</v>
      </c>
      <c r="N1530">
        <v>0</v>
      </c>
      <c r="O1530">
        <v>0.91194339418818204</v>
      </c>
      <c r="P1530">
        <v>0</v>
      </c>
      <c r="Q1530">
        <v>0</v>
      </c>
      <c r="R1530">
        <v>0.90008103209297396</v>
      </c>
      <c r="S1530">
        <v>0</v>
      </c>
      <c r="T1530">
        <v>0</v>
      </c>
      <c r="U1530">
        <v>0</v>
      </c>
      <c r="V1530">
        <v>0</v>
      </c>
      <c r="W1530">
        <v>1.27539809638918</v>
      </c>
      <c r="X1530">
        <v>0</v>
      </c>
    </row>
    <row r="1531" spans="1:24">
      <c r="A1531">
        <v>2050</v>
      </c>
      <c r="B1531" t="s">
        <v>4117</v>
      </c>
      <c r="C1531">
        <v>4</v>
      </c>
      <c r="D1531" t="s">
        <v>4118</v>
      </c>
      <c r="E1531">
        <v>3</v>
      </c>
      <c r="F1531">
        <v>3</v>
      </c>
      <c r="G1531">
        <v>3</v>
      </c>
      <c r="H1531" t="s">
        <v>4119</v>
      </c>
      <c r="I1531">
        <v>6.5</v>
      </c>
      <c r="J1531">
        <v>57.994</v>
      </c>
      <c r="K1531" t="str">
        <f>"EIF2A"</f>
        <v>EIF2A</v>
      </c>
      <c r="L1531" t="str">
        <f>"EIF2A"</f>
        <v>EIF2A</v>
      </c>
      <c r="M1531">
        <v>0</v>
      </c>
      <c r="N1531">
        <v>0.89450172185430499</v>
      </c>
      <c r="O1531">
        <v>0</v>
      </c>
      <c r="P1531">
        <v>0</v>
      </c>
      <c r="Q1531">
        <v>0</v>
      </c>
      <c r="R1531">
        <v>0.90008103209297396</v>
      </c>
      <c r="S1531">
        <v>0</v>
      </c>
      <c r="T1531">
        <v>1.18448996772836</v>
      </c>
      <c r="U1531">
        <v>0</v>
      </c>
      <c r="V1531">
        <v>0</v>
      </c>
      <c r="W1531">
        <v>1.27539809638918</v>
      </c>
      <c r="X1531">
        <v>0</v>
      </c>
    </row>
    <row r="1532" spans="1:24">
      <c r="A1532">
        <v>2086</v>
      </c>
      <c r="B1532" t="s">
        <v>4120</v>
      </c>
      <c r="C1532">
        <v>1</v>
      </c>
      <c r="D1532" t="s">
        <v>4121</v>
      </c>
      <c r="E1532">
        <v>3</v>
      </c>
      <c r="F1532">
        <v>3</v>
      </c>
      <c r="G1532">
        <v>3</v>
      </c>
      <c r="H1532" t="s">
        <v>4120</v>
      </c>
      <c r="I1532">
        <v>8.6</v>
      </c>
      <c r="J1532">
        <v>70.584000000000003</v>
      </c>
      <c r="K1532" t="str">
        <f>"VPS33B"</f>
        <v>VPS33B</v>
      </c>
      <c r="L1532" t="str">
        <f>"VPS33B"</f>
        <v>VPS33B</v>
      </c>
      <c r="M1532">
        <v>0</v>
      </c>
      <c r="N1532">
        <v>0</v>
      </c>
      <c r="O1532">
        <v>0.91194339418818204</v>
      </c>
      <c r="P1532">
        <v>1.0652189274447901</v>
      </c>
      <c r="Q1532">
        <v>0</v>
      </c>
      <c r="R1532">
        <v>1.8001620641859499</v>
      </c>
      <c r="S1532">
        <v>1.1331355704698001</v>
      </c>
      <c r="T1532">
        <v>1.18448996772836</v>
      </c>
      <c r="U1532">
        <v>0</v>
      </c>
      <c r="V1532">
        <v>0</v>
      </c>
      <c r="W1532">
        <v>0</v>
      </c>
      <c r="X1532">
        <v>0</v>
      </c>
    </row>
    <row r="1533" spans="1:24">
      <c r="A1533">
        <v>2164</v>
      </c>
      <c r="B1533" t="s">
        <v>4122</v>
      </c>
      <c r="C1533">
        <v>1</v>
      </c>
      <c r="D1533" t="s">
        <v>4123</v>
      </c>
      <c r="E1533">
        <v>2</v>
      </c>
      <c r="F1533">
        <v>2</v>
      </c>
      <c r="G1533">
        <v>2</v>
      </c>
      <c r="H1533" t="s">
        <v>4122</v>
      </c>
      <c r="I1533">
        <v>4.9000000000000004</v>
      </c>
      <c r="J1533">
        <v>65.075999999999993</v>
      </c>
      <c r="K1533" t="str">
        <f>"VPS45"</f>
        <v>VPS45</v>
      </c>
      <c r="L1533" t="str">
        <f>"VPS45"</f>
        <v>VPS45</v>
      </c>
      <c r="M1533">
        <v>0</v>
      </c>
      <c r="N1533">
        <v>0.89450172185430499</v>
      </c>
      <c r="O1533">
        <v>0</v>
      </c>
      <c r="P1533">
        <v>0</v>
      </c>
      <c r="Q1533">
        <v>0</v>
      </c>
      <c r="R1533">
        <v>2.7002430962789199</v>
      </c>
      <c r="S1533">
        <v>0</v>
      </c>
      <c r="T1533">
        <v>0</v>
      </c>
      <c r="U1533">
        <v>0</v>
      </c>
      <c r="V1533">
        <v>1.05063596764157</v>
      </c>
      <c r="W1533">
        <v>0</v>
      </c>
      <c r="X1533">
        <v>0</v>
      </c>
    </row>
    <row r="1534" spans="1:24">
      <c r="A1534">
        <v>2219</v>
      </c>
      <c r="B1534" t="s">
        <v>4124</v>
      </c>
      <c r="C1534">
        <v>2</v>
      </c>
      <c r="D1534" t="s">
        <v>4125</v>
      </c>
      <c r="E1534">
        <v>8</v>
      </c>
      <c r="F1534">
        <v>8</v>
      </c>
      <c r="G1534">
        <v>8</v>
      </c>
      <c r="H1534" t="s">
        <v>4126</v>
      </c>
      <c r="I1534">
        <v>8.3000000000000007</v>
      </c>
      <c r="J1534">
        <v>134.63</v>
      </c>
      <c r="K1534" t="str">
        <f>"KIAA1468"</f>
        <v>KIAA1468</v>
      </c>
      <c r="L1534" t="str">
        <f>"KIAA1468"</f>
        <v>KIAA1468</v>
      </c>
      <c r="M1534">
        <v>0</v>
      </c>
      <c r="N1534">
        <v>0.89450172185430499</v>
      </c>
      <c r="O1534">
        <v>0.91194339418818204</v>
      </c>
      <c r="P1534">
        <v>0</v>
      </c>
      <c r="Q1534">
        <v>0</v>
      </c>
      <c r="R1534">
        <v>0.90008103209297396</v>
      </c>
      <c r="S1534">
        <v>0</v>
      </c>
      <c r="T1534">
        <v>0</v>
      </c>
      <c r="U1534">
        <v>0</v>
      </c>
      <c r="V1534">
        <v>1.05063596764157</v>
      </c>
      <c r="W1534">
        <v>1.27539809638918</v>
      </c>
      <c r="X1534">
        <v>0.984645710619934</v>
      </c>
    </row>
    <row r="1535" spans="1:24">
      <c r="A1535">
        <v>2232</v>
      </c>
      <c r="B1535" t="s">
        <v>4127</v>
      </c>
      <c r="C1535">
        <v>1</v>
      </c>
      <c r="D1535" t="s">
        <v>4128</v>
      </c>
      <c r="E1535">
        <v>5</v>
      </c>
      <c r="F1535">
        <v>5</v>
      </c>
      <c r="G1535">
        <v>5</v>
      </c>
      <c r="H1535" t="s">
        <v>4127</v>
      </c>
      <c r="I1535">
        <v>17.600000000000001</v>
      </c>
      <c r="J1535">
        <v>40.512999999999998</v>
      </c>
      <c r="K1535" t="str">
        <f>"DNAJB11"</f>
        <v>DNAJB11</v>
      </c>
      <c r="L1535" t="str">
        <f>"DNAJB11"</f>
        <v>DNAJB11</v>
      </c>
      <c r="M1535">
        <v>0</v>
      </c>
      <c r="N1535">
        <v>0</v>
      </c>
      <c r="O1535">
        <v>0.91194339418818204</v>
      </c>
      <c r="P1535">
        <v>1.0652189274447901</v>
      </c>
      <c r="Q1535">
        <v>0</v>
      </c>
      <c r="R1535">
        <v>0</v>
      </c>
      <c r="S1535">
        <v>0</v>
      </c>
      <c r="T1535">
        <v>0</v>
      </c>
      <c r="U1535">
        <v>2.20471663619744</v>
      </c>
      <c r="V1535">
        <v>1.05063596764157</v>
      </c>
      <c r="W1535">
        <v>1.27539809638918</v>
      </c>
      <c r="X1535">
        <v>0.984645710619934</v>
      </c>
    </row>
    <row r="1536" spans="1:24">
      <c r="A1536">
        <v>2271</v>
      </c>
      <c r="B1536" t="s">
        <v>4129</v>
      </c>
      <c r="C1536">
        <v>2</v>
      </c>
      <c r="D1536" t="s">
        <v>4130</v>
      </c>
      <c r="E1536">
        <v>8</v>
      </c>
      <c r="F1536">
        <v>8</v>
      </c>
      <c r="G1536">
        <v>8</v>
      </c>
      <c r="H1536" t="s">
        <v>4131</v>
      </c>
      <c r="I1536">
        <v>17.3</v>
      </c>
      <c r="J1536">
        <v>50.706000000000003</v>
      </c>
      <c r="K1536" t="str">
        <f>"SERPINA10"</f>
        <v>SERPINA10</v>
      </c>
      <c r="L1536" t="str">
        <f>"SERPINA10"</f>
        <v>SERPINA10</v>
      </c>
      <c r="M1536">
        <v>1.2103892752168599</v>
      </c>
      <c r="N1536">
        <v>0.89450172185430499</v>
      </c>
      <c r="O1536">
        <v>0</v>
      </c>
      <c r="P1536">
        <v>0</v>
      </c>
      <c r="Q1536">
        <v>1.25576199330606</v>
      </c>
      <c r="R1536">
        <v>0</v>
      </c>
      <c r="S1536">
        <v>2.2662711409396001</v>
      </c>
      <c r="T1536">
        <v>1.18448996772836</v>
      </c>
      <c r="U1536">
        <v>0</v>
      </c>
      <c r="V1536">
        <v>0</v>
      </c>
      <c r="W1536">
        <v>1.27539809638918</v>
      </c>
      <c r="X1536">
        <v>1.96929142123987</v>
      </c>
    </row>
    <row r="1537" spans="1:24">
      <c r="A1537">
        <v>2330</v>
      </c>
      <c r="B1537" t="s">
        <v>4132</v>
      </c>
      <c r="C1537">
        <v>2</v>
      </c>
      <c r="D1537" t="s">
        <v>4133</v>
      </c>
      <c r="E1537">
        <v>4</v>
      </c>
      <c r="F1537">
        <v>4</v>
      </c>
      <c r="G1537">
        <v>4</v>
      </c>
      <c r="H1537" t="s">
        <v>4134</v>
      </c>
      <c r="I1537">
        <v>14.5</v>
      </c>
      <c r="J1537">
        <v>33.357999999999997</v>
      </c>
      <c r="K1537" t="str">
        <f>"CRYL1"</f>
        <v>CRYL1</v>
      </c>
      <c r="L1537" t="str">
        <f>"CRYL1"</f>
        <v>CRYL1</v>
      </c>
      <c r="M1537">
        <v>0</v>
      </c>
      <c r="N1537">
        <v>0</v>
      </c>
      <c r="O1537">
        <v>0</v>
      </c>
      <c r="P1537">
        <v>1.0652189274447901</v>
      </c>
      <c r="Q1537">
        <v>0</v>
      </c>
      <c r="R1537">
        <v>1.8001620641859499</v>
      </c>
      <c r="S1537">
        <v>0</v>
      </c>
      <c r="T1537">
        <v>0</v>
      </c>
      <c r="U1537">
        <v>1.10235831809872</v>
      </c>
      <c r="V1537">
        <v>0</v>
      </c>
      <c r="W1537">
        <v>0</v>
      </c>
      <c r="X1537">
        <v>1.96929142123987</v>
      </c>
    </row>
    <row r="1538" spans="1:24">
      <c r="A1538">
        <v>10</v>
      </c>
      <c r="B1538" t="s">
        <v>4135</v>
      </c>
      <c r="C1538">
        <v>1</v>
      </c>
      <c r="D1538" t="s">
        <v>4136</v>
      </c>
      <c r="E1538">
        <v>2</v>
      </c>
      <c r="F1538">
        <v>2</v>
      </c>
      <c r="G1538">
        <v>2</v>
      </c>
      <c r="H1538" t="s">
        <v>4135</v>
      </c>
      <c r="I1538">
        <v>12.2</v>
      </c>
      <c r="J1538">
        <v>13.584</v>
      </c>
      <c r="K1538" t="str">
        <f>"IGHV4OR15-8"</f>
        <v>IGHV4OR15-8</v>
      </c>
      <c r="L1538" t="str">
        <f>"IGHV4OR15-8"</f>
        <v>IGHV4OR15-8</v>
      </c>
      <c r="M1538">
        <v>2.4207785504337198</v>
      </c>
      <c r="N1538">
        <v>0.89450172185430499</v>
      </c>
      <c r="O1538">
        <v>0</v>
      </c>
      <c r="P1538">
        <v>2.1304378548895899</v>
      </c>
      <c r="Q1538">
        <v>1.25576199330606</v>
      </c>
      <c r="R1538">
        <v>0</v>
      </c>
      <c r="S1538">
        <v>0</v>
      </c>
      <c r="T1538">
        <v>1.18448996772836</v>
      </c>
      <c r="U1538">
        <v>0</v>
      </c>
      <c r="V1538">
        <v>0</v>
      </c>
      <c r="W1538">
        <v>0</v>
      </c>
      <c r="X1538">
        <v>0</v>
      </c>
    </row>
    <row r="1539" spans="1:24">
      <c r="A1539">
        <v>124</v>
      </c>
      <c r="B1539" t="s">
        <v>4137</v>
      </c>
      <c r="C1539">
        <v>1</v>
      </c>
      <c r="D1539" t="s">
        <v>4138</v>
      </c>
      <c r="E1539">
        <v>2</v>
      </c>
      <c r="F1539">
        <v>2</v>
      </c>
      <c r="G1539">
        <v>2</v>
      </c>
      <c r="H1539" t="s">
        <v>4137</v>
      </c>
      <c r="I1539">
        <v>14.8</v>
      </c>
      <c r="J1539">
        <v>22.957999999999998</v>
      </c>
      <c r="K1539" t="str">
        <f>"RER1"</f>
        <v>RER1</v>
      </c>
      <c r="L1539" t="str">
        <f>"RER1"</f>
        <v>RER1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0.90008103209297396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0.984645710619934</v>
      </c>
    </row>
    <row r="1540" spans="1:24">
      <c r="A1540">
        <v>134</v>
      </c>
      <c r="B1540" t="s">
        <v>4139</v>
      </c>
      <c r="C1540">
        <v>2</v>
      </c>
      <c r="D1540" t="s">
        <v>4140</v>
      </c>
      <c r="E1540">
        <v>4</v>
      </c>
      <c r="F1540">
        <v>4</v>
      </c>
      <c r="G1540">
        <v>4</v>
      </c>
      <c r="H1540" t="s">
        <v>4141</v>
      </c>
      <c r="I1540">
        <v>23.7</v>
      </c>
      <c r="J1540">
        <v>22.417000000000002</v>
      </c>
      <c r="K1540" t="str">
        <f>"YKT6"</f>
        <v>YKT6</v>
      </c>
      <c r="L1540" t="str">
        <f>"YKT6"</f>
        <v>YKT6</v>
      </c>
      <c r="M1540">
        <v>1.2103892752168599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1.1331355704698001</v>
      </c>
      <c r="T1540">
        <v>0</v>
      </c>
      <c r="U1540">
        <v>1.10235831809872</v>
      </c>
      <c r="V1540">
        <v>0</v>
      </c>
      <c r="W1540">
        <v>1.27539809638918</v>
      </c>
      <c r="X1540">
        <v>0</v>
      </c>
    </row>
    <row r="1541" spans="1:24">
      <c r="A1541">
        <v>144</v>
      </c>
      <c r="B1541" t="s">
        <v>4142</v>
      </c>
      <c r="C1541">
        <v>2</v>
      </c>
      <c r="D1541" t="s">
        <v>4143</v>
      </c>
      <c r="E1541">
        <v>5</v>
      </c>
      <c r="F1541">
        <v>5</v>
      </c>
      <c r="G1541">
        <v>5</v>
      </c>
      <c r="H1541" t="s">
        <v>4144</v>
      </c>
      <c r="I1541">
        <v>5.9</v>
      </c>
      <c r="J1541">
        <v>124.86</v>
      </c>
      <c r="K1541" t="str">
        <f>"ADCY6"</f>
        <v>ADCY6</v>
      </c>
      <c r="L1541" t="str">
        <f>"ADCY6"</f>
        <v>ADCY6</v>
      </c>
      <c r="M1541">
        <v>0</v>
      </c>
      <c r="N1541">
        <v>0.89450172185430499</v>
      </c>
      <c r="O1541">
        <v>0</v>
      </c>
      <c r="P1541">
        <v>1.0652189274447901</v>
      </c>
      <c r="Q1541">
        <v>1.25576199330606</v>
      </c>
      <c r="R1541">
        <v>0.90008103209297396</v>
      </c>
      <c r="S1541">
        <v>1.1331355704698001</v>
      </c>
      <c r="T1541">
        <v>0</v>
      </c>
      <c r="U1541">
        <v>1.10235831809872</v>
      </c>
      <c r="V1541">
        <v>1.05063596764157</v>
      </c>
      <c r="W1541">
        <v>0</v>
      </c>
      <c r="X1541">
        <v>0.984645710619934</v>
      </c>
    </row>
    <row r="1542" spans="1:24">
      <c r="A1542">
        <v>191</v>
      </c>
      <c r="B1542" t="s">
        <v>4145</v>
      </c>
      <c r="C1542">
        <v>1</v>
      </c>
      <c r="D1542" t="s">
        <v>4146</v>
      </c>
      <c r="E1542">
        <v>4</v>
      </c>
      <c r="F1542">
        <v>4</v>
      </c>
      <c r="G1542">
        <v>4</v>
      </c>
      <c r="H1542" t="s">
        <v>4145</v>
      </c>
      <c r="I1542">
        <v>12.7</v>
      </c>
      <c r="J1542">
        <v>41.911000000000001</v>
      </c>
      <c r="K1542" t="str">
        <f>"TPST2"</f>
        <v>TPST2</v>
      </c>
      <c r="L1542" t="str">
        <f>"TPST2"</f>
        <v>TPST2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0.90008103209297396</v>
      </c>
      <c r="S1542">
        <v>0</v>
      </c>
      <c r="T1542">
        <v>1.18448996772836</v>
      </c>
      <c r="U1542">
        <v>0</v>
      </c>
      <c r="V1542">
        <v>1.05063596764157</v>
      </c>
      <c r="W1542">
        <v>0</v>
      </c>
      <c r="X1542">
        <v>0.984645710619934</v>
      </c>
    </row>
    <row r="1543" spans="1:24">
      <c r="A1543">
        <v>352</v>
      </c>
      <c r="B1543" t="s">
        <v>4147</v>
      </c>
      <c r="C1543">
        <v>1</v>
      </c>
      <c r="D1543" t="s">
        <v>4148</v>
      </c>
      <c r="E1543">
        <v>3</v>
      </c>
      <c r="F1543">
        <v>2</v>
      </c>
      <c r="G1543">
        <v>2</v>
      </c>
      <c r="H1543" t="s">
        <v>4147</v>
      </c>
      <c r="I1543">
        <v>41.7</v>
      </c>
      <c r="J1543">
        <v>11.12</v>
      </c>
      <c r="K1543" t="s">
        <v>476</v>
      </c>
      <c r="L1543" t="s">
        <v>476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3.5534699031850701</v>
      </c>
      <c r="U1543">
        <v>1.10235831809872</v>
      </c>
      <c r="V1543">
        <v>0</v>
      </c>
      <c r="W1543">
        <v>3.82619428916755</v>
      </c>
      <c r="X1543">
        <v>0</v>
      </c>
    </row>
    <row r="1544" spans="1:24">
      <c r="A1544">
        <v>603</v>
      </c>
      <c r="B1544" t="s">
        <v>4149</v>
      </c>
      <c r="C1544">
        <v>2</v>
      </c>
      <c r="D1544" t="s">
        <v>4150</v>
      </c>
      <c r="E1544">
        <v>3</v>
      </c>
      <c r="F1544">
        <v>3</v>
      </c>
      <c r="G1544">
        <v>2</v>
      </c>
      <c r="H1544" t="s">
        <v>4151</v>
      </c>
      <c r="I1544">
        <v>41</v>
      </c>
      <c r="J1544">
        <v>13.532</v>
      </c>
      <c r="K1544" t="str">
        <f>"SAA1;SAA2"</f>
        <v>SAA1;SAA2</v>
      </c>
      <c r="L1544" t="str">
        <f>"SAA1;SAA2"</f>
        <v>SAA1;SAA2</v>
      </c>
      <c r="M1544">
        <v>0</v>
      </c>
      <c r="N1544">
        <v>0</v>
      </c>
      <c r="O1544">
        <v>0</v>
      </c>
      <c r="P1544">
        <v>0</v>
      </c>
      <c r="Q1544">
        <v>1.25576199330606</v>
      </c>
      <c r="R1544">
        <v>2.7002430962789199</v>
      </c>
      <c r="S1544">
        <v>5.6656778523489901</v>
      </c>
      <c r="T1544">
        <v>1.18448996772836</v>
      </c>
      <c r="U1544">
        <v>0</v>
      </c>
      <c r="V1544">
        <v>0</v>
      </c>
      <c r="W1544">
        <v>0</v>
      </c>
      <c r="X1544">
        <v>0</v>
      </c>
    </row>
    <row r="1545" spans="1:24">
      <c r="A1545">
        <v>715</v>
      </c>
      <c r="B1545" t="s">
        <v>4152</v>
      </c>
      <c r="C1545">
        <v>1</v>
      </c>
      <c r="D1545" t="s">
        <v>4153</v>
      </c>
      <c r="E1545">
        <v>2</v>
      </c>
      <c r="F1545">
        <v>2</v>
      </c>
      <c r="G1545">
        <v>2</v>
      </c>
      <c r="H1545" t="s">
        <v>4152</v>
      </c>
      <c r="I1545">
        <v>6.8</v>
      </c>
      <c r="J1545">
        <v>44.296999999999997</v>
      </c>
      <c r="K1545" t="str">
        <f>"ACADS"</f>
        <v>ACADS</v>
      </c>
      <c r="L1545" t="str">
        <f>"ACADS"</f>
        <v>ACADS</v>
      </c>
      <c r="M1545">
        <v>0</v>
      </c>
      <c r="N1545">
        <v>0</v>
      </c>
      <c r="O1545">
        <v>1.8238867883763601</v>
      </c>
      <c r="P1545">
        <v>0</v>
      </c>
      <c r="Q1545">
        <v>0</v>
      </c>
      <c r="R1545">
        <v>0</v>
      </c>
      <c r="S1545">
        <v>1.1331355704698001</v>
      </c>
      <c r="T1545">
        <v>0</v>
      </c>
      <c r="U1545">
        <v>0</v>
      </c>
      <c r="V1545">
        <v>1.05063596764157</v>
      </c>
      <c r="W1545">
        <v>0</v>
      </c>
      <c r="X1545">
        <v>0</v>
      </c>
    </row>
    <row r="1546" spans="1:24">
      <c r="A1546">
        <v>764</v>
      </c>
      <c r="B1546" t="s">
        <v>4154</v>
      </c>
      <c r="C1546">
        <v>1</v>
      </c>
      <c r="D1546" t="s">
        <v>4155</v>
      </c>
      <c r="E1546">
        <v>4</v>
      </c>
      <c r="F1546">
        <v>4</v>
      </c>
      <c r="G1546">
        <v>4</v>
      </c>
      <c r="H1546" t="s">
        <v>4154</v>
      </c>
      <c r="I1546">
        <v>28</v>
      </c>
      <c r="J1546">
        <v>16.762</v>
      </c>
      <c r="K1546" t="str">
        <f>"COX5A"</f>
        <v>COX5A</v>
      </c>
      <c r="L1546" t="str">
        <f>"COX5A"</f>
        <v>COX5A</v>
      </c>
      <c r="M1546">
        <v>0</v>
      </c>
      <c r="N1546">
        <v>0</v>
      </c>
      <c r="O1546">
        <v>0</v>
      </c>
      <c r="P1546">
        <v>1.0652189274447901</v>
      </c>
      <c r="Q1546">
        <v>0</v>
      </c>
      <c r="R1546">
        <v>2.7002430962789199</v>
      </c>
      <c r="S1546">
        <v>0</v>
      </c>
      <c r="T1546">
        <v>0</v>
      </c>
      <c r="U1546">
        <v>1.10235831809872</v>
      </c>
      <c r="V1546">
        <v>0</v>
      </c>
      <c r="W1546">
        <v>0</v>
      </c>
      <c r="X1546">
        <v>0</v>
      </c>
    </row>
    <row r="1547" spans="1:24">
      <c r="A1547">
        <v>819</v>
      </c>
      <c r="B1547" t="s">
        <v>4156</v>
      </c>
      <c r="C1547">
        <v>3</v>
      </c>
      <c r="D1547" t="s">
        <v>4157</v>
      </c>
      <c r="E1547">
        <v>1</v>
      </c>
      <c r="F1547">
        <v>1</v>
      </c>
      <c r="G1547">
        <v>1</v>
      </c>
      <c r="H1547" t="s">
        <v>4158</v>
      </c>
      <c r="I1547">
        <v>1.5</v>
      </c>
      <c r="J1547">
        <v>59.52</v>
      </c>
      <c r="K1547" t="str">
        <f>"PRKCH;PRKCE"</f>
        <v>PRKCH;PRKCE</v>
      </c>
      <c r="L1547" t="str">
        <f>"PRKCH;PRKCE"</f>
        <v>PRKCH;PRKCE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1.1331355704698001</v>
      </c>
      <c r="T1547">
        <v>0</v>
      </c>
      <c r="U1547">
        <v>0</v>
      </c>
      <c r="V1547">
        <v>0</v>
      </c>
      <c r="W1547">
        <v>1.27539809638918</v>
      </c>
      <c r="X1547">
        <v>0.984645710619934</v>
      </c>
    </row>
    <row r="1548" spans="1:24">
      <c r="A1548">
        <v>943</v>
      </c>
      <c r="B1548" t="s">
        <v>4159</v>
      </c>
      <c r="C1548">
        <v>2</v>
      </c>
      <c r="D1548" t="s">
        <v>4160</v>
      </c>
      <c r="E1548">
        <v>5</v>
      </c>
      <c r="F1548">
        <v>5</v>
      </c>
      <c r="G1548">
        <v>5</v>
      </c>
      <c r="H1548" t="s">
        <v>4161</v>
      </c>
      <c r="I1548">
        <v>13.2</v>
      </c>
      <c r="J1548">
        <v>72.968000000000004</v>
      </c>
      <c r="K1548" t="str">
        <f>"MAN1A1"</f>
        <v>MAN1A1</v>
      </c>
      <c r="L1548" t="str">
        <f>"MAN1A1"</f>
        <v>MAN1A1</v>
      </c>
      <c r="M1548">
        <v>1.2103892752168599</v>
      </c>
      <c r="N1548">
        <v>0</v>
      </c>
      <c r="O1548">
        <v>0</v>
      </c>
      <c r="P1548">
        <v>0</v>
      </c>
      <c r="Q1548">
        <v>0</v>
      </c>
      <c r="R1548">
        <v>0.90008103209297396</v>
      </c>
      <c r="S1548">
        <v>1.1331355704698001</v>
      </c>
      <c r="T1548">
        <v>0</v>
      </c>
      <c r="U1548">
        <v>1.10235831809872</v>
      </c>
      <c r="V1548">
        <v>0</v>
      </c>
      <c r="W1548">
        <v>0</v>
      </c>
      <c r="X1548">
        <v>0.984645710619934</v>
      </c>
    </row>
    <row r="1549" spans="1:24">
      <c r="A1549">
        <v>955</v>
      </c>
      <c r="B1549" t="s">
        <v>4162</v>
      </c>
      <c r="C1549">
        <v>6</v>
      </c>
      <c r="D1549" t="s">
        <v>4163</v>
      </c>
      <c r="E1549">
        <v>17</v>
      </c>
      <c r="F1549">
        <v>3</v>
      </c>
      <c r="G1549">
        <v>3</v>
      </c>
      <c r="H1549" t="s">
        <v>4164</v>
      </c>
      <c r="I1549">
        <v>23.3</v>
      </c>
      <c r="J1549">
        <v>68.563000000000002</v>
      </c>
      <c r="K1549" t="str">
        <f>"RDX;EZR"</f>
        <v>RDX;EZR</v>
      </c>
      <c r="L1549" t="str">
        <f>"RDX;EZR"</f>
        <v>RDX;EZR</v>
      </c>
      <c r="M1549">
        <v>0</v>
      </c>
      <c r="N1549">
        <v>0.89450172185430499</v>
      </c>
      <c r="O1549">
        <v>0.91194339418818204</v>
      </c>
      <c r="P1549">
        <v>0</v>
      </c>
      <c r="Q1549">
        <v>0</v>
      </c>
      <c r="R1549">
        <v>0.90008103209297396</v>
      </c>
      <c r="S1549">
        <v>0</v>
      </c>
      <c r="T1549">
        <v>0</v>
      </c>
      <c r="U1549">
        <v>0</v>
      </c>
      <c r="V1549">
        <v>1.05063596764157</v>
      </c>
      <c r="W1549">
        <v>0</v>
      </c>
      <c r="X1549">
        <v>0.984645710619934</v>
      </c>
    </row>
    <row r="1550" spans="1:24">
      <c r="A1550">
        <v>965</v>
      </c>
      <c r="B1550" t="s">
        <v>4165</v>
      </c>
      <c r="C1550">
        <v>2</v>
      </c>
      <c r="D1550" t="s">
        <v>4166</v>
      </c>
      <c r="E1550">
        <v>25</v>
      </c>
      <c r="F1550">
        <v>3</v>
      </c>
      <c r="G1550">
        <v>2</v>
      </c>
      <c r="H1550" t="s">
        <v>4167</v>
      </c>
      <c r="I1550">
        <v>22.7</v>
      </c>
      <c r="J1550">
        <v>103.92</v>
      </c>
      <c r="K1550" t="str">
        <f>"ACTN2"</f>
        <v>ACTN2</v>
      </c>
      <c r="L1550" t="str">
        <f>"ACTN2"</f>
        <v>ACTN2</v>
      </c>
      <c r="M1550">
        <v>0</v>
      </c>
      <c r="N1550">
        <v>0</v>
      </c>
      <c r="O1550">
        <v>0</v>
      </c>
      <c r="P1550">
        <v>0</v>
      </c>
      <c r="Q1550">
        <v>2.51152398661212</v>
      </c>
      <c r="R1550">
        <v>1.8001620641859499</v>
      </c>
      <c r="S1550">
        <v>1.1331355704698001</v>
      </c>
      <c r="T1550">
        <v>1.18448996772836</v>
      </c>
      <c r="U1550">
        <v>0</v>
      </c>
      <c r="V1550">
        <v>1.05063596764157</v>
      </c>
      <c r="W1550">
        <v>0</v>
      </c>
      <c r="X1550">
        <v>0</v>
      </c>
    </row>
    <row r="1551" spans="1:24">
      <c r="A1551">
        <v>978</v>
      </c>
      <c r="B1551" t="s">
        <v>4168</v>
      </c>
      <c r="C1551">
        <v>2</v>
      </c>
      <c r="D1551" t="s">
        <v>4169</v>
      </c>
      <c r="E1551">
        <v>4</v>
      </c>
      <c r="F1551">
        <v>4</v>
      </c>
      <c r="G1551">
        <v>4</v>
      </c>
      <c r="H1551" t="s">
        <v>4170</v>
      </c>
      <c r="I1551">
        <v>9.6999999999999993</v>
      </c>
      <c r="J1551">
        <v>50.151000000000003</v>
      </c>
      <c r="K1551" t="str">
        <f>"CPOX"</f>
        <v>CPOX</v>
      </c>
      <c r="L1551" t="str">
        <f>"CPOX"</f>
        <v>CPOX</v>
      </c>
      <c r="M1551">
        <v>0</v>
      </c>
      <c r="N1551">
        <v>0.89450172185430499</v>
      </c>
      <c r="O1551">
        <v>0.91194339418818204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1.10235831809872</v>
      </c>
      <c r="V1551">
        <v>1.05063596764157</v>
      </c>
      <c r="W1551">
        <v>0</v>
      </c>
      <c r="X1551">
        <v>0</v>
      </c>
    </row>
    <row r="1552" spans="1:24">
      <c r="A1552">
        <v>1018</v>
      </c>
      <c r="B1552" t="s">
        <v>4171</v>
      </c>
      <c r="C1552">
        <v>3</v>
      </c>
      <c r="D1552" t="s">
        <v>4172</v>
      </c>
      <c r="E1552">
        <v>3</v>
      </c>
      <c r="F1552">
        <v>3</v>
      </c>
      <c r="G1552">
        <v>3</v>
      </c>
      <c r="H1552" t="s">
        <v>4173</v>
      </c>
      <c r="I1552">
        <v>3.7</v>
      </c>
      <c r="J1552">
        <v>94.134</v>
      </c>
      <c r="K1552" t="str">
        <f>"STAT6"</f>
        <v>STAT6</v>
      </c>
      <c r="L1552" t="str">
        <f>"STAT6"</f>
        <v>STAT6</v>
      </c>
      <c r="M1552">
        <v>0</v>
      </c>
      <c r="N1552">
        <v>0.89450172185430499</v>
      </c>
      <c r="O1552">
        <v>0.91194339418818204</v>
      </c>
      <c r="P1552">
        <v>0</v>
      </c>
      <c r="Q1552">
        <v>1.25576199330606</v>
      </c>
      <c r="R1552">
        <v>0.90008103209297396</v>
      </c>
      <c r="S1552">
        <v>1.1331355704698001</v>
      </c>
      <c r="T1552">
        <v>0</v>
      </c>
      <c r="U1552">
        <v>0</v>
      </c>
      <c r="V1552">
        <v>1.05063596764157</v>
      </c>
      <c r="W1552">
        <v>0</v>
      </c>
      <c r="X1552">
        <v>0</v>
      </c>
    </row>
    <row r="1553" spans="1:24">
      <c r="A1553">
        <v>1028</v>
      </c>
      <c r="B1553" t="s">
        <v>4174</v>
      </c>
      <c r="C1553">
        <v>1</v>
      </c>
      <c r="D1553" t="s">
        <v>4175</v>
      </c>
      <c r="E1553">
        <v>4</v>
      </c>
      <c r="F1553">
        <v>4</v>
      </c>
      <c r="G1553">
        <v>4</v>
      </c>
      <c r="H1553" t="s">
        <v>4174</v>
      </c>
      <c r="I1553">
        <v>1.8</v>
      </c>
      <c r="J1553">
        <v>347.6</v>
      </c>
      <c r="K1553" t="str">
        <f>"HTT"</f>
        <v>HTT</v>
      </c>
      <c r="L1553" t="str">
        <f>"HTT"</f>
        <v>HTT</v>
      </c>
      <c r="M1553">
        <v>0</v>
      </c>
      <c r="N1553">
        <v>0.89450172185430499</v>
      </c>
      <c r="O1553">
        <v>0</v>
      </c>
      <c r="P1553">
        <v>1.0652189274447901</v>
      </c>
      <c r="Q1553">
        <v>0</v>
      </c>
      <c r="R1553">
        <v>0.90008103209297396</v>
      </c>
      <c r="S1553">
        <v>0</v>
      </c>
      <c r="T1553">
        <v>0</v>
      </c>
      <c r="U1553">
        <v>0</v>
      </c>
      <c r="V1553">
        <v>1.05063596764157</v>
      </c>
      <c r="W1553">
        <v>0</v>
      </c>
      <c r="X1553">
        <v>0</v>
      </c>
    </row>
    <row r="1554" spans="1:24">
      <c r="A1554">
        <v>1036</v>
      </c>
      <c r="B1554" t="s">
        <v>4176</v>
      </c>
      <c r="C1554">
        <v>2</v>
      </c>
      <c r="D1554" t="s">
        <v>4177</v>
      </c>
      <c r="E1554">
        <v>3</v>
      </c>
      <c r="F1554">
        <v>3</v>
      </c>
      <c r="G1554">
        <v>3</v>
      </c>
      <c r="H1554" t="s">
        <v>4178</v>
      </c>
      <c r="I1554">
        <v>11.9</v>
      </c>
      <c r="J1554">
        <v>32.234999999999999</v>
      </c>
      <c r="K1554" t="str">
        <f>"SSR1"</f>
        <v>SSR1</v>
      </c>
      <c r="L1554" t="str">
        <f>"SSR1"</f>
        <v>SSR1</v>
      </c>
      <c r="M1554">
        <v>1.2103892752168599</v>
      </c>
      <c r="N1554">
        <v>0</v>
      </c>
      <c r="O1554">
        <v>0.91194339418818204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1.10235831809872</v>
      </c>
      <c r="V1554">
        <v>1.05063596764157</v>
      </c>
      <c r="W1554">
        <v>0</v>
      </c>
      <c r="X1554">
        <v>0</v>
      </c>
    </row>
    <row r="1555" spans="1:24">
      <c r="A1555">
        <v>1109</v>
      </c>
      <c r="B1555" t="s">
        <v>4179</v>
      </c>
      <c r="C1555">
        <v>2</v>
      </c>
      <c r="D1555" t="s">
        <v>4180</v>
      </c>
      <c r="E1555">
        <v>4</v>
      </c>
      <c r="F1555">
        <v>4</v>
      </c>
      <c r="G1555">
        <v>4</v>
      </c>
      <c r="H1555" t="s">
        <v>4181</v>
      </c>
      <c r="I1555">
        <v>22.9</v>
      </c>
      <c r="J1555">
        <v>31.381</v>
      </c>
      <c r="K1555" t="str">
        <f>"IDH3A"</f>
        <v>IDH3A</v>
      </c>
      <c r="L1555" t="str">
        <f>"IDH3A"</f>
        <v>IDH3A</v>
      </c>
      <c r="M1555">
        <v>0</v>
      </c>
      <c r="N1555">
        <v>0</v>
      </c>
      <c r="O1555">
        <v>0.91194339418818204</v>
      </c>
      <c r="P1555">
        <v>0</v>
      </c>
      <c r="Q1555">
        <v>0</v>
      </c>
      <c r="R1555">
        <v>0.90008103209297396</v>
      </c>
      <c r="S1555">
        <v>0</v>
      </c>
      <c r="T1555">
        <v>0</v>
      </c>
      <c r="U1555">
        <v>0</v>
      </c>
      <c r="V1555">
        <v>1.05063596764157</v>
      </c>
      <c r="W1555">
        <v>0</v>
      </c>
      <c r="X1555">
        <v>0</v>
      </c>
    </row>
    <row r="1556" spans="1:24">
      <c r="A1556">
        <v>1207</v>
      </c>
      <c r="B1556" t="s">
        <v>4182</v>
      </c>
      <c r="C1556">
        <v>1</v>
      </c>
      <c r="D1556" t="s">
        <v>4183</v>
      </c>
      <c r="E1556">
        <v>5</v>
      </c>
      <c r="F1556">
        <v>4</v>
      </c>
      <c r="G1556">
        <v>4</v>
      </c>
      <c r="H1556" t="s">
        <v>4182</v>
      </c>
      <c r="I1556">
        <v>26.5</v>
      </c>
      <c r="J1556">
        <v>23.712</v>
      </c>
      <c r="K1556" t="str">
        <f>"RAB38"</f>
        <v>RAB38</v>
      </c>
      <c r="L1556" t="str">
        <f>"RAB38"</f>
        <v>RAB38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0.90008103209297396</v>
      </c>
      <c r="S1556">
        <v>1.1331355704698001</v>
      </c>
      <c r="T1556">
        <v>0</v>
      </c>
      <c r="U1556">
        <v>0</v>
      </c>
      <c r="V1556">
        <v>0</v>
      </c>
      <c r="W1556">
        <v>0</v>
      </c>
      <c r="X1556">
        <v>1.96929142123987</v>
      </c>
    </row>
    <row r="1557" spans="1:24">
      <c r="A1557">
        <v>1241</v>
      </c>
      <c r="B1557" t="s">
        <v>4184</v>
      </c>
      <c r="C1557">
        <v>1</v>
      </c>
      <c r="D1557" t="s">
        <v>4185</v>
      </c>
      <c r="E1557">
        <v>5</v>
      </c>
      <c r="F1557">
        <v>5</v>
      </c>
      <c r="G1557">
        <v>5</v>
      </c>
      <c r="H1557" t="s">
        <v>4184</v>
      </c>
      <c r="I1557">
        <v>10.7</v>
      </c>
      <c r="J1557">
        <v>67.313999999999993</v>
      </c>
      <c r="K1557" t="str">
        <f>"ABCE1"</f>
        <v>ABCE1</v>
      </c>
      <c r="L1557" t="str">
        <f>"ABCE1"</f>
        <v>ABCE1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1.8001620641859499</v>
      </c>
      <c r="S1557">
        <v>0</v>
      </c>
      <c r="T1557">
        <v>0</v>
      </c>
      <c r="U1557">
        <v>1.10235831809872</v>
      </c>
      <c r="V1557">
        <v>0</v>
      </c>
      <c r="W1557">
        <v>0</v>
      </c>
      <c r="X1557">
        <v>0.984645710619934</v>
      </c>
    </row>
    <row r="1558" spans="1:24">
      <c r="A1558">
        <v>1336</v>
      </c>
      <c r="B1558" t="s">
        <v>4186</v>
      </c>
      <c r="C1558">
        <v>1</v>
      </c>
      <c r="D1558" t="s">
        <v>4187</v>
      </c>
      <c r="E1558">
        <v>4</v>
      </c>
      <c r="F1558">
        <v>4</v>
      </c>
      <c r="G1558">
        <v>3</v>
      </c>
      <c r="H1558" t="s">
        <v>4186</v>
      </c>
      <c r="I1558">
        <v>20.8</v>
      </c>
      <c r="J1558">
        <v>34.909999999999997</v>
      </c>
      <c r="K1558" t="str">
        <f>"PURA"</f>
        <v>PURA</v>
      </c>
      <c r="L1558" t="str">
        <f>"PURA"</f>
        <v>PURA</v>
      </c>
      <c r="M1558">
        <v>0</v>
      </c>
      <c r="N1558">
        <v>0</v>
      </c>
      <c r="O1558">
        <v>0</v>
      </c>
      <c r="P1558">
        <v>0</v>
      </c>
      <c r="Q1558">
        <v>1.25576199330606</v>
      </c>
      <c r="R1558">
        <v>0.90008103209297396</v>
      </c>
      <c r="S1558">
        <v>1.1331355704698001</v>
      </c>
      <c r="T1558">
        <v>0</v>
      </c>
      <c r="U1558">
        <v>1.10235831809872</v>
      </c>
      <c r="V1558">
        <v>0</v>
      </c>
      <c r="W1558">
        <v>1.27539809638918</v>
      </c>
      <c r="X1558">
        <v>0.984645710619934</v>
      </c>
    </row>
    <row r="1559" spans="1:24">
      <c r="A1559">
        <v>1396</v>
      </c>
      <c r="B1559" t="s">
        <v>4188</v>
      </c>
      <c r="C1559">
        <v>1</v>
      </c>
      <c r="D1559" t="s">
        <v>4189</v>
      </c>
      <c r="E1559">
        <v>6</v>
      </c>
      <c r="F1559">
        <v>5</v>
      </c>
      <c r="G1559">
        <v>5</v>
      </c>
      <c r="H1559" t="s">
        <v>4188</v>
      </c>
      <c r="I1559">
        <v>13.2</v>
      </c>
      <c r="J1559">
        <v>40.762999999999998</v>
      </c>
      <c r="K1559" t="str">
        <f>"PPID"</f>
        <v>PPID</v>
      </c>
      <c r="L1559" t="str">
        <f>"PPID"</f>
        <v>PPID</v>
      </c>
      <c r="M1559">
        <v>0</v>
      </c>
      <c r="N1559">
        <v>0</v>
      </c>
      <c r="O1559">
        <v>3.64777357675273</v>
      </c>
      <c r="P1559">
        <v>0</v>
      </c>
      <c r="Q1559">
        <v>0</v>
      </c>
      <c r="R1559">
        <v>0.90008103209297396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</row>
    <row r="1560" spans="1:24">
      <c r="A1560">
        <v>1488</v>
      </c>
      <c r="B1560" t="s">
        <v>4190</v>
      </c>
      <c r="C1560">
        <v>1</v>
      </c>
      <c r="D1560" t="s">
        <v>4191</v>
      </c>
      <c r="E1560">
        <v>5</v>
      </c>
      <c r="F1560">
        <v>5</v>
      </c>
      <c r="G1560">
        <v>5</v>
      </c>
      <c r="H1560" t="s">
        <v>4190</v>
      </c>
      <c r="I1560">
        <v>14</v>
      </c>
      <c r="J1560">
        <v>74.403000000000006</v>
      </c>
      <c r="K1560" t="str">
        <f>"TTLL12"</f>
        <v>TTLL12</v>
      </c>
      <c r="L1560" t="str">
        <f>"TTLL12"</f>
        <v>TTLL12</v>
      </c>
      <c r="M1560">
        <v>0</v>
      </c>
      <c r="N1560">
        <v>0.89450172185430499</v>
      </c>
      <c r="O1560">
        <v>0.91194339418818204</v>
      </c>
      <c r="P1560">
        <v>0</v>
      </c>
      <c r="Q1560">
        <v>0</v>
      </c>
      <c r="R1560">
        <v>1.8001620641859499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0.984645710619934</v>
      </c>
    </row>
    <row r="1561" spans="1:24">
      <c r="A1561">
        <v>1512</v>
      </c>
      <c r="B1561" t="s">
        <v>4192</v>
      </c>
      <c r="C1561">
        <v>2</v>
      </c>
      <c r="D1561" t="s">
        <v>4193</v>
      </c>
      <c r="E1561">
        <v>5</v>
      </c>
      <c r="F1561">
        <v>5</v>
      </c>
      <c r="G1561">
        <v>5</v>
      </c>
      <c r="H1561" t="s">
        <v>4194</v>
      </c>
      <c r="I1561">
        <v>28.6</v>
      </c>
      <c r="J1561">
        <v>26.076000000000001</v>
      </c>
      <c r="K1561" t="str">
        <f>"MESDC2"</f>
        <v>MESDC2</v>
      </c>
      <c r="L1561" t="str">
        <f>"MESDC2"</f>
        <v>MESDC2</v>
      </c>
      <c r="M1561">
        <v>0</v>
      </c>
      <c r="N1561">
        <v>0</v>
      </c>
      <c r="O1561">
        <v>0</v>
      </c>
      <c r="P1561">
        <v>1.0652189274447901</v>
      </c>
      <c r="Q1561">
        <v>0</v>
      </c>
      <c r="R1561">
        <v>0.90008103209297396</v>
      </c>
      <c r="S1561">
        <v>1.1331355704698001</v>
      </c>
      <c r="T1561">
        <v>0</v>
      </c>
      <c r="U1561">
        <v>0</v>
      </c>
      <c r="V1561">
        <v>0</v>
      </c>
      <c r="W1561">
        <v>1.27539809638918</v>
      </c>
      <c r="X1561">
        <v>0.984645710619934</v>
      </c>
    </row>
    <row r="1562" spans="1:24">
      <c r="A1562">
        <v>1676</v>
      </c>
      <c r="B1562" t="s">
        <v>4195</v>
      </c>
      <c r="C1562">
        <v>2</v>
      </c>
      <c r="D1562" t="s">
        <v>4196</v>
      </c>
      <c r="E1562">
        <v>6</v>
      </c>
      <c r="F1562">
        <v>6</v>
      </c>
      <c r="G1562">
        <v>6</v>
      </c>
      <c r="H1562" t="s">
        <v>4197</v>
      </c>
      <c r="I1562">
        <v>14.8</v>
      </c>
      <c r="J1562">
        <v>43.481999999999999</v>
      </c>
      <c r="K1562" t="str">
        <f>"HIBCH"</f>
        <v>HIBCH</v>
      </c>
      <c r="L1562" t="str">
        <f>"HIBCH"</f>
        <v>HIBCH</v>
      </c>
      <c r="M1562">
        <v>0</v>
      </c>
      <c r="N1562">
        <v>0</v>
      </c>
      <c r="O1562">
        <v>0.91194339418818204</v>
      </c>
      <c r="P1562">
        <v>0</v>
      </c>
      <c r="Q1562">
        <v>0</v>
      </c>
      <c r="R1562">
        <v>0.90008103209297396</v>
      </c>
      <c r="S1562">
        <v>1.1331355704698001</v>
      </c>
      <c r="T1562">
        <v>1.18448996772836</v>
      </c>
      <c r="U1562">
        <v>1.10235831809872</v>
      </c>
      <c r="V1562">
        <v>0</v>
      </c>
      <c r="W1562">
        <v>1.27539809638918</v>
      </c>
      <c r="X1562">
        <v>0</v>
      </c>
    </row>
    <row r="1563" spans="1:24">
      <c r="A1563">
        <v>1687</v>
      </c>
      <c r="B1563" t="s">
        <v>4198</v>
      </c>
      <c r="C1563">
        <v>1</v>
      </c>
      <c r="D1563" t="s">
        <v>4199</v>
      </c>
      <c r="E1563">
        <v>4</v>
      </c>
      <c r="F1563">
        <v>4</v>
      </c>
      <c r="G1563">
        <v>4</v>
      </c>
      <c r="H1563" t="s">
        <v>4198</v>
      </c>
      <c r="I1563">
        <v>9.1</v>
      </c>
      <c r="J1563">
        <v>73.561999999999998</v>
      </c>
      <c r="K1563" t="str">
        <f>"DARS2"</f>
        <v>DARS2</v>
      </c>
      <c r="L1563" t="str">
        <f>"DARS2"</f>
        <v>DARS2</v>
      </c>
      <c r="M1563">
        <v>0</v>
      </c>
      <c r="N1563">
        <v>0.89450172185430499</v>
      </c>
      <c r="O1563">
        <v>0.91194339418818204</v>
      </c>
      <c r="P1563">
        <v>1.0652189274447901</v>
      </c>
      <c r="Q1563">
        <v>0</v>
      </c>
      <c r="R1563">
        <v>1.8001620641859499</v>
      </c>
      <c r="S1563">
        <v>0</v>
      </c>
      <c r="T1563">
        <v>0</v>
      </c>
      <c r="U1563">
        <v>0</v>
      </c>
      <c r="V1563">
        <v>1.05063596764157</v>
      </c>
      <c r="W1563">
        <v>0</v>
      </c>
      <c r="X1563">
        <v>0.984645710619934</v>
      </c>
    </row>
    <row r="1564" spans="1:24">
      <c r="A1564">
        <v>1768</v>
      </c>
      <c r="B1564" t="s">
        <v>4200</v>
      </c>
      <c r="C1564">
        <v>5</v>
      </c>
      <c r="D1564" t="s">
        <v>4201</v>
      </c>
      <c r="E1564">
        <v>2</v>
      </c>
      <c r="F1564">
        <v>2</v>
      </c>
      <c r="G1564">
        <v>2</v>
      </c>
      <c r="H1564" t="s">
        <v>4202</v>
      </c>
      <c r="I1564">
        <v>7</v>
      </c>
      <c r="J1564">
        <v>30.378</v>
      </c>
      <c r="K1564" t="str">
        <f>"SIRT2"</f>
        <v>SIRT2</v>
      </c>
      <c r="L1564" t="str">
        <f>"SIRT2"</f>
        <v>SIRT2</v>
      </c>
      <c r="M1564">
        <v>0</v>
      </c>
      <c r="N1564">
        <v>0.89450172185430499</v>
      </c>
      <c r="O1564">
        <v>0.91194339418818204</v>
      </c>
      <c r="P1564">
        <v>0</v>
      </c>
      <c r="Q1564">
        <v>1.25576199330606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1.96929142123987</v>
      </c>
    </row>
    <row r="1565" spans="1:24">
      <c r="A1565">
        <v>1880</v>
      </c>
      <c r="B1565" t="s">
        <v>4203</v>
      </c>
      <c r="C1565">
        <v>3</v>
      </c>
      <c r="D1565" t="s">
        <v>4204</v>
      </c>
      <c r="E1565">
        <v>4</v>
      </c>
      <c r="F1565">
        <v>4</v>
      </c>
      <c r="G1565">
        <v>4</v>
      </c>
      <c r="H1565" t="s">
        <v>4205</v>
      </c>
      <c r="I1565">
        <v>14</v>
      </c>
      <c r="J1565">
        <v>34.5</v>
      </c>
      <c r="K1565" t="str">
        <f>"UFD1L"</f>
        <v>UFD1L</v>
      </c>
      <c r="L1565" t="str">
        <f>"UFD1L"</f>
        <v>UFD1L</v>
      </c>
      <c r="M1565">
        <v>0</v>
      </c>
      <c r="N1565">
        <v>0</v>
      </c>
      <c r="O1565">
        <v>0.91194339418818204</v>
      </c>
      <c r="P1565">
        <v>1.0652189274447901</v>
      </c>
      <c r="Q1565">
        <v>0</v>
      </c>
      <c r="R1565">
        <v>0.90008103209297396</v>
      </c>
      <c r="S1565">
        <v>1.1331355704698001</v>
      </c>
      <c r="T1565">
        <v>0</v>
      </c>
      <c r="U1565">
        <v>0</v>
      </c>
      <c r="V1565">
        <v>0</v>
      </c>
      <c r="W1565">
        <v>0</v>
      </c>
      <c r="X1565">
        <v>0.984645710619934</v>
      </c>
    </row>
    <row r="1566" spans="1:24">
      <c r="A1566">
        <v>2013</v>
      </c>
      <c r="B1566" t="s">
        <v>4206</v>
      </c>
      <c r="C1566">
        <v>1</v>
      </c>
      <c r="D1566" t="s">
        <v>4207</v>
      </c>
      <c r="E1566">
        <v>2</v>
      </c>
      <c r="F1566">
        <v>2</v>
      </c>
      <c r="G1566">
        <v>2</v>
      </c>
      <c r="H1566" t="s">
        <v>4206</v>
      </c>
      <c r="I1566">
        <v>15.4</v>
      </c>
      <c r="J1566">
        <v>13.941000000000001</v>
      </c>
      <c r="K1566" t="str">
        <f>"TXNDC17"</f>
        <v>TXNDC17</v>
      </c>
      <c r="L1566" t="str">
        <f>"TXNDC17"</f>
        <v>TXNDC17</v>
      </c>
      <c r="M1566">
        <v>0</v>
      </c>
      <c r="N1566">
        <v>0</v>
      </c>
      <c r="O1566">
        <v>0</v>
      </c>
      <c r="P1566">
        <v>1.0652189274447901</v>
      </c>
      <c r="Q1566">
        <v>0</v>
      </c>
      <c r="R1566">
        <v>0.90008103209297396</v>
      </c>
      <c r="S1566">
        <v>0</v>
      </c>
      <c r="T1566">
        <v>0</v>
      </c>
      <c r="U1566">
        <v>1.10235831809872</v>
      </c>
      <c r="V1566">
        <v>1.05063596764157</v>
      </c>
      <c r="W1566">
        <v>0</v>
      </c>
      <c r="X1566">
        <v>0</v>
      </c>
    </row>
    <row r="1567" spans="1:24">
      <c r="A1567">
        <v>2151</v>
      </c>
      <c r="B1567" t="s">
        <v>4208</v>
      </c>
      <c r="C1567">
        <v>1</v>
      </c>
      <c r="D1567" t="s">
        <v>4209</v>
      </c>
      <c r="E1567">
        <v>2</v>
      </c>
      <c r="F1567">
        <v>2</v>
      </c>
      <c r="G1567">
        <v>2</v>
      </c>
      <c r="H1567" t="s">
        <v>4208</v>
      </c>
      <c r="I1567">
        <v>8.9</v>
      </c>
      <c r="J1567">
        <v>40.307000000000002</v>
      </c>
      <c r="K1567" t="str">
        <f>"NANS"</f>
        <v>NANS</v>
      </c>
      <c r="L1567" t="str">
        <f>"NANS"</f>
        <v>NANS</v>
      </c>
      <c r="M1567">
        <v>0</v>
      </c>
      <c r="N1567">
        <v>0</v>
      </c>
      <c r="O1567">
        <v>0.91194339418818204</v>
      </c>
      <c r="P1567">
        <v>0</v>
      </c>
      <c r="Q1567">
        <v>0</v>
      </c>
      <c r="R1567">
        <v>0.90008103209297396</v>
      </c>
      <c r="S1567">
        <v>1.1331355704698001</v>
      </c>
      <c r="T1567">
        <v>1.18448996772836</v>
      </c>
      <c r="U1567">
        <v>0</v>
      </c>
      <c r="V1567">
        <v>1.05063596764157</v>
      </c>
      <c r="W1567">
        <v>0</v>
      </c>
      <c r="X1567">
        <v>0.984645710619934</v>
      </c>
    </row>
    <row r="1568" spans="1:24">
      <c r="A1568">
        <v>2154</v>
      </c>
      <c r="B1568" t="s">
        <v>4210</v>
      </c>
      <c r="C1568">
        <v>14</v>
      </c>
      <c r="D1568" t="s">
        <v>4211</v>
      </c>
      <c r="E1568">
        <v>5</v>
      </c>
      <c r="F1568">
        <v>5</v>
      </c>
      <c r="G1568">
        <v>5</v>
      </c>
      <c r="H1568" t="s">
        <v>4212</v>
      </c>
      <c r="I1568">
        <v>12.6</v>
      </c>
      <c r="J1568">
        <v>36.991</v>
      </c>
      <c r="K1568" t="str">
        <f>"MBNL1;MBNL2;MBNL3"</f>
        <v>MBNL1;MBNL2;MBNL3</v>
      </c>
      <c r="L1568" t="str">
        <f>"MBNL1;MBNL2;MBNL3"</f>
        <v>MBNL1;MBNL2;MBNL3</v>
      </c>
      <c r="M1568">
        <v>0</v>
      </c>
      <c r="N1568">
        <v>0</v>
      </c>
      <c r="O1568">
        <v>0.91194339418818204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1.27539809638918</v>
      </c>
      <c r="X1568">
        <v>0.984645710619934</v>
      </c>
    </row>
    <row r="1569" spans="1:24">
      <c r="A1569">
        <v>2183</v>
      </c>
      <c r="B1569" t="s">
        <v>4213</v>
      </c>
      <c r="C1569">
        <v>2</v>
      </c>
      <c r="D1569" t="s">
        <v>4214</v>
      </c>
      <c r="E1569">
        <v>6</v>
      </c>
      <c r="F1569">
        <v>2</v>
      </c>
      <c r="G1569">
        <v>2</v>
      </c>
      <c r="H1569" t="s">
        <v>4215</v>
      </c>
      <c r="I1569">
        <v>40.299999999999997</v>
      </c>
      <c r="J1569">
        <v>21.539000000000001</v>
      </c>
      <c r="K1569" t="str">
        <f>"ARL8B"</f>
        <v>ARL8B</v>
      </c>
      <c r="L1569" t="str">
        <f>"ARL8B"</f>
        <v>ARL8B</v>
      </c>
      <c r="M1569">
        <v>0</v>
      </c>
      <c r="N1569">
        <v>1.78900344370861</v>
      </c>
      <c r="O1569">
        <v>0</v>
      </c>
      <c r="P1569">
        <v>0</v>
      </c>
      <c r="Q1569">
        <v>1.25576199330606</v>
      </c>
      <c r="R1569">
        <v>0</v>
      </c>
      <c r="S1569">
        <v>1.1331355704698001</v>
      </c>
      <c r="T1569">
        <v>0</v>
      </c>
      <c r="U1569">
        <v>1.10235831809872</v>
      </c>
      <c r="V1569">
        <v>1.05063596764157</v>
      </c>
      <c r="W1569">
        <v>2.5507961927783702</v>
      </c>
      <c r="X1569">
        <v>0.984645710619934</v>
      </c>
    </row>
    <row r="1570" spans="1:24">
      <c r="A1570">
        <v>2212</v>
      </c>
      <c r="B1570" t="s">
        <v>4216</v>
      </c>
      <c r="C1570">
        <v>2</v>
      </c>
      <c r="D1570" t="s">
        <v>4217</v>
      </c>
      <c r="E1570">
        <v>1</v>
      </c>
      <c r="F1570">
        <v>1</v>
      </c>
      <c r="G1570">
        <v>1</v>
      </c>
      <c r="H1570" t="s">
        <v>4218</v>
      </c>
      <c r="I1570">
        <v>9.6999999999999993</v>
      </c>
      <c r="J1570">
        <v>16.698</v>
      </c>
      <c r="K1570" t="str">
        <f>"NDUFA13"</f>
        <v>NDUFA13</v>
      </c>
      <c r="L1570" t="str">
        <f>"NDUFA13"</f>
        <v>NDUFA13</v>
      </c>
      <c r="M1570">
        <v>0</v>
      </c>
      <c r="N1570">
        <v>0</v>
      </c>
      <c r="O1570">
        <v>0</v>
      </c>
      <c r="P1570">
        <v>1.0652189274447901</v>
      </c>
      <c r="Q1570">
        <v>0</v>
      </c>
      <c r="R1570">
        <v>0.90008103209297396</v>
      </c>
      <c r="S1570">
        <v>1.1331355704698001</v>
      </c>
      <c r="T1570">
        <v>0</v>
      </c>
      <c r="U1570">
        <v>0</v>
      </c>
      <c r="V1570">
        <v>0</v>
      </c>
      <c r="W1570">
        <v>1.27539809638918</v>
      </c>
      <c r="X1570">
        <v>0.984645710619934</v>
      </c>
    </row>
    <row r="1571" spans="1:24">
      <c r="A1571">
        <v>2288</v>
      </c>
      <c r="B1571" t="s">
        <v>4219</v>
      </c>
      <c r="C1571">
        <v>2</v>
      </c>
      <c r="D1571" t="s">
        <v>4220</v>
      </c>
      <c r="E1571">
        <v>1</v>
      </c>
      <c r="F1571">
        <v>1</v>
      </c>
      <c r="G1571">
        <v>1</v>
      </c>
      <c r="H1571" t="s">
        <v>4221</v>
      </c>
      <c r="I1571">
        <v>8.9</v>
      </c>
      <c r="J1571">
        <v>18.765999999999998</v>
      </c>
      <c r="K1571" t="str">
        <f>"TMCO1"</f>
        <v>TMCO1</v>
      </c>
      <c r="L1571" t="str">
        <f>"TMCO1"</f>
        <v>TMCO1</v>
      </c>
      <c r="M1571">
        <v>0</v>
      </c>
      <c r="N1571">
        <v>0.89450172185430499</v>
      </c>
      <c r="O1571">
        <v>0</v>
      </c>
      <c r="P1571">
        <v>0</v>
      </c>
      <c r="Q1571">
        <v>0</v>
      </c>
      <c r="R1571">
        <v>0.90008103209297396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>
      <c r="A1572">
        <v>2303</v>
      </c>
      <c r="B1572" t="s">
        <v>4222</v>
      </c>
      <c r="C1572">
        <v>1</v>
      </c>
      <c r="D1572" t="s">
        <v>4223</v>
      </c>
      <c r="E1572">
        <v>7</v>
      </c>
      <c r="F1572">
        <v>7</v>
      </c>
      <c r="G1572">
        <v>7</v>
      </c>
      <c r="H1572" t="s">
        <v>4222</v>
      </c>
      <c r="I1572">
        <v>3.5</v>
      </c>
      <c r="J1572">
        <v>294.36</v>
      </c>
      <c r="K1572" t="str">
        <f>"USP24"</f>
        <v>USP24</v>
      </c>
      <c r="L1572" t="str">
        <f>"USP24"</f>
        <v>USP24</v>
      </c>
      <c r="M1572">
        <v>0</v>
      </c>
      <c r="N1572">
        <v>0.89450172185430499</v>
      </c>
      <c r="O1572">
        <v>0</v>
      </c>
      <c r="P1572">
        <v>0</v>
      </c>
      <c r="Q1572">
        <v>0</v>
      </c>
      <c r="R1572">
        <v>1.8001620641859499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0.984645710619934</v>
      </c>
    </row>
    <row r="1573" spans="1:24">
      <c r="A1573">
        <v>2306</v>
      </c>
      <c r="B1573" t="s">
        <v>4224</v>
      </c>
      <c r="C1573">
        <v>5</v>
      </c>
      <c r="D1573" t="s">
        <v>4225</v>
      </c>
      <c r="E1573">
        <v>12</v>
      </c>
      <c r="F1573">
        <v>3</v>
      </c>
      <c r="G1573">
        <v>3</v>
      </c>
      <c r="H1573" t="s">
        <v>4226</v>
      </c>
      <c r="I1573">
        <v>14.1</v>
      </c>
      <c r="J1573">
        <v>96.680999999999997</v>
      </c>
      <c r="K1573" t="str">
        <f>"DNM3"</f>
        <v>DNM3</v>
      </c>
      <c r="L1573" t="str">
        <f>"DNM3"</f>
        <v>DNM3</v>
      </c>
      <c r="M1573">
        <v>0</v>
      </c>
      <c r="N1573">
        <v>1.78900344370861</v>
      </c>
      <c r="O1573">
        <v>0</v>
      </c>
      <c r="P1573">
        <v>2.1304378548895899</v>
      </c>
      <c r="Q1573">
        <v>0</v>
      </c>
      <c r="R1573">
        <v>0.90008103209297396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0.984645710619934</v>
      </c>
    </row>
    <row r="1574" spans="1:24">
      <c r="A1574">
        <v>13</v>
      </c>
      <c r="B1574" t="s">
        <v>4227</v>
      </c>
      <c r="C1574">
        <v>3</v>
      </c>
      <c r="D1574" t="s">
        <v>4228</v>
      </c>
      <c r="E1574">
        <v>4</v>
      </c>
      <c r="F1574">
        <v>4</v>
      </c>
      <c r="G1574">
        <v>4</v>
      </c>
      <c r="H1574" t="s">
        <v>4229</v>
      </c>
      <c r="I1574">
        <v>4.8</v>
      </c>
      <c r="J1574">
        <v>104.1</v>
      </c>
      <c r="K1574" t="str">
        <f>"EIF3C;EIF3CL"</f>
        <v>EIF3C;EIF3CL</v>
      </c>
      <c r="L1574" t="str">
        <f>"EIF3C;EIF3CL"</f>
        <v>EIF3C;EIF3CL</v>
      </c>
      <c r="M1574">
        <v>0</v>
      </c>
      <c r="N1574">
        <v>0.89450172185430499</v>
      </c>
      <c r="O1574">
        <v>0.91194339418818204</v>
      </c>
      <c r="P1574">
        <v>0</v>
      </c>
      <c r="Q1574">
        <v>0</v>
      </c>
      <c r="R1574">
        <v>0.90008103209297396</v>
      </c>
      <c r="S1574">
        <v>1.1331355704698001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1:24">
      <c r="A1575">
        <v>72</v>
      </c>
      <c r="B1575" t="s">
        <v>4230</v>
      </c>
      <c r="C1575">
        <v>1</v>
      </c>
      <c r="D1575" t="s">
        <v>4231</v>
      </c>
      <c r="E1575">
        <v>3</v>
      </c>
      <c r="F1575">
        <v>3</v>
      </c>
      <c r="G1575">
        <v>3</v>
      </c>
      <c r="H1575" t="s">
        <v>4230</v>
      </c>
      <c r="I1575">
        <v>32.1</v>
      </c>
      <c r="J1575">
        <v>9.3696999999999999</v>
      </c>
      <c r="K1575" t="str">
        <f>"NDUFA4"</f>
        <v>NDUFA4</v>
      </c>
      <c r="L1575" t="str">
        <f>"NDUFA4"</f>
        <v>NDUFA4</v>
      </c>
      <c r="M1575">
        <v>0</v>
      </c>
      <c r="N1575">
        <v>0</v>
      </c>
      <c r="O1575">
        <v>0</v>
      </c>
      <c r="P1575">
        <v>2.1304378548895899</v>
      </c>
      <c r="Q1575">
        <v>1.25576199330606</v>
      </c>
      <c r="R1575">
        <v>0</v>
      </c>
      <c r="S1575">
        <v>1.1331355704698001</v>
      </c>
      <c r="T1575">
        <v>0</v>
      </c>
      <c r="U1575">
        <v>1.10235831809872</v>
      </c>
      <c r="V1575">
        <v>0</v>
      </c>
      <c r="W1575">
        <v>0</v>
      </c>
      <c r="X1575">
        <v>0</v>
      </c>
    </row>
    <row r="1576" spans="1:24">
      <c r="A1576">
        <v>172</v>
      </c>
      <c r="B1576" t="s">
        <v>4232</v>
      </c>
      <c r="C1576">
        <v>2</v>
      </c>
      <c r="D1576" t="s">
        <v>4233</v>
      </c>
      <c r="E1576">
        <v>8</v>
      </c>
      <c r="F1576">
        <v>8</v>
      </c>
      <c r="G1576">
        <v>8</v>
      </c>
      <c r="H1576" t="s">
        <v>4234</v>
      </c>
      <c r="I1576">
        <v>7.1</v>
      </c>
      <c r="J1576">
        <v>139.28</v>
      </c>
      <c r="K1576" t="str">
        <f>"NRD1"</f>
        <v>NRD1</v>
      </c>
      <c r="L1576" t="str">
        <f>"NRDC"</f>
        <v>NRDC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0.984645710619934</v>
      </c>
    </row>
    <row r="1577" spans="1:24">
      <c r="A1577">
        <v>182</v>
      </c>
      <c r="B1577" t="s">
        <v>4235</v>
      </c>
      <c r="C1577">
        <v>4</v>
      </c>
      <c r="D1577" t="s">
        <v>4236</v>
      </c>
      <c r="E1577">
        <v>4</v>
      </c>
      <c r="F1577">
        <v>4</v>
      </c>
      <c r="G1577">
        <v>4</v>
      </c>
      <c r="H1577" t="s">
        <v>4237</v>
      </c>
      <c r="I1577">
        <v>11.2</v>
      </c>
      <c r="J1577">
        <v>70.212999999999994</v>
      </c>
      <c r="K1577" t="str">
        <f>"PIP5K1C"</f>
        <v>PIP5K1C</v>
      </c>
      <c r="L1577" t="str">
        <f>"PIP5K1C"</f>
        <v>PIP5K1C</v>
      </c>
      <c r="M1577">
        <v>0</v>
      </c>
      <c r="N1577">
        <v>0.89450172185430499</v>
      </c>
      <c r="O1577">
        <v>0.91194339418818204</v>
      </c>
      <c r="P1577">
        <v>0</v>
      </c>
      <c r="Q1577">
        <v>0</v>
      </c>
      <c r="R1577">
        <v>1.8001620641859499</v>
      </c>
      <c r="S1577">
        <v>0</v>
      </c>
      <c r="T1577">
        <v>0</v>
      </c>
      <c r="U1577">
        <v>0</v>
      </c>
      <c r="V1577">
        <v>1.05063596764157</v>
      </c>
      <c r="W1577">
        <v>0</v>
      </c>
      <c r="X1577">
        <v>1.96929142123987</v>
      </c>
    </row>
    <row r="1578" spans="1:24">
      <c r="A1578">
        <v>237</v>
      </c>
      <c r="B1578" t="s">
        <v>4238</v>
      </c>
      <c r="C1578">
        <v>2</v>
      </c>
      <c r="D1578" t="s">
        <v>4239</v>
      </c>
      <c r="E1578">
        <v>5</v>
      </c>
      <c r="F1578">
        <v>5</v>
      </c>
      <c r="G1578">
        <v>3</v>
      </c>
      <c r="H1578" t="s">
        <v>4240</v>
      </c>
      <c r="I1578">
        <v>10.7</v>
      </c>
      <c r="J1578">
        <v>58.164000000000001</v>
      </c>
      <c r="K1578" t="str">
        <f>"STAM2"</f>
        <v>STAM2</v>
      </c>
      <c r="L1578" t="str">
        <f>"STAM2"</f>
        <v>STAM2</v>
      </c>
      <c r="M1578">
        <v>0</v>
      </c>
      <c r="N1578">
        <v>0.89450172185430499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1.27539809638918</v>
      </c>
      <c r="X1578">
        <v>0</v>
      </c>
    </row>
    <row r="1579" spans="1:24">
      <c r="A1579">
        <v>239</v>
      </c>
      <c r="B1579" t="s">
        <v>4241</v>
      </c>
      <c r="C1579">
        <v>3</v>
      </c>
      <c r="D1579" t="s">
        <v>4242</v>
      </c>
      <c r="E1579">
        <v>4</v>
      </c>
      <c r="F1579">
        <v>4</v>
      </c>
      <c r="G1579">
        <v>4</v>
      </c>
      <c r="H1579" t="s">
        <v>4243</v>
      </c>
      <c r="I1579">
        <v>21.5</v>
      </c>
      <c r="J1579">
        <v>18.001000000000001</v>
      </c>
      <c r="K1579" t="str">
        <f>"DCTN3"</f>
        <v>DCTN3</v>
      </c>
      <c r="L1579" t="str">
        <f>"DCTN3"</f>
        <v>DCTN3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0.90008103209297396</v>
      </c>
      <c r="S1579">
        <v>1.1331355704698001</v>
      </c>
      <c r="T1579">
        <v>0</v>
      </c>
      <c r="U1579">
        <v>1.10235831809872</v>
      </c>
      <c r="V1579">
        <v>0</v>
      </c>
      <c r="W1579">
        <v>1.27539809638918</v>
      </c>
      <c r="X1579">
        <v>0.984645710619934</v>
      </c>
    </row>
    <row r="1580" spans="1:24">
      <c r="A1580">
        <v>285</v>
      </c>
      <c r="B1580" t="s">
        <v>4244</v>
      </c>
      <c r="C1580">
        <v>4</v>
      </c>
      <c r="D1580" t="s">
        <v>4245</v>
      </c>
      <c r="E1580">
        <v>8</v>
      </c>
      <c r="F1580">
        <v>2</v>
      </c>
      <c r="G1580">
        <v>2</v>
      </c>
      <c r="H1580" t="s">
        <v>4246</v>
      </c>
      <c r="I1580">
        <v>46.1</v>
      </c>
      <c r="J1580">
        <v>26.163</v>
      </c>
      <c r="K1580" t="str">
        <f>"G6B"</f>
        <v>G6B</v>
      </c>
      <c r="L1580" t="str">
        <f>"C6orf25"</f>
        <v>C6orf25</v>
      </c>
      <c r="M1580">
        <v>1.2103892752168599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1.05063596764157</v>
      </c>
      <c r="W1580">
        <v>0</v>
      </c>
      <c r="X1580">
        <v>0</v>
      </c>
    </row>
    <row r="1581" spans="1:24">
      <c r="A1581">
        <v>311</v>
      </c>
      <c r="B1581" t="s">
        <v>4247</v>
      </c>
      <c r="C1581">
        <v>1</v>
      </c>
      <c r="D1581" t="s">
        <v>4248</v>
      </c>
      <c r="E1581">
        <v>5</v>
      </c>
      <c r="F1581">
        <v>5</v>
      </c>
      <c r="G1581">
        <v>5</v>
      </c>
      <c r="H1581" t="s">
        <v>4247</v>
      </c>
      <c r="I1581">
        <v>14.5</v>
      </c>
      <c r="J1581">
        <v>54.731000000000002</v>
      </c>
      <c r="K1581" t="str">
        <f>"F10"</f>
        <v>F10</v>
      </c>
      <c r="L1581" t="str">
        <f>"F10"</f>
        <v>F10</v>
      </c>
      <c r="M1581">
        <v>0</v>
      </c>
      <c r="N1581">
        <v>0</v>
      </c>
      <c r="O1581">
        <v>0</v>
      </c>
      <c r="P1581">
        <v>0</v>
      </c>
      <c r="Q1581">
        <v>1.25576199330606</v>
      </c>
      <c r="R1581">
        <v>0</v>
      </c>
      <c r="S1581">
        <v>1.1331355704698001</v>
      </c>
      <c r="T1581">
        <v>0</v>
      </c>
      <c r="U1581">
        <v>0</v>
      </c>
      <c r="V1581">
        <v>0</v>
      </c>
      <c r="W1581">
        <v>0</v>
      </c>
      <c r="X1581">
        <v>0</v>
      </c>
    </row>
    <row r="1582" spans="1:24">
      <c r="A1582">
        <v>326</v>
      </c>
      <c r="B1582" t="s">
        <v>4249</v>
      </c>
      <c r="C1582">
        <v>1</v>
      </c>
      <c r="D1582" t="s">
        <v>4250</v>
      </c>
      <c r="E1582">
        <v>2</v>
      </c>
      <c r="F1582">
        <v>2</v>
      </c>
      <c r="G1582">
        <v>2</v>
      </c>
      <c r="H1582" t="s">
        <v>4249</v>
      </c>
      <c r="I1582">
        <v>19.2</v>
      </c>
      <c r="J1582">
        <v>15.798999999999999</v>
      </c>
      <c r="K1582" t="str">
        <f>"CST3"</f>
        <v>CST3</v>
      </c>
      <c r="L1582" t="str">
        <f>"CST3"</f>
        <v>CST3</v>
      </c>
      <c r="M1582">
        <v>0</v>
      </c>
      <c r="N1582">
        <v>0.89450172185430499</v>
      </c>
      <c r="O1582">
        <v>0.91194339418818204</v>
      </c>
      <c r="P1582">
        <v>0</v>
      </c>
      <c r="Q1582">
        <v>1.25576199330606</v>
      </c>
      <c r="R1582">
        <v>0.90008103209297396</v>
      </c>
      <c r="S1582">
        <v>0</v>
      </c>
      <c r="T1582">
        <v>1.18448996772836</v>
      </c>
      <c r="U1582">
        <v>0</v>
      </c>
      <c r="V1582">
        <v>0</v>
      </c>
      <c r="W1582">
        <v>0</v>
      </c>
      <c r="X1582">
        <v>0</v>
      </c>
    </row>
    <row r="1583" spans="1:24">
      <c r="A1583">
        <v>497</v>
      </c>
      <c r="B1583" t="s">
        <v>4251</v>
      </c>
      <c r="C1583">
        <v>1</v>
      </c>
      <c r="D1583" t="s">
        <v>4252</v>
      </c>
      <c r="E1583">
        <v>4</v>
      </c>
      <c r="F1583">
        <v>4</v>
      </c>
      <c r="G1583">
        <v>4</v>
      </c>
      <c r="H1583" t="s">
        <v>4251</v>
      </c>
      <c r="I1583">
        <v>8.1</v>
      </c>
      <c r="J1583">
        <v>68.417000000000002</v>
      </c>
      <c r="K1583" t="str">
        <f>"BCHE"</f>
        <v>BCHE</v>
      </c>
      <c r="L1583" t="str">
        <f>"BCHE"</f>
        <v>BCHE</v>
      </c>
      <c r="M1583">
        <v>0</v>
      </c>
      <c r="N1583">
        <v>0</v>
      </c>
      <c r="O1583">
        <v>0</v>
      </c>
      <c r="P1583">
        <v>2.1304378548895899</v>
      </c>
      <c r="Q1583">
        <v>2.51152398661212</v>
      </c>
      <c r="R1583">
        <v>0</v>
      </c>
      <c r="S1583">
        <v>0</v>
      </c>
      <c r="T1583">
        <v>1.18448996772836</v>
      </c>
      <c r="U1583">
        <v>0</v>
      </c>
      <c r="V1583">
        <v>1.05063596764157</v>
      </c>
      <c r="W1583">
        <v>0</v>
      </c>
      <c r="X1583">
        <v>0</v>
      </c>
    </row>
    <row r="1584" spans="1:24">
      <c r="A1584">
        <v>578</v>
      </c>
      <c r="B1584" t="s">
        <v>4253</v>
      </c>
      <c r="C1584">
        <v>2</v>
      </c>
      <c r="D1584" t="s">
        <v>4254</v>
      </c>
      <c r="E1584">
        <v>6</v>
      </c>
      <c r="F1584">
        <v>6</v>
      </c>
      <c r="G1584">
        <v>5</v>
      </c>
      <c r="H1584" t="s">
        <v>4255</v>
      </c>
      <c r="I1584">
        <v>34</v>
      </c>
      <c r="J1584">
        <v>24.893000000000001</v>
      </c>
      <c r="K1584" t="str">
        <f>"HMGB1;HMGB1P1"</f>
        <v>HMGB1;HMGB1P1</v>
      </c>
      <c r="L1584" t="str">
        <f>"HMGB1;HMGB1P1"</f>
        <v>HMGB1;HMGB1P1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4.5004051604648696</v>
      </c>
      <c r="S1584">
        <v>1.1331355704698001</v>
      </c>
      <c r="T1584">
        <v>0</v>
      </c>
      <c r="U1584">
        <v>0</v>
      </c>
      <c r="V1584">
        <v>0</v>
      </c>
      <c r="W1584">
        <v>0</v>
      </c>
      <c r="X1584">
        <v>0</v>
      </c>
    </row>
    <row r="1585" spans="1:24">
      <c r="A1585">
        <v>590</v>
      </c>
      <c r="B1585" t="s">
        <v>4256</v>
      </c>
      <c r="C1585">
        <v>4</v>
      </c>
      <c r="D1585" t="s">
        <v>4257</v>
      </c>
      <c r="E1585">
        <v>6</v>
      </c>
      <c r="F1585">
        <v>6</v>
      </c>
      <c r="G1585">
        <v>6</v>
      </c>
      <c r="H1585" t="s">
        <v>4258</v>
      </c>
      <c r="I1585">
        <v>31.1</v>
      </c>
      <c r="J1585">
        <v>29.385999999999999</v>
      </c>
      <c r="K1585" t="str">
        <f>"HNRNPA1;HNRNPA1L2"</f>
        <v>HNRNPA1;HNRNPA1L2</v>
      </c>
      <c r="L1585" t="str">
        <f>"HNRNPA1;HNRNPA1L2"</f>
        <v>HNRNPA1;HNRNPA1L2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2.7002430962789199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</row>
    <row r="1586" spans="1:24">
      <c r="A1586">
        <v>642</v>
      </c>
      <c r="B1586" t="s">
        <v>4259</v>
      </c>
      <c r="C1586">
        <v>2</v>
      </c>
      <c r="D1586" t="s">
        <v>4260</v>
      </c>
      <c r="E1586">
        <v>3</v>
      </c>
      <c r="F1586">
        <v>3</v>
      </c>
      <c r="G1586">
        <v>3</v>
      </c>
      <c r="H1586" t="s">
        <v>4261</v>
      </c>
      <c r="I1586">
        <v>8.1</v>
      </c>
      <c r="J1586">
        <v>47.786999999999999</v>
      </c>
      <c r="K1586" t="str">
        <f>"CETP"</f>
        <v>CETP</v>
      </c>
      <c r="L1586" t="str">
        <f>"CETP"</f>
        <v>CETP</v>
      </c>
      <c r="M1586">
        <v>1.2103892752168599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1.27539809638918</v>
      </c>
      <c r="X1586">
        <v>0</v>
      </c>
    </row>
    <row r="1587" spans="1:24">
      <c r="A1587">
        <v>730</v>
      </c>
      <c r="B1587" t="s">
        <v>4262</v>
      </c>
      <c r="C1587">
        <v>2</v>
      </c>
      <c r="D1587" t="s">
        <v>4263</v>
      </c>
      <c r="E1587">
        <v>6</v>
      </c>
      <c r="F1587">
        <v>6</v>
      </c>
      <c r="G1587">
        <v>6</v>
      </c>
      <c r="H1587" t="s">
        <v>4264</v>
      </c>
      <c r="I1587">
        <v>14.2</v>
      </c>
      <c r="J1587">
        <v>66.69</v>
      </c>
      <c r="K1587" t="str">
        <f>"CTPS1"</f>
        <v>CTPS1</v>
      </c>
      <c r="L1587" t="str">
        <f>"CTPS1"</f>
        <v>CTPS1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0.90008103209297396</v>
      </c>
      <c r="S1587">
        <v>0</v>
      </c>
      <c r="T1587">
        <v>0</v>
      </c>
      <c r="U1587">
        <v>0</v>
      </c>
      <c r="V1587">
        <v>0</v>
      </c>
      <c r="W1587">
        <v>1.27539809638918</v>
      </c>
      <c r="X1587">
        <v>0</v>
      </c>
    </row>
    <row r="1588" spans="1:24">
      <c r="A1588">
        <v>780</v>
      </c>
      <c r="B1588" t="s">
        <v>4265</v>
      </c>
      <c r="C1588">
        <v>1</v>
      </c>
      <c r="D1588" t="s">
        <v>4266</v>
      </c>
      <c r="E1588">
        <v>8</v>
      </c>
      <c r="F1588">
        <v>8</v>
      </c>
      <c r="G1588">
        <v>7</v>
      </c>
      <c r="H1588" t="s">
        <v>4265</v>
      </c>
      <c r="I1588">
        <v>15.7</v>
      </c>
      <c r="J1588">
        <v>89.42</v>
      </c>
      <c r="K1588" t="str">
        <f>"OSBP"</f>
        <v>OSBP</v>
      </c>
      <c r="L1588" t="str">
        <f>"OSBP"</f>
        <v>OSBP</v>
      </c>
      <c r="M1588">
        <v>0</v>
      </c>
      <c r="N1588">
        <v>1.78900344370861</v>
      </c>
      <c r="O1588">
        <v>0.91194339418818204</v>
      </c>
      <c r="P1588">
        <v>0</v>
      </c>
      <c r="Q1588">
        <v>0</v>
      </c>
      <c r="R1588">
        <v>0</v>
      </c>
      <c r="S1588">
        <v>1.1331355704698001</v>
      </c>
      <c r="T1588">
        <v>0</v>
      </c>
      <c r="U1588">
        <v>1.10235831809872</v>
      </c>
      <c r="V1588">
        <v>0</v>
      </c>
      <c r="W1588">
        <v>0</v>
      </c>
      <c r="X1588">
        <v>0</v>
      </c>
    </row>
    <row r="1589" spans="1:24">
      <c r="A1589">
        <v>853</v>
      </c>
      <c r="B1589" t="s">
        <v>4267</v>
      </c>
      <c r="C1589">
        <v>1</v>
      </c>
      <c r="D1589" t="s">
        <v>4268</v>
      </c>
      <c r="E1589">
        <v>4</v>
      </c>
      <c r="F1589">
        <v>4</v>
      </c>
      <c r="G1589">
        <v>4</v>
      </c>
      <c r="H1589" t="s">
        <v>4267</v>
      </c>
      <c r="I1589">
        <v>11.1</v>
      </c>
      <c r="J1589">
        <v>51.276000000000003</v>
      </c>
      <c r="K1589" t="str">
        <f>"CFP"</f>
        <v>CFP</v>
      </c>
      <c r="L1589" t="str">
        <f>"CFP"</f>
        <v>CFP</v>
      </c>
      <c r="M1589">
        <v>1.2103892752168599</v>
      </c>
      <c r="N1589">
        <v>0.89450172185430499</v>
      </c>
      <c r="O1589">
        <v>0</v>
      </c>
      <c r="P1589">
        <v>1.0652189274447901</v>
      </c>
      <c r="Q1589">
        <v>0</v>
      </c>
      <c r="R1589">
        <v>1.8001620641859499</v>
      </c>
      <c r="S1589">
        <v>0</v>
      </c>
      <c r="T1589">
        <v>0</v>
      </c>
      <c r="U1589">
        <v>0</v>
      </c>
      <c r="V1589">
        <v>1.05063596764157</v>
      </c>
      <c r="W1589">
        <v>0</v>
      </c>
      <c r="X1589">
        <v>0</v>
      </c>
    </row>
    <row r="1590" spans="1:24">
      <c r="A1590">
        <v>928</v>
      </c>
      <c r="B1590" t="s">
        <v>4269</v>
      </c>
      <c r="C1590">
        <v>1</v>
      </c>
      <c r="D1590" t="s">
        <v>4270</v>
      </c>
      <c r="E1590">
        <v>1</v>
      </c>
      <c r="F1590">
        <v>1</v>
      </c>
      <c r="G1590">
        <v>1</v>
      </c>
      <c r="H1590" t="s">
        <v>4269</v>
      </c>
      <c r="I1590">
        <v>4.2</v>
      </c>
      <c r="J1590">
        <v>35.329000000000001</v>
      </c>
      <c r="K1590" t="str">
        <f>"HIBADH"</f>
        <v>HIBADH</v>
      </c>
      <c r="L1590" t="str">
        <f>"HIBADH"</f>
        <v>HIBADH</v>
      </c>
      <c r="M1590">
        <v>0</v>
      </c>
      <c r="N1590">
        <v>0.89450172185430499</v>
      </c>
      <c r="O1590">
        <v>0.91194339418818204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1.05063596764157</v>
      </c>
      <c r="W1590">
        <v>0</v>
      </c>
      <c r="X1590">
        <v>0</v>
      </c>
    </row>
    <row r="1591" spans="1:24">
      <c r="A1591">
        <v>1072</v>
      </c>
      <c r="B1591" t="s">
        <v>4271</v>
      </c>
      <c r="C1591">
        <v>1</v>
      </c>
      <c r="D1591" t="s">
        <v>4272</v>
      </c>
      <c r="E1591">
        <v>3</v>
      </c>
      <c r="F1591">
        <v>3</v>
      </c>
      <c r="G1591">
        <v>3</v>
      </c>
      <c r="H1591" t="s">
        <v>4271</v>
      </c>
      <c r="I1591">
        <v>9.6999999999999993</v>
      </c>
      <c r="J1591">
        <v>39.610999999999997</v>
      </c>
      <c r="K1591" t="str">
        <f>"PSMD8"</f>
        <v>PSMD8</v>
      </c>
      <c r="L1591" t="str">
        <f>"PSMD8"</f>
        <v>PSMD8</v>
      </c>
      <c r="M1591">
        <v>0</v>
      </c>
      <c r="N1591">
        <v>0.89450172185430499</v>
      </c>
      <c r="O1591">
        <v>0</v>
      </c>
      <c r="P1591">
        <v>0</v>
      </c>
      <c r="Q1591">
        <v>0</v>
      </c>
      <c r="R1591">
        <v>0</v>
      </c>
      <c r="S1591">
        <v>2.2662711409396001</v>
      </c>
      <c r="T1591">
        <v>1.18448996772836</v>
      </c>
      <c r="U1591">
        <v>0</v>
      </c>
      <c r="V1591">
        <v>1.05063596764157</v>
      </c>
      <c r="W1591">
        <v>0</v>
      </c>
      <c r="X1591">
        <v>0</v>
      </c>
    </row>
    <row r="1592" spans="1:24">
      <c r="A1592">
        <v>1177</v>
      </c>
      <c r="B1592" t="s">
        <v>4273</v>
      </c>
      <c r="C1592">
        <v>2</v>
      </c>
      <c r="D1592" t="s">
        <v>4274</v>
      </c>
      <c r="E1592">
        <v>3</v>
      </c>
      <c r="F1592">
        <v>3</v>
      </c>
      <c r="G1592">
        <v>3</v>
      </c>
      <c r="H1592" t="s">
        <v>4275</v>
      </c>
      <c r="I1592">
        <v>11.5</v>
      </c>
      <c r="J1592">
        <v>31.512</v>
      </c>
      <c r="K1592" t="str">
        <f>"ATP1B3"</f>
        <v>ATP1B3</v>
      </c>
      <c r="L1592" t="str">
        <f>"ATP1B3"</f>
        <v>ATP1B3</v>
      </c>
      <c r="M1592">
        <v>0</v>
      </c>
      <c r="N1592">
        <v>1.78900344370861</v>
      </c>
      <c r="O1592">
        <v>0.91194339418818204</v>
      </c>
      <c r="P1592">
        <v>1.0652189274447901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1:24">
      <c r="A1593">
        <v>1210</v>
      </c>
      <c r="B1593" t="s">
        <v>4276</v>
      </c>
      <c r="C1593">
        <v>2</v>
      </c>
      <c r="D1593" t="s">
        <v>4277</v>
      </c>
      <c r="E1593">
        <v>2</v>
      </c>
      <c r="F1593">
        <v>2</v>
      </c>
      <c r="G1593">
        <v>2</v>
      </c>
      <c r="H1593" t="s">
        <v>4278</v>
      </c>
      <c r="I1593">
        <v>4.4000000000000004</v>
      </c>
      <c r="J1593">
        <v>62.578000000000003</v>
      </c>
      <c r="K1593" t="str">
        <f>"EEFSEC"</f>
        <v>EEFSEC</v>
      </c>
      <c r="L1593" t="str">
        <f>"EEFSEC"</f>
        <v>EEFSEC</v>
      </c>
      <c r="M1593">
        <v>1.2103892752168599</v>
      </c>
      <c r="N1593">
        <v>0.89450172185430499</v>
      </c>
      <c r="O1593">
        <v>0.91194339418818204</v>
      </c>
      <c r="P1593">
        <v>0</v>
      </c>
      <c r="Q1593">
        <v>0</v>
      </c>
      <c r="R1593">
        <v>1.8001620641859499</v>
      </c>
      <c r="S1593">
        <v>0</v>
      </c>
      <c r="T1593">
        <v>0</v>
      </c>
      <c r="U1593">
        <v>0</v>
      </c>
      <c r="V1593">
        <v>1.05063596764157</v>
      </c>
      <c r="W1593">
        <v>0</v>
      </c>
      <c r="X1593">
        <v>0</v>
      </c>
    </row>
    <row r="1594" spans="1:24">
      <c r="A1594">
        <v>1266</v>
      </c>
      <c r="B1594" t="s">
        <v>4279</v>
      </c>
      <c r="C1594">
        <v>1</v>
      </c>
      <c r="D1594" t="s">
        <v>4280</v>
      </c>
      <c r="E1594">
        <v>3</v>
      </c>
      <c r="F1594">
        <v>3</v>
      </c>
      <c r="G1594">
        <v>3</v>
      </c>
      <c r="H1594" t="s">
        <v>4279</v>
      </c>
      <c r="I1594">
        <v>24</v>
      </c>
      <c r="J1594">
        <v>20.082000000000001</v>
      </c>
      <c r="K1594" t="str">
        <f>"ARF6"</f>
        <v>ARF6</v>
      </c>
      <c r="L1594" t="str">
        <f>"ARF6"</f>
        <v>ARF6</v>
      </c>
      <c r="M1594">
        <v>0</v>
      </c>
      <c r="N1594">
        <v>0.89450172185430499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1.27539809638918</v>
      </c>
      <c r="X1594">
        <v>1.96929142123987</v>
      </c>
    </row>
    <row r="1595" spans="1:24">
      <c r="A1595">
        <v>1369</v>
      </c>
      <c r="B1595" t="s">
        <v>4281</v>
      </c>
      <c r="C1595">
        <v>1</v>
      </c>
      <c r="D1595" t="s">
        <v>4282</v>
      </c>
      <c r="E1595">
        <v>4</v>
      </c>
      <c r="F1595">
        <v>4</v>
      </c>
      <c r="G1595">
        <v>4</v>
      </c>
      <c r="H1595" t="s">
        <v>4281</v>
      </c>
      <c r="I1595">
        <v>37.200000000000003</v>
      </c>
      <c r="J1595">
        <v>17.259</v>
      </c>
      <c r="K1595" t="str">
        <f>"SSBP1"</f>
        <v>SSBP1</v>
      </c>
      <c r="L1595" t="str">
        <f>"SSBP1"</f>
        <v>SSBP1</v>
      </c>
      <c r="M1595">
        <v>0</v>
      </c>
      <c r="N1595">
        <v>1.78900344370861</v>
      </c>
      <c r="O1595">
        <v>0.91194339418818204</v>
      </c>
      <c r="P1595">
        <v>0</v>
      </c>
      <c r="Q1595">
        <v>0</v>
      </c>
      <c r="R1595">
        <v>0.90008103209297396</v>
      </c>
      <c r="S1595">
        <v>0</v>
      </c>
      <c r="T1595">
        <v>0</v>
      </c>
      <c r="U1595">
        <v>0</v>
      </c>
      <c r="V1595">
        <v>1.05063596764157</v>
      </c>
      <c r="W1595">
        <v>0</v>
      </c>
      <c r="X1595">
        <v>0</v>
      </c>
    </row>
    <row r="1596" spans="1:24">
      <c r="A1596">
        <v>1530</v>
      </c>
      <c r="B1596" t="s">
        <v>4283</v>
      </c>
      <c r="C1596">
        <v>3</v>
      </c>
      <c r="D1596" t="s">
        <v>4284</v>
      </c>
      <c r="E1596">
        <v>2</v>
      </c>
      <c r="F1596">
        <v>2</v>
      </c>
      <c r="G1596">
        <v>2</v>
      </c>
      <c r="H1596" t="s">
        <v>4285</v>
      </c>
      <c r="I1596">
        <v>10.3</v>
      </c>
      <c r="J1596">
        <v>20.260000000000002</v>
      </c>
      <c r="K1596" t="str">
        <f>"ARL6IP1"</f>
        <v>ARL6IP1</v>
      </c>
      <c r="L1596" t="str">
        <f>"ARL6IP1"</f>
        <v>ARL6IP1</v>
      </c>
      <c r="M1596">
        <v>0</v>
      </c>
      <c r="N1596">
        <v>0.89450172185430499</v>
      </c>
      <c r="O1596">
        <v>0.91194339418818204</v>
      </c>
      <c r="P1596">
        <v>0</v>
      </c>
      <c r="Q1596">
        <v>0</v>
      </c>
      <c r="R1596">
        <v>0</v>
      </c>
      <c r="S1596">
        <v>0</v>
      </c>
      <c r="T1596">
        <v>1.18448996772836</v>
      </c>
      <c r="U1596">
        <v>0</v>
      </c>
      <c r="V1596">
        <v>1.05063596764157</v>
      </c>
      <c r="W1596">
        <v>1.27539809638918</v>
      </c>
      <c r="X1596">
        <v>0</v>
      </c>
    </row>
    <row r="1597" spans="1:24">
      <c r="A1597">
        <v>1542</v>
      </c>
      <c r="B1597" t="s">
        <v>4286</v>
      </c>
      <c r="C1597">
        <v>2</v>
      </c>
      <c r="D1597" t="s">
        <v>4287</v>
      </c>
      <c r="E1597">
        <v>5</v>
      </c>
      <c r="F1597">
        <v>5</v>
      </c>
      <c r="G1597">
        <v>5</v>
      </c>
      <c r="H1597" t="s">
        <v>4288</v>
      </c>
      <c r="I1597">
        <v>12.1</v>
      </c>
      <c r="J1597">
        <v>56.192999999999998</v>
      </c>
      <c r="K1597" t="str">
        <f>"PPP2R5A"</f>
        <v>PPP2R5A</v>
      </c>
      <c r="L1597" t="str">
        <f>"PPP2R5A"</f>
        <v>PPP2R5A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2.2662711409396001</v>
      </c>
      <c r="T1597">
        <v>0</v>
      </c>
      <c r="U1597">
        <v>1.10235831809872</v>
      </c>
      <c r="V1597">
        <v>0</v>
      </c>
      <c r="W1597">
        <v>0</v>
      </c>
      <c r="X1597">
        <v>2.9539371318597998</v>
      </c>
    </row>
    <row r="1598" spans="1:24">
      <c r="A1598">
        <v>1543</v>
      </c>
      <c r="B1598" t="s">
        <v>4289</v>
      </c>
      <c r="C1598">
        <v>1</v>
      </c>
      <c r="D1598" t="s">
        <v>4290</v>
      </c>
      <c r="E1598">
        <v>4</v>
      </c>
      <c r="F1598">
        <v>4</v>
      </c>
      <c r="G1598">
        <v>4</v>
      </c>
      <c r="H1598" t="s">
        <v>4289</v>
      </c>
      <c r="I1598">
        <v>19</v>
      </c>
      <c r="J1598">
        <v>32.659999999999997</v>
      </c>
      <c r="K1598" t="str">
        <f>"PPA1"</f>
        <v>PPA1</v>
      </c>
      <c r="L1598" t="str">
        <f>"PPA1"</f>
        <v>PPA1</v>
      </c>
      <c r="M1598">
        <v>0</v>
      </c>
      <c r="N1598">
        <v>0</v>
      </c>
      <c r="O1598">
        <v>0.91194339418818204</v>
      </c>
      <c r="P1598">
        <v>1.0652189274447901</v>
      </c>
      <c r="Q1598">
        <v>1.25576199330606</v>
      </c>
      <c r="R1598">
        <v>1.8001620641859499</v>
      </c>
      <c r="S1598">
        <v>1.1331355704698001</v>
      </c>
      <c r="T1598">
        <v>0</v>
      </c>
      <c r="U1598">
        <v>1.10235831809872</v>
      </c>
      <c r="V1598">
        <v>0</v>
      </c>
      <c r="W1598">
        <v>0</v>
      </c>
      <c r="X1598">
        <v>0.984645710619934</v>
      </c>
    </row>
    <row r="1599" spans="1:24">
      <c r="A1599">
        <v>1573</v>
      </c>
      <c r="B1599" t="s">
        <v>4291</v>
      </c>
      <c r="C1599">
        <v>10</v>
      </c>
      <c r="D1599" t="s">
        <v>4292</v>
      </c>
      <c r="E1599">
        <v>4</v>
      </c>
      <c r="F1599">
        <v>4</v>
      </c>
      <c r="G1599">
        <v>4</v>
      </c>
      <c r="H1599" t="s">
        <v>4293</v>
      </c>
      <c r="I1599">
        <v>10.5</v>
      </c>
      <c r="J1599">
        <v>48.954999999999998</v>
      </c>
      <c r="K1599" t="str">
        <f>"SMAD2;SMAD3;SMAD9;SMAD5;SMAD1"</f>
        <v>SMAD2;SMAD3;SMAD9;SMAD5;SMAD1</v>
      </c>
      <c r="L1599" t="str">
        <f>"SMAD2;SMAD3;SMAD9;SMAD5;SMAD1"</f>
        <v>SMAD2;SMAD3;SMAD9;SMAD5;SMAD1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0.90008103209297396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0.984645710619934</v>
      </c>
    </row>
    <row r="1600" spans="1:24">
      <c r="A1600">
        <v>1645</v>
      </c>
      <c r="B1600" t="s">
        <v>4294</v>
      </c>
      <c r="C1600">
        <v>3</v>
      </c>
      <c r="D1600" t="s">
        <v>4295</v>
      </c>
      <c r="E1600">
        <v>3</v>
      </c>
      <c r="F1600">
        <v>3</v>
      </c>
      <c r="G1600">
        <v>3</v>
      </c>
      <c r="H1600" t="s">
        <v>4296</v>
      </c>
      <c r="I1600">
        <v>4.0999999999999996</v>
      </c>
      <c r="J1600">
        <v>132.47</v>
      </c>
      <c r="K1600" t="str">
        <f>"FKBP15"</f>
        <v>FKBP15</v>
      </c>
      <c r="L1600" t="str">
        <f>"FKBP15"</f>
        <v>FKBP15</v>
      </c>
      <c r="M1600">
        <v>1.2103892752168599</v>
      </c>
      <c r="N1600">
        <v>0</v>
      </c>
      <c r="O1600">
        <v>0.91194339418818204</v>
      </c>
      <c r="P1600">
        <v>0</v>
      </c>
      <c r="Q1600">
        <v>0</v>
      </c>
      <c r="R1600">
        <v>0</v>
      </c>
      <c r="S1600">
        <v>0</v>
      </c>
      <c r="T1600">
        <v>1.18448996772836</v>
      </c>
      <c r="U1600">
        <v>0</v>
      </c>
      <c r="V1600">
        <v>1.05063596764157</v>
      </c>
      <c r="W1600">
        <v>0</v>
      </c>
      <c r="X1600">
        <v>0</v>
      </c>
    </row>
    <row r="1601" spans="1:24">
      <c r="A1601">
        <v>1652</v>
      </c>
      <c r="B1601" t="s">
        <v>4297</v>
      </c>
      <c r="C1601">
        <v>2</v>
      </c>
      <c r="D1601" t="s">
        <v>4298</v>
      </c>
      <c r="E1601">
        <v>3</v>
      </c>
      <c r="F1601">
        <v>3</v>
      </c>
      <c r="G1601">
        <v>3</v>
      </c>
      <c r="H1601" t="s">
        <v>4299</v>
      </c>
      <c r="I1601">
        <v>11.5</v>
      </c>
      <c r="J1601">
        <v>33.978999999999999</v>
      </c>
      <c r="K1601" t="str">
        <f>"YOD1"</f>
        <v>YOD1</v>
      </c>
      <c r="L1601" t="str">
        <f>"YOD1"</f>
        <v>YOD1</v>
      </c>
      <c r="M1601">
        <v>0</v>
      </c>
      <c r="N1601">
        <v>0.89450172185430499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1.10235831809872</v>
      </c>
      <c r="V1601">
        <v>0</v>
      </c>
      <c r="W1601">
        <v>0</v>
      </c>
      <c r="X1601">
        <v>0</v>
      </c>
    </row>
    <row r="1602" spans="1:24">
      <c r="A1602">
        <v>1734</v>
      </c>
      <c r="B1602" t="s">
        <v>4300</v>
      </c>
      <c r="C1602">
        <v>3</v>
      </c>
      <c r="D1602" t="s">
        <v>4301</v>
      </c>
      <c r="E1602">
        <v>4</v>
      </c>
      <c r="F1602">
        <v>4</v>
      </c>
      <c r="G1602">
        <v>4</v>
      </c>
      <c r="H1602" t="s">
        <v>4302</v>
      </c>
      <c r="I1602">
        <v>31.7</v>
      </c>
      <c r="J1602">
        <v>20.780999999999999</v>
      </c>
      <c r="K1602" t="str">
        <f>"TMED4"</f>
        <v>TMED4</v>
      </c>
      <c r="L1602" t="str">
        <f>"TMED4"</f>
        <v>TMED4</v>
      </c>
      <c r="M1602">
        <v>1.2103892752168599</v>
      </c>
      <c r="N1602">
        <v>0</v>
      </c>
      <c r="O1602">
        <v>0.91194339418818204</v>
      </c>
      <c r="P1602">
        <v>1.0652189274447901</v>
      </c>
      <c r="Q1602">
        <v>0</v>
      </c>
      <c r="R1602">
        <v>0.90008103209297396</v>
      </c>
      <c r="S1602">
        <v>0</v>
      </c>
      <c r="T1602">
        <v>0</v>
      </c>
      <c r="U1602">
        <v>0</v>
      </c>
      <c r="V1602">
        <v>2.1012719352831399</v>
      </c>
      <c r="W1602">
        <v>0</v>
      </c>
      <c r="X1602">
        <v>0</v>
      </c>
    </row>
    <row r="1603" spans="1:24">
      <c r="A1603">
        <v>1822</v>
      </c>
      <c r="B1603" t="s">
        <v>4303</v>
      </c>
      <c r="C1603">
        <v>8</v>
      </c>
      <c r="D1603" t="s">
        <v>4304</v>
      </c>
      <c r="E1603">
        <v>2</v>
      </c>
      <c r="F1603">
        <v>2</v>
      </c>
      <c r="G1603">
        <v>2</v>
      </c>
      <c r="H1603" t="s">
        <v>4305</v>
      </c>
      <c r="I1603">
        <v>16.7</v>
      </c>
      <c r="J1603">
        <v>17.620999999999999</v>
      </c>
      <c r="K1603" t="str">
        <f>"FAM213B"</f>
        <v>FAM213B</v>
      </c>
      <c r="L1603" t="str">
        <f>"FAM213B"</f>
        <v>FAM213B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0.90008103209297396</v>
      </c>
      <c r="S1603">
        <v>1.1331355704698001</v>
      </c>
      <c r="T1603">
        <v>0</v>
      </c>
      <c r="U1603">
        <v>0</v>
      </c>
      <c r="V1603">
        <v>1.05063596764157</v>
      </c>
      <c r="W1603">
        <v>0</v>
      </c>
      <c r="X1603">
        <v>0</v>
      </c>
    </row>
    <row r="1604" spans="1:24">
      <c r="A1604">
        <v>1823</v>
      </c>
      <c r="B1604" t="s">
        <v>4306</v>
      </c>
      <c r="C1604">
        <v>3</v>
      </c>
      <c r="D1604" t="s">
        <v>4307</v>
      </c>
      <c r="E1604">
        <v>8</v>
      </c>
      <c r="F1604">
        <v>8</v>
      </c>
      <c r="G1604">
        <v>8</v>
      </c>
      <c r="H1604" t="s">
        <v>4308</v>
      </c>
      <c r="I1604">
        <v>12.9</v>
      </c>
      <c r="J1604">
        <v>77.394000000000005</v>
      </c>
      <c r="K1604" t="str">
        <f>"TBC1D15"</f>
        <v>TBC1D15</v>
      </c>
      <c r="L1604" t="str">
        <f>"TBC1D15"</f>
        <v>TBC1D15</v>
      </c>
      <c r="M1604">
        <v>0</v>
      </c>
      <c r="N1604">
        <v>1.78900344370861</v>
      </c>
      <c r="O1604">
        <v>0</v>
      </c>
      <c r="P1604">
        <v>0</v>
      </c>
      <c r="Q1604">
        <v>0</v>
      </c>
      <c r="R1604">
        <v>0</v>
      </c>
      <c r="S1604">
        <v>1.1331355704698001</v>
      </c>
      <c r="T1604">
        <v>0</v>
      </c>
      <c r="U1604">
        <v>1.10235831809872</v>
      </c>
      <c r="V1604">
        <v>0</v>
      </c>
      <c r="W1604">
        <v>0</v>
      </c>
      <c r="X1604">
        <v>1.96929142123987</v>
      </c>
    </row>
    <row r="1605" spans="1:24">
      <c r="A1605">
        <v>1851</v>
      </c>
      <c r="B1605" t="s">
        <v>4309</v>
      </c>
      <c r="C1605">
        <v>2</v>
      </c>
      <c r="D1605" t="s">
        <v>4310</v>
      </c>
      <c r="E1605">
        <v>8</v>
      </c>
      <c r="F1605">
        <v>8</v>
      </c>
      <c r="G1605">
        <v>8</v>
      </c>
      <c r="H1605" t="s">
        <v>4311</v>
      </c>
      <c r="I1605">
        <v>18.3</v>
      </c>
      <c r="J1605">
        <v>63.054000000000002</v>
      </c>
      <c r="K1605" t="str">
        <f>"ATL1"</f>
        <v>ATL1</v>
      </c>
      <c r="L1605" t="str">
        <f>"ATL1"</f>
        <v>ATL1</v>
      </c>
      <c r="M1605">
        <v>0</v>
      </c>
      <c r="N1605">
        <v>0</v>
      </c>
      <c r="O1605">
        <v>0.91194339418818204</v>
      </c>
      <c r="P1605">
        <v>0</v>
      </c>
      <c r="Q1605">
        <v>1.25576199330606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0.984645710619934</v>
      </c>
    </row>
    <row r="1606" spans="1:24">
      <c r="A1606">
        <v>1895</v>
      </c>
      <c r="B1606" t="s">
        <v>4312</v>
      </c>
      <c r="C1606">
        <v>2</v>
      </c>
      <c r="D1606" t="s">
        <v>4313</v>
      </c>
      <c r="E1606">
        <v>19</v>
      </c>
      <c r="F1606">
        <v>2</v>
      </c>
      <c r="G1606">
        <v>0</v>
      </c>
      <c r="H1606" t="s">
        <v>4314</v>
      </c>
      <c r="I1606">
        <v>49.4</v>
      </c>
      <c r="J1606">
        <v>40.415999999999997</v>
      </c>
      <c r="K1606" t="str">
        <f>"HLA-B"</f>
        <v>HLA-B</v>
      </c>
      <c r="L1606" t="str">
        <f>"HLA-B"</f>
        <v>HLA-B</v>
      </c>
      <c r="M1606">
        <v>0</v>
      </c>
      <c r="N1606">
        <v>1.78900344370861</v>
      </c>
      <c r="O1606">
        <v>0</v>
      </c>
      <c r="P1606">
        <v>0</v>
      </c>
      <c r="Q1606">
        <v>1.25576199330606</v>
      </c>
      <c r="R1606">
        <v>0.90008103209297396</v>
      </c>
      <c r="S1606">
        <v>1.1331355704698001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>
      <c r="A1607">
        <v>1899</v>
      </c>
      <c r="B1607" t="s">
        <v>4315</v>
      </c>
      <c r="C1607">
        <v>2</v>
      </c>
      <c r="D1607" t="s">
        <v>4316</v>
      </c>
      <c r="E1607">
        <v>3</v>
      </c>
      <c r="F1607">
        <v>3</v>
      </c>
      <c r="G1607">
        <v>3</v>
      </c>
      <c r="H1607" t="s">
        <v>4317</v>
      </c>
      <c r="I1607">
        <v>8.6999999999999993</v>
      </c>
      <c r="J1607">
        <v>62.845999999999997</v>
      </c>
      <c r="K1607" t="str">
        <f>"NCLN"</f>
        <v>NCLN</v>
      </c>
      <c r="L1607" t="str">
        <f>"NCLN"</f>
        <v>NCLN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0.90008103209297396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</row>
    <row r="1608" spans="1:24">
      <c r="A1608">
        <v>2067</v>
      </c>
      <c r="B1608" t="s">
        <v>4318</v>
      </c>
      <c r="C1608">
        <v>2</v>
      </c>
      <c r="D1608" t="s">
        <v>4319</v>
      </c>
      <c r="E1608">
        <v>3</v>
      </c>
      <c r="F1608">
        <v>3</v>
      </c>
      <c r="G1608">
        <v>3</v>
      </c>
      <c r="H1608" t="s">
        <v>4320</v>
      </c>
      <c r="I1608">
        <v>11.8</v>
      </c>
      <c r="J1608">
        <v>24.178000000000001</v>
      </c>
      <c r="K1608" t="str">
        <f>"PITHD1"</f>
        <v>PITHD1</v>
      </c>
      <c r="L1608" t="str">
        <f>"PITHD1"</f>
        <v>PITHD1</v>
      </c>
      <c r="M1608">
        <v>0</v>
      </c>
      <c r="N1608">
        <v>0.89450172185430499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1.18448996772836</v>
      </c>
      <c r="U1608">
        <v>1.10235831809872</v>
      </c>
      <c r="V1608">
        <v>0</v>
      </c>
      <c r="W1608">
        <v>0</v>
      </c>
      <c r="X1608">
        <v>2.9539371318597998</v>
      </c>
    </row>
    <row r="1609" spans="1:24">
      <c r="A1609">
        <v>2084</v>
      </c>
      <c r="B1609" t="s">
        <v>4321</v>
      </c>
      <c r="C1609">
        <v>1</v>
      </c>
      <c r="D1609" t="s">
        <v>4322</v>
      </c>
      <c r="E1609">
        <v>12</v>
      </c>
      <c r="F1609">
        <v>6</v>
      </c>
      <c r="G1609">
        <v>5</v>
      </c>
      <c r="H1609" t="s">
        <v>4321</v>
      </c>
      <c r="I1609">
        <v>21.3</v>
      </c>
      <c r="J1609">
        <v>61.173999999999999</v>
      </c>
      <c r="K1609" t="str">
        <f>"EHD4"</f>
        <v>EHD4</v>
      </c>
      <c r="L1609" t="str">
        <f>"EHD4"</f>
        <v>EHD4</v>
      </c>
      <c r="M1609">
        <v>0</v>
      </c>
      <c r="N1609">
        <v>0.89450172185430499</v>
      </c>
      <c r="O1609">
        <v>0.91194339418818204</v>
      </c>
      <c r="P1609">
        <v>1.0652189274447901</v>
      </c>
      <c r="Q1609">
        <v>0</v>
      </c>
      <c r="R1609">
        <v>2.7002430962789199</v>
      </c>
      <c r="S1609">
        <v>0</v>
      </c>
      <c r="T1609">
        <v>0</v>
      </c>
      <c r="U1609">
        <v>0</v>
      </c>
      <c r="V1609">
        <v>1.05063596764157</v>
      </c>
      <c r="W1609">
        <v>0</v>
      </c>
      <c r="X1609">
        <v>0</v>
      </c>
    </row>
    <row r="1610" spans="1:24">
      <c r="A1610">
        <v>2159</v>
      </c>
      <c r="B1610" t="s">
        <v>4323</v>
      </c>
      <c r="C1610">
        <v>2</v>
      </c>
      <c r="D1610" t="s">
        <v>4324</v>
      </c>
      <c r="E1610">
        <v>2</v>
      </c>
      <c r="F1610">
        <v>2</v>
      </c>
      <c r="G1610">
        <v>2</v>
      </c>
      <c r="H1610" t="s">
        <v>4325</v>
      </c>
      <c r="I1610">
        <v>7.8</v>
      </c>
      <c r="J1610">
        <v>35.776000000000003</v>
      </c>
      <c r="K1610" t="str">
        <f>"AASDHPPT"</f>
        <v>AASDHPPT</v>
      </c>
      <c r="L1610" t="str">
        <f>"AASDHPPT"</f>
        <v>AASDHPPT</v>
      </c>
      <c r="M1610">
        <v>0</v>
      </c>
      <c r="N1610">
        <v>0.89450172185430499</v>
      </c>
      <c r="O1610">
        <v>0</v>
      </c>
      <c r="P1610">
        <v>0</v>
      </c>
      <c r="Q1610">
        <v>0</v>
      </c>
      <c r="R1610">
        <v>0.90008103209297396</v>
      </c>
      <c r="S1610">
        <v>0</v>
      </c>
      <c r="T1610">
        <v>1.18448996772836</v>
      </c>
      <c r="U1610">
        <v>0</v>
      </c>
      <c r="V1610">
        <v>1.05063596764157</v>
      </c>
      <c r="W1610">
        <v>1.27539809638918</v>
      </c>
      <c r="X1610">
        <v>0</v>
      </c>
    </row>
    <row r="1611" spans="1:24">
      <c r="A1611">
        <v>2170</v>
      </c>
      <c r="B1611" t="s">
        <v>4326</v>
      </c>
      <c r="C1611">
        <v>4</v>
      </c>
      <c r="D1611" t="s">
        <v>4327</v>
      </c>
      <c r="E1611">
        <v>3</v>
      </c>
      <c r="F1611">
        <v>3</v>
      </c>
      <c r="G1611">
        <v>3</v>
      </c>
      <c r="H1611" t="s">
        <v>4328</v>
      </c>
      <c r="I1611">
        <v>3.6</v>
      </c>
      <c r="J1611">
        <v>104.69</v>
      </c>
      <c r="K1611" t="str">
        <f>"MAN2C1"</f>
        <v>MAN2C1</v>
      </c>
      <c r="L1611" t="str">
        <f>"MAN2C1"</f>
        <v>MAN2C1</v>
      </c>
      <c r="M1611">
        <v>0</v>
      </c>
      <c r="N1611">
        <v>0.89450172185430499</v>
      </c>
      <c r="O1611">
        <v>0.91194339418818204</v>
      </c>
      <c r="P1611">
        <v>0</v>
      </c>
      <c r="Q1611">
        <v>0</v>
      </c>
      <c r="R1611">
        <v>0.90008103209297396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>
      <c r="A1612">
        <v>2174</v>
      </c>
      <c r="B1612" t="s">
        <v>4329</v>
      </c>
      <c r="C1612">
        <v>3</v>
      </c>
      <c r="D1612" t="s">
        <v>4330</v>
      </c>
      <c r="E1612">
        <v>5</v>
      </c>
      <c r="F1612">
        <v>5</v>
      </c>
      <c r="G1612">
        <v>5</v>
      </c>
      <c r="H1612" t="s">
        <v>4331</v>
      </c>
      <c r="I1612">
        <v>16.3</v>
      </c>
      <c r="J1612">
        <v>33.932000000000002</v>
      </c>
      <c r="K1612" t="str">
        <f>"ABHD10"</f>
        <v>ABHD10</v>
      </c>
      <c r="L1612" t="str">
        <f>"ABHD10"</f>
        <v>ABHD10</v>
      </c>
      <c r="M1612">
        <v>0</v>
      </c>
      <c r="N1612">
        <v>0</v>
      </c>
      <c r="O1612">
        <v>0.91194339418818204</v>
      </c>
      <c r="P1612">
        <v>0</v>
      </c>
      <c r="Q1612">
        <v>0</v>
      </c>
      <c r="R1612">
        <v>1.8001620641859499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1.96929142123987</v>
      </c>
    </row>
    <row r="1613" spans="1:24">
      <c r="A1613">
        <v>2302</v>
      </c>
      <c r="B1613" t="s">
        <v>4332</v>
      </c>
      <c r="C1613">
        <v>6</v>
      </c>
      <c r="D1613" t="s">
        <v>4333</v>
      </c>
      <c r="E1613">
        <v>3</v>
      </c>
      <c r="F1613">
        <v>3</v>
      </c>
      <c r="G1613">
        <v>3</v>
      </c>
      <c r="H1613" t="s">
        <v>4334</v>
      </c>
      <c r="I1613">
        <v>6</v>
      </c>
      <c r="J1613">
        <v>74.712000000000003</v>
      </c>
      <c r="K1613" t="str">
        <f>"EXOC7"</f>
        <v>EXOC7</v>
      </c>
      <c r="L1613" t="str">
        <f>"EXOC7"</f>
        <v>EXOC7</v>
      </c>
      <c r="M1613">
        <v>0</v>
      </c>
      <c r="N1613">
        <v>0.89450172185430499</v>
      </c>
      <c r="O1613">
        <v>1.8238867883763601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1.10235831809872</v>
      </c>
      <c r="V1613">
        <v>0</v>
      </c>
      <c r="W1613">
        <v>0</v>
      </c>
      <c r="X1613">
        <v>0.984645710619934</v>
      </c>
    </row>
    <row r="1614" spans="1:24">
      <c r="A1614">
        <v>2331</v>
      </c>
      <c r="B1614" t="s">
        <v>4335</v>
      </c>
      <c r="C1614">
        <v>3</v>
      </c>
      <c r="D1614" t="s">
        <v>4336</v>
      </c>
      <c r="E1614">
        <v>7</v>
      </c>
      <c r="F1614">
        <v>7</v>
      </c>
      <c r="G1614">
        <v>7</v>
      </c>
      <c r="H1614" t="s">
        <v>4337</v>
      </c>
      <c r="I1614">
        <v>21.5</v>
      </c>
      <c r="J1614">
        <v>46.939</v>
      </c>
      <c r="K1614" t="str">
        <f>"AP3M1;AP3M2"</f>
        <v>AP3M1;AP3M2</v>
      </c>
      <c r="L1614" t="str">
        <f>"AP3M1;AP3M2"</f>
        <v>AP3M1;AP3M2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0.90008103209297396</v>
      </c>
      <c r="S1614">
        <v>0</v>
      </c>
      <c r="T1614">
        <v>0</v>
      </c>
      <c r="U1614">
        <v>1.10235831809872</v>
      </c>
      <c r="V1614">
        <v>0</v>
      </c>
      <c r="W1614">
        <v>0</v>
      </c>
      <c r="X1614">
        <v>0.984645710619934</v>
      </c>
    </row>
    <row r="1615" spans="1:24">
      <c r="A1615">
        <v>2342</v>
      </c>
      <c r="B1615" t="s">
        <v>4338</v>
      </c>
      <c r="C1615">
        <v>2</v>
      </c>
      <c r="D1615" t="s">
        <v>4339</v>
      </c>
      <c r="E1615">
        <v>4</v>
      </c>
      <c r="F1615">
        <v>4</v>
      </c>
      <c r="G1615">
        <v>4</v>
      </c>
      <c r="H1615" t="s">
        <v>4340</v>
      </c>
      <c r="I1615">
        <v>17.5</v>
      </c>
      <c r="J1615">
        <v>26.004999999999999</v>
      </c>
      <c r="K1615" t="str">
        <f>"TMED5"</f>
        <v>TMED5</v>
      </c>
      <c r="L1615" t="str">
        <f>"TMED5"</f>
        <v>TMED5</v>
      </c>
      <c r="M1615">
        <v>0</v>
      </c>
      <c r="N1615">
        <v>0</v>
      </c>
      <c r="O1615">
        <v>0.91194339418818204</v>
      </c>
      <c r="P1615">
        <v>0</v>
      </c>
      <c r="Q1615">
        <v>1.25576199330606</v>
      </c>
      <c r="R1615">
        <v>0.90008103209297396</v>
      </c>
      <c r="S1615">
        <v>0</v>
      </c>
      <c r="T1615">
        <v>0</v>
      </c>
      <c r="U1615">
        <v>0</v>
      </c>
      <c r="V1615">
        <v>1.05063596764157</v>
      </c>
      <c r="W1615">
        <v>0</v>
      </c>
      <c r="X1615">
        <v>0</v>
      </c>
    </row>
    <row r="1616" spans="1:24">
      <c r="A1616">
        <v>2367</v>
      </c>
      <c r="B1616" t="s">
        <v>4341</v>
      </c>
      <c r="C1616">
        <v>2</v>
      </c>
      <c r="D1616" t="s">
        <v>4342</v>
      </c>
      <c r="E1616">
        <v>5</v>
      </c>
      <c r="F1616">
        <v>5</v>
      </c>
      <c r="G1616">
        <v>5</v>
      </c>
      <c r="H1616" t="s">
        <v>4343</v>
      </c>
      <c r="I1616">
        <v>20.3</v>
      </c>
      <c r="J1616">
        <v>39.834000000000003</v>
      </c>
      <c r="K1616" t="str">
        <f>"GMPPB"</f>
        <v>GMPPB</v>
      </c>
      <c r="L1616" t="str">
        <f>"GMPPB"</f>
        <v>GMPPB</v>
      </c>
      <c r="M1616">
        <v>1.2103892752168599</v>
      </c>
      <c r="N1616">
        <v>0</v>
      </c>
      <c r="O1616">
        <v>0.91194339418818204</v>
      </c>
      <c r="P1616">
        <v>1.0652189274447901</v>
      </c>
      <c r="Q1616">
        <v>0</v>
      </c>
      <c r="R1616">
        <v>0.90008103209297396</v>
      </c>
      <c r="S1616">
        <v>0</v>
      </c>
      <c r="T1616">
        <v>0</v>
      </c>
      <c r="U1616">
        <v>0</v>
      </c>
      <c r="V1616">
        <v>0</v>
      </c>
      <c r="W1616">
        <v>1.27539809638918</v>
      </c>
      <c r="X1616">
        <v>0</v>
      </c>
    </row>
    <row r="1617" spans="1:24">
      <c r="A1617">
        <v>59</v>
      </c>
      <c r="B1617" t="s">
        <v>4344</v>
      </c>
      <c r="C1617">
        <v>2</v>
      </c>
      <c r="D1617" t="s">
        <v>4345</v>
      </c>
      <c r="E1617">
        <v>5</v>
      </c>
      <c r="F1617">
        <v>5</v>
      </c>
      <c r="G1617">
        <v>5</v>
      </c>
      <c r="H1617" t="s">
        <v>4346</v>
      </c>
      <c r="I1617">
        <v>15.3</v>
      </c>
      <c r="J1617">
        <v>40.396999999999998</v>
      </c>
      <c r="K1617" t="str">
        <f>"LGALS8"</f>
        <v>LGALS8</v>
      </c>
      <c r="L1617" t="str">
        <f>"LGALS8"</f>
        <v>LGALS8</v>
      </c>
      <c r="M1617">
        <v>0</v>
      </c>
      <c r="N1617">
        <v>1.78900344370861</v>
      </c>
      <c r="O1617">
        <v>0.91194339418818204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1.27539809638918</v>
      </c>
      <c r="X1617">
        <v>0.984645710619934</v>
      </c>
    </row>
    <row r="1618" spans="1:24">
      <c r="A1618">
        <v>187</v>
      </c>
      <c r="B1618" t="s">
        <v>4347</v>
      </c>
      <c r="C1618">
        <v>1</v>
      </c>
      <c r="D1618" t="s">
        <v>4348</v>
      </c>
      <c r="E1618">
        <v>2</v>
      </c>
      <c r="F1618">
        <v>2</v>
      </c>
      <c r="G1618">
        <v>2</v>
      </c>
      <c r="H1618" t="s">
        <v>4347</v>
      </c>
      <c r="I1618">
        <v>1.9</v>
      </c>
      <c r="J1618">
        <v>97.831999999999994</v>
      </c>
      <c r="K1618" t="str">
        <f>"TLR5"</f>
        <v>TLR5</v>
      </c>
      <c r="L1618" t="str">
        <f>"TLR5"</f>
        <v>TLR5</v>
      </c>
      <c r="M1618">
        <v>1.2103892752168599</v>
      </c>
      <c r="N1618">
        <v>1.78900344370861</v>
      </c>
      <c r="O1618">
        <v>0</v>
      </c>
      <c r="P1618">
        <v>0</v>
      </c>
      <c r="Q1618">
        <v>0</v>
      </c>
      <c r="R1618">
        <v>0.90008103209297396</v>
      </c>
      <c r="S1618">
        <v>1.1331355704698001</v>
      </c>
      <c r="T1618">
        <v>0</v>
      </c>
      <c r="U1618">
        <v>0</v>
      </c>
      <c r="V1618">
        <v>0</v>
      </c>
      <c r="W1618">
        <v>1.27539809638918</v>
      </c>
      <c r="X1618">
        <v>0</v>
      </c>
    </row>
    <row r="1619" spans="1:24">
      <c r="A1619">
        <v>250</v>
      </c>
      <c r="B1619" t="s">
        <v>4349</v>
      </c>
      <c r="C1619">
        <v>1</v>
      </c>
      <c r="D1619" t="s">
        <v>4350</v>
      </c>
      <c r="E1619">
        <v>3</v>
      </c>
      <c r="F1619">
        <v>3</v>
      </c>
      <c r="G1619">
        <v>3</v>
      </c>
      <c r="H1619" t="s">
        <v>4349</v>
      </c>
      <c r="I1619">
        <v>11.3</v>
      </c>
      <c r="J1619">
        <v>30.344000000000001</v>
      </c>
      <c r="K1619" t="str">
        <f>"PROSC"</f>
        <v>PROSC</v>
      </c>
      <c r="L1619" t="str">
        <f>"PROSC"</f>
        <v>PROSC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1.8001620641859499</v>
      </c>
      <c r="S1619">
        <v>0</v>
      </c>
      <c r="T1619">
        <v>0</v>
      </c>
      <c r="U1619">
        <v>0</v>
      </c>
      <c r="V1619">
        <v>1.05063596764157</v>
      </c>
      <c r="W1619">
        <v>0</v>
      </c>
      <c r="X1619">
        <v>0.984645710619934</v>
      </c>
    </row>
    <row r="1620" spans="1:24">
      <c r="A1620">
        <v>334</v>
      </c>
      <c r="B1620" t="s">
        <v>4351</v>
      </c>
      <c r="C1620">
        <v>1</v>
      </c>
      <c r="D1620" t="s">
        <v>4352</v>
      </c>
      <c r="E1620">
        <v>2</v>
      </c>
      <c r="F1620">
        <v>1</v>
      </c>
      <c r="G1620">
        <v>1</v>
      </c>
      <c r="H1620" t="s">
        <v>4351</v>
      </c>
      <c r="I1620">
        <v>31.5</v>
      </c>
      <c r="J1620">
        <v>11.939</v>
      </c>
      <c r="K1620" t="s">
        <v>4353</v>
      </c>
      <c r="L1620" t="s">
        <v>4353</v>
      </c>
      <c r="M1620">
        <v>0</v>
      </c>
      <c r="N1620">
        <v>0</v>
      </c>
      <c r="O1620">
        <v>0</v>
      </c>
      <c r="P1620">
        <v>3.19565678233438</v>
      </c>
      <c r="Q1620">
        <v>2.51152398661212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</row>
    <row r="1621" spans="1:24">
      <c r="A1621">
        <v>402</v>
      </c>
      <c r="B1621" t="s">
        <v>4354</v>
      </c>
      <c r="C1621">
        <v>1</v>
      </c>
      <c r="D1621" t="s">
        <v>4355</v>
      </c>
      <c r="E1621">
        <v>3</v>
      </c>
      <c r="F1621">
        <v>3</v>
      </c>
      <c r="G1621">
        <v>3</v>
      </c>
      <c r="H1621" t="s">
        <v>4354</v>
      </c>
      <c r="I1621">
        <v>28.7</v>
      </c>
      <c r="J1621">
        <v>11.284000000000001</v>
      </c>
      <c r="K1621" t="str">
        <f>"APOC2"</f>
        <v>APOC2</v>
      </c>
      <c r="L1621" t="str">
        <f>"APOC2"</f>
        <v>APOC2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0.90008103209297396</v>
      </c>
      <c r="S1621">
        <v>3.3994067114094002</v>
      </c>
      <c r="T1621">
        <v>1.18448996772836</v>
      </c>
      <c r="U1621">
        <v>0</v>
      </c>
      <c r="V1621">
        <v>0</v>
      </c>
      <c r="W1621">
        <v>0</v>
      </c>
      <c r="X1621">
        <v>0</v>
      </c>
    </row>
    <row r="1622" spans="1:24">
      <c r="A1622">
        <v>461</v>
      </c>
      <c r="B1622" t="s">
        <v>4356</v>
      </c>
      <c r="C1622">
        <v>1</v>
      </c>
      <c r="D1622" t="s">
        <v>4357</v>
      </c>
      <c r="E1622">
        <v>1</v>
      </c>
      <c r="F1622">
        <v>1</v>
      </c>
      <c r="G1622">
        <v>1</v>
      </c>
      <c r="H1622" t="s">
        <v>4356</v>
      </c>
      <c r="I1622">
        <v>16.7</v>
      </c>
      <c r="J1622">
        <v>11.84</v>
      </c>
      <c r="K1622" t="s">
        <v>4358</v>
      </c>
      <c r="L1622" t="s">
        <v>4358</v>
      </c>
      <c r="M1622">
        <v>0</v>
      </c>
      <c r="N1622">
        <v>0</v>
      </c>
      <c r="O1622">
        <v>0.91194339418818204</v>
      </c>
      <c r="P1622">
        <v>2.1304378548895899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0.984645710619934</v>
      </c>
    </row>
    <row r="1623" spans="1:24">
      <c r="A1623">
        <v>612</v>
      </c>
      <c r="B1623" t="s">
        <v>4359</v>
      </c>
      <c r="C1623">
        <v>5</v>
      </c>
      <c r="D1623" t="s">
        <v>4360</v>
      </c>
      <c r="E1623">
        <v>5</v>
      </c>
      <c r="F1623">
        <v>5</v>
      </c>
      <c r="G1623">
        <v>5</v>
      </c>
      <c r="H1623" t="s">
        <v>4361</v>
      </c>
      <c r="I1623">
        <v>16</v>
      </c>
      <c r="J1623">
        <v>21.364000000000001</v>
      </c>
      <c r="K1623" t="str">
        <f>"HIST1H1C;HIST1H1E;HIST1H1D;HIST1H1T;HIST1H1A"</f>
        <v>HIST1H1C;HIST1H1E;HIST1H1D;HIST1H1T;HIST1H1A</v>
      </c>
      <c r="L1623" t="str">
        <f>"HIST1H1C;HIST1H1E;HIST1H1D;HIST1H1T;HIST1H1A"</f>
        <v>HIST1H1C;HIST1H1E;HIST1H1D;HIST1H1T;HIST1H1A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1.8001620641859499</v>
      </c>
      <c r="S1623">
        <v>0</v>
      </c>
      <c r="T1623">
        <v>0</v>
      </c>
      <c r="U1623">
        <v>1.10235831809872</v>
      </c>
      <c r="V1623">
        <v>0</v>
      </c>
      <c r="W1623">
        <v>0</v>
      </c>
      <c r="X1623">
        <v>0</v>
      </c>
    </row>
    <row r="1624" spans="1:24">
      <c r="A1624">
        <v>658</v>
      </c>
      <c r="B1624" t="s">
        <v>4362</v>
      </c>
      <c r="C1624">
        <v>1</v>
      </c>
      <c r="D1624" t="s">
        <v>4363</v>
      </c>
      <c r="E1624">
        <v>5</v>
      </c>
      <c r="F1624">
        <v>5</v>
      </c>
      <c r="G1624">
        <v>5</v>
      </c>
      <c r="H1624" t="s">
        <v>4362</v>
      </c>
      <c r="I1624">
        <v>7.4</v>
      </c>
      <c r="J1624">
        <v>82.703999999999994</v>
      </c>
      <c r="K1624" t="str">
        <f>"XRCC5"</f>
        <v>XRCC5</v>
      </c>
      <c r="L1624" t="str">
        <f>"XRCC5"</f>
        <v>XRCC5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2.7002430962789199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>
      <c r="A1625">
        <v>983</v>
      </c>
      <c r="B1625" t="s">
        <v>4364</v>
      </c>
      <c r="C1625">
        <v>2</v>
      </c>
      <c r="D1625" t="s">
        <v>4365</v>
      </c>
      <c r="E1625">
        <v>1</v>
      </c>
      <c r="F1625">
        <v>1</v>
      </c>
      <c r="G1625">
        <v>1</v>
      </c>
      <c r="H1625" t="s">
        <v>4366</v>
      </c>
      <c r="I1625">
        <v>2.2999999999999998</v>
      </c>
      <c r="J1625">
        <v>47.305999999999997</v>
      </c>
      <c r="K1625" t="str">
        <f>"GNL1"</f>
        <v>GNL1</v>
      </c>
      <c r="L1625" t="str">
        <f>"GNL1"</f>
        <v>GNL1</v>
      </c>
      <c r="M1625">
        <v>0</v>
      </c>
      <c r="N1625">
        <v>0.89450172185430499</v>
      </c>
      <c r="O1625">
        <v>0.91194339418818204</v>
      </c>
      <c r="P1625">
        <v>1.0652189274447901</v>
      </c>
      <c r="Q1625">
        <v>0</v>
      </c>
      <c r="R1625">
        <v>0.90008103209297396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1:24">
      <c r="A1626">
        <v>1021</v>
      </c>
      <c r="B1626" t="s">
        <v>4367</v>
      </c>
      <c r="C1626">
        <v>6</v>
      </c>
      <c r="D1626" t="s">
        <v>4368</v>
      </c>
      <c r="E1626">
        <v>2</v>
      </c>
      <c r="F1626">
        <v>2</v>
      </c>
      <c r="G1626">
        <v>2</v>
      </c>
      <c r="H1626" t="s">
        <v>4369</v>
      </c>
      <c r="I1626">
        <v>3.8</v>
      </c>
      <c r="J1626">
        <v>69.016000000000005</v>
      </c>
      <c r="K1626" t="str">
        <f>"ARHGAP25"</f>
        <v>ARHGAP25</v>
      </c>
      <c r="L1626" t="str">
        <f>"ARHGAP25"</f>
        <v>ARHGAP25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0.90008103209297396</v>
      </c>
      <c r="S1626">
        <v>0</v>
      </c>
      <c r="T1626">
        <v>0</v>
      </c>
      <c r="U1626">
        <v>1.10235831809872</v>
      </c>
      <c r="V1626">
        <v>1.05063596764157</v>
      </c>
      <c r="W1626">
        <v>0</v>
      </c>
      <c r="X1626">
        <v>0.984645710619934</v>
      </c>
    </row>
    <row r="1627" spans="1:24">
      <c r="A1627">
        <v>1064</v>
      </c>
      <c r="B1627" t="s">
        <v>4370</v>
      </c>
      <c r="C1627">
        <v>2</v>
      </c>
      <c r="D1627" t="s">
        <v>4371</v>
      </c>
      <c r="E1627">
        <v>9</v>
      </c>
      <c r="F1627">
        <v>9</v>
      </c>
      <c r="G1627">
        <v>9</v>
      </c>
      <c r="H1627" t="s">
        <v>4372</v>
      </c>
      <c r="I1627">
        <v>22</v>
      </c>
      <c r="J1627">
        <v>64.149000000000001</v>
      </c>
      <c r="K1627" t="str">
        <f>"ME1"</f>
        <v>ME1</v>
      </c>
      <c r="L1627" t="str">
        <f>"ME1"</f>
        <v>ME1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2.2662711409396001</v>
      </c>
      <c r="T1627">
        <v>0</v>
      </c>
      <c r="U1627">
        <v>0</v>
      </c>
      <c r="V1627">
        <v>0</v>
      </c>
      <c r="W1627">
        <v>0</v>
      </c>
      <c r="X1627">
        <v>0</v>
      </c>
    </row>
    <row r="1628" spans="1:24">
      <c r="A1628">
        <v>1078</v>
      </c>
      <c r="B1628" t="s">
        <v>4373</v>
      </c>
      <c r="C1628">
        <v>4</v>
      </c>
      <c r="D1628" t="s">
        <v>4374</v>
      </c>
      <c r="E1628">
        <v>5</v>
      </c>
      <c r="F1628">
        <v>4</v>
      </c>
      <c r="G1628">
        <v>4</v>
      </c>
      <c r="H1628" t="s">
        <v>4375</v>
      </c>
      <c r="I1628">
        <v>6.9</v>
      </c>
      <c r="J1628">
        <v>79.245999999999995</v>
      </c>
      <c r="K1628" t="str">
        <f>"MASP1"</f>
        <v>MASP1</v>
      </c>
      <c r="L1628" t="str">
        <f>"MASP1"</f>
        <v>MASP1</v>
      </c>
      <c r="M1628">
        <v>0</v>
      </c>
      <c r="N1628">
        <v>0</v>
      </c>
      <c r="O1628">
        <v>1.8238867883763601</v>
      </c>
      <c r="P1628">
        <v>2.1304378548895899</v>
      </c>
      <c r="Q1628">
        <v>0</v>
      </c>
      <c r="R1628">
        <v>0</v>
      </c>
      <c r="S1628">
        <v>0</v>
      </c>
      <c r="T1628">
        <v>1.18448996772836</v>
      </c>
      <c r="U1628">
        <v>0</v>
      </c>
      <c r="V1628">
        <v>0</v>
      </c>
      <c r="W1628">
        <v>2.5507961927783702</v>
      </c>
      <c r="X1628">
        <v>0</v>
      </c>
    </row>
    <row r="1629" spans="1:24">
      <c r="A1629">
        <v>1102</v>
      </c>
      <c r="B1629" t="s">
        <v>4376</v>
      </c>
      <c r="C1629">
        <v>2</v>
      </c>
      <c r="D1629" t="s">
        <v>4377</v>
      </c>
      <c r="E1629">
        <v>5</v>
      </c>
      <c r="F1629">
        <v>5</v>
      </c>
      <c r="G1629">
        <v>5</v>
      </c>
      <c r="H1629" t="s">
        <v>4378</v>
      </c>
      <c r="I1629">
        <v>12.7</v>
      </c>
      <c r="J1629">
        <v>49.866999999999997</v>
      </c>
      <c r="K1629" t="str">
        <f>"NDUFV1"</f>
        <v>NDUFV1</v>
      </c>
      <c r="L1629" t="str">
        <f>"NDUFV1"</f>
        <v>NDUFV1</v>
      </c>
      <c r="M1629">
        <v>0</v>
      </c>
      <c r="N1629">
        <v>0.89450172185430499</v>
      </c>
      <c r="O1629">
        <v>0.91194339418818204</v>
      </c>
      <c r="P1629">
        <v>1.0652189274447901</v>
      </c>
      <c r="Q1629">
        <v>0</v>
      </c>
      <c r="R1629">
        <v>0.90008103209297396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0.984645710619934</v>
      </c>
    </row>
    <row r="1630" spans="1:24">
      <c r="A1630">
        <v>1197</v>
      </c>
      <c r="B1630" t="s">
        <v>4379</v>
      </c>
      <c r="C1630">
        <v>3</v>
      </c>
      <c r="D1630" t="s">
        <v>4380</v>
      </c>
      <c r="E1630">
        <v>4</v>
      </c>
      <c r="F1630">
        <v>4</v>
      </c>
      <c r="G1630">
        <v>4</v>
      </c>
      <c r="H1630" t="s">
        <v>4381</v>
      </c>
      <c r="I1630">
        <v>21.8</v>
      </c>
      <c r="J1630">
        <v>34.011000000000003</v>
      </c>
      <c r="K1630" t="str">
        <f>"SEC13"</f>
        <v>SEC13</v>
      </c>
      <c r="L1630" t="str">
        <f>"SEC13"</f>
        <v>SEC13</v>
      </c>
      <c r="M1630">
        <v>0</v>
      </c>
      <c r="N1630">
        <v>0</v>
      </c>
      <c r="O1630">
        <v>0.91194339418818204</v>
      </c>
      <c r="P1630">
        <v>1.0652189274447901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0.984645710619934</v>
      </c>
    </row>
    <row r="1631" spans="1:24">
      <c r="A1631">
        <v>1297</v>
      </c>
      <c r="B1631" t="s">
        <v>4382</v>
      </c>
      <c r="C1631">
        <v>1</v>
      </c>
      <c r="D1631" t="s">
        <v>4383</v>
      </c>
      <c r="E1631">
        <v>3</v>
      </c>
      <c r="F1631">
        <v>3</v>
      </c>
      <c r="G1631">
        <v>3</v>
      </c>
      <c r="H1631" t="s">
        <v>4382</v>
      </c>
      <c r="I1631">
        <v>23.3</v>
      </c>
      <c r="J1631">
        <v>24.942</v>
      </c>
      <c r="K1631" t="str">
        <f>"CSNK2B"</f>
        <v>CSNK2B</v>
      </c>
      <c r="L1631" t="str">
        <f>"CSNK2B"</f>
        <v>CSNK2B</v>
      </c>
      <c r="M1631">
        <v>0</v>
      </c>
      <c r="N1631">
        <v>1.78900344370861</v>
      </c>
      <c r="O1631">
        <v>0.91194339418818204</v>
      </c>
      <c r="P1631">
        <v>1.0652189274447901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1.27539809638918</v>
      </c>
      <c r="X1631">
        <v>0.984645710619934</v>
      </c>
    </row>
    <row r="1632" spans="1:24">
      <c r="A1632">
        <v>1342</v>
      </c>
      <c r="B1632" t="s">
        <v>4384</v>
      </c>
      <c r="C1632">
        <v>2</v>
      </c>
      <c r="D1632" t="s">
        <v>4385</v>
      </c>
      <c r="E1632">
        <v>4</v>
      </c>
      <c r="F1632">
        <v>4</v>
      </c>
      <c r="G1632">
        <v>4</v>
      </c>
      <c r="H1632" t="s">
        <v>4386</v>
      </c>
      <c r="I1632">
        <v>7.6</v>
      </c>
      <c r="J1632">
        <v>88.978999999999999</v>
      </c>
      <c r="K1632" t="str">
        <f>"HNRNPU"</f>
        <v>HNRNPU</v>
      </c>
      <c r="L1632" t="str">
        <f>"HNRNPU"</f>
        <v>HNRNPU</v>
      </c>
      <c r="M1632">
        <v>0</v>
      </c>
      <c r="N1632">
        <v>0.89450172185430499</v>
      </c>
      <c r="O1632">
        <v>0</v>
      </c>
      <c r="P1632">
        <v>0</v>
      </c>
      <c r="Q1632">
        <v>1.25576199330606</v>
      </c>
      <c r="R1632">
        <v>2.7002430962789199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0.984645710619934</v>
      </c>
    </row>
    <row r="1633" spans="1:24">
      <c r="A1633">
        <v>1387</v>
      </c>
      <c r="B1633" t="s">
        <v>4387</v>
      </c>
      <c r="C1633">
        <v>14</v>
      </c>
      <c r="D1633" t="s">
        <v>4388</v>
      </c>
      <c r="E1633">
        <v>8</v>
      </c>
      <c r="F1633">
        <v>8</v>
      </c>
      <c r="G1633">
        <v>4</v>
      </c>
      <c r="H1633" t="s">
        <v>4389</v>
      </c>
      <c r="I1633">
        <v>18.3</v>
      </c>
      <c r="J1633">
        <v>62.825000000000003</v>
      </c>
      <c r="K1633" t="str">
        <f>"KLC1;KLC4"</f>
        <v>KLC1;KLC4</v>
      </c>
      <c r="L1633" t="str">
        <f>"KLC1;KLC4"</f>
        <v>KLC1;KLC4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</row>
    <row r="1634" spans="1:24">
      <c r="A1634">
        <v>1410</v>
      </c>
      <c r="B1634" t="s">
        <v>4390</v>
      </c>
      <c r="C1634">
        <v>2</v>
      </c>
      <c r="D1634" t="s">
        <v>4391</v>
      </c>
      <c r="E1634">
        <v>3</v>
      </c>
      <c r="F1634">
        <v>3</v>
      </c>
      <c r="G1634">
        <v>3</v>
      </c>
      <c r="H1634" t="s">
        <v>4392</v>
      </c>
      <c r="I1634">
        <v>5.2</v>
      </c>
      <c r="J1634">
        <v>90.808000000000007</v>
      </c>
      <c r="K1634" t="str">
        <f>"MAP4K2"</f>
        <v>MAP4K2</v>
      </c>
      <c r="L1634" t="str">
        <f>"MAP4K2"</f>
        <v>MAP4K2</v>
      </c>
      <c r="M1634">
        <v>0</v>
      </c>
      <c r="N1634">
        <v>0.89450172185430499</v>
      </c>
      <c r="O1634">
        <v>0.91194339418818204</v>
      </c>
      <c r="P1634">
        <v>1.0652189274447901</v>
      </c>
      <c r="Q1634">
        <v>0</v>
      </c>
      <c r="R1634">
        <v>0.90008103209297396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0.984645710619934</v>
      </c>
    </row>
    <row r="1635" spans="1:24">
      <c r="A1635">
        <v>1449</v>
      </c>
      <c r="B1635" t="s">
        <v>4393</v>
      </c>
      <c r="C1635">
        <v>2</v>
      </c>
      <c r="D1635" t="s">
        <v>4394</v>
      </c>
      <c r="E1635">
        <v>4</v>
      </c>
      <c r="F1635">
        <v>4</v>
      </c>
      <c r="G1635">
        <v>4</v>
      </c>
      <c r="H1635" t="s">
        <v>4395</v>
      </c>
      <c r="I1635">
        <v>12.2</v>
      </c>
      <c r="J1635">
        <v>66.052999999999997</v>
      </c>
      <c r="K1635" t="str">
        <f>"MTM1"</f>
        <v>MTM1</v>
      </c>
      <c r="L1635" t="str">
        <f>"MTM1"</f>
        <v>MTM1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0.90008103209297396</v>
      </c>
      <c r="S1635">
        <v>1.1331355704698001</v>
      </c>
      <c r="T1635">
        <v>0</v>
      </c>
      <c r="U1635">
        <v>1.10235831809872</v>
      </c>
      <c r="V1635">
        <v>1.05063596764157</v>
      </c>
      <c r="W1635">
        <v>0</v>
      </c>
      <c r="X1635">
        <v>0</v>
      </c>
    </row>
    <row r="1636" spans="1:24">
      <c r="A1636">
        <v>1485</v>
      </c>
      <c r="B1636" t="s">
        <v>4396</v>
      </c>
      <c r="C1636">
        <v>5</v>
      </c>
      <c r="D1636" t="s">
        <v>4397</v>
      </c>
      <c r="E1636">
        <v>2</v>
      </c>
      <c r="F1636">
        <v>2</v>
      </c>
      <c r="G1636">
        <v>2</v>
      </c>
      <c r="H1636" t="s">
        <v>4398</v>
      </c>
      <c r="I1636">
        <v>2.5</v>
      </c>
      <c r="J1636">
        <v>103.17</v>
      </c>
      <c r="K1636" t="str">
        <f>"UBAP2L"</f>
        <v>UBAP2L</v>
      </c>
      <c r="L1636" t="str">
        <f>"UBAP2L"</f>
        <v>UBAP2L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0.90008103209297396</v>
      </c>
      <c r="S1636">
        <v>0</v>
      </c>
      <c r="T1636">
        <v>0</v>
      </c>
      <c r="U1636">
        <v>1.10235831809872</v>
      </c>
      <c r="V1636">
        <v>0</v>
      </c>
      <c r="W1636">
        <v>0</v>
      </c>
      <c r="X1636">
        <v>0.984645710619934</v>
      </c>
    </row>
    <row r="1637" spans="1:24">
      <c r="A1637">
        <v>1493</v>
      </c>
      <c r="B1637" t="s">
        <v>4399</v>
      </c>
      <c r="C1637">
        <v>2</v>
      </c>
      <c r="D1637" t="s">
        <v>4400</v>
      </c>
      <c r="E1637">
        <v>16</v>
      </c>
      <c r="F1637">
        <v>4</v>
      </c>
      <c r="G1637">
        <v>4</v>
      </c>
      <c r="H1637" t="s">
        <v>4401</v>
      </c>
      <c r="I1637">
        <v>39.6</v>
      </c>
      <c r="J1637">
        <v>46.402000000000001</v>
      </c>
      <c r="K1637" t="str">
        <f>"EIF4A2"</f>
        <v>EIF4A2</v>
      </c>
      <c r="L1637" t="str">
        <f>"EIF4A2"</f>
        <v>EIF4A2</v>
      </c>
      <c r="M1637">
        <v>0</v>
      </c>
      <c r="N1637">
        <v>0</v>
      </c>
      <c r="O1637">
        <v>0</v>
      </c>
      <c r="P1637">
        <v>1.0652189274447901</v>
      </c>
      <c r="Q1637">
        <v>0</v>
      </c>
      <c r="R1637">
        <v>0</v>
      </c>
      <c r="S1637">
        <v>0</v>
      </c>
      <c r="T1637">
        <v>0</v>
      </c>
      <c r="U1637">
        <v>1.10235831809872</v>
      </c>
      <c r="V1637">
        <v>0</v>
      </c>
      <c r="W1637">
        <v>0</v>
      </c>
      <c r="X1637">
        <v>1.96929142123987</v>
      </c>
    </row>
    <row r="1638" spans="1:24">
      <c r="A1638">
        <v>1525</v>
      </c>
      <c r="B1638" t="s">
        <v>4402</v>
      </c>
      <c r="C1638">
        <v>1</v>
      </c>
      <c r="D1638" t="s">
        <v>4403</v>
      </c>
      <c r="E1638">
        <v>3</v>
      </c>
      <c r="F1638">
        <v>3</v>
      </c>
      <c r="G1638">
        <v>3</v>
      </c>
      <c r="H1638" t="s">
        <v>4402</v>
      </c>
      <c r="I1638">
        <v>11.9</v>
      </c>
      <c r="J1638">
        <v>25.003</v>
      </c>
      <c r="K1638" t="str">
        <f>"SPCS2"</f>
        <v>SPCS2</v>
      </c>
      <c r="L1638" t="str">
        <f>"SPCS2"</f>
        <v>SPCS2</v>
      </c>
      <c r="M1638">
        <v>0</v>
      </c>
      <c r="N1638">
        <v>0</v>
      </c>
      <c r="O1638">
        <v>0</v>
      </c>
      <c r="P1638">
        <v>1.0652189274447901</v>
      </c>
      <c r="Q1638">
        <v>0</v>
      </c>
      <c r="R1638">
        <v>0.90008103209297396</v>
      </c>
      <c r="S1638">
        <v>0</v>
      </c>
      <c r="T1638">
        <v>1.18448996772836</v>
      </c>
      <c r="U1638">
        <v>0</v>
      </c>
      <c r="V1638">
        <v>1.05063596764157</v>
      </c>
      <c r="W1638">
        <v>0</v>
      </c>
      <c r="X1638">
        <v>0</v>
      </c>
    </row>
    <row r="1639" spans="1:24">
      <c r="A1639">
        <v>1583</v>
      </c>
      <c r="B1639" t="s">
        <v>4404</v>
      </c>
      <c r="C1639">
        <v>2</v>
      </c>
      <c r="D1639" t="s">
        <v>4405</v>
      </c>
      <c r="E1639">
        <v>6</v>
      </c>
      <c r="F1639">
        <v>6</v>
      </c>
      <c r="G1639">
        <v>6</v>
      </c>
      <c r="H1639" t="s">
        <v>4406</v>
      </c>
      <c r="I1639">
        <v>13.7</v>
      </c>
      <c r="J1639">
        <v>51.311</v>
      </c>
      <c r="K1639" t="str">
        <f>"PSMD5"</f>
        <v>PSMD5</v>
      </c>
      <c r="L1639" t="str">
        <f>"PSMD5"</f>
        <v>PSMD5</v>
      </c>
      <c r="M1639">
        <v>1.2103892752168599</v>
      </c>
      <c r="N1639">
        <v>0</v>
      </c>
      <c r="O1639">
        <v>0</v>
      </c>
      <c r="P1639">
        <v>1.0652189274447901</v>
      </c>
      <c r="Q1639">
        <v>0</v>
      </c>
      <c r="R1639">
        <v>0</v>
      </c>
      <c r="S1639">
        <v>0</v>
      </c>
      <c r="T1639">
        <v>0</v>
      </c>
      <c r="U1639">
        <v>1.10235831809872</v>
      </c>
      <c r="V1639">
        <v>1.05063596764157</v>
      </c>
      <c r="W1639">
        <v>1.27539809638918</v>
      </c>
      <c r="X1639">
        <v>0.984645710619934</v>
      </c>
    </row>
    <row r="1640" spans="1:24">
      <c r="A1640">
        <v>1614</v>
      </c>
      <c r="B1640" t="s">
        <v>4407</v>
      </c>
      <c r="C1640">
        <v>3</v>
      </c>
      <c r="D1640" t="s">
        <v>4408</v>
      </c>
      <c r="E1640">
        <v>3</v>
      </c>
      <c r="F1640">
        <v>3</v>
      </c>
      <c r="G1640">
        <v>3</v>
      </c>
      <c r="H1640" t="s">
        <v>4409</v>
      </c>
      <c r="I1640">
        <v>2.9</v>
      </c>
      <c r="J1640">
        <v>95.195999999999998</v>
      </c>
      <c r="K1640" t="str">
        <f>"EML3"</f>
        <v>EML3</v>
      </c>
      <c r="L1640" t="str">
        <f>"EML3"</f>
        <v>EML3</v>
      </c>
      <c r="M1640">
        <v>0</v>
      </c>
      <c r="N1640">
        <v>2.6835051655629099</v>
      </c>
      <c r="O1640">
        <v>1.8238867883763601</v>
      </c>
      <c r="P1640">
        <v>0</v>
      </c>
      <c r="Q1640">
        <v>0</v>
      </c>
      <c r="R1640">
        <v>1.8001620641859499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1:24">
      <c r="A1641">
        <v>1636</v>
      </c>
      <c r="B1641" t="s">
        <v>4410</v>
      </c>
      <c r="C1641">
        <v>5</v>
      </c>
      <c r="D1641" t="s">
        <v>4411</v>
      </c>
      <c r="E1641">
        <v>7</v>
      </c>
      <c r="F1641">
        <v>7</v>
      </c>
      <c r="G1641">
        <v>7</v>
      </c>
      <c r="H1641" t="s">
        <v>4412</v>
      </c>
      <c r="I1641">
        <v>14.1</v>
      </c>
      <c r="J1641">
        <v>87.887</v>
      </c>
      <c r="K1641" t="str">
        <f>"SPECC1"</f>
        <v>SPECC1</v>
      </c>
      <c r="L1641" t="str">
        <f>"SPECC1"</f>
        <v>SPECC1</v>
      </c>
      <c r="M1641">
        <v>0</v>
      </c>
      <c r="N1641">
        <v>1.78900344370861</v>
      </c>
      <c r="O1641">
        <v>0.91194339418818204</v>
      </c>
      <c r="P1641">
        <v>0</v>
      </c>
      <c r="Q1641">
        <v>0</v>
      </c>
      <c r="R1641">
        <v>1.8001620641859499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0.984645710619934</v>
      </c>
    </row>
    <row r="1642" spans="1:24">
      <c r="A1642">
        <v>1695</v>
      </c>
      <c r="B1642" t="s">
        <v>4413</v>
      </c>
      <c r="C1642">
        <v>3</v>
      </c>
      <c r="D1642" t="s">
        <v>4414</v>
      </c>
      <c r="E1642">
        <v>4</v>
      </c>
      <c r="F1642">
        <v>4</v>
      </c>
      <c r="G1642">
        <v>4</v>
      </c>
      <c r="H1642" t="s">
        <v>4415</v>
      </c>
      <c r="I1642">
        <v>4.5</v>
      </c>
      <c r="J1642">
        <v>114.05</v>
      </c>
      <c r="K1642" t="str">
        <f>"MPRIP"</f>
        <v>MPRIP</v>
      </c>
      <c r="L1642" t="str">
        <f>"MPRIP"</f>
        <v>MPRIP</v>
      </c>
      <c r="M1642">
        <v>0</v>
      </c>
      <c r="N1642">
        <v>0.89450172185430499</v>
      </c>
      <c r="O1642">
        <v>0.91194339418818204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>
      <c r="A1643">
        <v>1745</v>
      </c>
      <c r="B1643" t="s">
        <v>4416</v>
      </c>
      <c r="C1643">
        <v>1</v>
      </c>
      <c r="D1643" t="s">
        <v>4417</v>
      </c>
      <c r="E1643">
        <v>2</v>
      </c>
      <c r="F1643">
        <v>2</v>
      </c>
      <c r="G1643">
        <v>2</v>
      </c>
      <c r="H1643" t="s">
        <v>4416</v>
      </c>
      <c r="I1643">
        <v>7.1</v>
      </c>
      <c r="J1643">
        <v>51.396000000000001</v>
      </c>
      <c r="K1643" t="str">
        <f>"FAM134C"</f>
        <v>FAM134C</v>
      </c>
      <c r="L1643" t="str">
        <f>"FAM134C"</f>
        <v>FAM134C</v>
      </c>
      <c r="M1643">
        <v>0</v>
      </c>
      <c r="N1643">
        <v>0.89450172185430499</v>
      </c>
      <c r="O1643">
        <v>0.91194339418818204</v>
      </c>
      <c r="P1643">
        <v>1.0652189274447901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1:24">
      <c r="A1644">
        <v>1771</v>
      </c>
      <c r="B1644" t="s">
        <v>4418</v>
      </c>
      <c r="C1644">
        <v>3</v>
      </c>
      <c r="D1644" t="s">
        <v>4419</v>
      </c>
      <c r="E1644">
        <v>2</v>
      </c>
      <c r="F1644">
        <v>2</v>
      </c>
      <c r="G1644">
        <v>2</v>
      </c>
      <c r="H1644" t="s">
        <v>4420</v>
      </c>
      <c r="I1644">
        <v>5.7</v>
      </c>
      <c r="J1644">
        <v>47.860999999999997</v>
      </c>
      <c r="K1644" t="str">
        <f>"SMAP1"</f>
        <v>SMAP1</v>
      </c>
      <c r="L1644" t="str">
        <f>"SMAP1"</f>
        <v>SMAP1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0.90008103209297396</v>
      </c>
      <c r="S1644">
        <v>1.1331355704698001</v>
      </c>
      <c r="T1644">
        <v>1.18448996772836</v>
      </c>
      <c r="U1644">
        <v>0</v>
      </c>
      <c r="V1644">
        <v>0</v>
      </c>
      <c r="W1644">
        <v>0</v>
      </c>
      <c r="X1644">
        <v>0</v>
      </c>
    </row>
    <row r="1645" spans="1:24">
      <c r="A1645">
        <v>2083</v>
      </c>
      <c r="B1645" t="s">
        <v>4421</v>
      </c>
      <c r="C1645">
        <v>2</v>
      </c>
      <c r="D1645" t="s">
        <v>4422</v>
      </c>
      <c r="E1645">
        <v>1</v>
      </c>
      <c r="F1645">
        <v>1</v>
      </c>
      <c r="G1645">
        <v>1</v>
      </c>
      <c r="H1645" t="s">
        <v>4423</v>
      </c>
      <c r="I1645">
        <v>9.6</v>
      </c>
      <c r="J1645">
        <v>22.931000000000001</v>
      </c>
      <c r="K1645" t="str">
        <f>"ATG5"</f>
        <v>ATG5</v>
      </c>
      <c r="L1645" t="str">
        <f>"ATG5"</f>
        <v>ATG5</v>
      </c>
      <c r="M1645">
        <v>0</v>
      </c>
      <c r="N1645">
        <v>0.89450172185430499</v>
      </c>
      <c r="O1645">
        <v>0.91194339418818204</v>
      </c>
      <c r="P1645">
        <v>0</v>
      </c>
      <c r="Q1645">
        <v>0</v>
      </c>
      <c r="R1645">
        <v>0.90008103209297396</v>
      </c>
      <c r="S1645">
        <v>0</v>
      </c>
      <c r="T1645">
        <v>0</v>
      </c>
      <c r="U1645">
        <v>0</v>
      </c>
      <c r="V1645">
        <v>1.05063596764157</v>
      </c>
      <c r="W1645">
        <v>0</v>
      </c>
      <c r="X1645">
        <v>0.984645710619934</v>
      </c>
    </row>
    <row r="1646" spans="1:24">
      <c r="A1646">
        <v>2138</v>
      </c>
      <c r="B1646" t="s">
        <v>4424</v>
      </c>
      <c r="C1646">
        <v>1</v>
      </c>
      <c r="D1646" t="s">
        <v>4425</v>
      </c>
      <c r="E1646">
        <v>1</v>
      </c>
      <c r="F1646">
        <v>1</v>
      </c>
      <c r="G1646">
        <v>1</v>
      </c>
      <c r="H1646" t="s">
        <v>4424</v>
      </c>
      <c r="I1646">
        <v>6.6</v>
      </c>
      <c r="J1646">
        <v>26.47</v>
      </c>
      <c r="K1646" t="str">
        <f>"EMC7"</f>
        <v>EMC7</v>
      </c>
      <c r="L1646" t="str">
        <f>"EMC7"</f>
        <v>EMC7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0.90008103209297396</v>
      </c>
      <c r="S1646">
        <v>1.1331355704698001</v>
      </c>
      <c r="T1646">
        <v>0</v>
      </c>
      <c r="U1646">
        <v>1.10235831809872</v>
      </c>
      <c r="V1646">
        <v>0</v>
      </c>
      <c r="W1646">
        <v>0</v>
      </c>
      <c r="X1646">
        <v>0.984645710619934</v>
      </c>
    </row>
    <row r="1647" spans="1:24">
      <c r="A1647">
        <v>2208</v>
      </c>
      <c r="B1647" t="s">
        <v>4426</v>
      </c>
      <c r="C1647">
        <v>2</v>
      </c>
      <c r="D1647" t="s">
        <v>4427</v>
      </c>
      <c r="E1647">
        <v>6</v>
      </c>
      <c r="F1647">
        <v>6</v>
      </c>
      <c r="G1647">
        <v>6</v>
      </c>
      <c r="H1647" t="s">
        <v>4428</v>
      </c>
      <c r="I1647">
        <v>4.7</v>
      </c>
      <c r="J1647">
        <v>171.11</v>
      </c>
      <c r="K1647" t="str">
        <f>"ARHGEF12"</f>
        <v>ARHGEF12</v>
      </c>
      <c r="L1647" t="str">
        <f>"ARHGEF12"</f>
        <v>ARHGEF12</v>
      </c>
      <c r="M1647">
        <v>0</v>
      </c>
      <c r="N1647">
        <v>0.89450172185430499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2.9539371318597998</v>
      </c>
    </row>
    <row r="1648" spans="1:24">
      <c r="A1648">
        <v>2264</v>
      </c>
      <c r="B1648" t="s">
        <v>4429</v>
      </c>
      <c r="C1648">
        <v>2</v>
      </c>
      <c r="D1648" t="s">
        <v>4430</v>
      </c>
      <c r="E1648">
        <v>4</v>
      </c>
      <c r="F1648">
        <v>4</v>
      </c>
      <c r="G1648">
        <v>4</v>
      </c>
      <c r="H1648" t="s">
        <v>4431</v>
      </c>
      <c r="I1648">
        <v>16</v>
      </c>
      <c r="J1648">
        <v>37.375</v>
      </c>
      <c r="K1648" t="str">
        <f>"NAGK"</f>
        <v>NAGK</v>
      </c>
      <c r="L1648" t="str">
        <f>"NAGK"</f>
        <v>NAGK</v>
      </c>
      <c r="M1648">
        <v>0</v>
      </c>
      <c r="N1648">
        <v>0.89450172185430499</v>
      </c>
      <c r="O1648">
        <v>0.91194339418818204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1.10235831809872</v>
      </c>
      <c r="V1648">
        <v>1.05063596764157</v>
      </c>
      <c r="W1648">
        <v>0</v>
      </c>
      <c r="X1648">
        <v>0</v>
      </c>
    </row>
    <row r="1649" spans="1:24">
      <c r="A1649">
        <v>2268</v>
      </c>
      <c r="B1649" t="s">
        <v>4432</v>
      </c>
      <c r="C1649">
        <v>4</v>
      </c>
      <c r="D1649" t="s">
        <v>4433</v>
      </c>
      <c r="E1649">
        <v>21</v>
      </c>
      <c r="F1649">
        <v>1</v>
      </c>
      <c r="G1649">
        <v>1</v>
      </c>
      <c r="H1649" t="s">
        <v>4434</v>
      </c>
      <c r="I1649">
        <v>52.2</v>
      </c>
      <c r="J1649">
        <v>48.293999999999997</v>
      </c>
      <c r="K1649" t="str">
        <f>"DBNL"</f>
        <v>DBNL</v>
      </c>
      <c r="L1649" t="str">
        <f>"DBNL"</f>
        <v>DBNL</v>
      </c>
      <c r="M1649">
        <v>0</v>
      </c>
      <c r="N1649">
        <v>0.89450172185430499</v>
      </c>
      <c r="O1649">
        <v>0.91194339418818204</v>
      </c>
      <c r="P1649">
        <v>1.0652189274447901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>
      <c r="A1650">
        <v>2350</v>
      </c>
      <c r="B1650" t="s">
        <v>4435</v>
      </c>
      <c r="C1650">
        <v>4</v>
      </c>
      <c r="D1650" t="s">
        <v>4436</v>
      </c>
      <c r="E1650">
        <v>7</v>
      </c>
      <c r="F1650">
        <v>7</v>
      </c>
      <c r="G1650">
        <v>7</v>
      </c>
      <c r="H1650" t="s">
        <v>4437</v>
      </c>
      <c r="I1650">
        <v>15.4</v>
      </c>
      <c r="J1650">
        <v>68.120999999999995</v>
      </c>
      <c r="K1650" t="str">
        <f>"SAMHD1"</f>
        <v>SAMHD1</v>
      </c>
      <c r="L1650" t="str">
        <f>"SAMHD1"</f>
        <v>SAMHD1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4.5004051604648696</v>
      </c>
      <c r="S1650">
        <v>0</v>
      </c>
      <c r="T1650">
        <v>0</v>
      </c>
      <c r="U1650">
        <v>2.20471663619744</v>
      </c>
      <c r="V1650">
        <v>0</v>
      </c>
      <c r="W1650">
        <v>0</v>
      </c>
      <c r="X1650">
        <v>0</v>
      </c>
    </row>
    <row r="1651" spans="1:24">
      <c r="A1651">
        <v>2366</v>
      </c>
      <c r="B1651" t="s">
        <v>4438</v>
      </c>
      <c r="C1651">
        <v>1</v>
      </c>
      <c r="D1651" t="s">
        <v>4439</v>
      </c>
      <c r="E1651">
        <v>6</v>
      </c>
      <c r="F1651">
        <v>6</v>
      </c>
      <c r="G1651">
        <v>6</v>
      </c>
      <c r="H1651" t="s">
        <v>4438</v>
      </c>
      <c r="I1651">
        <v>28</v>
      </c>
      <c r="J1651">
        <v>29.702000000000002</v>
      </c>
      <c r="K1651" t="str">
        <f>"SRPRB"</f>
        <v>SRPRB</v>
      </c>
      <c r="L1651" t="str">
        <f>"SRPRB"</f>
        <v>SRPRB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3.6003241283718901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>
      <c r="A1652">
        <v>56</v>
      </c>
      <c r="B1652" t="s">
        <v>4440</v>
      </c>
      <c r="C1652">
        <v>2</v>
      </c>
      <c r="D1652" t="s">
        <v>4441</v>
      </c>
      <c r="E1652">
        <v>4</v>
      </c>
      <c r="F1652">
        <v>4</v>
      </c>
      <c r="G1652">
        <v>4</v>
      </c>
      <c r="H1652" t="s">
        <v>4442</v>
      </c>
      <c r="I1652">
        <v>6.9</v>
      </c>
      <c r="J1652">
        <v>75.701999999999998</v>
      </c>
      <c r="K1652" t="str">
        <f>"MASP2"</f>
        <v>MASP2</v>
      </c>
      <c r="L1652" t="str">
        <f>"MASP2"</f>
        <v>MASP2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1.1331355704698001</v>
      </c>
      <c r="T1652">
        <v>0</v>
      </c>
      <c r="U1652">
        <v>0</v>
      </c>
      <c r="V1652">
        <v>0</v>
      </c>
      <c r="W1652">
        <v>1.27539809638918</v>
      </c>
      <c r="X1652">
        <v>1.96929142123987</v>
      </c>
    </row>
    <row r="1653" spans="1:24">
      <c r="A1653">
        <v>70</v>
      </c>
      <c r="B1653" t="s">
        <v>4443</v>
      </c>
      <c r="C1653">
        <v>2</v>
      </c>
      <c r="D1653" t="s">
        <v>4444</v>
      </c>
      <c r="E1653">
        <v>2</v>
      </c>
      <c r="F1653">
        <v>2</v>
      </c>
      <c r="G1653">
        <v>2</v>
      </c>
      <c r="H1653" t="s">
        <v>4445</v>
      </c>
      <c r="I1653">
        <v>6.6</v>
      </c>
      <c r="J1653">
        <v>39.335999999999999</v>
      </c>
      <c r="K1653" t="str">
        <f>"RTCA"</f>
        <v>RTCA</v>
      </c>
      <c r="L1653" t="str">
        <f>"RTCA"</f>
        <v>RTCA</v>
      </c>
      <c r="M1653">
        <v>1.2103892752168599</v>
      </c>
      <c r="N1653">
        <v>0</v>
      </c>
      <c r="O1653">
        <v>0</v>
      </c>
      <c r="P1653">
        <v>0</v>
      </c>
      <c r="Q1653">
        <v>0</v>
      </c>
      <c r="R1653">
        <v>0.90008103209297396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>
      <c r="A1654">
        <v>89</v>
      </c>
      <c r="B1654" t="s">
        <v>4446</v>
      </c>
      <c r="C1654">
        <v>1</v>
      </c>
      <c r="D1654" t="s">
        <v>4447</v>
      </c>
      <c r="E1654">
        <v>3</v>
      </c>
      <c r="F1654">
        <v>3</v>
      </c>
      <c r="G1654">
        <v>3</v>
      </c>
      <c r="H1654" t="s">
        <v>4446</v>
      </c>
      <c r="I1654">
        <v>17.600000000000001</v>
      </c>
      <c r="J1654">
        <v>35.914000000000001</v>
      </c>
      <c r="K1654" t="str">
        <f>"ACOT8"</f>
        <v>ACOT8</v>
      </c>
      <c r="L1654" t="str">
        <f>"ACOT8"</f>
        <v>ACOT8</v>
      </c>
      <c r="M1654">
        <v>0</v>
      </c>
      <c r="N1654">
        <v>0.89450172185430499</v>
      </c>
      <c r="O1654">
        <v>0</v>
      </c>
      <c r="P1654">
        <v>0</v>
      </c>
      <c r="Q1654">
        <v>0</v>
      </c>
      <c r="R1654">
        <v>0.90008103209297396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0.984645710619934</v>
      </c>
    </row>
    <row r="1655" spans="1:24">
      <c r="A1655">
        <v>95</v>
      </c>
      <c r="B1655" t="s">
        <v>4448</v>
      </c>
      <c r="C1655">
        <v>2</v>
      </c>
      <c r="D1655" t="s">
        <v>4449</v>
      </c>
      <c r="E1655">
        <v>5</v>
      </c>
      <c r="F1655">
        <v>3</v>
      </c>
      <c r="G1655">
        <v>3</v>
      </c>
      <c r="H1655" t="s">
        <v>4450</v>
      </c>
      <c r="I1655">
        <v>8.9</v>
      </c>
      <c r="J1655">
        <v>100.41</v>
      </c>
      <c r="K1655" t="str">
        <f>"TNPO2"</f>
        <v>TNPO2</v>
      </c>
      <c r="L1655" t="str">
        <f>"TNPO2"</f>
        <v>TNPO2</v>
      </c>
      <c r="M1655">
        <v>0</v>
      </c>
      <c r="N1655">
        <v>1.78900344370861</v>
      </c>
      <c r="O1655">
        <v>0</v>
      </c>
      <c r="P1655">
        <v>0</v>
      </c>
      <c r="Q1655">
        <v>0</v>
      </c>
      <c r="R1655">
        <v>0.90008103209297396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>
      <c r="A1656">
        <v>133</v>
      </c>
      <c r="B1656" t="s">
        <v>4451</v>
      </c>
      <c r="C1656">
        <v>4</v>
      </c>
      <c r="D1656" t="s">
        <v>4452</v>
      </c>
      <c r="E1656">
        <v>7</v>
      </c>
      <c r="F1656">
        <v>7</v>
      </c>
      <c r="G1656">
        <v>7</v>
      </c>
      <c r="H1656" t="s">
        <v>4453</v>
      </c>
      <c r="I1656">
        <v>7.2</v>
      </c>
      <c r="J1656">
        <v>144.19999999999999</v>
      </c>
      <c r="K1656" t="str">
        <f>"ABCC4"</f>
        <v>ABCC4</v>
      </c>
      <c r="L1656" t="str">
        <f>"ABCC4"</f>
        <v>ABCC4</v>
      </c>
      <c r="M1656">
        <v>0</v>
      </c>
      <c r="N1656">
        <v>0</v>
      </c>
      <c r="O1656">
        <v>0</v>
      </c>
      <c r="P1656">
        <v>1.0652189274447901</v>
      </c>
      <c r="Q1656">
        <v>2.51152398661212</v>
      </c>
      <c r="R1656">
        <v>0</v>
      </c>
      <c r="S1656">
        <v>0</v>
      </c>
      <c r="T1656">
        <v>0</v>
      </c>
      <c r="U1656">
        <v>0</v>
      </c>
      <c r="V1656">
        <v>1.05063596764157</v>
      </c>
      <c r="W1656">
        <v>0</v>
      </c>
      <c r="X1656">
        <v>0</v>
      </c>
    </row>
    <row r="1657" spans="1:24">
      <c r="A1657">
        <v>198</v>
      </c>
      <c r="B1657" t="s">
        <v>4454</v>
      </c>
      <c r="C1657">
        <v>1</v>
      </c>
      <c r="D1657" t="s">
        <v>4455</v>
      </c>
      <c r="E1657">
        <v>5</v>
      </c>
      <c r="F1657">
        <v>5</v>
      </c>
      <c r="G1657">
        <v>5</v>
      </c>
      <c r="H1657" t="s">
        <v>4454</v>
      </c>
      <c r="I1657">
        <v>13.1</v>
      </c>
      <c r="J1657">
        <v>45.744999999999997</v>
      </c>
      <c r="K1657" t="str">
        <f>"DNAJA2"</f>
        <v>DNAJA2</v>
      </c>
      <c r="L1657" t="str">
        <f>"DNAJA2"</f>
        <v>DNAJA2</v>
      </c>
      <c r="M1657">
        <v>0</v>
      </c>
      <c r="N1657">
        <v>0.89450172185430499</v>
      </c>
      <c r="O1657">
        <v>0</v>
      </c>
      <c r="P1657">
        <v>0</v>
      </c>
      <c r="Q1657">
        <v>0</v>
      </c>
      <c r="R1657">
        <v>0.90008103209297396</v>
      </c>
      <c r="S1657">
        <v>0</v>
      </c>
      <c r="T1657">
        <v>0</v>
      </c>
      <c r="U1657">
        <v>0</v>
      </c>
      <c r="V1657">
        <v>1.05063596764157</v>
      </c>
      <c r="W1657">
        <v>0</v>
      </c>
      <c r="X1657">
        <v>0</v>
      </c>
    </row>
    <row r="1658" spans="1:24">
      <c r="A1658">
        <v>280</v>
      </c>
      <c r="B1658" t="s">
        <v>4456</v>
      </c>
      <c r="C1658">
        <v>1</v>
      </c>
      <c r="D1658" t="s">
        <v>4457</v>
      </c>
      <c r="E1658">
        <v>1</v>
      </c>
      <c r="F1658">
        <v>1</v>
      </c>
      <c r="G1658">
        <v>1</v>
      </c>
      <c r="H1658" t="s">
        <v>4456</v>
      </c>
      <c r="I1658">
        <v>5.0999999999999996</v>
      </c>
      <c r="J1658">
        <v>17.399999999999999</v>
      </c>
      <c r="K1658" t="str">
        <f>"TMEM50A"</f>
        <v>TMEM50A</v>
      </c>
      <c r="L1658" t="str">
        <f>"TMEM50A"</f>
        <v>TMEM50A</v>
      </c>
      <c r="M1658">
        <v>0</v>
      </c>
      <c r="N1658">
        <v>0</v>
      </c>
      <c r="O1658">
        <v>0</v>
      </c>
      <c r="P1658">
        <v>1.0652189274447901</v>
      </c>
      <c r="Q1658">
        <v>0</v>
      </c>
      <c r="R1658">
        <v>0.90008103209297396</v>
      </c>
      <c r="S1658">
        <v>1.1331355704698001</v>
      </c>
      <c r="T1658">
        <v>0</v>
      </c>
      <c r="U1658">
        <v>0</v>
      </c>
      <c r="V1658">
        <v>0</v>
      </c>
      <c r="W1658">
        <v>0</v>
      </c>
      <c r="X1658">
        <v>0.984645710619934</v>
      </c>
    </row>
    <row r="1659" spans="1:24">
      <c r="A1659">
        <v>580</v>
      </c>
      <c r="B1659" t="s">
        <v>4458</v>
      </c>
      <c r="C1659">
        <v>3</v>
      </c>
      <c r="D1659" t="s">
        <v>4459</v>
      </c>
      <c r="E1659">
        <v>7</v>
      </c>
      <c r="F1659">
        <v>3</v>
      </c>
      <c r="G1659">
        <v>2</v>
      </c>
      <c r="H1659" t="s">
        <v>4460</v>
      </c>
      <c r="I1659">
        <v>33</v>
      </c>
      <c r="J1659">
        <v>25.712</v>
      </c>
      <c r="K1659" t="str">
        <f>"GSTM1;GSTM4"</f>
        <v>GSTM1;GSTM4</v>
      </c>
      <c r="L1659" t="str">
        <f>"GSTM1;GSTM4"</f>
        <v>GSTM1;GSTM4</v>
      </c>
      <c r="M1659">
        <v>0</v>
      </c>
      <c r="N1659">
        <v>0.89450172185430499</v>
      </c>
      <c r="O1659">
        <v>0.91194339418818204</v>
      </c>
      <c r="P1659">
        <v>0</v>
      </c>
      <c r="Q1659">
        <v>1.25576199330606</v>
      </c>
      <c r="R1659">
        <v>1.8001620641859499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0.984645710619934</v>
      </c>
    </row>
    <row r="1660" spans="1:24">
      <c r="A1660">
        <v>633</v>
      </c>
      <c r="B1660" t="s">
        <v>4461</v>
      </c>
      <c r="C1660">
        <v>1</v>
      </c>
      <c r="D1660" t="s">
        <v>4462</v>
      </c>
      <c r="E1660">
        <v>2</v>
      </c>
      <c r="F1660">
        <v>2</v>
      </c>
      <c r="G1660">
        <v>2</v>
      </c>
      <c r="H1660" t="s">
        <v>4461</v>
      </c>
      <c r="I1660">
        <v>8.5</v>
      </c>
      <c r="J1660">
        <v>26.143000000000001</v>
      </c>
      <c r="K1660" t="str">
        <f>"MBL2"</f>
        <v>MBL2</v>
      </c>
      <c r="L1660" t="str">
        <f>"MBL2"</f>
        <v>MBL2</v>
      </c>
      <c r="M1660">
        <v>0</v>
      </c>
      <c r="N1660">
        <v>0.89450172185430499</v>
      </c>
      <c r="O1660">
        <v>0</v>
      </c>
      <c r="P1660">
        <v>1.0652189274447901</v>
      </c>
      <c r="Q1660">
        <v>0</v>
      </c>
      <c r="R1660">
        <v>1.8001620641859499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0.984645710619934</v>
      </c>
    </row>
    <row r="1661" spans="1:24">
      <c r="A1661">
        <v>637</v>
      </c>
      <c r="B1661" t="s">
        <v>4463</v>
      </c>
      <c r="C1661">
        <v>2</v>
      </c>
      <c r="D1661" t="s">
        <v>4464</v>
      </c>
      <c r="E1661">
        <v>4</v>
      </c>
      <c r="F1661">
        <v>4</v>
      </c>
      <c r="G1661">
        <v>4</v>
      </c>
      <c r="H1661" t="s">
        <v>4465</v>
      </c>
      <c r="I1661">
        <v>8.4</v>
      </c>
      <c r="J1661">
        <v>44.881999999999998</v>
      </c>
      <c r="K1661" t="str">
        <f>"LAMP1"</f>
        <v>LAMP1</v>
      </c>
      <c r="L1661" t="str">
        <f>"LAMP1"</f>
        <v>LAMP1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2.3689799354567098</v>
      </c>
      <c r="U1661">
        <v>0</v>
      </c>
      <c r="V1661">
        <v>1.05063596764157</v>
      </c>
      <c r="W1661">
        <v>0</v>
      </c>
      <c r="X1661">
        <v>0.984645710619934</v>
      </c>
    </row>
    <row r="1662" spans="1:24">
      <c r="A1662">
        <v>693</v>
      </c>
      <c r="B1662" t="s">
        <v>4466</v>
      </c>
      <c r="C1662">
        <v>1</v>
      </c>
      <c r="D1662" t="s">
        <v>4467</v>
      </c>
      <c r="E1662">
        <v>2</v>
      </c>
      <c r="F1662">
        <v>2</v>
      </c>
      <c r="G1662">
        <v>2</v>
      </c>
      <c r="H1662" t="s">
        <v>4466</v>
      </c>
      <c r="I1662">
        <v>44.2</v>
      </c>
      <c r="J1662">
        <v>10.192</v>
      </c>
      <c r="K1662" t="str">
        <f>"COX6B1"</f>
        <v>COX6B1</v>
      </c>
      <c r="L1662" t="str">
        <f>"COX6B1"</f>
        <v>COX6B1</v>
      </c>
      <c r="M1662">
        <v>0</v>
      </c>
      <c r="N1662">
        <v>0</v>
      </c>
      <c r="O1662">
        <v>0.91194339418818204</v>
      </c>
      <c r="P1662">
        <v>0</v>
      </c>
      <c r="Q1662">
        <v>1.25576199330606</v>
      </c>
      <c r="R1662">
        <v>1.8001620641859499</v>
      </c>
      <c r="S1662">
        <v>1.1331355704698001</v>
      </c>
      <c r="T1662">
        <v>0</v>
      </c>
      <c r="U1662">
        <v>0</v>
      </c>
      <c r="V1662">
        <v>1.05063596764157</v>
      </c>
      <c r="W1662">
        <v>0</v>
      </c>
      <c r="X1662">
        <v>0</v>
      </c>
    </row>
    <row r="1663" spans="1:24">
      <c r="A1663">
        <v>789</v>
      </c>
      <c r="B1663" t="s">
        <v>4468</v>
      </c>
      <c r="C1663">
        <v>1</v>
      </c>
      <c r="D1663" t="s">
        <v>4469</v>
      </c>
      <c r="E1663">
        <v>3</v>
      </c>
      <c r="F1663">
        <v>3</v>
      </c>
      <c r="G1663">
        <v>3</v>
      </c>
      <c r="H1663" t="s">
        <v>4468</v>
      </c>
      <c r="I1663">
        <v>5</v>
      </c>
      <c r="J1663">
        <v>99.632000000000005</v>
      </c>
      <c r="K1663" t="str">
        <f>"CBL"</f>
        <v>CBL</v>
      </c>
      <c r="L1663" t="str">
        <f>"CBL"</f>
        <v>CBL</v>
      </c>
      <c r="M1663">
        <v>0</v>
      </c>
      <c r="N1663">
        <v>0.89450172185430499</v>
      </c>
      <c r="O1663">
        <v>0.91194339418818204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1:24">
      <c r="A1664">
        <v>854</v>
      </c>
      <c r="B1664" t="s">
        <v>4470</v>
      </c>
      <c r="C1664">
        <v>6</v>
      </c>
      <c r="D1664" t="s">
        <v>4471</v>
      </c>
      <c r="E1664">
        <v>4</v>
      </c>
      <c r="F1664">
        <v>4</v>
      </c>
      <c r="G1664">
        <v>4</v>
      </c>
      <c r="H1664" t="s">
        <v>4472</v>
      </c>
      <c r="I1664">
        <v>5.5</v>
      </c>
      <c r="J1664">
        <v>83.596999999999994</v>
      </c>
      <c r="K1664" t="str">
        <f>"PIK3R1;PIK3R3"</f>
        <v>PIK3R1;PIK3R3</v>
      </c>
      <c r="L1664" t="str">
        <f>"PIK3R1;PIK3R3"</f>
        <v>PIK3R1;PIK3R3</v>
      </c>
      <c r="M1664">
        <v>0</v>
      </c>
      <c r="N1664">
        <v>0.89450172185430499</v>
      </c>
      <c r="O1664">
        <v>0.91194339418818204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2.9539371318597998</v>
      </c>
    </row>
    <row r="1665" spans="1:24">
      <c r="A1665">
        <v>968</v>
      </c>
      <c r="B1665" t="s">
        <v>4473</v>
      </c>
      <c r="C1665">
        <v>1</v>
      </c>
      <c r="D1665" t="s">
        <v>4474</v>
      </c>
      <c r="E1665">
        <v>4</v>
      </c>
      <c r="F1665">
        <v>4</v>
      </c>
      <c r="G1665">
        <v>4</v>
      </c>
      <c r="H1665" t="s">
        <v>4473</v>
      </c>
      <c r="I1665">
        <v>18.5</v>
      </c>
      <c r="J1665">
        <v>24.145</v>
      </c>
      <c r="K1665" t="str">
        <f>"TIMP3"</f>
        <v>TIMP3</v>
      </c>
      <c r="L1665" t="str">
        <f>"TIMP3"</f>
        <v>TIMP3</v>
      </c>
      <c r="M1665">
        <v>0</v>
      </c>
      <c r="N1665">
        <v>0.89450172185430499</v>
      </c>
      <c r="O1665">
        <v>0.91194339418818204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</row>
    <row r="1666" spans="1:24">
      <c r="A1666">
        <v>1076</v>
      </c>
      <c r="B1666" t="s">
        <v>4475</v>
      </c>
      <c r="C1666">
        <v>1</v>
      </c>
      <c r="D1666" t="s">
        <v>4476</v>
      </c>
      <c r="E1666">
        <v>3</v>
      </c>
      <c r="F1666">
        <v>3</v>
      </c>
      <c r="G1666">
        <v>3</v>
      </c>
      <c r="H1666" t="s">
        <v>4475</v>
      </c>
      <c r="I1666">
        <v>3.8</v>
      </c>
      <c r="J1666">
        <v>126.45</v>
      </c>
      <c r="K1666" t="str">
        <f>"PIK3CG"</f>
        <v>PIK3CG</v>
      </c>
      <c r="L1666" t="str">
        <f>"PIK3CG"</f>
        <v>PIK3CG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0.90008103209297396</v>
      </c>
      <c r="S1666">
        <v>1.1331355704698001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>
      <c r="A1667">
        <v>1213</v>
      </c>
      <c r="B1667" t="s">
        <v>4477</v>
      </c>
      <c r="C1667">
        <v>2</v>
      </c>
      <c r="D1667" t="s">
        <v>4478</v>
      </c>
      <c r="E1667">
        <v>4</v>
      </c>
      <c r="F1667">
        <v>4</v>
      </c>
      <c r="G1667">
        <v>4</v>
      </c>
      <c r="H1667" t="s">
        <v>4479</v>
      </c>
      <c r="I1667">
        <v>20.2</v>
      </c>
      <c r="J1667">
        <v>10.244999999999999</v>
      </c>
      <c r="K1667" t="str">
        <f>"DEFA3;DEFA1"</f>
        <v>DEFA3;DEFA1</v>
      </c>
      <c r="L1667" t="str">
        <f>"DEFA3;DEFA1"</f>
        <v>DEFA3;DEFA1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>
      <c r="A1668">
        <v>1244</v>
      </c>
      <c r="B1668" t="s">
        <v>4480</v>
      </c>
      <c r="C1668">
        <v>1</v>
      </c>
      <c r="D1668" t="s">
        <v>4481</v>
      </c>
      <c r="E1668">
        <v>4</v>
      </c>
      <c r="F1668">
        <v>4</v>
      </c>
      <c r="G1668">
        <v>4</v>
      </c>
      <c r="H1668" t="s">
        <v>4480</v>
      </c>
      <c r="I1668">
        <v>11.1</v>
      </c>
      <c r="J1668">
        <v>40.329000000000001</v>
      </c>
      <c r="K1668" t="str">
        <f>"ATP6V0D1"</f>
        <v>ATP6V0D1</v>
      </c>
      <c r="L1668" t="str">
        <f>"ATP6V0D1"</f>
        <v>ATP6V0D1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0.90008103209297396</v>
      </c>
      <c r="S1668">
        <v>0</v>
      </c>
      <c r="T1668">
        <v>0</v>
      </c>
      <c r="U1668">
        <v>0</v>
      </c>
      <c r="V1668">
        <v>1.05063596764157</v>
      </c>
      <c r="W1668">
        <v>1.27539809638918</v>
      </c>
      <c r="X1668">
        <v>1.96929142123987</v>
      </c>
    </row>
    <row r="1669" spans="1:24">
      <c r="A1669">
        <v>1264</v>
      </c>
      <c r="B1669" t="s">
        <v>4482</v>
      </c>
      <c r="C1669">
        <v>1</v>
      </c>
      <c r="D1669" t="s">
        <v>4483</v>
      </c>
      <c r="E1669">
        <v>4</v>
      </c>
      <c r="F1669">
        <v>4</v>
      </c>
      <c r="G1669">
        <v>4</v>
      </c>
      <c r="H1669" t="s">
        <v>4482</v>
      </c>
      <c r="I1669">
        <v>23.8</v>
      </c>
      <c r="J1669">
        <v>17.222000000000001</v>
      </c>
      <c r="K1669" t="str">
        <f>"RPS13"</f>
        <v>RPS13</v>
      </c>
      <c r="L1669" t="str">
        <f>"RPS13"</f>
        <v>RPS13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2.7002430962789199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</row>
    <row r="1670" spans="1:24">
      <c r="A1670">
        <v>1313</v>
      </c>
      <c r="B1670" t="s">
        <v>4484</v>
      </c>
      <c r="C1670">
        <v>2</v>
      </c>
      <c r="D1670" t="s">
        <v>4485</v>
      </c>
      <c r="E1670">
        <v>5</v>
      </c>
      <c r="F1670">
        <v>1</v>
      </c>
      <c r="G1670">
        <v>1</v>
      </c>
      <c r="H1670" t="s">
        <v>4486</v>
      </c>
      <c r="I1670">
        <v>13.5</v>
      </c>
      <c r="J1670">
        <v>47.377000000000002</v>
      </c>
      <c r="K1670" t="str">
        <f>"PIP4K2B"</f>
        <v>PIP4K2B</v>
      </c>
      <c r="L1670" t="str">
        <f>"PIP4K2B"</f>
        <v>PIP4K2B</v>
      </c>
      <c r="M1670">
        <v>0</v>
      </c>
      <c r="N1670">
        <v>0</v>
      </c>
      <c r="O1670">
        <v>0</v>
      </c>
      <c r="P1670">
        <v>1.0652189274447901</v>
      </c>
      <c r="Q1670">
        <v>0</v>
      </c>
      <c r="R1670">
        <v>0</v>
      </c>
      <c r="S1670">
        <v>1.1331355704698001</v>
      </c>
      <c r="T1670">
        <v>0</v>
      </c>
      <c r="U1670">
        <v>0</v>
      </c>
      <c r="V1670">
        <v>1.05063596764157</v>
      </c>
      <c r="W1670">
        <v>0</v>
      </c>
      <c r="X1670">
        <v>0.984645710619934</v>
      </c>
    </row>
    <row r="1671" spans="1:24">
      <c r="A1671">
        <v>1345</v>
      </c>
      <c r="B1671" t="s">
        <v>4487</v>
      </c>
      <c r="C1671">
        <v>2</v>
      </c>
      <c r="D1671" t="s">
        <v>4488</v>
      </c>
      <c r="E1671">
        <v>4</v>
      </c>
      <c r="F1671">
        <v>4</v>
      </c>
      <c r="G1671">
        <v>4</v>
      </c>
      <c r="H1671" t="s">
        <v>4489</v>
      </c>
      <c r="I1671">
        <v>34.1</v>
      </c>
      <c r="J1671">
        <v>15.164</v>
      </c>
      <c r="K1671" t="str">
        <f>"FABP5;FABP5P3"</f>
        <v>FABP5;FABP5P3</v>
      </c>
      <c r="L1671" t="str">
        <f>"FABP5;FABP5P3"</f>
        <v>FABP5;FABP5P3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0.90008103209297396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</row>
    <row r="1672" spans="1:24">
      <c r="A1672">
        <v>1385</v>
      </c>
      <c r="B1672" t="s">
        <v>4490</v>
      </c>
      <c r="C1672">
        <v>7</v>
      </c>
      <c r="D1672" t="s">
        <v>4491</v>
      </c>
      <c r="E1672">
        <v>3</v>
      </c>
      <c r="F1672">
        <v>3</v>
      </c>
      <c r="G1672">
        <v>3</v>
      </c>
      <c r="H1672" t="s">
        <v>4492</v>
      </c>
      <c r="I1672">
        <v>22</v>
      </c>
      <c r="J1672">
        <v>18.129000000000001</v>
      </c>
      <c r="K1672" t="str">
        <f>"BAX"</f>
        <v>BAX</v>
      </c>
      <c r="L1672" t="str">
        <f>"BAX"</f>
        <v>BAX</v>
      </c>
      <c r="M1672">
        <v>0</v>
      </c>
      <c r="N1672">
        <v>0</v>
      </c>
      <c r="O1672">
        <v>0.91194339418818204</v>
      </c>
      <c r="P1672">
        <v>1.0652189274447901</v>
      </c>
      <c r="Q1672">
        <v>1.25576199330606</v>
      </c>
      <c r="R1672">
        <v>0</v>
      </c>
      <c r="S1672">
        <v>0</v>
      </c>
      <c r="T1672">
        <v>0</v>
      </c>
      <c r="U1672">
        <v>0</v>
      </c>
      <c r="V1672">
        <v>1.05063596764157</v>
      </c>
      <c r="W1672">
        <v>0</v>
      </c>
      <c r="X1672">
        <v>0</v>
      </c>
    </row>
    <row r="1673" spans="1:24">
      <c r="A1673">
        <v>1426</v>
      </c>
      <c r="B1673" t="s">
        <v>4493</v>
      </c>
      <c r="C1673">
        <v>4</v>
      </c>
      <c r="D1673" t="s">
        <v>4494</v>
      </c>
      <c r="E1673">
        <v>4</v>
      </c>
      <c r="F1673">
        <v>3</v>
      </c>
      <c r="G1673">
        <v>3</v>
      </c>
      <c r="H1673" t="s">
        <v>4495</v>
      </c>
      <c r="I1673">
        <v>3.9</v>
      </c>
      <c r="J1673">
        <v>103.96</v>
      </c>
      <c r="K1673" t="str">
        <f>"USP4;USP11"</f>
        <v>USP4;USP11</v>
      </c>
      <c r="L1673" t="str">
        <f>"USP4;USP11"</f>
        <v>USP4;USP11</v>
      </c>
      <c r="M1673">
        <v>0</v>
      </c>
      <c r="N1673">
        <v>0.89450172185430499</v>
      </c>
      <c r="O1673">
        <v>0.91194339418818204</v>
      </c>
      <c r="P1673">
        <v>0</v>
      </c>
      <c r="Q1673">
        <v>0</v>
      </c>
      <c r="R1673">
        <v>0</v>
      </c>
      <c r="S1673">
        <v>1.1331355704698001</v>
      </c>
      <c r="T1673">
        <v>0</v>
      </c>
      <c r="U1673">
        <v>0</v>
      </c>
      <c r="V1673">
        <v>0</v>
      </c>
      <c r="W1673">
        <v>0</v>
      </c>
      <c r="X1673">
        <v>0</v>
      </c>
    </row>
    <row r="1674" spans="1:24">
      <c r="A1674">
        <v>1454</v>
      </c>
      <c r="B1674" t="s">
        <v>4496</v>
      </c>
      <c r="C1674">
        <v>20</v>
      </c>
      <c r="D1674" t="s">
        <v>4497</v>
      </c>
      <c r="E1674">
        <v>3</v>
      </c>
      <c r="F1674">
        <v>3</v>
      </c>
      <c r="G1674">
        <v>2</v>
      </c>
      <c r="H1674" t="s">
        <v>4498</v>
      </c>
      <c r="I1674">
        <v>8.3000000000000007</v>
      </c>
      <c r="J1674">
        <v>55.96</v>
      </c>
      <c r="K1674" t="str">
        <f>"CAMK2G;CAMK2B;CAMK2A"</f>
        <v>CAMK2G;CAMK2B;CAMK2A</v>
      </c>
      <c r="L1674" t="str">
        <f>"CAMK2G;CAMK2B;CAMK2A"</f>
        <v>CAMK2G;CAMK2B;CAMK2A</v>
      </c>
      <c r="M1674">
        <v>0</v>
      </c>
      <c r="N1674">
        <v>0.89450172185430499</v>
      </c>
      <c r="O1674">
        <v>0</v>
      </c>
      <c r="P1674">
        <v>0</v>
      </c>
      <c r="Q1674">
        <v>0</v>
      </c>
      <c r="R1674">
        <v>0.90008103209297396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</row>
    <row r="1675" spans="1:24">
      <c r="A1675">
        <v>1460</v>
      </c>
      <c r="B1675" t="s">
        <v>4499</v>
      </c>
      <c r="C1675">
        <v>1</v>
      </c>
      <c r="D1675" t="s">
        <v>4500</v>
      </c>
      <c r="E1675">
        <v>3</v>
      </c>
      <c r="F1675">
        <v>3</v>
      </c>
      <c r="G1675">
        <v>3</v>
      </c>
      <c r="H1675" t="s">
        <v>4499</v>
      </c>
      <c r="I1675">
        <v>4.3</v>
      </c>
      <c r="J1675">
        <v>89.677000000000007</v>
      </c>
      <c r="K1675" t="str">
        <f>"CUL1"</f>
        <v>CUL1</v>
      </c>
      <c r="L1675" t="str">
        <f>"CUL1"</f>
        <v>CUL1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2.2662711409396001</v>
      </c>
      <c r="T1675">
        <v>0</v>
      </c>
      <c r="U1675">
        <v>0</v>
      </c>
      <c r="V1675">
        <v>2.1012719352831399</v>
      </c>
      <c r="W1675">
        <v>0</v>
      </c>
      <c r="X1675">
        <v>0</v>
      </c>
    </row>
    <row r="1676" spans="1:24">
      <c r="A1676">
        <v>1497</v>
      </c>
      <c r="B1676" t="s">
        <v>4501</v>
      </c>
      <c r="C1676">
        <v>2</v>
      </c>
      <c r="D1676" t="s">
        <v>4502</v>
      </c>
      <c r="E1676">
        <v>7</v>
      </c>
      <c r="F1676">
        <v>6</v>
      </c>
      <c r="G1676">
        <v>6</v>
      </c>
      <c r="H1676" t="s">
        <v>4503</v>
      </c>
      <c r="I1676">
        <v>8.9</v>
      </c>
      <c r="J1676">
        <v>111.18</v>
      </c>
      <c r="K1676" t="str">
        <f>"PTK2B"</f>
        <v>PTK2B</v>
      </c>
      <c r="L1676" t="str">
        <f>"PTK2B"</f>
        <v>PTK2B</v>
      </c>
      <c r="M1676">
        <v>0</v>
      </c>
      <c r="N1676">
        <v>0.89450172185430499</v>
      </c>
      <c r="O1676">
        <v>0</v>
      </c>
      <c r="P1676">
        <v>0</v>
      </c>
      <c r="Q1676">
        <v>0</v>
      </c>
      <c r="R1676">
        <v>1.8001620641859499</v>
      </c>
      <c r="S1676">
        <v>0</v>
      </c>
      <c r="T1676">
        <v>0</v>
      </c>
      <c r="U1676">
        <v>0</v>
      </c>
      <c r="V1676">
        <v>1.05063596764157</v>
      </c>
      <c r="W1676">
        <v>0</v>
      </c>
      <c r="X1676">
        <v>0.984645710619934</v>
      </c>
    </row>
    <row r="1677" spans="1:24">
      <c r="A1677">
        <v>1758</v>
      </c>
      <c r="B1677" t="s">
        <v>4504</v>
      </c>
      <c r="C1677">
        <v>1</v>
      </c>
      <c r="D1677" t="s">
        <v>4505</v>
      </c>
      <c r="E1677">
        <v>5</v>
      </c>
      <c r="F1677">
        <v>1</v>
      </c>
      <c r="G1677">
        <v>1</v>
      </c>
      <c r="H1677" t="s">
        <v>4504</v>
      </c>
      <c r="I1677">
        <v>25.1</v>
      </c>
      <c r="J1677">
        <v>21.323</v>
      </c>
      <c r="K1677" t="str">
        <f>"TREML1"</f>
        <v>TREML1</v>
      </c>
      <c r="L1677" t="str">
        <f>"TREML1"</f>
        <v>TREML1</v>
      </c>
      <c r="M1677">
        <v>0</v>
      </c>
      <c r="N1677">
        <v>0.89450172185430499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1.10235831809872</v>
      </c>
      <c r="V1677">
        <v>0</v>
      </c>
      <c r="W1677">
        <v>0</v>
      </c>
      <c r="X1677">
        <v>0.984645710619934</v>
      </c>
    </row>
    <row r="1678" spans="1:24">
      <c r="A1678">
        <v>1827</v>
      </c>
      <c r="B1678" t="s">
        <v>4506</v>
      </c>
      <c r="C1678">
        <v>3</v>
      </c>
      <c r="D1678" t="s">
        <v>4507</v>
      </c>
      <c r="E1678">
        <v>1</v>
      </c>
      <c r="F1678">
        <v>1</v>
      </c>
      <c r="G1678">
        <v>1</v>
      </c>
      <c r="H1678" t="s">
        <v>4508</v>
      </c>
      <c r="I1678">
        <v>5.6</v>
      </c>
      <c r="J1678">
        <v>18.242999999999999</v>
      </c>
      <c r="K1678" t="str">
        <f>"ZFAND1"</f>
        <v>ZFAND1</v>
      </c>
      <c r="L1678" t="str">
        <f>"ZFAND1"</f>
        <v>ZFAND1</v>
      </c>
      <c r="M1678">
        <v>0</v>
      </c>
      <c r="N1678">
        <v>0.89450172185430499</v>
      </c>
      <c r="O1678">
        <v>0</v>
      </c>
      <c r="P1678">
        <v>0</v>
      </c>
      <c r="Q1678">
        <v>0</v>
      </c>
      <c r="R1678">
        <v>0.90008103209297396</v>
      </c>
      <c r="S1678">
        <v>0</v>
      </c>
      <c r="T1678">
        <v>0</v>
      </c>
      <c r="U1678">
        <v>0</v>
      </c>
      <c r="V1678">
        <v>0</v>
      </c>
      <c r="W1678">
        <v>1.27539809638918</v>
      </c>
      <c r="X1678">
        <v>0.984645710619934</v>
      </c>
    </row>
    <row r="1679" spans="1:24">
      <c r="A1679">
        <v>1905</v>
      </c>
      <c r="B1679" t="s">
        <v>4509</v>
      </c>
      <c r="C1679">
        <v>1</v>
      </c>
      <c r="D1679" t="s">
        <v>4510</v>
      </c>
      <c r="E1679">
        <v>1</v>
      </c>
      <c r="F1679">
        <v>1</v>
      </c>
      <c r="G1679">
        <v>1</v>
      </c>
      <c r="H1679" t="s">
        <v>4509</v>
      </c>
      <c r="I1679">
        <v>2.6</v>
      </c>
      <c r="J1679">
        <v>39.933</v>
      </c>
      <c r="K1679" t="str">
        <f>"SYAP1"</f>
        <v>SYAP1</v>
      </c>
      <c r="L1679" t="str">
        <f>"SYAP1"</f>
        <v>SYAP1</v>
      </c>
      <c r="M1679">
        <v>0</v>
      </c>
      <c r="N1679">
        <v>0.89450172185430499</v>
      </c>
      <c r="O1679">
        <v>0.91194339418818204</v>
      </c>
      <c r="P1679">
        <v>0</v>
      </c>
      <c r="Q1679">
        <v>0</v>
      </c>
      <c r="R1679">
        <v>0.90008103209297396</v>
      </c>
      <c r="S1679">
        <v>1.1331355704698001</v>
      </c>
      <c r="T1679">
        <v>0</v>
      </c>
      <c r="U1679">
        <v>0</v>
      </c>
      <c r="V1679">
        <v>0</v>
      </c>
      <c r="W1679">
        <v>0</v>
      </c>
      <c r="X1679">
        <v>0.984645710619934</v>
      </c>
    </row>
    <row r="1680" spans="1:24">
      <c r="A1680">
        <v>2018</v>
      </c>
      <c r="B1680" t="s">
        <v>4511</v>
      </c>
      <c r="C1680">
        <v>1</v>
      </c>
      <c r="D1680" t="s">
        <v>4512</v>
      </c>
      <c r="E1680">
        <v>2</v>
      </c>
      <c r="F1680">
        <v>2</v>
      </c>
      <c r="G1680">
        <v>2</v>
      </c>
      <c r="H1680" t="s">
        <v>4511</v>
      </c>
      <c r="I1680">
        <v>12.2</v>
      </c>
      <c r="J1680">
        <v>25.75</v>
      </c>
      <c r="K1680" t="str">
        <f>"LXN"</f>
        <v>LXN</v>
      </c>
      <c r="L1680" t="str">
        <f>"LXN"</f>
        <v>LXN</v>
      </c>
      <c r="M1680">
        <v>0</v>
      </c>
      <c r="N1680">
        <v>0</v>
      </c>
      <c r="O1680">
        <v>0.91194339418818204</v>
      </c>
      <c r="P1680">
        <v>0</v>
      </c>
      <c r="Q1680">
        <v>0</v>
      </c>
      <c r="R1680">
        <v>0.90008103209297396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</row>
    <row r="1681" spans="1:24">
      <c r="A1681">
        <v>2076</v>
      </c>
      <c r="B1681" t="s">
        <v>4513</v>
      </c>
      <c r="C1681">
        <v>2</v>
      </c>
      <c r="D1681" t="s">
        <v>4514</v>
      </c>
      <c r="E1681">
        <v>2</v>
      </c>
      <c r="F1681">
        <v>2</v>
      </c>
      <c r="G1681">
        <v>2</v>
      </c>
      <c r="H1681" t="s">
        <v>4515</v>
      </c>
      <c r="I1681">
        <v>5.7</v>
      </c>
      <c r="J1681">
        <v>38.036000000000001</v>
      </c>
      <c r="K1681" t="str">
        <f>"MAGT1"</f>
        <v>MAGT1</v>
      </c>
      <c r="L1681" t="str">
        <f>"MAGT1"</f>
        <v>MAGT1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1.1331355704698001</v>
      </c>
      <c r="T1681">
        <v>1.18448996772836</v>
      </c>
      <c r="U1681">
        <v>0</v>
      </c>
      <c r="V1681">
        <v>1.05063596764157</v>
      </c>
      <c r="W1681">
        <v>0</v>
      </c>
      <c r="X1681">
        <v>0</v>
      </c>
    </row>
    <row r="1682" spans="1:24">
      <c r="A1682">
        <v>2105</v>
      </c>
      <c r="B1682" t="s">
        <v>4516</v>
      </c>
      <c r="C1682">
        <v>3</v>
      </c>
      <c r="D1682" t="s">
        <v>4517</v>
      </c>
      <c r="E1682">
        <v>2</v>
      </c>
      <c r="F1682">
        <v>2</v>
      </c>
      <c r="G1682">
        <v>2</v>
      </c>
      <c r="H1682" t="s">
        <v>4518</v>
      </c>
      <c r="I1682">
        <v>7.8</v>
      </c>
      <c r="J1682">
        <v>29.759</v>
      </c>
      <c r="K1682" t="str">
        <f>"SMYD3"</f>
        <v>SMYD3</v>
      </c>
      <c r="L1682" t="str">
        <f>"SMYD3"</f>
        <v>SMYD3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1.10235831809872</v>
      </c>
      <c r="V1682">
        <v>1.05063596764157</v>
      </c>
      <c r="W1682">
        <v>0</v>
      </c>
      <c r="X1682">
        <v>0</v>
      </c>
    </row>
    <row r="1683" spans="1:24">
      <c r="A1683">
        <v>2155</v>
      </c>
      <c r="B1683" t="s">
        <v>4519</v>
      </c>
      <c r="C1683">
        <v>1</v>
      </c>
      <c r="D1683" t="s">
        <v>4520</v>
      </c>
      <c r="E1683">
        <v>4</v>
      </c>
      <c r="F1683">
        <v>4</v>
      </c>
      <c r="G1683">
        <v>4</v>
      </c>
      <c r="H1683" t="s">
        <v>4519</v>
      </c>
      <c r="I1683">
        <v>10.199999999999999</v>
      </c>
      <c r="J1683">
        <v>65.677000000000007</v>
      </c>
      <c r="K1683" t="str">
        <f>"CTPS2"</f>
        <v>CTPS2</v>
      </c>
      <c r="L1683" t="str">
        <f>"CTPS2"</f>
        <v>CTPS2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0.90008103209297396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0.984645710619934</v>
      </c>
    </row>
    <row r="1684" spans="1:24">
      <c r="A1684">
        <v>2246</v>
      </c>
      <c r="B1684" t="s">
        <v>4521</v>
      </c>
      <c r="C1684">
        <v>2</v>
      </c>
      <c r="D1684" t="s">
        <v>4522</v>
      </c>
      <c r="E1684">
        <v>4</v>
      </c>
      <c r="F1684">
        <v>4</v>
      </c>
      <c r="G1684">
        <v>4</v>
      </c>
      <c r="H1684" t="s">
        <v>4523</v>
      </c>
      <c r="I1684">
        <v>17.899999999999999</v>
      </c>
      <c r="J1684">
        <v>35.286000000000001</v>
      </c>
      <c r="K1684" t="str">
        <f>"CHORDC1"</f>
        <v>CHORDC1</v>
      </c>
      <c r="L1684" t="str">
        <f>"CHORDC1"</f>
        <v>CHORDC1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1.8001620641859499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0.984645710619934</v>
      </c>
    </row>
    <row r="1685" spans="1:24">
      <c r="A1685">
        <v>2251</v>
      </c>
      <c r="B1685" t="s">
        <v>4524</v>
      </c>
      <c r="C1685">
        <v>1</v>
      </c>
      <c r="D1685" t="s">
        <v>4525</v>
      </c>
      <c r="E1685">
        <v>2</v>
      </c>
      <c r="F1685">
        <v>2</v>
      </c>
      <c r="G1685">
        <v>2</v>
      </c>
      <c r="H1685" t="s">
        <v>4524</v>
      </c>
      <c r="I1685">
        <v>3.7</v>
      </c>
      <c r="J1685">
        <v>54.341000000000001</v>
      </c>
      <c r="K1685" t="str">
        <f>"DPP7"</f>
        <v>DPP7</v>
      </c>
      <c r="L1685" t="str">
        <f>"DPP7"</f>
        <v>DPP7</v>
      </c>
      <c r="M1685">
        <v>0</v>
      </c>
      <c r="N1685">
        <v>1.78900344370861</v>
      </c>
      <c r="O1685">
        <v>0.91194339418818204</v>
      </c>
      <c r="P1685">
        <v>0</v>
      </c>
      <c r="Q1685">
        <v>0</v>
      </c>
      <c r="R1685">
        <v>0.90008103209297396</v>
      </c>
      <c r="S1685">
        <v>0</v>
      </c>
      <c r="T1685">
        <v>0</v>
      </c>
      <c r="U1685">
        <v>1.10235831809872</v>
      </c>
      <c r="V1685">
        <v>0</v>
      </c>
      <c r="W1685">
        <v>0</v>
      </c>
      <c r="X1685">
        <v>0.984645710619934</v>
      </c>
    </row>
    <row r="1686" spans="1:24">
      <c r="A1686">
        <v>2255</v>
      </c>
      <c r="B1686" t="s">
        <v>4526</v>
      </c>
      <c r="C1686">
        <v>2</v>
      </c>
      <c r="D1686" t="s">
        <v>4527</v>
      </c>
      <c r="E1686">
        <v>1</v>
      </c>
      <c r="F1686">
        <v>1</v>
      </c>
      <c r="G1686">
        <v>1</v>
      </c>
      <c r="H1686" t="s">
        <v>4528</v>
      </c>
      <c r="I1686">
        <v>19.100000000000001</v>
      </c>
      <c r="J1686">
        <v>12.552</v>
      </c>
      <c r="K1686" t="str">
        <f>"ENOPH1"</f>
        <v>ENOPH1</v>
      </c>
      <c r="L1686" t="str">
        <f>"ENOPH1"</f>
        <v>ENOPH1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0.90008103209297396</v>
      </c>
      <c r="S1686">
        <v>0</v>
      </c>
      <c r="T1686">
        <v>0</v>
      </c>
      <c r="U1686">
        <v>0</v>
      </c>
      <c r="V1686">
        <v>1.05063596764157</v>
      </c>
      <c r="W1686">
        <v>0</v>
      </c>
      <c r="X1686">
        <v>0</v>
      </c>
    </row>
    <row r="1687" spans="1:24">
      <c r="A1687">
        <v>2314</v>
      </c>
      <c r="B1687" t="s">
        <v>4529</v>
      </c>
      <c r="C1687">
        <v>1</v>
      </c>
      <c r="D1687" t="s">
        <v>4530</v>
      </c>
      <c r="E1687">
        <v>4</v>
      </c>
      <c r="F1687">
        <v>4</v>
      </c>
      <c r="G1687">
        <v>4</v>
      </c>
      <c r="H1687" t="s">
        <v>4529</v>
      </c>
      <c r="I1687">
        <v>7.8</v>
      </c>
      <c r="J1687">
        <v>87.156000000000006</v>
      </c>
      <c r="K1687" t="str">
        <f>"PLAA"</f>
        <v>PLAA</v>
      </c>
      <c r="L1687" t="str">
        <f>"PLAA"</f>
        <v>PLAA</v>
      </c>
      <c r="M1687">
        <v>0</v>
      </c>
      <c r="N1687">
        <v>0</v>
      </c>
      <c r="O1687">
        <v>0.91194339418818204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1.10235831809872</v>
      </c>
      <c r="V1687">
        <v>0</v>
      </c>
      <c r="W1687">
        <v>0</v>
      </c>
      <c r="X1687">
        <v>0.984645710619934</v>
      </c>
    </row>
    <row r="1688" spans="1:24">
      <c r="A1688">
        <v>2320</v>
      </c>
      <c r="B1688" t="s">
        <v>4531</v>
      </c>
      <c r="C1688">
        <v>2</v>
      </c>
      <c r="D1688" t="s">
        <v>4532</v>
      </c>
      <c r="E1688">
        <v>3</v>
      </c>
      <c r="F1688">
        <v>3</v>
      </c>
      <c r="G1688">
        <v>3</v>
      </c>
      <c r="H1688" t="s">
        <v>4533</v>
      </c>
      <c r="I1688">
        <v>11.1</v>
      </c>
      <c r="J1688">
        <v>54.156999999999996</v>
      </c>
      <c r="K1688" t="str">
        <f>"FARSA"</f>
        <v>FARSA</v>
      </c>
      <c r="L1688" t="str">
        <f>"FARSA"</f>
        <v>FARSA</v>
      </c>
      <c r="M1688">
        <v>0</v>
      </c>
      <c r="N1688">
        <v>0</v>
      </c>
      <c r="O1688">
        <v>0.91194339418818204</v>
      </c>
      <c r="P1688">
        <v>0</v>
      </c>
      <c r="Q1688">
        <v>0</v>
      </c>
      <c r="R1688">
        <v>0.90008103209297396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</row>
    <row r="1689" spans="1:24">
      <c r="A1689">
        <v>2361</v>
      </c>
      <c r="B1689" t="s">
        <v>4534</v>
      </c>
      <c r="C1689">
        <v>4</v>
      </c>
      <c r="D1689" t="s">
        <v>4535</v>
      </c>
      <c r="E1689">
        <v>2</v>
      </c>
      <c r="F1689">
        <v>2</v>
      </c>
      <c r="G1689">
        <v>2</v>
      </c>
      <c r="H1689" t="s">
        <v>4536</v>
      </c>
      <c r="I1689">
        <v>13</v>
      </c>
      <c r="J1689">
        <v>18.213999999999999</v>
      </c>
      <c r="K1689" t="str">
        <f>"PPME1"</f>
        <v>PPME1</v>
      </c>
      <c r="L1689" t="str">
        <f>"PPME1"</f>
        <v>PPME1</v>
      </c>
      <c r="M1689">
        <v>0</v>
      </c>
      <c r="N1689">
        <v>0</v>
      </c>
      <c r="O1689">
        <v>1.8238867883763601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</row>
    <row r="1690" spans="1:24">
      <c r="A1690">
        <v>2362</v>
      </c>
      <c r="B1690" t="s">
        <v>4537</v>
      </c>
      <c r="C1690">
        <v>4</v>
      </c>
      <c r="D1690" t="s">
        <v>4538</v>
      </c>
      <c r="E1690">
        <v>3</v>
      </c>
      <c r="F1690">
        <v>3</v>
      </c>
      <c r="G1690">
        <v>3</v>
      </c>
      <c r="H1690" t="s">
        <v>4539</v>
      </c>
      <c r="I1690">
        <v>9.8000000000000007</v>
      </c>
      <c r="J1690">
        <v>36.079000000000001</v>
      </c>
      <c r="K1690" t="str">
        <f>"UCHL5"</f>
        <v>UCHL5</v>
      </c>
      <c r="L1690" t="str">
        <f>"UCHL5"</f>
        <v>UCHL5</v>
      </c>
      <c r="M1690">
        <v>0</v>
      </c>
      <c r="N1690">
        <v>0.89450172185430499</v>
      </c>
      <c r="O1690">
        <v>0.91194339418818204</v>
      </c>
      <c r="P1690">
        <v>0</v>
      </c>
      <c r="Q1690">
        <v>0</v>
      </c>
      <c r="R1690">
        <v>1.8001620641859499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</row>
    <row r="1691" spans="1:24">
      <c r="A1691">
        <v>2378</v>
      </c>
      <c r="B1691" t="s">
        <v>4540</v>
      </c>
      <c r="C1691">
        <v>1</v>
      </c>
      <c r="D1691" t="s">
        <v>4541</v>
      </c>
      <c r="E1691">
        <v>2</v>
      </c>
      <c r="F1691">
        <v>2</v>
      </c>
      <c r="G1691">
        <v>2</v>
      </c>
      <c r="H1691" t="s">
        <v>4540</v>
      </c>
      <c r="I1691">
        <v>31.4</v>
      </c>
      <c r="J1691">
        <v>11.805</v>
      </c>
      <c r="K1691" t="str">
        <f>"SPCS1"</f>
        <v>SPCS1</v>
      </c>
      <c r="L1691" t="str">
        <f>"SPCS1"</f>
        <v>SPCS1</v>
      </c>
      <c r="M1691">
        <v>1.2103892752168599</v>
      </c>
      <c r="N1691">
        <v>0</v>
      </c>
      <c r="O1691">
        <v>0</v>
      </c>
      <c r="P1691">
        <v>0</v>
      </c>
      <c r="Q1691">
        <v>0</v>
      </c>
      <c r="R1691">
        <v>0.90008103209297396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</row>
    <row r="1692" spans="1:24">
      <c r="A1692">
        <v>71</v>
      </c>
      <c r="B1692" t="s">
        <v>4542</v>
      </c>
      <c r="C1692">
        <v>1</v>
      </c>
      <c r="D1692" t="s">
        <v>4543</v>
      </c>
      <c r="E1692">
        <v>4</v>
      </c>
      <c r="F1692">
        <v>4</v>
      </c>
      <c r="G1692">
        <v>4</v>
      </c>
      <c r="H1692" t="s">
        <v>4542</v>
      </c>
      <c r="I1692">
        <v>9.1999999999999993</v>
      </c>
      <c r="J1692">
        <v>81.852000000000004</v>
      </c>
      <c r="K1692" t="str">
        <f>"EXOC5"</f>
        <v>EXOC5</v>
      </c>
      <c r="L1692" t="str">
        <f>"EXOC5"</f>
        <v>EXOC5</v>
      </c>
      <c r="M1692">
        <v>0</v>
      </c>
      <c r="N1692">
        <v>0</v>
      </c>
      <c r="O1692">
        <v>0.91194339418818204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1.10235831809872</v>
      </c>
      <c r="V1692">
        <v>0</v>
      </c>
      <c r="W1692">
        <v>1.27539809638918</v>
      </c>
      <c r="X1692">
        <v>0</v>
      </c>
    </row>
    <row r="1693" spans="1:24">
      <c r="A1693">
        <v>84</v>
      </c>
      <c r="B1693" t="s">
        <v>4544</v>
      </c>
      <c r="C1693">
        <v>5</v>
      </c>
      <c r="D1693" t="s">
        <v>4545</v>
      </c>
      <c r="E1693">
        <v>5</v>
      </c>
      <c r="F1693">
        <v>5</v>
      </c>
      <c r="G1693">
        <v>5</v>
      </c>
      <c r="H1693" t="s">
        <v>4546</v>
      </c>
      <c r="I1693">
        <v>5.8</v>
      </c>
      <c r="J1693">
        <v>114.71</v>
      </c>
      <c r="K1693" t="str">
        <f>"AP3D1"</f>
        <v>AP3D1</v>
      </c>
      <c r="L1693" t="str">
        <f>"AP3D1"</f>
        <v>AP3D1</v>
      </c>
      <c r="M1693">
        <v>0</v>
      </c>
      <c r="N1693">
        <v>0.89450172185430499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</row>
    <row r="1694" spans="1:24">
      <c r="A1694">
        <v>220</v>
      </c>
      <c r="B1694" t="s">
        <v>4547</v>
      </c>
      <c r="C1694">
        <v>2</v>
      </c>
      <c r="D1694" t="s">
        <v>4548</v>
      </c>
      <c r="E1694">
        <v>5</v>
      </c>
      <c r="F1694">
        <v>5</v>
      </c>
      <c r="G1694">
        <v>5</v>
      </c>
      <c r="H1694" t="s">
        <v>4549</v>
      </c>
      <c r="I1694">
        <v>17.8</v>
      </c>
      <c r="J1694">
        <v>30.241</v>
      </c>
      <c r="K1694" t="str">
        <f>"NDUFS3"</f>
        <v>NDUFS3</v>
      </c>
      <c r="L1694" t="str">
        <f>"NDUFS3"</f>
        <v>NDUFS3</v>
      </c>
      <c r="M1694">
        <v>0</v>
      </c>
      <c r="N1694">
        <v>1.78900344370861</v>
      </c>
      <c r="O1694">
        <v>0.91194339418818204</v>
      </c>
      <c r="P1694">
        <v>1.0652189274447901</v>
      </c>
      <c r="Q1694">
        <v>0</v>
      </c>
      <c r="R1694">
        <v>1.8001620641859499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</row>
    <row r="1695" spans="1:24">
      <c r="A1695">
        <v>284</v>
      </c>
      <c r="B1695" t="s">
        <v>4550</v>
      </c>
      <c r="C1695">
        <v>4</v>
      </c>
      <c r="D1695" t="s">
        <v>4551</v>
      </c>
      <c r="E1695">
        <v>5</v>
      </c>
      <c r="F1695">
        <v>5</v>
      </c>
      <c r="G1695">
        <v>5</v>
      </c>
      <c r="H1695" t="s">
        <v>4552</v>
      </c>
      <c r="I1695">
        <v>25</v>
      </c>
      <c r="J1695">
        <v>29.187999999999999</v>
      </c>
      <c r="K1695" t="str">
        <f>"BPNT1"</f>
        <v>BPNT1</v>
      </c>
      <c r="L1695" t="str">
        <f>"BPNT1"</f>
        <v>BPNT1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1.27539809638918</v>
      </c>
      <c r="X1695">
        <v>0</v>
      </c>
    </row>
    <row r="1696" spans="1:24">
      <c r="A1696">
        <v>455</v>
      </c>
      <c r="B1696" t="s">
        <v>4553</v>
      </c>
      <c r="C1696">
        <v>1</v>
      </c>
      <c r="D1696" t="s">
        <v>4554</v>
      </c>
      <c r="E1696">
        <v>16</v>
      </c>
      <c r="F1696">
        <v>4</v>
      </c>
      <c r="G1696">
        <v>0</v>
      </c>
      <c r="H1696" t="s">
        <v>4553</v>
      </c>
      <c r="I1696">
        <v>24.8</v>
      </c>
      <c r="J1696">
        <v>60.066000000000003</v>
      </c>
      <c r="K1696" t="str">
        <f>"KRT6B"</f>
        <v>KRT6B</v>
      </c>
      <c r="L1696" t="str">
        <f>"KRT6B"</f>
        <v>KRT6B</v>
      </c>
      <c r="M1696">
        <v>0</v>
      </c>
      <c r="N1696">
        <v>1.78900344370861</v>
      </c>
      <c r="O1696">
        <v>0</v>
      </c>
      <c r="P1696">
        <v>1.0652189274447901</v>
      </c>
      <c r="Q1696">
        <v>1.25576199330606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1.27539809638918</v>
      </c>
      <c r="X1696">
        <v>0</v>
      </c>
    </row>
    <row r="1697" spans="1:24">
      <c r="A1697">
        <v>550</v>
      </c>
      <c r="B1697" t="s">
        <v>4555</v>
      </c>
      <c r="C1697">
        <v>4</v>
      </c>
      <c r="D1697" t="s">
        <v>4556</v>
      </c>
      <c r="E1697">
        <v>5</v>
      </c>
      <c r="F1697">
        <v>5</v>
      </c>
      <c r="G1697">
        <v>5</v>
      </c>
      <c r="H1697" t="s">
        <v>4557</v>
      </c>
      <c r="I1697">
        <v>13.4</v>
      </c>
      <c r="J1697">
        <v>57.944000000000003</v>
      </c>
      <c r="K1697" t="str">
        <f>"SLC3A2"</f>
        <v>SLC3A2</v>
      </c>
      <c r="L1697" t="str">
        <f>"SLC3A2"</f>
        <v>SLC3A2</v>
      </c>
      <c r="M1697">
        <v>0</v>
      </c>
      <c r="N1697">
        <v>0.89450172185430499</v>
      </c>
      <c r="O1697">
        <v>0</v>
      </c>
      <c r="P1697">
        <v>0</v>
      </c>
      <c r="Q1697">
        <v>0</v>
      </c>
      <c r="R1697">
        <v>0</v>
      </c>
      <c r="S1697">
        <v>1.1331355704698001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>
      <c r="A1698">
        <v>598</v>
      </c>
      <c r="B1698" t="s">
        <v>4558</v>
      </c>
      <c r="C1698">
        <v>1</v>
      </c>
      <c r="D1698" t="s">
        <v>4559</v>
      </c>
      <c r="E1698">
        <v>2</v>
      </c>
      <c r="F1698">
        <v>2</v>
      </c>
      <c r="G1698">
        <v>2</v>
      </c>
      <c r="H1698" t="s">
        <v>4558</v>
      </c>
      <c r="I1698">
        <v>8.9</v>
      </c>
      <c r="J1698">
        <v>23.925999999999998</v>
      </c>
      <c r="K1698" t="str">
        <f>"CLEC2L"</f>
        <v>CLEC2L</v>
      </c>
      <c r="L1698" t="str">
        <f>"CLEC2L"</f>
        <v>CLEC2L</v>
      </c>
      <c r="M1698">
        <v>0</v>
      </c>
      <c r="N1698">
        <v>0</v>
      </c>
      <c r="O1698">
        <v>0.91194339418818204</v>
      </c>
      <c r="P1698">
        <v>0</v>
      </c>
      <c r="Q1698">
        <v>0</v>
      </c>
      <c r="R1698">
        <v>0.90008103209297396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>
      <c r="A1699">
        <v>613</v>
      </c>
      <c r="B1699" t="s">
        <v>4560</v>
      </c>
      <c r="C1699">
        <v>1</v>
      </c>
      <c r="D1699" t="s">
        <v>4561</v>
      </c>
      <c r="E1699">
        <v>3</v>
      </c>
      <c r="F1699">
        <v>3</v>
      </c>
      <c r="G1699">
        <v>3</v>
      </c>
      <c r="H1699" t="s">
        <v>4560</v>
      </c>
      <c r="I1699">
        <v>2.9</v>
      </c>
      <c r="J1699">
        <v>68.995999999999995</v>
      </c>
      <c r="K1699" t="str">
        <f>"DLAT"</f>
        <v>DLAT</v>
      </c>
      <c r="L1699" t="str">
        <f>"DLAT"</f>
        <v>DLAT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2.1012719352831399</v>
      </c>
      <c r="W1699">
        <v>0</v>
      </c>
      <c r="X1699">
        <v>0</v>
      </c>
    </row>
    <row r="1700" spans="1:24">
      <c r="A1700">
        <v>670</v>
      </c>
      <c r="B1700" t="s">
        <v>4562</v>
      </c>
      <c r="C1700">
        <v>2</v>
      </c>
      <c r="D1700" t="s">
        <v>4563</v>
      </c>
      <c r="E1700">
        <v>23</v>
      </c>
      <c r="F1700">
        <v>3</v>
      </c>
      <c r="G1700">
        <v>3</v>
      </c>
      <c r="H1700" t="s">
        <v>4564</v>
      </c>
      <c r="I1700">
        <v>60.5</v>
      </c>
      <c r="J1700">
        <v>40.936</v>
      </c>
      <c r="K1700" t="str">
        <f>"HLA-A"</f>
        <v>HLA-A</v>
      </c>
      <c r="L1700" t="str">
        <f>"HLA-A"</f>
        <v>HLA-A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>
      <c r="A1701">
        <v>677</v>
      </c>
      <c r="B1701" t="s">
        <v>4565</v>
      </c>
      <c r="C1701">
        <v>1</v>
      </c>
      <c r="D1701" t="s">
        <v>4566</v>
      </c>
      <c r="E1701">
        <v>2</v>
      </c>
      <c r="F1701">
        <v>2</v>
      </c>
      <c r="G1701">
        <v>2</v>
      </c>
      <c r="H1701" t="s">
        <v>4565</v>
      </c>
      <c r="I1701">
        <v>15.6</v>
      </c>
      <c r="J1701">
        <v>14.177</v>
      </c>
      <c r="K1701" t="str">
        <f>"CD59"</f>
        <v>CD59</v>
      </c>
      <c r="L1701" t="str">
        <f>"CD59"</f>
        <v>CD59</v>
      </c>
      <c r="M1701">
        <v>0</v>
      </c>
      <c r="N1701">
        <v>0.89450172185430499</v>
      </c>
      <c r="O1701">
        <v>0.91194339418818204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>
      <c r="A1702">
        <v>713</v>
      </c>
      <c r="B1702" t="s">
        <v>4567</v>
      </c>
      <c r="C1702">
        <v>1</v>
      </c>
      <c r="D1702" t="s">
        <v>4568</v>
      </c>
      <c r="E1702">
        <v>18</v>
      </c>
      <c r="F1702">
        <v>2</v>
      </c>
      <c r="G1702">
        <v>0</v>
      </c>
      <c r="H1702" t="s">
        <v>4567</v>
      </c>
      <c r="I1702">
        <v>58.6</v>
      </c>
      <c r="J1702">
        <v>40.904000000000003</v>
      </c>
      <c r="K1702" t="str">
        <f>"HLA-A"</f>
        <v>HLA-A</v>
      </c>
      <c r="L1702" t="str">
        <f>"HLA-A"</f>
        <v>HLA-A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1.8001620641859499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</row>
    <row r="1703" spans="1:24">
      <c r="A1703">
        <v>847</v>
      </c>
      <c r="B1703" t="s">
        <v>4569</v>
      </c>
      <c r="C1703">
        <v>3</v>
      </c>
      <c r="D1703" t="s">
        <v>4570</v>
      </c>
      <c r="E1703">
        <v>5</v>
      </c>
      <c r="F1703">
        <v>3</v>
      </c>
      <c r="G1703">
        <v>3</v>
      </c>
      <c r="H1703" t="s">
        <v>4571</v>
      </c>
      <c r="I1703">
        <v>19.100000000000001</v>
      </c>
      <c r="J1703">
        <v>38.274000000000001</v>
      </c>
      <c r="K1703" t="str">
        <f>"MAPK3"</f>
        <v>MAPK3</v>
      </c>
      <c r="L1703" t="str">
        <f>"MAPK3"</f>
        <v>MAPK3</v>
      </c>
      <c r="M1703">
        <v>0</v>
      </c>
      <c r="N1703">
        <v>0.89450172185430499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</row>
    <row r="1704" spans="1:24">
      <c r="A1704">
        <v>870</v>
      </c>
      <c r="B1704" t="s">
        <v>4572</v>
      </c>
      <c r="C1704">
        <v>2</v>
      </c>
      <c r="D1704" t="s">
        <v>4573</v>
      </c>
      <c r="E1704">
        <v>6</v>
      </c>
      <c r="F1704">
        <v>6</v>
      </c>
      <c r="G1704">
        <v>6</v>
      </c>
      <c r="H1704" t="s">
        <v>4574</v>
      </c>
      <c r="I1704">
        <v>17.100000000000001</v>
      </c>
      <c r="J1704">
        <v>35.204999999999998</v>
      </c>
      <c r="K1704" t="str">
        <f>"CTGF"</f>
        <v>CTGF</v>
      </c>
      <c r="L1704" t="str">
        <f>"CTGF"</f>
        <v>CTGF</v>
      </c>
      <c r="M1704">
        <v>0</v>
      </c>
      <c r="N1704">
        <v>0.89450172185430499</v>
      </c>
      <c r="O1704">
        <v>0</v>
      </c>
      <c r="P1704">
        <v>0</v>
      </c>
      <c r="Q1704">
        <v>1.25576199330606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>
      <c r="A1705">
        <v>931</v>
      </c>
      <c r="B1705" t="s">
        <v>4575</v>
      </c>
      <c r="C1705">
        <v>1</v>
      </c>
      <c r="D1705" t="s">
        <v>4576</v>
      </c>
      <c r="E1705">
        <v>16</v>
      </c>
      <c r="F1705">
        <v>1</v>
      </c>
      <c r="G1705">
        <v>1</v>
      </c>
      <c r="H1705" t="s">
        <v>4575</v>
      </c>
      <c r="I1705">
        <v>58.1</v>
      </c>
      <c r="J1705">
        <v>28.082000000000001</v>
      </c>
      <c r="K1705" t="str">
        <f>"YWHAB"</f>
        <v>YWHAB</v>
      </c>
      <c r="L1705" t="str">
        <f>"YWHAB"</f>
        <v>YWHAB</v>
      </c>
      <c r="M1705">
        <v>1.2103892752168599</v>
      </c>
      <c r="N1705">
        <v>0.89450172185430499</v>
      </c>
      <c r="O1705">
        <v>0</v>
      </c>
      <c r="P1705">
        <v>0</v>
      </c>
      <c r="Q1705">
        <v>1.25576199330606</v>
      </c>
      <c r="R1705">
        <v>0</v>
      </c>
      <c r="S1705">
        <v>0</v>
      </c>
      <c r="T1705">
        <v>0</v>
      </c>
      <c r="U1705">
        <v>0</v>
      </c>
      <c r="V1705">
        <v>1.05063596764157</v>
      </c>
      <c r="W1705">
        <v>0</v>
      </c>
      <c r="X1705">
        <v>0.984645710619934</v>
      </c>
    </row>
    <row r="1706" spans="1:24">
      <c r="A1706">
        <v>961</v>
      </c>
      <c r="B1706" t="s">
        <v>4577</v>
      </c>
      <c r="C1706">
        <v>3</v>
      </c>
      <c r="D1706" t="s">
        <v>4578</v>
      </c>
      <c r="E1706">
        <v>8</v>
      </c>
      <c r="F1706">
        <v>8</v>
      </c>
      <c r="G1706">
        <v>8</v>
      </c>
      <c r="H1706" t="s">
        <v>4579</v>
      </c>
      <c r="I1706">
        <v>7.5</v>
      </c>
      <c r="J1706">
        <v>174.76</v>
      </c>
      <c r="K1706" t="str">
        <f>"AGL"</f>
        <v>AGL</v>
      </c>
      <c r="L1706" t="str">
        <f>"AGL"</f>
        <v>AGL</v>
      </c>
      <c r="M1706">
        <v>0</v>
      </c>
      <c r="N1706">
        <v>0</v>
      </c>
      <c r="O1706">
        <v>0.91194339418818204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</row>
    <row r="1707" spans="1:24">
      <c r="A1707">
        <v>1011</v>
      </c>
      <c r="B1707" t="s">
        <v>4580</v>
      </c>
      <c r="C1707">
        <v>2</v>
      </c>
      <c r="D1707" t="s">
        <v>4581</v>
      </c>
      <c r="E1707">
        <v>2</v>
      </c>
      <c r="F1707">
        <v>2</v>
      </c>
      <c r="G1707">
        <v>2</v>
      </c>
      <c r="H1707" t="s">
        <v>4582</v>
      </c>
      <c r="I1707">
        <v>13.2</v>
      </c>
      <c r="J1707">
        <v>26.457999999999998</v>
      </c>
      <c r="K1707" t="str">
        <f>"NAA10"</f>
        <v>NAA10</v>
      </c>
      <c r="L1707" t="str">
        <f>"NAA10"</f>
        <v>NAA10</v>
      </c>
      <c r="M1707">
        <v>0</v>
      </c>
      <c r="N1707">
        <v>0</v>
      </c>
      <c r="O1707">
        <v>0.91194339418818204</v>
      </c>
      <c r="P1707">
        <v>0</v>
      </c>
      <c r="Q1707">
        <v>0</v>
      </c>
      <c r="R1707">
        <v>0.90008103209297396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</row>
    <row r="1708" spans="1:24">
      <c r="A1708">
        <v>1097</v>
      </c>
      <c r="B1708" t="s">
        <v>4583</v>
      </c>
      <c r="C1708">
        <v>3</v>
      </c>
      <c r="D1708" t="s">
        <v>4584</v>
      </c>
      <c r="E1708">
        <v>3</v>
      </c>
      <c r="F1708">
        <v>3</v>
      </c>
      <c r="G1708">
        <v>2</v>
      </c>
      <c r="H1708" t="s">
        <v>4585</v>
      </c>
      <c r="I1708">
        <v>5.5</v>
      </c>
      <c r="J1708">
        <v>77.212999999999994</v>
      </c>
      <c r="K1708" t="str">
        <f>"COMP"</f>
        <v>COMP</v>
      </c>
      <c r="L1708" t="str">
        <f>"COMP"</f>
        <v>COMP</v>
      </c>
      <c r="M1708">
        <v>0</v>
      </c>
      <c r="N1708">
        <v>0</v>
      </c>
      <c r="O1708">
        <v>0</v>
      </c>
      <c r="P1708">
        <v>0</v>
      </c>
      <c r="Q1708">
        <v>1.25576199330606</v>
      </c>
      <c r="R1708">
        <v>0</v>
      </c>
      <c r="S1708">
        <v>0</v>
      </c>
      <c r="T1708">
        <v>1.18448996772836</v>
      </c>
      <c r="U1708">
        <v>0</v>
      </c>
      <c r="V1708">
        <v>0</v>
      </c>
      <c r="W1708">
        <v>0</v>
      </c>
      <c r="X1708">
        <v>0</v>
      </c>
    </row>
    <row r="1709" spans="1:24">
      <c r="A1709">
        <v>1353</v>
      </c>
      <c r="B1709" t="s">
        <v>4586</v>
      </c>
      <c r="C1709">
        <v>2</v>
      </c>
      <c r="D1709" t="s">
        <v>4587</v>
      </c>
      <c r="E1709">
        <v>3</v>
      </c>
      <c r="F1709">
        <v>3</v>
      </c>
      <c r="G1709">
        <v>3</v>
      </c>
      <c r="H1709" t="s">
        <v>4588</v>
      </c>
      <c r="I1709">
        <v>9.8000000000000007</v>
      </c>
      <c r="J1709">
        <v>56.226999999999997</v>
      </c>
      <c r="K1709" t="str">
        <f>"ALDH6A1"</f>
        <v>ALDH6A1</v>
      </c>
      <c r="L1709" t="str">
        <f>"ALDH6A1"</f>
        <v>ALDH6A1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0.90008103209297396</v>
      </c>
      <c r="S1709">
        <v>0</v>
      </c>
      <c r="T1709">
        <v>0</v>
      </c>
      <c r="U1709">
        <v>1.10235831809872</v>
      </c>
      <c r="V1709">
        <v>0</v>
      </c>
      <c r="W1709">
        <v>0</v>
      </c>
      <c r="X1709">
        <v>0</v>
      </c>
    </row>
    <row r="1710" spans="1:24">
      <c r="A1710">
        <v>1456</v>
      </c>
      <c r="B1710" t="s">
        <v>4589</v>
      </c>
      <c r="C1710">
        <v>4</v>
      </c>
      <c r="D1710" t="s">
        <v>4590</v>
      </c>
      <c r="E1710">
        <v>4</v>
      </c>
      <c r="F1710">
        <v>4</v>
      </c>
      <c r="G1710">
        <v>4</v>
      </c>
      <c r="H1710" t="s">
        <v>4591</v>
      </c>
      <c r="I1710">
        <v>10.3</v>
      </c>
      <c r="J1710">
        <v>50.624000000000002</v>
      </c>
      <c r="K1710" t="str">
        <f>"NAE1"</f>
        <v>NAE1</v>
      </c>
      <c r="L1710" t="str">
        <f>"NAE1"</f>
        <v>NAE1</v>
      </c>
      <c r="M1710">
        <v>0</v>
      </c>
      <c r="N1710">
        <v>0.89450172185430499</v>
      </c>
      <c r="O1710">
        <v>0</v>
      </c>
      <c r="P1710">
        <v>1.0652189274447901</v>
      </c>
      <c r="Q1710">
        <v>0</v>
      </c>
      <c r="R1710">
        <v>0.90008103209297396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1.96929142123987</v>
      </c>
    </row>
    <row r="1711" spans="1:24">
      <c r="A1711">
        <v>1482</v>
      </c>
      <c r="B1711" t="s">
        <v>4592</v>
      </c>
      <c r="C1711">
        <v>2</v>
      </c>
      <c r="D1711" t="s">
        <v>4593</v>
      </c>
      <c r="E1711">
        <v>8</v>
      </c>
      <c r="F1711">
        <v>8</v>
      </c>
      <c r="G1711">
        <v>8</v>
      </c>
      <c r="H1711" t="s">
        <v>4594</v>
      </c>
      <c r="I1711">
        <v>6.8</v>
      </c>
      <c r="J1711">
        <v>162.63</v>
      </c>
      <c r="K1711" t="str">
        <f>"EIF3A"</f>
        <v>EIF3A</v>
      </c>
      <c r="L1711" t="str">
        <f>"EIF3A"</f>
        <v>EIF3A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0.90008103209297396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</row>
    <row r="1712" spans="1:24">
      <c r="A1712">
        <v>1566</v>
      </c>
      <c r="B1712" t="s">
        <v>4595</v>
      </c>
      <c r="C1712">
        <v>5</v>
      </c>
      <c r="D1712" t="s">
        <v>4596</v>
      </c>
      <c r="E1712">
        <v>5</v>
      </c>
      <c r="F1712">
        <v>5</v>
      </c>
      <c r="G1712">
        <v>5</v>
      </c>
      <c r="H1712" t="s">
        <v>4597</v>
      </c>
      <c r="I1712">
        <v>14.3</v>
      </c>
      <c r="J1712">
        <v>52.698999999999998</v>
      </c>
      <c r="K1712" t="str">
        <f>"TRIP10"</f>
        <v>TRIP10</v>
      </c>
      <c r="L1712" t="str">
        <f>"TRIP10"</f>
        <v>TRIP10</v>
      </c>
      <c r="M1712">
        <v>0</v>
      </c>
      <c r="N1712">
        <v>0.89450172185430499</v>
      </c>
      <c r="O1712">
        <v>1.8238867883763601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</row>
    <row r="1713" spans="1:24">
      <c r="A1713">
        <v>1597</v>
      </c>
      <c r="B1713" t="s">
        <v>4598</v>
      </c>
      <c r="C1713">
        <v>3</v>
      </c>
      <c r="D1713" t="s">
        <v>4599</v>
      </c>
      <c r="E1713">
        <v>1</v>
      </c>
      <c r="F1713">
        <v>1</v>
      </c>
      <c r="G1713">
        <v>1</v>
      </c>
      <c r="H1713" t="s">
        <v>4600</v>
      </c>
      <c r="I1713">
        <v>11.2</v>
      </c>
      <c r="J1713">
        <v>21.725000000000001</v>
      </c>
      <c r="K1713" t="str">
        <f>"GUK1"</f>
        <v>GUK1</v>
      </c>
      <c r="L1713" t="str">
        <f>"GUK1"</f>
        <v>GUK1</v>
      </c>
      <c r="M1713">
        <v>0</v>
      </c>
      <c r="N1713">
        <v>0</v>
      </c>
      <c r="O1713">
        <v>0</v>
      </c>
      <c r="P1713">
        <v>1.0652189274447901</v>
      </c>
      <c r="Q1713">
        <v>0</v>
      </c>
      <c r="R1713">
        <v>0</v>
      </c>
      <c r="S1713">
        <v>0</v>
      </c>
      <c r="T1713">
        <v>0</v>
      </c>
      <c r="U1713">
        <v>1.10235831809872</v>
      </c>
      <c r="V1713">
        <v>0</v>
      </c>
      <c r="W1713">
        <v>0</v>
      </c>
      <c r="X1713">
        <v>0.984645710619934</v>
      </c>
    </row>
    <row r="1714" spans="1:24">
      <c r="A1714">
        <v>1610</v>
      </c>
      <c r="B1714" t="s">
        <v>4601</v>
      </c>
      <c r="C1714">
        <v>1</v>
      </c>
      <c r="D1714" t="s">
        <v>4602</v>
      </c>
      <c r="E1714">
        <v>1</v>
      </c>
      <c r="F1714">
        <v>1</v>
      </c>
      <c r="G1714">
        <v>1</v>
      </c>
      <c r="H1714" t="s">
        <v>4601</v>
      </c>
      <c r="I1714">
        <v>2.2000000000000002</v>
      </c>
      <c r="J1714">
        <v>55.65</v>
      </c>
      <c r="K1714" t="str">
        <f>"ALG11"</f>
        <v>ALG11</v>
      </c>
      <c r="L1714" t="str">
        <f>"ALG11"</f>
        <v>ALG11</v>
      </c>
      <c r="M1714">
        <v>0</v>
      </c>
      <c r="N1714">
        <v>0.89450172185430499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0.984645710619934</v>
      </c>
    </row>
    <row r="1715" spans="1:24">
      <c r="A1715">
        <v>1626</v>
      </c>
      <c r="B1715" t="s">
        <v>4603</v>
      </c>
      <c r="C1715">
        <v>2</v>
      </c>
      <c r="D1715" t="s">
        <v>4604</v>
      </c>
      <c r="E1715">
        <v>4</v>
      </c>
      <c r="F1715">
        <v>4</v>
      </c>
      <c r="G1715">
        <v>4</v>
      </c>
      <c r="H1715" t="s">
        <v>4605</v>
      </c>
      <c r="I1715">
        <v>13.9</v>
      </c>
      <c r="J1715">
        <v>35.536000000000001</v>
      </c>
      <c r="K1715" t="str">
        <f>"TP53I3"</f>
        <v>TP53I3</v>
      </c>
      <c r="L1715" t="str">
        <f>"TP53I3"</f>
        <v>TP53I3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0.90008103209297396</v>
      </c>
      <c r="S1715">
        <v>0</v>
      </c>
      <c r="T1715">
        <v>0</v>
      </c>
      <c r="U1715">
        <v>0</v>
      </c>
      <c r="V1715">
        <v>1.05063596764157</v>
      </c>
      <c r="W1715">
        <v>0</v>
      </c>
      <c r="X1715">
        <v>0</v>
      </c>
    </row>
    <row r="1716" spans="1:24">
      <c r="A1716">
        <v>1656</v>
      </c>
      <c r="B1716" t="s">
        <v>4606</v>
      </c>
      <c r="C1716">
        <v>1</v>
      </c>
      <c r="D1716" t="s">
        <v>4607</v>
      </c>
      <c r="E1716">
        <v>3</v>
      </c>
      <c r="F1716">
        <v>3</v>
      </c>
      <c r="G1716">
        <v>3</v>
      </c>
      <c r="H1716" t="s">
        <v>4606</v>
      </c>
      <c r="I1716">
        <v>3.5</v>
      </c>
      <c r="J1716">
        <v>110.67</v>
      </c>
      <c r="K1716" t="str">
        <f>"PEAR1"</f>
        <v>PEAR1</v>
      </c>
      <c r="L1716" t="str">
        <f>"PEAR1"</f>
        <v>PEAR1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</row>
    <row r="1717" spans="1:24">
      <c r="A1717">
        <v>1658</v>
      </c>
      <c r="B1717" t="s">
        <v>4608</v>
      </c>
      <c r="C1717">
        <v>4</v>
      </c>
      <c r="D1717" t="s">
        <v>4609</v>
      </c>
      <c r="E1717">
        <v>6</v>
      </c>
      <c r="F1717">
        <v>6</v>
      </c>
      <c r="G1717">
        <v>6</v>
      </c>
      <c r="H1717" t="s">
        <v>4610</v>
      </c>
      <c r="I1717">
        <v>7.2</v>
      </c>
      <c r="J1717">
        <v>147.09</v>
      </c>
      <c r="K1717" t="str">
        <f>"LRRC16A"</f>
        <v>LRRC16A</v>
      </c>
      <c r="L1717" t="str">
        <f>"LRRC16A"</f>
        <v>LRRC16A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1.27539809638918</v>
      </c>
      <c r="X1717">
        <v>0</v>
      </c>
    </row>
    <row r="1718" spans="1:24">
      <c r="A1718">
        <v>1707</v>
      </c>
      <c r="B1718" t="s">
        <v>4611</v>
      </c>
      <c r="C1718">
        <v>4</v>
      </c>
      <c r="D1718" t="s">
        <v>4612</v>
      </c>
      <c r="E1718">
        <v>7</v>
      </c>
      <c r="F1718">
        <v>6</v>
      </c>
      <c r="G1718">
        <v>6</v>
      </c>
      <c r="H1718" t="s">
        <v>4613</v>
      </c>
      <c r="I1718">
        <v>2.8</v>
      </c>
      <c r="J1718">
        <v>403.08</v>
      </c>
      <c r="K1718" t="str">
        <f>"VPS13C"</f>
        <v>VPS13C</v>
      </c>
      <c r="L1718" t="str">
        <f>"VPS13C"</f>
        <v>VPS13C</v>
      </c>
      <c r="M1718">
        <v>0</v>
      </c>
      <c r="N1718">
        <v>0.89450172185430499</v>
      </c>
      <c r="O1718">
        <v>0</v>
      </c>
      <c r="P1718">
        <v>0</v>
      </c>
      <c r="Q1718">
        <v>0</v>
      </c>
      <c r="R1718">
        <v>0.90008103209297396</v>
      </c>
      <c r="S1718">
        <v>0</v>
      </c>
      <c r="T1718">
        <v>1.18448996772836</v>
      </c>
      <c r="U1718">
        <v>0</v>
      </c>
      <c r="V1718">
        <v>0</v>
      </c>
      <c r="W1718">
        <v>0</v>
      </c>
      <c r="X1718">
        <v>0.984645710619934</v>
      </c>
    </row>
    <row r="1719" spans="1:24">
      <c r="A1719">
        <v>1783</v>
      </c>
      <c r="B1719" t="s">
        <v>4614</v>
      </c>
      <c r="C1719">
        <v>3</v>
      </c>
      <c r="D1719" t="s">
        <v>4615</v>
      </c>
      <c r="E1719">
        <v>2</v>
      </c>
      <c r="F1719">
        <v>2</v>
      </c>
      <c r="G1719">
        <v>2</v>
      </c>
      <c r="H1719" t="s">
        <v>4616</v>
      </c>
      <c r="I1719">
        <v>3.8</v>
      </c>
      <c r="J1719">
        <v>51.459000000000003</v>
      </c>
      <c r="K1719" t="str">
        <f>"GHDC"</f>
        <v>GHDC</v>
      </c>
      <c r="L1719" t="str">
        <f>"GHDC"</f>
        <v>GHDC</v>
      </c>
      <c r="M1719">
        <v>0</v>
      </c>
      <c r="N1719">
        <v>0.89450172185430499</v>
      </c>
      <c r="O1719">
        <v>0</v>
      </c>
      <c r="P1719">
        <v>0</v>
      </c>
      <c r="Q1719">
        <v>0</v>
      </c>
      <c r="R1719">
        <v>0.90008103209297396</v>
      </c>
      <c r="S1719">
        <v>0</v>
      </c>
      <c r="T1719">
        <v>0</v>
      </c>
      <c r="U1719">
        <v>1.10235831809872</v>
      </c>
      <c r="V1719">
        <v>0</v>
      </c>
      <c r="W1719">
        <v>0</v>
      </c>
      <c r="X1719">
        <v>0.984645710619934</v>
      </c>
    </row>
    <row r="1720" spans="1:24">
      <c r="A1720">
        <v>1809</v>
      </c>
      <c r="B1720" t="s">
        <v>4617</v>
      </c>
      <c r="C1720">
        <v>1</v>
      </c>
      <c r="D1720" t="s">
        <v>4618</v>
      </c>
      <c r="E1720">
        <v>2</v>
      </c>
      <c r="F1720">
        <v>2</v>
      </c>
      <c r="G1720">
        <v>2</v>
      </c>
      <c r="H1720" t="s">
        <v>4617</v>
      </c>
      <c r="I1720">
        <v>6.5</v>
      </c>
      <c r="J1720">
        <v>49.481000000000002</v>
      </c>
      <c r="K1720" t="str">
        <f>"C3orf58"</f>
        <v>C3orf58</v>
      </c>
      <c r="L1720" t="str">
        <f>"C3orf58"</f>
        <v>C3orf58</v>
      </c>
      <c r="M1720">
        <v>1.2103892752168599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</row>
    <row r="1721" spans="1:24">
      <c r="A1721">
        <v>1836</v>
      </c>
      <c r="B1721" t="s">
        <v>4619</v>
      </c>
      <c r="C1721">
        <v>11</v>
      </c>
      <c r="D1721" t="s">
        <v>4620</v>
      </c>
      <c r="E1721">
        <v>4</v>
      </c>
      <c r="F1721">
        <v>4</v>
      </c>
      <c r="G1721">
        <v>4</v>
      </c>
      <c r="H1721" t="s">
        <v>4621</v>
      </c>
      <c r="I1721">
        <v>6.3</v>
      </c>
      <c r="J1721">
        <v>108.54</v>
      </c>
      <c r="K1721" t="str">
        <f>"PARD3"</f>
        <v>PARD3</v>
      </c>
      <c r="L1721" t="str">
        <f>"PARD3"</f>
        <v>PARD3</v>
      </c>
      <c r="M1721">
        <v>0</v>
      </c>
      <c r="N1721">
        <v>0</v>
      </c>
      <c r="O1721">
        <v>0.91194339418818204</v>
      </c>
      <c r="P1721">
        <v>0</v>
      </c>
      <c r="Q1721">
        <v>0</v>
      </c>
      <c r="R1721">
        <v>0.90008103209297396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>
      <c r="A1722">
        <v>1858</v>
      </c>
      <c r="B1722" t="s">
        <v>4622</v>
      </c>
      <c r="C1722">
        <v>1</v>
      </c>
      <c r="D1722" t="s">
        <v>4623</v>
      </c>
      <c r="E1722">
        <v>1</v>
      </c>
      <c r="F1722">
        <v>1</v>
      </c>
      <c r="G1722">
        <v>1</v>
      </c>
      <c r="H1722" t="s">
        <v>4622</v>
      </c>
      <c r="I1722">
        <v>5.5</v>
      </c>
      <c r="J1722">
        <v>29.815999999999999</v>
      </c>
      <c r="K1722" t="str">
        <f>"PSMF1"</f>
        <v>PSMF1</v>
      </c>
      <c r="L1722" t="str">
        <f>"PSMF1"</f>
        <v>PSMF1</v>
      </c>
      <c r="M1722">
        <v>1.2103892752168599</v>
      </c>
      <c r="N1722">
        <v>0</v>
      </c>
      <c r="O1722">
        <v>0</v>
      </c>
      <c r="P1722">
        <v>1.0652189274447901</v>
      </c>
      <c r="Q1722">
        <v>0</v>
      </c>
      <c r="R1722">
        <v>0</v>
      </c>
      <c r="S1722">
        <v>0</v>
      </c>
      <c r="T1722">
        <v>1.18448996772836</v>
      </c>
      <c r="U1722">
        <v>0</v>
      </c>
      <c r="V1722">
        <v>0</v>
      </c>
      <c r="W1722">
        <v>0</v>
      </c>
      <c r="X1722">
        <v>0</v>
      </c>
    </row>
    <row r="1723" spans="1:24">
      <c r="A1723">
        <v>1896</v>
      </c>
      <c r="B1723" t="s">
        <v>4624</v>
      </c>
      <c r="C1723">
        <v>2</v>
      </c>
      <c r="D1723" t="s">
        <v>4625</v>
      </c>
      <c r="E1723">
        <v>1</v>
      </c>
      <c r="F1723">
        <v>1</v>
      </c>
      <c r="G1723">
        <v>1</v>
      </c>
      <c r="H1723" t="s">
        <v>4626</v>
      </c>
      <c r="I1723">
        <v>5.6</v>
      </c>
      <c r="J1723">
        <v>22.047000000000001</v>
      </c>
      <c r="K1723" t="str">
        <f>"SCAMP4"</f>
        <v>SCAMP4</v>
      </c>
      <c r="L1723" t="str">
        <f>"SCAMP4"</f>
        <v>SCAMP4</v>
      </c>
      <c r="M1723">
        <v>0</v>
      </c>
      <c r="N1723">
        <v>0</v>
      </c>
      <c r="O1723">
        <v>0.91194339418818204</v>
      </c>
      <c r="P1723">
        <v>0</v>
      </c>
      <c r="Q1723">
        <v>0</v>
      </c>
      <c r="R1723">
        <v>0.90008103209297396</v>
      </c>
      <c r="S1723">
        <v>1.1331355704698001</v>
      </c>
      <c r="T1723">
        <v>1.18448996772836</v>
      </c>
      <c r="U1723">
        <v>0</v>
      </c>
      <c r="V1723">
        <v>0</v>
      </c>
      <c r="W1723">
        <v>0</v>
      </c>
      <c r="X1723">
        <v>0</v>
      </c>
    </row>
    <row r="1724" spans="1:24">
      <c r="A1724">
        <v>1940</v>
      </c>
      <c r="B1724" t="s">
        <v>4627</v>
      </c>
      <c r="C1724">
        <v>2</v>
      </c>
      <c r="D1724" t="s">
        <v>4628</v>
      </c>
      <c r="E1724">
        <v>2</v>
      </c>
      <c r="F1724">
        <v>2</v>
      </c>
      <c r="G1724">
        <v>2</v>
      </c>
      <c r="H1724" t="s">
        <v>4629</v>
      </c>
      <c r="I1724">
        <v>4.5</v>
      </c>
      <c r="J1724">
        <v>46.290999999999997</v>
      </c>
      <c r="K1724" t="str">
        <f>"GMPPA"</f>
        <v>GMPPA</v>
      </c>
      <c r="L1724" t="str">
        <f>"GMPPA"</f>
        <v>GMPPA</v>
      </c>
      <c r="M1724">
        <v>0</v>
      </c>
      <c r="N1724">
        <v>0</v>
      </c>
      <c r="O1724">
        <v>0.91194339418818204</v>
      </c>
      <c r="P1724">
        <v>0</v>
      </c>
      <c r="Q1724">
        <v>0</v>
      </c>
      <c r="R1724">
        <v>0.90008103209297396</v>
      </c>
      <c r="S1724">
        <v>0</v>
      </c>
      <c r="T1724">
        <v>0</v>
      </c>
      <c r="U1724">
        <v>0</v>
      </c>
      <c r="V1724">
        <v>1.05063596764157</v>
      </c>
      <c r="W1724">
        <v>0</v>
      </c>
      <c r="X1724">
        <v>0.984645710619934</v>
      </c>
    </row>
    <row r="1725" spans="1:24">
      <c r="A1725">
        <v>1966</v>
      </c>
      <c r="B1725" t="s">
        <v>4630</v>
      </c>
      <c r="C1725">
        <v>2</v>
      </c>
      <c r="D1725" t="s">
        <v>4631</v>
      </c>
      <c r="E1725">
        <v>2</v>
      </c>
      <c r="F1725">
        <v>2</v>
      </c>
      <c r="G1725">
        <v>2</v>
      </c>
      <c r="H1725" t="s">
        <v>4632</v>
      </c>
      <c r="I1725">
        <v>6.2</v>
      </c>
      <c r="J1725">
        <v>47.634</v>
      </c>
      <c r="K1725" t="str">
        <f>"PANX1"</f>
        <v>PANX1</v>
      </c>
      <c r="L1725" t="str">
        <f>"PANX1"</f>
        <v>PANX1</v>
      </c>
      <c r="M1725">
        <v>1.2103892752168599</v>
      </c>
      <c r="N1725">
        <v>0</v>
      </c>
      <c r="O1725">
        <v>0</v>
      </c>
      <c r="P1725">
        <v>0</v>
      </c>
      <c r="Q1725">
        <v>0</v>
      </c>
      <c r="R1725">
        <v>0.90008103209297396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</row>
    <row r="1726" spans="1:24">
      <c r="A1726">
        <v>1975</v>
      </c>
      <c r="B1726" t="s">
        <v>4633</v>
      </c>
      <c r="C1726">
        <v>5</v>
      </c>
      <c r="D1726" t="s">
        <v>4634</v>
      </c>
      <c r="E1726">
        <v>4</v>
      </c>
      <c r="F1726">
        <v>4</v>
      </c>
      <c r="G1726">
        <v>4</v>
      </c>
      <c r="H1726" t="s">
        <v>4635</v>
      </c>
      <c r="I1726">
        <v>5.3</v>
      </c>
      <c r="J1726">
        <v>113.29</v>
      </c>
      <c r="K1726" t="str">
        <f>"MMS19"</f>
        <v>MMS19</v>
      </c>
      <c r="L1726" t="str">
        <f>"MMS19"</f>
        <v>MMS19</v>
      </c>
      <c r="M1726">
        <v>1.2103892752168599</v>
      </c>
      <c r="N1726">
        <v>0</v>
      </c>
      <c r="O1726">
        <v>0.91194339418818204</v>
      </c>
      <c r="P1726">
        <v>0</v>
      </c>
      <c r="Q1726">
        <v>0</v>
      </c>
      <c r="R1726">
        <v>0.90008103209297396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0.984645710619934</v>
      </c>
    </row>
    <row r="1727" spans="1:24">
      <c r="A1727">
        <v>1987</v>
      </c>
      <c r="B1727" t="s">
        <v>4636</v>
      </c>
      <c r="C1727">
        <v>3</v>
      </c>
      <c r="D1727" t="s">
        <v>4637</v>
      </c>
      <c r="E1727">
        <v>4</v>
      </c>
      <c r="F1727">
        <v>4</v>
      </c>
      <c r="G1727">
        <v>4</v>
      </c>
      <c r="H1727" t="s">
        <v>4638</v>
      </c>
      <c r="I1727">
        <v>24.3</v>
      </c>
      <c r="J1727">
        <v>28.341000000000001</v>
      </c>
      <c r="K1727" t="str">
        <f>"VAT1"</f>
        <v>VAT1</v>
      </c>
      <c r="L1727" t="str">
        <f>"VAT1"</f>
        <v>VAT1</v>
      </c>
      <c r="M1727">
        <v>0</v>
      </c>
      <c r="N1727">
        <v>0</v>
      </c>
      <c r="O1727">
        <v>0.91194339418818204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1.05063596764157</v>
      </c>
      <c r="W1727">
        <v>1.27539809638918</v>
      </c>
      <c r="X1727">
        <v>0</v>
      </c>
    </row>
    <row r="1728" spans="1:24">
      <c r="A1728">
        <v>2024</v>
      </c>
      <c r="B1728" t="s">
        <v>4639</v>
      </c>
      <c r="C1728">
        <v>1</v>
      </c>
      <c r="D1728" t="s">
        <v>4640</v>
      </c>
      <c r="E1728">
        <v>3</v>
      </c>
      <c r="F1728">
        <v>3</v>
      </c>
      <c r="G1728">
        <v>3</v>
      </c>
      <c r="H1728" t="s">
        <v>4639</v>
      </c>
      <c r="I1728">
        <v>16.2</v>
      </c>
      <c r="J1728">
        <v>30.748000000000001</v>
      </c>
      <c r="K1728" t="str">
        <f>"CNPY3"</f>
        <v>CNPY3</v>
      </c>
      <c r="L1728" t="str">
        <f>"CNPY3"</f>
        <v>CNPY3</v>
      </c>
      <c r="M1728">
        <v>0</v>
      </c>
      <c r="N1728">
        <v>0</v>
      </c>
      <c r="O1728">
        <v>0.91194339418818204</v>
      </c>
      <c r="P1728">
        <v>0</v>
      </c>
      <c r="Q1728">
        <v>0</v>
      </c>
      <c r="R1728">
        <v>0</v>
      </c>
      <c r="S1728">
        <v>1.1331355704698001</v>
      </c>
      <c r="T1728">
        <v>0</v>
      </c>
      <c r="U1728">
        <v>0</v>
      </c>
      <c r="V1728">
        <v>0</v>
      </c>
      <c r="W1728">
        <v>0</v>
      </c>
      <c r="X1728">
        <v>0.984645710619934</v>
      </c>
    </row>
    <row r="1729" spans="1:24">
      <c r="A1729">
        <v>2045</v>
      </c>
      <c r="B1729" t="s">
        <v>4641</v>
      </c>
      <c r="C1729">
        <v>7</v>
      </c>
      <c r="D1729" t="s">
        <v>4642</v>
      </c>
      <c r="E1729">
        <v>5</v>
      </c>
      <c r="F1729">
        <v>5</v>
      </c>
      <c r="G1729">
        <v>5</v>
      </c>
      <c r="H1729" t="s">
        <v>4643</v>
      </c>
      <c r="I1729">
        <v>6.2</v>
      </c>
      <c r="J1729">
        <v>101.27</v>
      </c>
      <c r="K1729" t="str">
        <f>"NAA15;NAA16"</f>
        <v>NAA15;NAA16</v>
      </c>
      <c r="L1729" t="str">
        <f>"NAA15;NAA16"</f>
        <v>NAA15;NAA16</v>
      </c>
      <c r="M1729">
        <v>0</v>
      </c>
      <c r="N1729">
        <v>0</v>
      </c>
      <c r="O1729">
        <v>1.8238867883763601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1.10235831809872</v>
      </c>
      <c r="V1729">
        <v>0</v>
      </c>
      <c r="W1729">
        <v>0</v>
      </c>
      <c r="X1729">
        <v>0</v>
      </c>
    </row>
    <row r="1730" spans="1:24">
      <c r="A1730">
        <v>2057</v>
      </c>
      <c r="B1730" t="s">
        <v>4644</v>
      </c>
      <c r="C1730">
        <v>5</v>
      </c>
      <c r="D1730" t="s">
        <v>4645</v>
      </c>
      <c r="E1730">
        <v>2</v>
      </c>
      <c r="F1730">
        <v>2</v>
      </c>
      <c r="G1730">
        <v>2</v>
      </c>
      <c r="H1730" t="s">
        <v>4646</v>
      </c>
      <c r="I1730">
        <v>3.5</v>
      </c>
      <c r="J1730">
        <v>77.168000000000006</v>
      </c>
      <c r="K1730" t="str">
        <f>"PPP1R12C"</f>
        <v>PPP1R12C</v>
      </c>
      <c r="L1730" t="str">
        <f>"PPP1R12C"</f>
        <v>PPP1R12C</v>
      </c>
      <c r="M1730">
        <v>0</v>
      </c>
      <c r="N1730">
        <v>0.89450172185430499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1.27539809638918</v>
      </c>
      <c r="X1730">
        <v>0</v>
      </c>
    </row>
    <row r="1731" spans="1:24">
      <c r="A1731">
        <v>2135</v>
      </c>
      <c r="B1731" t="s">
        <v>4647</v>
      </c>
      <c r="C1731">
        <v>2</v>
      </c>
      <c r="D1731" t="s">
        <v>4648</v>
      </c>
      <c r="E1731">
        <v>4</v>
      </c>
      <c r="F1731">
        <v>4</v>
      </c>
      <c r="G1731">
        <v>4</v>
      </c>
      <c r="H1731" t="s">
        <v>4649</v>
      </c>
      <c r="I1731">
        <v>7.7</v>
      </c>
      <c r="J1731">
        <v>88.597999999999999</v>
      </c>
      <c r="K1731" t="str">
        <f>"ABCB6"</f>
        <v>ABCB6</v>
      </c>
      <c r="L1731" t="str">
        <f>"ABCB6"</f>
        <v>ABCB6</v>
      </c>
      <c r="M1731">
        <v>0</v>
      </c>
      <c r="N1731">
        <v>0.89450172185430499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0.984645710619934</v>
      </c>
    </row>
    <row r="1732" spans="1:24">
      <c r="A1732">
        <v>2167</v>
      </c>
      <c r="B1732" t="s">
        <v>4650</v>
      </c>
      <c r="C1732">
        <v>1</v>
      </c>
      <c r="D1732" t="s">
        <v>4651</v>
      </c>
      <c r="E1732">
        <v>2</v>
      </c>
      <c r="F1732">
        <v>2</v>
      </c>
      <c r="G1732">
        <v>2</v>
      </c>
      <c r="H1732" t="s">
        <v>4650</v>
      </c>
      <c r="I1732">
        <v>6</v>
      </c>
      <c r="J1732">
        <v>50.853999999999999</v>
      </c>
      <c r="K1732" t="str">
        <f>"LANCL2"</f>
        <v>LANCL2</v>
      </c>
      <c r="L1732" t="str">
        <f>"LANCL2"</f>
        <v>LANCL2</v>
      </c>
      <c r="M1732">
        <v>0</v>
      </c>
      <c r="N1732">
        <v>0</v>
      </c>
      <c r="O1732">
        <v>0</v>
      </c>
      <c r="P1732">
        <v>0</v>
      </c>
      <c r="Q1732">
        <v>1.25576199330606</v>
      </c>
      <c r="R1732">
        <v>0</v>
      </c>
      <c r="S1732">
        <v>0</v>
      </c>
      <c r="T1732">
        <v>0</v>
      </c>
      <c r="U1732">
        <v>0</v>
      </c>
      <c r="V1732">
        <v>1.05063596764157</v>
      </c>
      <c r="W1732">
        <v>1.27539809638918</v>
      </c>
      <c r="X1732">
        <v>0</v>
      </c>
    </row>
    <row r="1733" spans="1:24">
      <c r="A1733">
        <v>2309</v>
      </c>
      <c r="B1733" t="s">
        <v>4652</v>
      </c>
      <c r="C1733">
        <v>2</v>
      </c>
      <c r="D1733" t="s">
        <v>4653</v>
      </c>
      <c r="E1733">
        <v>7</v>
      </c>
      <c r="F1733">
        <v>7</v>
      </c>
      <c r="G1733">
        <v>7</v>
      </c>
      <c r="H1733" t="s">
        <v>4654</v>
      </c>
      <c r="I1733">
        <v>19.899999999999999</v>
      </c>
      <c r="J1733">
        <v>51.155999999999999</v>
      </c>
      <c r="K1733" t="str">
        <f>"RUVBL2"</f>
        <v>RUVBL2</v>
      </c>
      <c r="L1733" t="str">
        <f>"RUVBL2"</f>
        <v>RUVBL2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2.7002430962789199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0.984645710619934</v>
      </c>
    </row>
    <row r="1734" spans="1:24">
      <c r="A1734">
        <v>2310</v>
      </c>
      <c r="B1734" t="s">
        <v>4655</v>
      </c>
      <c r="C1734">
        <v>1</v>
      </c>
      <c r="D1734" t="s">
        <v>4656</v>
      </c>
      <c r="E1734">
        <v>2</v>
      </c>
      <c r="F1734">
        <v>2</v>
      </c>
      <c r="G1734">
        <v>2</v>
      </c>
      <c r="H1734" t="s">
        <v>4655</v>
      </c>
      <c r="I1734">
        <v>6.8</v>
      </c>
      <c r="J1734">
        <v>35.694000000000003</v>
      </c>
      <c r="K1734" t="str">
        <f>"CLEC11A"</f>
        <v>CLEC11A</v>
      </c>
      <c r="L1734" t="str">
        <f>"CLEC11A"</f>
        <v>CLEC11A</v>
      </c>
      <c r="M1734">
        <v>0</v>
      </c>
      <c r="N1734">
        <v>0</v>
      </c>
      <c r="O1734">
        <v>0</v>
      </c>
      <c r="P1734">
        <v>1.0652189274447901</v>
      </c>
      <c r="Q1734">
        <v>0</v>
      </c>
      <c r="R1734">
        <v>0.90008103209297396</v>
      </c>
      <c r="S1734">
        <v>0</v>
      </c>
      <c r="T1734">
        <v>0</v>
      </c>
      <c r="U1734">
        <v>0</v>
      </c>
      <c r="V1734">
        <v>1.05063596764157</v>
      </c>
      <c r="W1734">
        <v>0</v>
      </c>
      <c r="X1734">
        <v>0</v>
      </c>
    </row>
    <row r="1735" spans="1:24">
      <c r="A1735">
        <v>2319</v>
      </c>
      <c r="B1735" t="s">
        <v>4657</v>
      </c>
      <c r="C1735">
        <v>2</v>
      </c>
      <c r="D1735" t="s">
        <v>4658</v>
      </c>
      <c r="E1735">
        <v>5</v>
      </c>
      <c r="F1735">
        <v>1</v>
      </c>
      <c r="G1735">
        <v>1</v>
      </c>
      <c r="H1735" t="s">
        <v>4659</v>
      </c>
      <c r="I1735">
        <v>33.6</v>
      </c>
      <c r="J1735">
        <v>16.916</v>
      </c>
      <c r="K1735" t="str">
        <f>"CFL2"</f>
        <v>CFL2</v>
      </c>
      <c r="L1735" t="str">
        <f>"CFL2"</f>
        <v>CFL2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1.1331355704698001</v>
      </c>
      <c r="T1735">
        <v>0</v>
      </c>
      <c r="U1735">
        <v>0</v>
      </c>
      <c r="V1735">
        <v>1.05063596764157</v>
      </c>
      <c r="W1735">
        <v>1.27539809638918</v>
      </c>
      <c r="X1735">
        <v>0.984645710619934</v>
      </c>
    </row>
    <row r="1736" spans="1:24">
      <c r="A1736">
        <v>2324</v>
      </c>
      <c r="B1736" t="s">
        <v>4660</v>
      </c>
      <c r="C1736">
        <v>2</v>
      </c>
      <c r="D1736" t="s">
        <v>4661</v>
      </c>
      <c r="E1736">
        <v>2</v>
      </c>
      <c r="F1736">
        <v>2</v>
      </c>
      <c r="G1736">
        <v>2</v>
      </c>
      <c r="H1736" t="s">
        <v>4662</v>
      </c>
      <c r="I1736">
        <v>1</v>
      </c>
      <c r="J1736">
        <v>237.13</v>
      </c>
      <c r="K1736" t="str">
        <f>"PIKFYVE"</f>
        <v>PIKFYVE</v>
      </c>
      <c r="L1736" t="str">
        <f>"PIKFYVE"</f>
        <v>PIKFYVE</v>
      </c>
      <c r="M1736">
        <v>1.2103892752168599</v>
      </c>
      <c r="N1736">
        <v>0</v>
      </c>
      <c r="O1736">
        <v>0</v>
      </c>
      <c r="P1736">
        <v>1.0652189274447901</v>
      </c>
      <c r="Q1736">
        <v>2.51152398661212</v>
      </c>
      <c r="R1736">
        <v>0.90008103209297396</v>
      </c>
      <c r="S1736">
        <v>0</v>
      </c>
      <c r="T1736">
        <v>1.18448996772836</v>
      </c>
      <c r="U1736">
        <v>0</v>
      </c>
      <c r="V1736">
        <v>1.05063596764157</v>
      </c>
      <c r="W1736">
        <v>0</v>
      </c>
      <c r="X1736">
        <v>0</v>
      </c>
    </row>
    <row r="1737" spans="1:24">
      <c r="A1737">
        <v>2370</v>
      </c>
      <c r="B1737" t="s">
        <v>4663</v>
      </c>
      <c r="C1737">
        <v>1</v>
      </c>
      <c r="D1737" t="s">
        <v>4664</v>
      </c>
      <c r="E1737">
        <v>5</v>
      </c>
      <c r="F1737">
        <v>5</v>
      </c>
      <c r="G1737">
        <v>5</v>
      </c>
      <c r="H1737" t="s">
        <v>4663</v>
      </c>
      <c r="I1737">
        <v>15.6</v>
      </c>
      <c r="J1737">
        <v>46.816000000000003</v>
      </c>
      <c r="K1737" t="str">
        <f>"SNX5"</f>
        <v>SNX5</v>
      </c>
      <c r="L1737" t="str">
        <f>"SNX5"</f>
        <v>SNX5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1.1331355704698001</v>
      </c>
      <c r="T1737">
        <v>0</v>
      </c>
      <c r="U1737">
        <v>0</v>
      </c>
      <c r="V1737">
        <v>0</v>
      </c>
      <c r="W1737">
        <v>0</v>
      </c>
      <c r="X1737">
        <v>0.984645710619934</v>
      </c>
    </row>
    <row r="1738" spans="1:24">
      <c r="A1738">
        <v>98</v>
      </c>
      <c r="B1738" t="s">
        <v>4665</v>
      </c>
      <c r="C1738">
        <v>2</v>
      </c>
      <c r="D1738" t="s">
        <v>4666</v>
      </c>
      <c r="E1738">
        <v>4</v>
      </c>
      <c r="F1738">
        <v>4</v>
      </c>
      <c r="G1738">
        <v>4</v>
      </c>
      <c r="H1738" t="s">
        <v>4667</v>
      </c>
      <c r="I1738">
        <v>21</v>
      </c>
      <c r="J1738">
        <v>38.286999999999999</v>
      </c>
      <c r="K1738" t="str">
        <f>"SCAMP3"</f>
        <v>SCAMP3</v>
      </c>
      <c r="L1738" t="str">
        <f>"SCAMP3"</f>
        <v>SCAMP3</v>
      </c>
      <c r="M1738">
        <v>0</v>
      </c>
      <c r="N1738">
        <v>0</v>
      </c>
      <c r="O1738">
        <v>0</v>
      </c>
      <c r="P1738">
        <v>1.0652189274447901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1.05063596764157</v>
      </c>
      <c r="W1738">
        <v>0</v>
      </c>
      <c r="X1738">
        <v>0</v>
      </c>
    </row>
    <row r="1739" spans="1:24">
      <c r="A1739">
        <v>131</v>
      </c>
      <c r="B1739" t="s">
        <v>4668</v>
      </c>
      <c r="C1739">
        <v>1</v>
      </c>
      <c r="D1739" t="s">
        <v>4669</v>
      </c>
      <c r="E1739">
        <v>4</v>
      </c>
      <c r="F1739">
        <v>4</v>
      </c>
      <c r="G1739">
        <v>4</v>
      </c>
      <c r="H1739" t="s">
        <v>4668</v>
      </c>
      <c r="I1739">
        <v>20.2</v>
      </c>
      <c r="J1739">
        <v>39.93</v>
      </c>
      <c r="K1739" t="str">
        <f>"EIF3H"</f>
        <v>EIF3H</v>
      </c>
      <c r="L1739" t="str">
        <f>"EIF3H"</f>
        <v>EIF3H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</row>
    <row r="1740" spans="1:24">
      <c r="A1740">
        <v>225</v>
      </c>
      <c r="B1740" t="s">
        <v>4670</v>
      </c>
      <c r="C1740">
        <v>2</v>
      </c>
      <c r="D1740" t="s">
        <v>4671</v>
      </c>
      <c r="E1740">
        <v>2</v>
      </c>
      <c r="F1740">
        <v>2</v>
      </c>
      <c r="G1740">
        <v>2</v>
      </c>
      <c r="H1740" t="s">
        <v>4672</v>
      </c>
      <c r="I1740">
        <v>10.7</v>
      </c>
      <c r="J1740">
        <v>20.213999999999999</v>
      </c>
      <c r="K1740" t="str">
        <f>"TIPRL"</f>
        <v>TIPRL</v>
      </c>
      <c r="L1740" t="str">
        <f>"TIPRL"</f>
        <v>TIPRL</v>
      </c>
      <c r="M1740">
        <v>0</v>
      </c>
      <c r="N1740">
        <v>0</v>
      </c>
      <c r="O1740">
        <v>0.91194339418818204</v>
      </c>
      <c r="P1740">
        <v>0</v>
      </c>
      <c r="Q1740">
        <v>0</v>
      </c>
      <c r="R1740">
        <v>0.90008103209297396</v>
      </c>
      <c r="S1740">
        <v>0</v>
      </c>
      <c r="T1740">
        <v>0</v>
      </c>
      <c r="U1740">
        <v>0</v>
      </c>
      <c r="V1740">
        <v>0</v>
      </c>
      <c r="W1740">
        <v>1.27539809638918</v>
      </c>
      <c r="X1740">
        <v>0</v>
      </c>
    </row>
    <row r="1741" spans="1:24">
      <c r="A1741">
        <v>267</v>
      </c>
      <c r="B1741" t="s">
        <v>4673</v>
      </c>
      <c r="C1741">
        <v>2</v>
      </c>
      <c r="D1741" t="s">
        <v>4674</v>
      </c>
      <c r="E1741">
        <v>4</v>
      </c>
      <c r="F1741">
        <v>4</v>
      </c>
      <c r="G1741">
        <v>4</v>
      </c>
      <c r="H1741" t="s">
        <v>4675</v>
      </c>
      <c r="I1741">
        <v>19.100000000000001</v>
      </c>
      <c r="J1741">
        <v>32.338999999999999</v>
      </c>
      <c r="K1741" t="str">
        <f>"AHSA1"</f>
        <v>AHSA1</v>
      </c>
      <c r="L1741" t="str">
        <f>"AHSA1"</f>
        <v>AHSA1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</row>
    <row r="1742" spans="1:24">
      <c r="A1742">
        <v>347</v>
      </c>
      <c r="B1742" t="s">
        <v>4676</v>
      </c>
      <c r="C1742">
        <v>1</v>
      </c>
      <c r="D1742" t="s">
        <v>4677</v>
      </c>
      <c r="E1742">
        <v>2</v>
      </c>
      <c r="F1742">
        <v>2</v>
      </c>
      <c r="G1742">
        <v>2</v>
      </c>
      <c r="H1742" t="s">
        <v>4676</v>
      </c>
      <c r="I1742">
        <v>31.2</v>
      </c>
      <c r="J1742">
        <v>11.87</v>
      </c>
      <c r="K1742" t="s">
        <v>2773</v>
      </c>
      <c r="L1742" t="s">
        <v>2773</v>
      </c>
      <c r="M1742">
        <v>1.2103892752168599</v>
      </c>
      <c r="N1742">
        <v>0</v>
      </c>
      <c r="O1742">
        <v>0</v>
      </c>
      <c r="P1742">
        <v>0</v>
      </c>
      <c r="Q1742">
        <v>1.25576199330606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</row>
    <row r="1743" spans="1:24">
      <c r="A1743">
        <v>355</v>
      </c>
      <c r="B1743" t="s">
        <v>4678</v>
      </c>
      <c r="C1743">
        <v>1</v>
      </c>
      <c r="D1743" t="s">
        <v>4679</v>
      </c>
      <c r="E1743">
        <v>2</v>
      </c>
      <c r="F1743">
        <v>2</v>
      </c>
      <c r="G1743">
        <v>1</v>
      </c>
      <c r="H1743" t="s">
        <v>4678</v>
      </c>
      <c r="I1743">
        <v>24.8</v>
      </c>
      <c r="J1743">
        <v>11.922000000000001</v>
      </c>
      <c r="K1743" t="s">
        <v>4680</v>
      </c>
      <c r="L1743" t="s">
        <v>4680</v>
      </c>
      <c r="M1743">
        <v>0</v>
      </c>
      <c r="N1743">
        <v>0</v>
      </c>
      <c r="O1743">
        <v>0.91194339418818204</v>
      </c>
      <c r="P1743">
        <v>1.0652189274447901</v>
      </c>
      <c r="Q1743">
        <v>1.25576199330606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</row>
    <row r="1744" spans="1:24">
      <c r="A1744">
        <v>357</v>
      </c>
      <c r="B1744" t="s">
        <v>4681</v>
      </c>
      <c r="C1744">
        <v>1</v>
      </c>
      <c r="D1744" t="s">
        <v>4682</v>
      </c>
      <c r="E1744">
        <v>1</v>
      </c>
      <c r="F1744">
        <v>1</v>
      </c>
      <c r="G1744">
        <v>1</v>
      </c>
      <c r="H1744" t="s">
        <v>4681</v>
      </c>
      <c r="I1744">
        <v>8.1</v>
      </c>
      <c r="J1744">
        <v>11.513999999999999</v>
      </c>
      <c r="K1744" t="s">
        <v>4683</v>
      </c>
      <c r="L1744" t="s">
        <v>4683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1.1331355704698001</v>
      </c>
      <c r="T1744">
        <v>0</v>
      </c>
      <c r="U1744">
        <v>0</v>
      </c>
      <c r="V1744">
        <v>0</v>
      </c>
      <c r="W1744">
        <v>1.27539809638918</v>
      </c>
      <c r="X1744">
        <v>0</v>
      </c>
    </row>
    <row r="1745" spans="1:24">
      <c r="A1745">
        <v>440</v>
      </c>
      <c r="B1745" t="s">
        <v>4684</v>
      </c>
      <c r="C1745">
        <v>1</v>
      </c>
      <c r="D1745" t="s">
        <v>4685</v>
      </c>
      <c r="E1745">
        <v>2</v>
      </c>
      <c r="F1745">
        <v>2</v>
      </c>
      <c r="G1745">
        <v>2</v>
      </c>
      <c r="H1745" t="s">
        <v>4684</v>
      </c>
      <c r="I1745">
        <v>33.700000000000003</v>
      </c>
      <c r="J1745">
        <v>11.138999999999999</v>
      </c>
      <c r="K1745" t="str">
        <f>"CSTB"</f>
        <v>CSTB</v>
      </c>
      <c r="L1745" t="str">
        <f>"CSTB"</f>
        <v>CSTB</v>
      </c>
      <c r="M1745">
        <v>0</v>
      </c>
      <c r="N1745">
        <v>0</v>
      </c>
      <c r="O1745">
        <v>0.91194339418818204</v>
      </c>
      <c r="P1745">
        <v>1.0652189274447901</v>
      </c>
      <c r="Q1745">
        <v>0</v>
      </c>
      <c r="R1745">
        <v>0.90008103209297396</v>
      </c>
      <c r="S1745">
        <v>0</v>
      </c>
      <c r="T1745">
        <v>0</v>
      </c>
      <c r="U1745">
        <v>1.10235831809872</v>
      </c>
      <c r="V1745">
        <v>0</v>
      </c>
      <c r="W1745">
        <v>0</v>
      </c>
      <c r="X1745">
        <v>0</v>
      </c>
    </row>
    <row r="1746" spans="1:24">
      <c r="A1746">
        <v>462</v>
      </c>
      <c r="B1746" t="s">
        <v>4686</v>
      </c>
      <c r="C1746">
        <v>1</v>
      </c>
      <c r="D1746" t="s">
        <v>4687</v>
      </c>
      <c r="E1746">
        <v>1</v>
      </c>
      <c r="F1746">
        <v>1</v>
      </c>
      <c r="G1746">
        <v>1</v>
      </c>
      <c r="H1746" t="s">
        <v>4686</v>
      </c>
      <c r="I1746">
        <v>14</v>
      </c>
      <c r="J1746">
        <v>14.069000000000001</v>
      </c>
      <c r="K1746" t="s">
        <v>2773</v>
      </c>
      <c r="L1746" t="s">
        <v>2773</v>
      </c>
      <c r="M1746">
        <v>0</v>
      </c>
      <c r="N1746">
        <v>0</v>
      </c>
      <c r="O1746">
        <v>0.91194339418818204</v>
      </c>
      <c r="P1746">
        <v>1.0652189274447901</v>
      </c>
      <c r="Q1746">
        <v>0</v>
      </c>
      <c r="R1746">
        <v>0</v>
      </c>
      <c r="S1746">
        <v>1.1331355704698001</v>
      </c>
      <c r="T1746">
        <v>0</v>
      </c>
      <c r="U1746">
        <v>0</v>
      </c>
      <c r="V1746">
        <v>0</v>
      </c>
      <c r="W1746">
        <v>1.27539809638918</v>
      </c>
      <c r="X1746">
        <v>0</v>
      </c>
    </row>
    <row r="1747" spans="1:24">
      <c r="A1747">
        <v>760</v>
      </c>
      <c r="B1747" t="s">
        <v>4688</v>
      </c>
      <c r="C1747">
        <v>2</v>
      </c>
      <c r="D1747" t="s">
        <v>4689</v>
      </c>
      <c r="E1747">
        <v>4</v>
      </c>
      <c r="F1747">
        <v>1</v>
      </c>
      <c r="G1747">
        <v>1</v>
      </c>
      <c r="H1747" t="s">
        <v>4690</v>
      </c>
      <c r="I1747">
        <v>22.9</v>
      </c>
      <c r="J1747">
        <v>22.178000000000001</v>
      </c>
      <c r="K1747" t="str">
        <f>"RAB5A"</f>
        <v>RAB5A</v>
      </c>
      <c r="L1747" t="str">
        <f>"RAB5A"</f>
        <v>RAB5A</v>
      </c>
      <c r="M1747">
        <v>0</v>
      </c>
      <c r="N1747">
        <v>0.89450172185430499</v>
      </c>
      <c r="O1747">
        <v>0.91194339418818204</v>
      </c>
      <c r="P1747">
        <v>1.0652189274447901</v>
      </c>
      <c r="Q1747">
        <v>0</v>
      </c>
      <c r="R1747">
        <v>0.90008103209297396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0.984645710619934</v>
      </c>
    </row>
    <row r="1748" spans="1:24">
      <c r="A1748">
        <v>766</v>
      </c>
      <c r="B1748" t="s">
        <v>4691</v>
      </c>
      <c r="C1748">
        <v>10</v>
      </c>
      <c r="D1748" t="s">
        <v>4692</v>
      </c>
      <c r="E1748">
        <v>1</v>
      </c>
      <c r="F1748">
        <v>1</v>
      </c>
      <c r="G1748">
        <v>1</v>
      </c>
      <c r="H1748" t="s">
        <v>4693</v>
      </c>
      <c r="I1748">
        <v>3.1</v>
      </c>
      <c r="J1748">
        <v>63.664999999999999</v>
      </c>
      <c r="K1748" t="str">
        <f>"CAST"</f>
        <v>CAST</v>
      </c>
      <c r="L1748" t="str">
        <f>"CAST"</f>
        <v>CAST</v>
      </c>
      <c r="M1748">
        <v>0</v>
      </c>
      <c r="N1748">
        <v>0</v>
      </c>
      <c r="O1748">
        <v>0</v>
      </c>
      <c r="P1748">
        <v>1.0652189274447901</v>
      </c>
      <c r="Q1748">
        <v>0</v>
      </c>
      <c r="R1748">
        <v>0</v>
      </c>
      <c r="S1748">
        <v>1.1331355704698001</v>
      </c>
      <c r="T1748">
        <v>0</v>
      </c>
      <c r="U1748">
        <v>1.10235831809872</v>
      </c>
      <c r="V1748">
        <v>0</v>
      </c>
      <c r="W1748">
        <v>1.27539809638918</v>
      </c>
      <c r="X1748">
        <v>0.984645710619934</v>
      </c>
    </row>
    <row r="1749" spans="1:24">
      <c r="A1749">
        <v>855</v>
      </c>
      <c r="B1749" t="s">
        <v>4694</v>
      </c>
      <c r="C1749">
        <v>4</v>
      </c>
      <c r="D1749" t="s">
        <v>4695</v>
      </c>
      <c r="E1749">
        <v>6</v>
      </c>
      <c r="F1749">
        <v>6</v>
      </c>
      <c r="G1749">
        <v>6</v>
      </c>
      <c r="H1749" t="s">
        <v>4696</v>
      </c>
      <c r="I1749">
        <v>7.1</v>
      </c>
      <c r="J1749">
        <v>102.38</v>
      </c>
      <c r="K1749" t="str">
        <f>"ITPKB;ITPKA;ITPKC"</f>
        <v>ITPKB;ITPKA;ITPKC</v>
      </c>
      <c r="L1749" t="str">
        <f>"ITPKB;ITPKA;ITPKC"</f>
        <v>ITPKB;ITPKA;ITPKC</v>
      </c>
      <c r="M1749">
        <v>0</v>
      </c>
      <c r="N1749">
        <v>0</v>
      </c>
      <c r="O1749">
        <v>0.91194339418818204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1.10235831809872</v>
      </c>
      <c r="V1749">
        <v>0</v>
      </c>
      <c r="W1749">
        <v>0</v>
      </c>
      <c r="X1749">
        <v>0</v>
      </c>
    </row>
    <row r="1750" spans="1:24">
      <c r="A1750">
        <v>876</v>
      </c>
      <c r="B1750" t="s">
        <v>4697</v>
      </c>
      <c r="C1750">
        <v>3</v>
      </c>
      <c r="D1750" t="s">
        <v>4698</v>
      </c>
      <c r="E1750">
        <v>4</v>
      </c>
      <c r="F1750">
        <v>4</v>
      </c>
      <c r="G1750">
        <v>4</v>
      </c>
      <c r="H1750" t="s">
        <v>4699</v>
      </c>
      <c r="I1750">
        <v>10.5</v>
      </c>
      <c r="J1750">
        <v>56.042000000000002</v>
      </c>
      <c r="K1750" t="str">
        <f>"ALDH4A1"</f>
        <v>ALDH4A1</v>
      </c>
      <c r="L1750" t="str">
        <f>"ALDH4A1"</f>
        <v>ALDH4A1</v>
      </c>
      <c r="M1750">
        <v>1.2103892752168599</v>
      </c>
      <c r="N1750">
        <v>0</v>
      </c>
      <c r="O1750">
        <v>0</v>
      </c>
      <c r="P1750">
        <v>0</v>
      </c>
      <c r="Q1750">
        <v>1.25576199330606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0.984645710619934</v>
      </c>
    </row>
    <row r="1751" spans="1:24">
      <c r="A1751">
        <v>893</v>
      </c>
      <c r="B1751" t="s">
        <v>4700</v>
      </c>
      <c r="C1751">
        <v>2</v>
      </c>
      <c r="D1751" t="s">
        <v>4701</v>
      </c>
      <c r="E1751">
        <v>2</v>
      </c>
      <c r="F1751">
        <v>2</v>
      </c>
      <c r="G1751">
        <v>2</v>
      </c>
      <c r="H1751" t="s">
        <v>4702</v>
      </c>
      <c r="I1751">
        <v>5.5</v>
      </c>
      <c r="J1751">
        <v>48.14</v>
      </c>
      <c r="K1751" t="str">
        <f>"NMT1"</f>
        <v>NMT1</v>
      </c>
      <c r="L1751" t="str">
        <f>"NMT1"</f>
        <v>NMT1</v>
      </c>
      <c r="M1751">
        <v>0</v>
      </c>
      <c r="N1751">
        <v>0</v>
      </c>
      <c r="O1751">
        <v>0.91194339418818204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>
      <c r="A1752">
        <v>923</v>
      </c>
      <c r="B1752" t="s">
        <v>4703</v>
      </c>
      <c r="C1752">
        <v>1</v>
      </c>
      <c r="D1752" t="s">
        <v>4704</v>
      </c>
      <c r="E1752">
        <v>1</v>
      </c>
      <c r="F1752">
        <v>1</v>
      </c>
      <c r="G1752">
        <v>1</v>
      </c>
      <c r="H1752" t="s">
        <v>4703</v>
      </c>
      <c r="I1752">
        <v>3.3</v>
      </c>
      <c r="J1752">
        <v>45.16</v>
      </c>
      <c r="K1752" t="str">
        <f>"CASQ1"</f>
        <v>CASQ1</v>
      </c>
      <c r="L1752" t="str">
        <f>"CASQ1"</f>
        <v>CASQ1</v>
      </c>
      <c r="M1752">
        <v>1.2103892752168599</v>
      </c>
      <c r="N1752">
        <v>0</v>
      </c>
      <c r="O1752">
        <v>0</v>
      </c>
      <c r="P1752">
        <v>0</v>
      </c>
      <c r="Q1752">
        <v>1.25576199330606</v>
      </c>
      <c r="R1752">
        <v>0.90008103209297396</v>
      </c>
      <c r="S1752">
        <v>1.1331355704698001</v>
      </c>
      <c r="T1752">
        <v>0</v>
      </c>
      <c r="U1752">
        <v>0</v>
      </c>
      <c r="V1752">
        <v>0</v>
      </c>
      <c r="W1752">
        <v>0</v>
      </c>
      <c r="X1752">
        <v>0.984645710619934</v>
      </c>
    </row>
    <row r="1753" spans="1:24">
      <c r="A1753">
        <v>957</v>
      </c>
      <c r="B1753" t="s">
        <v>4705</v>
      </c>
      <c r="C1753">
        <v>1</v>
      </c>
      <c r="D1753" t="s">
        <v>4706</v>
      </c>
      <c r="E1753">
        <v>5</v>
      </c>
      <c r="F1753">
        <v>2</v>
      </c>
      <c r="G1753">
        <v>2</v>
      </c>
      <c r="H1753" t="s">
        <v>4705</v>
      </c>
      <c r="I1753">
        <v>4.4000000000000004</v>
      </c>
      <c r="J1753">
        <v>129.99</v>
      </c>
      <c r="K1753" t="str">
        <f>"THBS2"</f>
        <v>THBS2</v>
      </c>
      <c r="L1753" t="str">
        <f>"THBS2"</f>
        <v>THBS2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0.90008103209297396</v>
      </c>
      <c r="S1753">
        <v>0</v>
      </c>
      <c r="T1753">
        <v>1.18448996772836</v>
      </c>
      <c r="U1753">
        <v>0</v>
      </c>
      <c r="V1753">
        <v>0</v>
      </c>
      <c r="W1753">
        <v>0</v>
      </c>
      <c r="X1753">
        <v>0</v>
      </c>
    </row>
    <row r="1754" spans="1:24">
      <c r="A1754">
        <v>1000</v>
      </c>
      <c r="B1754" t="s">
        <v>4707</v>
      </c>
      <c r="C1754">
        <v>3</v>
      </c>
      <c r="D1754" t="s">
        <v>4708</v>
      </c>
      <c r="E1754">
        <v>2</v>
      </c>
      <c r="F1754">
        <v>2</v>
      </c>
      <c r="G1754">
        <v>2</v>
      </c>
      <c r="H1754" t="s">
        <v>4709</v>
      </c>
      <c r="I1754">
        <v>9.1</v>
      </c>
      <c r="J1754">
        <v>37.497999999999998</v>
      </c>
      <c r="K1754" t="str">
        <f>"IL6ST"</f>
        <v>IL6ST</v>
      </c>
      <c r="L1754" t="str">
        <f>"IL6ST"</f>
        <v>IL6ST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0.90008103209297396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0.984645710619934</v>
      </c>
    </row>
    <row r="1755" spans="1:24">
      <c r="A1755">
        <v>1106</v>
      </c>
      <c r="B1755" t="s">
        <v>4710</v>
      </c>
      <c r="C1755">
        <v>1</v>
      </c>
      <c r="D1755" t="s">
        <v>4711</v>
      </c>
      <c r="E1755">
        <v>2</v>
      </c>
      <c r="F1755">
        <v>2</v>
      </c>
      <c r="G1755">
        <v>2</v>
      </c>
      <c r="H1755" t="s">
        <v>4710</v>
      </c>
      <c r="I1755">
        <v>12.9</v>
      </c>
      <c r="J1755">
        <v>19.300999999999998</v>
      </c>
      <c r="K1755" t="str">
        <f>"CAMP"</f>
        <v>CAMP</v>
      </c>
      <c r="L1755" t="str">
        <f>"CAMP"</f>
        <v>CAMP</v>
      </c>
      <c r="M1755">
        <v>1.2103892752168599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</row>
    <row r="1756" spans="1:24">
      <c r="A1756">
        <v>1146</v>
      </c>
      <c r="B1756" t="s">
        <v>4712</v>
      </c>
      <c r="C1756">
        <v>2</v>
      </c>
      <c r="D1756" t="s">
        <v>4713</v>
      </c>
      <c r="E1756">
        <v>5</v>
      </c>
      <c r="F1756">
        <v>5</v>
      </c>
      <c r="G1756">
        <v>5</v>
      </c>
      <c r="H1756" t="s">
        <v>4714</v>
      </c>
      <c r="I1756">
        <v>25.1</v>
      </c>
      <c r="J1756">
        <v>39.594000000000001</v>
      </c>
      <c r="K1756" t="str">
        <f>"HNRNPA3"</f>
        <v>HNRNPA3</v>
      </c>
      <c r="L1756" t="str">
        <f>"HNRNPA3"</f>
        <v>HNRNPA3</v>
      </c>
      <c r="M1756">
        <v>0</v>
      </c>
      <c r="N1756">
        <v>0</v>
      </c>
      <c r="O1756">
        <v>0.91194339418818204</v>
      </c>
      <c r="P1756">
        <v>0</v>
      </c>
      <c r="Q1756">
        <v>0</v>
      </c>
      <c r="R1756">
        <v>2.7002430962789199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</row>
    <row r="1757" spans="1:24">
      <c r="A1757">
        <v>1168</v>
      </c>
      <c r="B1757" t="s">
        <v>4715</v>
      </c>
      <c r="C1757">
        <v>2</v>
      </c>
      <c r="D1757" t="s">
        <v>4716</v>
      </c>
      <c r="E1757">
        <v>2</v>
      </c>
      <c r="F1757">
        <v>2</v>
      </c>
      <c r="G1757">
        <v>2</v>
      </c>
      <c r="H1757" t="s">
        <v>4717</v>
      </c>
      <c r="I1757">
        <v>10.6</v>
      </c>
      <c r="J1757">
        <v>17.018000000000001</v>
      </c>
      <c r="K1757" t="str">
        <f>"AP2S1"</f>
        <v>AP2S1</v>
      </c>
      <c r="L1757" t="str">
        <f>"AP2S1"</f>
        <v>AP2S1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0.90008103209297396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</row>
    <row r="1758" spans="1:24">
      <c r="A1758">
        <v>1226</v>
      </c>
      <c r="B1758" t="s">
        <v>4718</v>
      </c>
      <c r="C1758">
        <v>1</v>
      </c>
      <c r="D1758" t="s">
        <v>4719</v>
      </c>
      <c r="E1758">
        <v>2</v>
      </c>
      <c r="F1758">
        <v>2</v>
      </c>
      <c r="G1758">
        <v>2</v>
      </c>
      <c r="H1758" t="s">
        <v>4718</v>
      </c>
      <c r="I1758">
        <v>11.7</v>
      </c>
      <c r="J1758">
        <v>20.312999999999999</v>
      </c>
      <c r="K1758" t="str">
        <f>"SPCS3"</f>
        <v>SPCS3</v>
      </c>
      <c r="L1758" t="str">
        <f>"SPCS3"</f>
        <v>SPCS3</v>
      </c>
      <c r="M1758">
        <v>0</v>
      </c>
      <c r="N1758">
        <v>0.89450172185430499</v>
      </c>
      <c r="O1758">
        <v>0</v>
      </c>
      <c r="P1758">
        <v>0</v>
      </c>
      <c r="Q1758">
        <v>0</v>
      </c>
      <c r="R1758">
        <v>0.90008103209297396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</row>
    <row r="1759" spans="1:24">
      <c r="A1759">
        <v>1229</v>
      </c>
      <c r="B1759" t="s">
        <v>4720</v>
      </c>
      <c r="C1759">
        <v>2</v>
      </c>
      <c r="D1759" t="s">
        <v>4721</v>
      </c>
      <c r="E1759">
        <v>6</v>
      </c>
      <c r="F1759">
        <v>3</v>
      </c>
      <c r="G1759">
        <v>3</v>
      </c>
      <c r="H1759" t="s">
        <v>4722</v>
      </c>
      <c r="I1759">
        <v>33.5</v>
      </c>
      <c r="J1759">
        <v>23.707000000000001</v>
      </c>
      <c r="K1759" t="str">
        <f>"RAB5B"</f>
        <v>RAB5B</v>
      </c>
      <c r="L1759" t="str">
        <f>"RAB5B"</f>
        <v>RAB5B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</row>
    <row r="1760" spans="1:24">
      <c r="A1760">
        <v>1329</v>
      </c>
      <c r="B1760" t="s">
        <v>4723</v>
      </c>
      <c r="C1760">
        <v>9</v>
      </c>
      <c r="D1760" t="s">
        <v>4724</v>
      </c>
      <c r="E1760">
        <v>4</v>
      </c>
      <c r="F1760">
        <v>4</v>
      </c>
      <c r="G1760">
        <v>4</v>
      </c>
      <c r="H1760" t="s">
        <v>4725</v>
      </c>
      <c r="I1760">
        <v>6.5</v>
      </c>
      <c r="J1760">
        <v>96.959000000000003</v>
      </c>
      <c r="K1760" t="str">
        <f>"ATP2C1"</f>
        <v>ATP2C1</v>
      </c>
      <c r="L1760" t="str">
        <f>"ATP2C1"</f>
        <v>ATP2C1</v>
      </c>
      <c r="M1760">
        <v>0</v>
      </c>
      <c r="N1760">
        <v>0.89450172185430499</v>
      </c>
      <c r="O1760">
        <v>0</v>
      </c>
      <c r="P1760">
        <v>0</v>
      </c>
      <c r="Q1760">
        <v>0</v>
      </c>
      <c r="R1760">
        <v>0</v>
      </c>
      <c r="S1760">
        <v>1.1331355704698001</v>
      </c>
      <c r="T1760">
        <v>0</v>
      </c>
      <c r="U1760">
        <v>0</v>
      </c>
      <c r="V1760">
        <v>0</v>
      </c>
      <c r="W1760">
        <v>0</v>
      </c>
      <c r="X1760">
        <v>0</v>
      </c>
    </row>
    <row r="1761" spans="1:24">
      <c r="A1761">
        <v>1489</v>
      </c>
      <c r="B1761" t="s">
        <v>4726</v>
      </c>
      <c r="C1761">
        <v>1</v>
      </c>
      <c r="D1761" t="s">
        <v>4727</v>
      </c>
      <c r="E1761">
        <v>3</v>
      </c>
      <c r="F1761">
        <v>3</v>
      </c>
      <c r="G1761">
        <v>3</v>
      </c>
      <c r="H1761" t="s">
        <v>4726</v>
      </c>
      <c r="I1761">
        <v>13.3</v>
      </c>
      <c r="J1761">
        <v>32.192999999999998</v>
      </c>
      <c r="K1761" t="str">
        <f>"FHL2"</f>
        <v>FHL2</v>
      </c>
      <c r="L1761" t="str">
        <f>"FHL2"</f>
        <v>FHL2</v>
      </c>
      <c r="M1761">
        <v>0</v>
      </c>
      <c r="N1761">
        <v>0.89450172185430499</v>
      </c>
      <c r="O1761">
        <v>0</v>
      </c>
      <c r="P1761">
        <v>0</v>
      </c>
      <c r="Q1761">
        <v>0</v>
      </c>
      <c r="R1761">
        <v>0.90008103209297396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</row>
    <row r="1762" spans="1:24">
      <c r="A1762">
        <v>1548</v>
      </c>
      <c r="B1762" t="s">
        <v>4728</v>
      </c>
      <c r="C1762">
        <v>2</v>
      </c>
      <c r="D1762" t="s">
        <v>4729</v>
      </c>
      <c r="E1762">
        <v>4</v>
      </c>
      <c r="F1762">
        <v>4</v>
      </c>
      <c r="G1762">
        <v>4</v>
      </c>
      <c r="H1762" t="s">
        <v>4730</v>
      </c>
      <c r="I1762">
        <v>18.899999999999999</v>
      </c>
      <c r="J1762">
        <v>23.024999999999999</v>
      </c>
      <c r="K1762" t="str">
        <f>"RAB35"</f>
        <v>RAB35</v>
      </c>
      <c r="L1762" t="str">
        <f>"RAB35"</f>
        <v>RAB35</v>
      </c>
      <c r="M1762">
        <v>0</v>
      </c>
      <c r="N1762">
        <v>0</v>
      </c>
      <c r="O1762">
        <v>0.91194339418818204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0.984645710619934</v>
      </c>
    </row>
    <row r="1763" spans="1:24">
      <c r="A1763">
        <v>1572</v>
      </c>
      <c r="B1763" t="s">
        <v>4731</v>
      </c>
      <c r="C1763">
        <v>1</v>
      </c>
      <c r="D1763" t="s">
        <v>4732</v>
      </c>
      <c r="E1763">
        <v>1</v>
      </c>
      <c r="F1763">
        <v>1</v>
      </c>
      <c r="G1763">
        <v>1</v>
      </c>
      <c r="H1763" t="s">
        <v>4731</v>
      </c>
      <c r="I1763">
        <v>4.9000000000000004</v>
      </c>
      <c r="J1763">
        <v>34.558999999999997</v>
      </c>
      <c r="K1763" t="str">
        <f>"TOMM34"</f>
        <v>TOMM34</v>
      </c>
      <c r="L1763" t="str">
        <f>"TOMM34"</f>
        <v>TOMM34</v>
      </c>
      <c r="M1763">
        <v>0</v>
      </c>
      <c r="N1763">
        <v>0.89450172185430499</v>
      </c>
      <c r="O1763">
        <v>0.91194339418818204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</row>
    <row r="1764" spans="1:24">
      <c r="A1764">
        <v>1612</v>
      </c>
      <c r="B1764" t="s">
        <v>4733</v>
      </c>
      <c r="C1764">
        <v>4</v>
      </c>
      <c r="D1764" t="s">
        <v>4734</v>
      </c>
      <c r="E1764">
        <v>2</v>
      </c>
      <c r="F1764">
        <v>2</v>
      </c>
      <c r="G1764">
        <v>2</v>
      </c>
      <c r="H1764" t="s">
        <v>4735</v>
      </c>
      <c r="I1764">
        <v>4.4000000000000004</v>
      </c>
      <c r="J1764">
        <v>82.688000000000002</v>
      </c>
      <c r="K1764" t="str">
        <f>"LRRFIP1"</f>
        <v>LRRFIP1</v>
      </c>
      <c r="L1764" t="str">
        <f>"LRRFIP1"</f>
        <v>LRRFIP1</v>
      </c>
      <c r="M1764">
        <v>0</v>
      </c>
      <c r="N1764">
        <v>0.89450172185430499</v>
      </c>
      <c r="O1764">
        <v>0.91194339418818204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1.10235831809872</v>
      </c>
      <c r="V1764">
        <v>0</v>
      </c>
      <c r="W1764">
        <v>0</v>
      </c>
      <c r="X1764">
        <v>0.984645710619934</v>
      </c>
    </row>
    <row r="1765" spans="1:24">
      <c r="A1765">
        <v>1616</v>
      </c>
      <c r="B1765" t="s">
        <v>4736</v>
      </c>
      <c r="C1765">
        <v>2</v>
      </c>
      <c r="D1765" t="s">
        <v>4737</v>
      </c>
      <c r="E1765">
        <v>3</v>
      </c>
      <c r="F1765">
        <v>3</v>
      </c>
      <c r="G1765">
        <v>3</v>
      </c>
      <c r="H1765" t="s">
        <v>4738</v>
      </c>
      <c r="I1765">
        <v>8.8000000000000007</v>
      </c>
      <c r="J1765">
        <v>37.000999999999998</v>
      </c>
      <c r="K1765" t="str">
        <f>"HSDL1"</f>
        <v>HSDL1</v>
      </c>
      <c r="L1765" t="str">
        <f>"HSDL1"</f>
        <v>HSDL1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0.90008103209297396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</row>
    <row r="1766" spans="1:24">
      <c r="A1766">
        <v>1639</v>
      </c>
      <c r="B1766" t="s">
        <v>4739</v>
      </c>
      <c r="C1766">
        <v>1</v>
      </c>
      <c r="D1766" t="s">
        <v>4740</v>
      </c>
      <c r="E1766">
        <v>2</v>
      </c>
      <c r="F1766">
        <v>2</v>
      </c>
      <c r="G1766">
        <v>2</v>
      </c>
      <c r="H1766" t="s">
        <v>4739</v>
      </c>
      <c r="I1766">
        <v>4.3</v>
      </c>
      <c r="J1766">
        <v>52.786999999999999</v>
      </c>
      <c r="K1766" t="str">
        <f>"TTC38"</f>
        <v>TTC38</v>
      </c>
      <c r="L1766" t="str">
        <f>"TTC38"</f>
        <v>TTC38</v>
      </c>
      <c r="M1766">
        <v>0</v>
      </c>
      <c r="N1766">
        <v>0</v>
      </c>
      <c r="O1766">
        <v>0</v>
      </c>
      <c r="P1766">
        <v>1.0652189274447901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1.05063596764157</v>
      </c>
      <c r="W1766">
        <v>0</v>
      </c>
      <c r="X1766">
        <v>0.984645710619934</v>
      </c>
    </row>
    <row r="1767" spans="1:24">
      <c r="A1767">
        <v>1664</v>
      </c>
      <c r="B1767" t="s">
        <v>4741</v>
      </c>
      <c r="C1767">
        <v>3</v>
      </c>
      <c r="D1767" t="s">
        <v>4742</v>
      </c>
      <c r="E1767">
        <v>2</v>
      </c>
      <c r="F1767">
        <v>2</v>
      </c>
      <c r="G1767">
        <v>2</v>
      </c>
      <c r="H1767" t="s">
        <v>4743</v>
      </c>
      <c r="I1767">
        <v>3.6</v>
      </c>
      <c r="J1767">
        <v>100.2</v>
      </c>
      <c r="K1767" t="str">
        <f>"DENND2C"</f>
        <v>DENND2C</v>
      </c>
      <c r="L1767" t="str">
        <f>"DENND2C"</f>
        <v>DENND2C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1.27539809638918</v>
      </c>
      <c r="X1767">
        <v>0.984645710619934</v>
      </c>
    </row>
    <row r="1768" spans="1:24">
      <c r="A1768">
        <v>1671</v>
      </c>
      <c r="B1768" t="s">
        <v>4744</v>
      </c>
      <c r="C1768">
        <v>1</v>
      </c>
      <c r="D1768" t="s">
        <v>4745</v>
      </c>
      <c r="E1768">
        <v>4</v>
      </c>
      <c r="F1768">
        <v>4</v>
      </c>
      <c r="G1768">
        <v>4</v>
      </c>
      <c r="H1768" t="s">
        <v>4744</v>
      </c>
      <c r="I1768">
        <v>13.5</v>
      </c>
      <c r="J1768">
        <v>35.119</v>
      </c>
      <c r="K1768" t="str">
        <f>"DHRS7B"</f>
        <v>DHRS7B</v>
      </c>
      <c r="L1768" t="str">
        <f>"DHRS7B"</f>
        <v>DHRS7B</v>
      </c>
      <c r="M1768">
        <v>0</v>
      </c>
      <c r="N1768">
        <v>0</v>
      </c>
      <c r="O1768">
        <v>1.8238867883763601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</row>
    <row r="1769" spans="1:24">
      <c r="A1769">
        <v>1714</v>
      </c>
      <c r="B1769" t="s">
        <v>4746</v>
      </c>
      <c r="C1769">
        <v>1</v>
      </c>
      <c r="D1769" t="s">
        <v>4747</v>
      </c>
      <c r="E1769">
        <v>3</v>
      </c>
      <c r="F1769">
        <v>3</v>
      </c>
      <c r="G1769">
        <v>3</v>
      </c>
      <c r="H1769" t="s">
        <v>4746</v>
      </c>
      <c r="I1769">
        <v>5.0999999999999996</v>
      </c>
      <c r="J1769">
        <v>98.2</v>
      </c>
      <c r="K1769" t="str">
        <f>"LRRC8D"</f>
        <v>LRRC8D</v>
      </c>
      <c r="L1769" t="str">
        <f>"LRRC8D"</f>
        <v>LRRC8D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0.984645710619934</v>
      </c>
    </row>
    <row r="1770" spans="1:24">
      <c r="A1770">
        <v>1753</v>
      </c>
      <c r="B1770" t="s">
        <v>4748</v>
      </c>
      <c r="C1770">
        <v>1</v>
      </c>
      <c r="D1770" t="s">
        <v>4749</v>
      </c>
      <c r="E1770">
        <v>1</v>
      </c>
      <c r="F1770">
        <v>1</v>
      </c>
      <c r="G1770">
        <v>1</v>
      </c>
      <c r="H1770" t="s">
        <v>4748</v>
      </c>
      <c r="I1770">
        <v>7.8</v>
      </c>
      <c r="J1770">
        <v>14.852</v>
      </c>
      <c r="K1770" t="str">
        <f>"NDUFA11"</f>
        <v>NDUFA11</v>
      </c>
      <c r="L1770" t="str">
        <f>"NDUFA11"</f>
        <v>NDUFA11</v>
      </c>
      <c r="M1770">
        <v>0</v>
      </c>
      <c r="N1770">
        <v>0</v>
      </c>
      <c r="O1770">
        <v>0</v>
      </c>
      <c r="P1770">
        <v>1.0652189274447901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</row>
    <row r="1771" spans="1:24">
      <c r="A1771">
        <v>1754</v>
      </c>
      <c r="B1771" t="s">
        <v>4750</v>
      </c>
      <c r="C1771">
        <v>1</v>
      </c>
      <c r="D1771" t="s">
        <v>4751</v>
      </c>
      <c r="E1771">
        <v>5</v>
      </c>
      <c r="F1771">
        <v>5</v>
      </c>
      <c r="G1771">
        <v>5</v>
      </c>
      <c r="H1771" t="s">
        <v>4750</v>
      </c>
      <c r="I1771">
        <v>26.4</v>
      </c>
      <c r="J1771">
        <v>31.641999999999999</v>
      </c>
      <c r="K1771" t="str">
        <f>"STX12"</f>
        <v>STX12</v>
      </c>
      <c r="L1771" t="str">
        <f>"STX12"</f>
        <v>STX12</v>
      </c>
      <c r="M1771">
        <v>0</v>
      </c>
      <c r="N1771">
        <v>0</v>
      </c>
      <c r="O1771">
        <v>0.91194339418818204</v>
      </c>
      <c r="P1771">
        <v>1.0652189274447901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2.1012719352831399</v>
      </c>
      <c r="W1771">
        <v>0</v>
      </c>
      <c r="X1771">
        <v>0</v>
      </c>
    </row>
    <row r="1772" spans="1:24">
      <c r="A1772">
        <v>1796</v>
      </c>
      <c r="B1772" t="s">
        <v>4752</v>
      </c>
      <c r="C1772">
        <v>1</v>
      </c>
      <c r="D1772" t="s">
        <v>4753</v>
      </c>
      <c r="E1772">
        <v>2</v>
      </c>
      <c r="F1772">
        <v>2</v>
      </c>
      <c r="G1772">
        <v>2</v>
      </c>
      <c r="H1772" t="s">
        <v>4752</v>
      </c>
      <c r="I1772">
        <v>4.2</v>
      </c>
      <c r="J1772">
        <v>54.478000000000002</v>
      </c>
      <c r="K1772" t="str">
        <f>"MLKL"</f>
        <v>MLKL</v>
      </c>
      <c r="L1772" t="str">
        <f>"MLKL"</f>
        <v>MLKL</v>
      </c>
      <c r="M1772">
        <v>1.2103892752168599</v>
      </c>
      <c r="N1772">
        <v>0</v>
      </c>
      <c r="O1772">
        <v>0.91194339418818204</v>
      </c>
      <c r="P1772">
        <v>0</v>
      </c>
      <c r="Q1772">
        <v>0</v>
      </c>
      <c r="R1772">
        <v>0.90008103209297396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</row>
    <row r="1773" spans="1:24">
      <c r="A1773">
        <v>1852</v>
      </c>
      <c r="B1773" t="s">
        <v>4754</v>
      </c>
      <c r="C1773">
        <v>8</v>
      </c>
      <c r="D1773" t="s">
        <v>4755</v>
      </c>
      <c r="E1773">
        <v>4</v>
      </c>
      <c r="F1773">
        <v>4</v>
      </c>
      <c r="G1773">
        <v>4</v>
      </c>
      <c r="H1773" t="s">
        <v>4756</v>
      </c>
      <c r="I1773">
        <v>3.2</v>
      </c>
      <c r="J1773">
        <v>164</v>
      </c>
      <c r="K1773" t="str">
        <f>"MADD"</f>
        <v>MADD</v>
      </c>
      <c r="L1773" t="str">
        <f>"MADD"</f>
        <v>MADD</v>
      </c>
      <c r="M1773">
        <v>0</v>
      </c>
      <c r="N1773">
        <v>2.6835051655629099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1.18448996772836</v>
      </c>
      <c r="U1773">
        <v>0</v>
      </c>
      <c r="V1773">
        <v>0</v>
      </c>
      <c r="W1773">
        <v>0</v>
      </c>
      <c r="X1773">
        <v>0</v>
      </c>
    </row>
    <row r="1774" spans="1:24">
      <c r="A1774">
        <v>1890</v>
      </c>
      <c r="B1774" t="s">
        <v>4757</v>
      </c>
      <c r="C1774">
        <v>2</v>
      </c>
      <c r="D1774" t="s">
        <v>4758</v>
      </c>
      <c r="E1774">
        <v>3</v>
      </c>
      <c r="F1774">
        <v>3</v>
      </c>
      <c r="G1774">
        <v>3</v>
      </c>
      <c r="H1774" t="s">
        <v>4759</v>
      </c>
      <c r="I1774">
        <v>4.3</v>
      </c>
      <c r="J1774">
        <v>126.27</v>
      </c>
      <c r="K1774" t="str">
        <f>"USP7"</f>
        <v>USP7</v>
      </c>
      <c r="L1774" t="str">
        <f>"USP7"</f>
        <v>USP7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0.984645710619934</v>
      </c>
    </row>
    <row r="1775" spans="1:24">
      <c r="A1775">
        <v>1902</v>
      </c>
      <c r="B1775" t="s">
        <v>4760</v>
      </c>
      <c r="C1775">
        <v>2</v>
      </c>
      <c r="D1775" t="s">
        <v>4761</v>
      </c>
      <c r="E1775">
        <v>2</v>
      </c>
      <c r="F1775">
        <v>2</v>
      </c>
      <c r="G1775">
        <v>2</v>
      </c>
      <c r="H1775" t="s">
        <v>4762</v>
      </c>
      <c r="I1775">
        <v>12.2</v>
      </c>
      <c r="J1775">
        <v>16.693000000000001</v>
      </c>
      <c r="K1775" t="str">
        <f>"PPP1R14A"</f>
        <v>PPP1R14A</v>
      </c>
      <c r="L1775" t="str">
        <f>"PPP1R14A"</f>
        <v>PPP1R14A</v>
      </c>
      <c r="M1775">
        <v>0</v>
      </c>
      <c r="N1775">
        <v>0.89450172185430499</v>
      </c>
      <c r="O1775">
        <v>0.91194339418818204</v>
      </c>
      <c r="P1775">
        <v>1.0652189274447901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1.05063596764157</v>
      </c>
      <c r="W1775">
        <v>0</v>
      </c>
      <c r="X1775">
        <v>0</v>
      </c>
    </row>
    <row r="1776" spans="1:24">
      <c r="A1776">
        <v>1956</v>
      </c>
      <c r="B1776" t="s">
        <v>4763</v>
      </c>
      <c r="C1776">
        <v>5</v>
      </c>
      <c r="D1776" t="s">
        <v>4764</v>
      </c>
      <c r="E1776">
        <v>3</v>
      </c>
      <c r="F1776">
        <v>3</v>
      </c>
      <c r="G1776">
        <v>3</v>
      </c>
      <c r="H1776" t="s">
        <v>4765</v>
      </c>
      <c r="I1776">
        <v>10.3</v>
      </c>
      <c r="J1776">
        <v>46.701000000000001</v>
      </c>
      <c r="K1776" t="str">
        <f>"PRRC1"</f>
        <v>PRRC1</v>
      </c>
      <c r="L1776" t="str">
        <f>"PRRC1"</f>
        <v>PRRC1</v>
      </c>
      <c r="M1776">
        <v>0</v>
      </c>
      <c r="N1776">
        <v>0</v>
      </c>
      <c r="O1776">
        <v>0</v>
      </c>
      <c r="P1776">
        <v>1.0652189274447901</v>
      </c>
      <c r="Q1776">
        <v>0</v>
      </c>
      <c r="R1776">
        <v>0</v>
      </c>
      <c r="S1776">
        <v>1.1331355704698001</v>
      </c>
      <c r="T1776">
        <v>0</v>
      </c>
      <c r="U1776">
        <v>0</v>
      </c>
      <c r="V1776">
        <v>0</v>
      </c>
      <c r="W1776">
        <v>0</v>
      </c>
      <c r="X1776">
        <v>0.984645710619934</v>
      </c>
    </row>
    <row r="1777" spans="1:24">
      <c r="A1777">
        <v>1990</v>
      </c>
      <c r="B1777" t="s">
        <v>4766</v>
      </c>
      <c r="C1777">
        <v>2</v>
      </c>
      <c r="D1777" t="s">
        <v>4767</v>
      </c>
      <c r="E1777">
        <v>3</v>
      </c>
      <c r="F1777">
        <v>3</v>
      </c>
      <c r="G1777">
        <v>3</v>
      </c>
      <c r="H1777" t="s">
        <v>4768</v>
      </c>
      <c r="I1777">
        <v>26.2</v>
      </c>
      <c r="J1777">
        <v>17.908999999999999</v>
      </c>
      <c r="K1777" t="str">
        <f>"COPS8"</f>
        <v>COPS8</v>
      </c>
      <c r="L1777" t="str">
        <f>"COPS8"</f>
        <v>COPS8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0.90008103209297396</v>
      </c>
      <c r="S1777">
        <v>1.1331355704698001</v>
      </c>
      <c r="T1777">
        <v>0</v>
      </c>
      <c r="U1777">
        <v>0</v>
      </c>
      <c r="V1777">
        <v>0</v>
      </c>
      <c r="W1777">
        <v>1.27539809638918</v>
      </c>
      <c r="X1777">
        <v>0.984645710619934</v>
      </c>
    </row>
    <row r="1778" spans="1:24">
      <c r="A1778">
        <v>1992</v>
      </c>
      <c r="B1778" t="s">
        <v>4769</v>
      </c>
      <c r="C1778">
        <v>3</v>
      </c>
      <c r="D1778" t="s">
        <v>4770</v>
      </c>
      <c r="E1778">
        <v>7</v>
      </c>
      <c r="F1778">
        <v>7</v>
      </c>
      <c r="G1778">
        <v>7</v>
      </c>
      <c r="H1778" t="s">
        <v>4771</v>
      </c>
      <c r="I1778">
        <v>6</v>
      </c>
      <c r="J1778">
        <v>154.54</v>
      </c>
      <c r="K1778" t="str">
        <f>"MAP3K5;MAP3K15"</f>
        <v>MAP3K5;MAP3K15</v>
      </c>
      <c r="L1778" t="str">
        <f>"MAP3K5;MAP3K15"</f>
        <v>MAP3K5;MAP3K15</v>
      </c>
      <c r="M1778">
        <v>0</v>
      </c>
      <c r="N1778">
        <v>0.89450172185430499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0.984645710619934</v>
      </c>
    </row>
    <row r="1779" spans="1:24">
      <c r="A1779">
        <v>2019</v>
      </c>
      <c r="B1779" t="s">
        <v>4772</v>
      </c>
      <c r="C1779">
        <v>3</v>
      </c>
      <c r="D1779" t="s">
        <v>4773</v>
      </c>
      <c r="E1779">
        <v>1</v>
      </c>
      <c r="F1779">
        <v>1</v>
      </c>
      <c r="G1779">
        <v>1</v>
      </c>
      <c r="H1779" t="s">
        <v>4774</v>
      </c>
      <c r="I1779">
        <v>1.4</v>
      </c>
      <c r="J1779">
        <v>74.507999999999996</v>
      </c>
      <c r="K1779" t="str">
        <f>"NOL10"</f>
        <v>NOL10</v>
      </c>
      <c r="L1779" t="str">
        <f>"NOL10"</f>
        <v>NOL10</v>
      </c>
      <c r="M1779">
        <v>1.2103892752168599</v>
      </c>
      <c r="N1779">
        <v>0</v>
      </c>
      <c r="O1779">
        <v>0</v>
      </c>
      <c r="P1779">
        <v>0</v>
      </c>
      <c r="Q1779">
        <v>1.25576199330606</v>
      </c>
      <c r="R1779">
        <v>0</v>
      </c>
      <c r="S1779">
        <v>0</v>
      </c>
      <c r="T1779">
        <v>1.18448996772836</v>
      </c>
      <c r="U1779">
        <v>0</v>
      </c>
      <c r="V1779">
        <v>0</v>
      </c>
      <c r="W1779">
        <v>0</v>
      </c>
      <c r="X1779">
        <v>0</v>
      </c>
    </row>
    <row r="1780" spans="1:24">
      <c r="A1780">
        <v>2029</v>
      </c>
      <c r="B1780" t="s">
        <v>4775</v>
      </c>
      <c r="C1780">
        <v>4</v>
      </c>
      <c r="D1780" t="s">
        <v>4776</v>
      </c>
      <c r="E1780">
        <v>3</v>
      </c>
      <c r="F1780">
        <v>3</v>
      </c>
      <c r="G1780">
        <v>3</v>
      </c>
      <c r="H1780" t="s">
        <v>4777</v>
      </c>
      <c r="I1780">
        <v>5.2</v>
      </c>
      <c r="J1780">
        <v>84.262</v>
      </c>
      <c r="K1780" t="str">
        <f>"TBCD"</f>
        <v>TBCD</v>
      </c>
      <c r="L1780" t="str">
        <f>"TBCD"</f>
        <v>TBCD</v>
      </c>
      <c r="M1780">
        <v>0</v>
      </c>
      <c r="N1780">
        <v>0</v>
      </c>
      <c r="O1780">
        <v>0.91194339418818204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</row>
    <row r="1781" spans="1:24">
      <c r="A1781">
        <v>2046</v>
      </c>
      <c r="B1781" t="s">
        <v>4778</v>
      </c>
      <c r="C1781">
        <v>2</v>
      </c>
      <c r="D1781" t="s">
        <v>4779</v>
      </c>
      <c r="E1781">
        <v>1</v>
      </c>
      <c r="F1781">
        <v>1</v>
      </c>
      <c r="G1781">
        <v>1</v>
      </c>
      <c r="H1781" t="s">
        <v>4780</v>
      </c>
      <c r="I1781">
        <v>4.5</v>
      </c>
      <c r="J1781">
        <v>22.611000000000001</v>
      </c>
      <c r="K1781" t="str">
        <f>"BCL2L13"</f>
        <v>BCL2L13</v>
      </c>
      <c r="L1781" t="str">
        <f>"BCL2L13"</f>
        <v>BCL2L13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0.90008103209297396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</row>
    <row r="1782" spans="1:24">
      <c r="A1782">
        <v>2059</v>
      </c>
      <c r="B1782" t="s">
        <v>4781</v>
      </c>
      <c r="C1782">
        <v>1</v>
      </c>
      <c r="D1782" t="s">
        <v>4782</v>
      </c>
      <c r="E1782">
        <v>3</v>
      </c>
      <c r="F1782">
        <v>3</v>
      </c>
      <c r="G1782">
        <v>3</v>
      </c>
      <c r="H1782" t="s">
        <v>4781</v>
      </c>
      <c r="I1782">
        <v>5.0999999999999996</v>
      </c>
      <c r="J1782">
        <v>103.13</v>
      </c>
      <c r="K1782" t="str">
        <f>"FAM129A"</f>
        <v>FAM129A</v>
      </c>
      <c r="L1782" t="str">
        <f>"FAM129A"</f>
        <v>FAM129A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0.90008103209297396</v>
      </c>
      <c r="S1782">
        <v>0</v>
      </c>
      <c r="T1782">
        <v>0</v>
      </c>
      <c r="U1782">
        <v>1.10235831809872</v>
      </c>
      <c r="V1782">
        <v>0</v>
      </c>
      <c r="W1782">
        <v>0</v>
      </c>
      <c r="X1782">
        <v>0</v>
      </c>
    </row>
    <row r="1783" spans="1:24">
      <c r="A1783">
        <v>2066</v>
      </c>
      <c r="B1783" t="s">
        <v>4783</v>
      </c>
      <c r="C1783">
        <v>2</v>
      </c>
      <c r="D1783" t="s">
        <v>4784</v>
      </c>
      <c r="E1783">
        <v>2</v>
      </c>
      <c r="F1783">
        <v>2</v>
      </c>
      <c r="G1783">
        <v>2</v>
      </c>
      <c r="H1783" t="s">
        <v>4785</v>
      </c>
      <c r="I1783">
        <v>13.8</v>
      </c>
      <c r="J1783">
        <v>19.291</v>
      </c>
      <c r="K1783" t="str">
        <f>"C20orf27"</f>
        <v>C20orf27</v>
      </c>
      <c r="L1783" t="str">
        <f>"C20orf27"</f>
        <v>C20orf27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</row>
    <row r="1784" spans="1:24">
      <c r="A1784">
        <v>2156</v>
      </c>
      <c r="B1784" t="s">
        <v>4786</v>
      </c>
      <c r="C1784">
        <v>3</v>
      </c>
      <c r="D1784" t="s">
        <v>4787</v>
      </c>
      <c r="E1784">
        <v>3</v>
      </c>
      <c r="F1784">
        <v>2</v>
      </c>
      <c r="G1784">
        <v>2</v>
      </c>
      <c r="H1784" t="s">
        <v>4788</v>
      </c>
      <c r="I1784">
        <v>15.8</v>
      </c>
      <c r="J1784">
        <v>21.558</v>
      </c>
      <c r="K1784" t="str">
        <f>"PRTFDC1"</f>
        <v>PRTFDC1</v>
      </c>
      <c r="L1784" t="str">
        <f>"PRTFDC1"</f>
        <v>PRTFDC1</v>
      </c>
      <c r="M1784">
        <v>1.2103892752168599</v>
      </c>
      <c r="N1784">
        <v>0</v>
      </c>
      <c r="O1784">
        <v>0.91194339418818204</v>
      </c>
      <c r="P1784">
        <v>0</v>
      </c>
      <c r="Q1784">
        <v>0</v>
      </c>
      <c r="R1784">
        <v>0.90008103209297396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</row>
    <row r="1785" spans="1:24">
      <c r="A1785">
        <v>2178</v>
      </c>
      <c r="B1785" t="s">
        <v>4789</v>
      </c>
      <c r="C1785">
        <v>2</v>
      </c>
      <c r="D1785" t="s">
        <v>4790</v>
      </c>
      <c r="E1785">
        <v>2</v>
      </c>
      <c r="F1785">
        <v>2</v>
      </c>
      <c r="G1785">
        <v>2</v>
      </c>
      <c r="H1785" t="s">
        <v>4791</v>
      </c>
      <c r="I1785">
        <v>3</v>
      </c>
      <c r="J1785">
        <v>100.28</v>
      </c>
      <c r="K1785" t="str">
        <f>"EXOC1"</f>
        <v>EXOC1</v>
      </c>
      <c r="L1785" t="str">
        <f>"EXOC1"</f>
        <v>EXOC1</v>
      </c>
      <c r="M1785">
        <v>0</v>
      </c>
      <c r="N1785">
        <v>0.89450172185430499</v>
      </c>
      <c r="O1785">
        <v>0.91194339418818204</v>
      </c>
      <c r="P1785">
        <v>0</v>
      </c>
      <c r="Q1785">
        <v>0</v>
      </c>
      <c r="R1785">
        <v>0</v>
      </c>
      <c r="S1785">
        <v>1.1331355704698001</v>
      </c>
      <c r="T1785">
        <v>0</v>
      </c>
      <c r="U1785">
        <v>0</v>
      </c>
      <c r="V1785">
        <v>0</v>
      </c>
      <c r="W1785">
        <v>0</v>
      </c>
      <c r="X1785">
        <v>0</v>
      </c>
    </row>
    <row r="1786" spans="1:24">
      <c r="A1786">
        <v>53</v>
      </c>
      <c r="B1786" t="s">
        <v>4792</v>
      </c>
      <c r="C1786">
        <v>1</v>
      </c>
      <c r="D1786" t="s">
        <v>4793</v>
      </c>
      <c r="E1786">
        <v>4</v>
      </c>
      <c r="F1786">
        <v>4</v>
      </c>
      <c r="G1786">
        <v>4</v>
      </c>
      <c r="H1786" t="s">
        <v>4792</v>
      </c>
      <c r="I1786">
        <v>17</v>
      </c>
      <c r="J1786">
        <v>37.636000000000003</v>
      </c>
      <c r="K1786" t="str">
        <f>"AIP"</f>
        <v>AIP</v>
      </c>
      <c r="L1786" t="str">
        <f>"AIP"</f>
        <v>AIP</v>
      </c>
      <c r="M1786">
        <v>0</v>
      </c>
      <c r="N1786">
        <v>0</v>
      </c>
      <c r="O1786">
        <v>0.91194339418818204</v>
      </c>
      <c r="P1786">
        <v>1.0652189274447901</v>
      </c>
      <c r="Q1786">
        <v>0</v>
      </c>
      <c r="R1786">
        <v>0</v>
      </c>
      <c r="S1786">
        <v>1.1331355704698001</v>
      </c>
      <c r="T1786">
        <v>0</v>
      </c>
      <c r="U1786">
        <v>0</v>
      </c>
      <c r="V1786">
        <v>0</v>
      </c>
      <c r="W1786">
        <v>0</v>
      </c>
      <c r="X1786">
        <v>0</v>
      </c>
    </row>
    <row r="1787" spans="1:24">
      <c r="A1787">
        <v>100</v>
      </c>
      <c r="B1787" t="s">
        <v>4794</v>
      </c>
      <c r="C1787">
        <v>1</v>
      </c>
      <c r="D1787" t="s">
        <v>4795</v>
      </c>
      <c r="E1787">
        <v>2</v>
      </c>
      <c r="F1787">
        <v>2</v>
      </c>
      <c r="G1787">
        <v>2</v>
      </c>
      <c r="H1787" t="s">
        <v>4794</v>
      </c>
      <c r="I1787">
        <v>25.7</v>
      </c>
      <c r="J1787">
        <v>16.515999999999998</v>
      </c>
      <c r="K1787" t="str">
        <f>"MGST3"</f>
        <v>MGST3</v>
      </c>
      <c r="L1787" t="str">
        <f>"MGST3"</f>
        <v>MGST3</v>
      </c>
      <c r="M1787">
        <v>0</v>
      </c>
      <c r="N1787">
        <v>0.89450172185430499</v>
      </c>
      <c r="O1787">
        <v>0</v>
      </c>
      <c r="P1787">
        <v>0</v>
      </c>
      <c r="Q1787">
        <v>0</v>
      </c>
      <c r="R1787">
        <v>0</v>
      </c>
      <c r="S1787">
        <v>2.2662711409396001</v>
      </c>
      <c r="T1787">
        <v>0</v>
      </c>
      <c r="U1787">
        <v>0</v>
      </c>
      <c r="V1787">
        <v>0</v>
      </c>
      <c r="W1787">
        <v>0</v>
      </c>
      <c r="X1787">
        <v>0</v>
      </c>
    </row>
    <row r="1788" spans="1:24">
      <c r="A1788">
        <v>130</v>
      </c>
      <c r="B1788" t="s">
        <v>4796</v>
      </c>
      <c r="C1788">
        <v>3</v>
      </c>
      <c r="D1788" t="s">
        <v>4797</v>
      </c>
      <c r="E1788">
        <v>6</v>
      </c>
      <c r="F1788">
        <v>6</v>
      </c>
      <c r="G1788">
        <v>6</v>
      </c>
      <c r="H1788" t="s">
        <v>4798</v>
      </c>
      <c r="I1788">
        <v>14.6</v>
      </c>
      <c r="J1788">
        <v>58.14</v>
      </c>
      <c r="K1788" t="str">
        <f>"EIF3D"</f>
        <v>EIF3D</v>
      </c>
      <c r="L1788" t="str">
        <f>"EIF3D"</f>
        <v>EIF3D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0.984645710619934</v>
      </c>
    </row>
    <row r="1789" spans="1:24">
      <c r="A1789">
        <v>189</v>
      </c>
      <c r="B1789" t="s">
        <v>4799</v>
      </c>
      <c r="C1789">
        <v>3</v>
      </c>
      <c r="D1789" t="s">
        <v>4800</v>
      </c>
      <c r="E1789">
        <v>3</v>
      </c>
      <c r="F1789">
        <v>3</v>
      </c>
      <c r="G1789">
        <v>3</v>
      </c>
      <c r="H1789" t="s">
        <v>4801</v>
      </c>
      <c r="I1789">
        <v>6.4</v>
      </c>
      <c r="J1789">
        <v>73.796000000000006</v>
      </c>
      <c r="K1789" t="str">
        <f>"EXOC3"</f>
        <v>EXOC3</v>
      </c>
      <c r="L1789" t="str">
        <f>"EXOC3"</f>
        <v>EXOC3</v>
      </c>
      <c r="M1789">
        <v>0</v>
      </c>
      <c r="N1789">
        <v>0</v>
      </c>
      <c r="O1789">
        <v>0</v>
      </c>
      <c r="P1789">
        <v>1.0652189274447901</v>
      </c>
      <c r="Q1789">
        <v>0</v>
      </c>
      <c r="R1789">
        <v>0</v>
      </c>
      <c r="S1789">
        <v>0</v>
      </c>
      <c r="T1789">
        <v>0</v>
      </c>
      <c r="U1789">
        <v>1.10235831809872</v>
      </c>
      <c r="V1789">
        <v>0</v>
      </c>
      <c r="W1789">
        <v>0</v>
      </c>
      <c r="X1789">
        <v>0</v>
      </c>
    </row>
    <row r="1790" spans="1:24">
      <c r="A1790">
        <v>212</v>
      </c>
      <c r="B1790" t="s">
        <v>4802</v>
      </c>
      <c r="C1790">
        <v>1</v>
      </c>
      <c r="D1790" t="s">
        <v>4803</v>
      </c>
      <c r="E1790">
        <v>2</v>
      </c>
      <c r="F1790">
        <v>2</v>
      </c>
      <c r="G1790">
        <v>2</v>
      </c>
      <c r="H1790" t="s">
        <v>4802</v>
      </c>
      <c r="I1790">
        <v>19.5</v>
      </c>
      <c r="J1790">
        <v>13.757</v>
      </c>
      <c r="K1790" t="str">
        <f>"ATP6V1G1"</f>
        <v>ATP6V1G1</v>
      </c>
      <c r="L1790" t="str">
        <f>"ATP6V1G1"</f>
        <v>ATP6V1G1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1.8001620641859499</v>
      </c>
      <c r="S1790">
        <v>0</v>
      </c>
      <c r="T1790">
        <v>0</v>
      </c>
      <c r="U1790">
        <v>0</v>
      </c>
      <c r="V1790">
        <v>1.05063596764157</v>
      </c>
      <c r="W1790">
        <v>0</v>
      </c>
      <c r="X1790">
        <v>0</v>
      </c>
    </row>
    <row r="1791" spans="1:24">
      <c r="A1791">
        <v>231</v>
      </c>
      <c r="B1791" t="s">
        <v>4804</v>
      </c>
      <c r="C1791">
        <v>3</v>
      </c>
      <c r="D1791" t="s">
        <v>4805</v>
      </c>
      <c r="E1791">
        <v>3</v>
      </c>
      <c r="F1791">
        <v>3</v>
      </c>
      <c r="G1791">
        <v>3</v>
      </c>
      <c r="H1791" t="s">
        <v>4806</v>
      </c>
      <c r="I1791">
        <v>15.8</v>
      </c>
      <c r="J1791">
        <v>23.026</v>
      </c>
      <c r="K1791" t="str">
        <f>"EIF3J"</f>
        <v>EIF3J</v>
      </c>
      <c r="L1791" t="str">
        <f>"EIF3J"</f>
        <v>EIF3J</v>
      </c>
      <c r="M1791">
        <v>0</v>
      </c>
      <c r="N1791">
        <v>0.89450172185430499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1.10235831809872</v>
      </c>
      <c r="V1791">
        <v>0</v>
      </c>
      <c r="W1791">
        <v>0</v>
      </c>
      <c r="X1791">
        <v>0.984645710619934</v>
      </c>
    </row>
    <row r="1792" spans="1:24">
      <c r="A1792">
        <v>233</v>
      </c>
      <c r="B1792" t="s">
        <v>4807</v>
      </c>
      <c r="C1792">
        <v>1</v>
      </c>
      <c r="D1792" t="s">
        <v>4808</v>
      </c>
      <c r="E1792">
        <v>2</v>
      </c>
      <c r="F1792">
        <v>2</v>
      </c>
      <c r="G1792">
        <v>2</v>
      </c>
      <c r="H1792" t="s">
        <v>4807</v>
      </c>
      <c r="I1792">
        <v>2.4</v>
      </c>
      <c r="J1792">
        <v>87.116</v>
      </c>
      <c r="K1792" t="str">
        <f>"AP1G2"</f>
        <v>AP1G2</v>
      </c>
      <c r="L1792" t="str">
        <f>"AP1G2"</f>
        <v>AP1G2</v>
      </c>
      <c r="M1792">
        <v>0</v>
      </c>
      <c r="N1792">
        <v>0</v>
      </c>
      <c r="O1792">
        <v>0</v>
      </c>
      <c r="P1792">
        <v>1.0652189274447901</v>
      </c>
      <c r="Q1792">
        <v>0</v>
      </c>
      <c r="R1792">
        <v>0</v>
      </c>
      <c r="S1792">
        <v>0</v>
      </c>
      <c r="T1792">
        <v>0</v>
      </c>
      <c r="U1792">
        <v>1.10235831809872</v>
      </c>
      <c r="V1792">
        <v>0</v>
      </c>
      <c r="W1792">
        <v>0</v>
      </c>
      <c r="X1792">
        <v>0</v>
      </c>
    </row>
    <row r="1793" spans="1:24">
      <c r="A1793">
        <v>258</v>
      </c>
      <c r="B1793" t="s">
        <v>4809</v>
      </c>
      <c r="C1793">
        <v>2</v>
      </c>
      <c r="D1793" t="s">
        <v>4810</v>
      </c>
      <c r="E1793">
        <v>3</v>
      </c>
      <c r="F1793">
        <v>3</v>
      </c>
      <c r="G1793">
        <v>3</v>
      </c>
      <c r="H1793" t="s">
        <v>4811</v>
      </c>
      <c r="I1793">
        <v>35.799999999999997</v>
      </c>
      <c r="J1793">
        <v>14.026</v>
      </c>
      <c r="K1793" t="str">
        <f>"NDUFB4"</f>
        <v>NDUFB4</v>
      </c>
      <c r="L1793" t="str">
        <f>"NDUFB4"</f>
        <v>NDUFB4</v>
      </c>
      <c r="M1793">
        <v>0</v>
      </c>
      <c r="N1793">
        <v>0</v>
      </c>
      <c r="O1793">
        <v>0.91194339418818204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</row>
    <row r="1794" spans="1:24">
      <c r="A1794">
        <v>275</v>
      </c>
      <c r="B1794" t="s">
        <v>4812</v>
      </c>
      <c r="C1794">
        <v>3</v>
      </c>
      <c r="D1794" t="s">
        <v>4813</v>
      </c>
      <c r="E1794">
        <v>3</v>
      </c>
      <c r="F1794">
        <v>3</v>
      </c>
      <c r="G1794">
        <v>3</v>
      </c>
      <c r="H1794" t="s">
        <v>4814</v>
      </c>
      <c r="I1794">
        <v>6.4</v>
      </c>
      <c r="J1794">
        <v>67.191999999999993</v>
      </c>
      <c r="K1794" t="str">
        <f>"ASMTL"</f>
        <v>ASMTL</v>
      </c>
      <c r="L1794" t="str">
        <f>"ASMTL"</f>
        <v>ASMTL</v>
      </c>
      <c r="M1794">
        <v>0</v>
      </c>
      <c r="N1794">
        <v>0</v>
      </c>
      <c r="O1794">
        <v>0</v>
      </c>
      <c r="P1794">
        <v>1.0652189274447901</v>
      </c>
      <c r="Q1794">
        <v>0</v>
      </c>
      <c r="R1794">
        <v>0.90008103209297396</v>
      </c>
      <c r="S1794">
        <v>0</v>
      </c>
      <c r="T1794">
        <v>0</v>
      </c>
      <c r="U1794">
        <v>0</v>
      </c>
      <c r="V1794">
        <v>0</v>
      </c>
      <c r="W1794">
        <v>1.27539809638918</v>
      </c>
      <c r="X1794">
        <v>0</v>
      </c>
    </row>
    <row r="1795" spans="1:24">
      <c r="A1795">
        <v>358</v>
      </c>
      <c r="B1795" t="s">
        <v>4815</v>
      </c>
      <c r="C1795">
        <v>1</v>
      </c>
      <c r="D1795" t="s">
        <v>4816</v>
      </c>
      <c r="E1795">
        <v>4</v>
      </c>
      <c r="F1795">
        <v>3</v>
      </c>
      <c r="G1795">
        <v>3</v>
      </c>
      <c r="H1795" t="s">
        <v>4815</v>
      </c>
      <c r="I1795">
        <v>26.1</v>
      </c>
      <c r="J1795">
        <v>11.452999999999999</v>
      </c>
      <c r="K1795" t="s">
        <v>2275</v>
      </c>
      <c r="L1795" t="s">
        <v>2275</v>
      </c>
      <c r="M1795">
        <v>0</v>
      </c>
      <c r="N1795">
        <v>0</v>
      </c>
      <c r="O1795">
        <v>0</v>
      </c>
      <c r="P1795">
        <v>1.0652189274447901</v>
      </c>
      <c r="Q1795">
        <v>0</v>
      </c>
      <c r="R1795">
        <v>0</v>
      </c>
      <c r="S1795">
        <v>1.1331355704698001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>
      <c r="A1796">
        <v>377</v>
      </c>
      <c r="B1796" t="s">
        <v>4817</v>
      </c>
      <c r="C1796">
        <v>1</v>
      </c>
      <c r="D1796" t="s">
        <v>4818</v>
      </c>
      <c r="E1796">
        <v>1</v>
      </c>
      <c r="F1796">
        <v>1</v>
      </c>
      <c r="G1796">
        <v>1</v>
      </c>
      <c r="H1796" t="s">
        <v>4817</v>
      </c>
      <c r="I1796">
        <v>16.5</v>
      </c>
      <c r="J1796">
        <v>12.32</v>
      </c>
      <c r="K1796" t="s">
        <v>890</v>
      </c>
      <c r="L1796" t="s">
        <v>890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0.90008103209297396</v>
      </c>
      <c r="S1796">
        <v>0</v>
      </c>
      <c r="T1796">
        <v>1.18448996772836</v>
      </c>
      <c r="U1796">
        <v>0</v>
      </c>
      <c r="V1796">
        <v>0</v>
      </c>
      <c r="W1796">
        <v>2.5507961927783702</v>
      </c>
      <c r="X1796">
        <v>0</v>
      </c>
    </row>
    <row r="1797" spans="1:24">
      <c r="A1797">
        <v>446</v>
      </c>
      <c r="B1797" t="s">
        <v>4819</v>
      </c>
      <c r="C1797">
        <v>1</v>
      </c>
      <c r="D1797" t="s">
        <v>4820</v>
      </c>
      <c r="E1797">
        <v>3</v>
      </c>
      <c r="F1797">
        <v>3</v>
      </c>
      <c r="G1797">
        <v>3</v>
      </c>
      <c r="H1797" t="s">
        <v>4819</v>
      </c>
      <c r="I1797">
        <v>10</v>
      </c>
      <c r="J1797">
        <v>49.576999999999998</v>
      </c>
      <c r="K1797" t="str">
        <f>"LCAT"</f>
        <v>LCAT</v>
      </c>
      <c r="L1797" t="str">
        <f>"LCAT"</f>
        <v>LCAT</v>
      </c>
      <c r="M1797">
        <v>1.2103892752168599</v>
      </c>
      <c r="N1797">
        <v>0</v>
      </c>
      <c r="O1797">
        <v>0</v>
      </c>
      <c r="P1797">
        <v>0</v>
      </c>
      <c r="Q1797">
        <v>1.25576199330606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1.27539809638918</v>
      </c>
      <c r="X1797">
        <v>0</v>
      </c>
    </row>
    <row r="1798" spans="1:24">
      <c r="A1798">
        <v>562</v>
      </c>
      <c r="B1798" t="s">
        <v>4821</v>
      </c>
      <c r="C1798">
        <v>2</v>
      </c>
      <c r="D1798" t="s">
        <v>4822</v>
      </c>
      <c r="E1798">
        <v>5</v>
      </c>
      <c r="F1798">
        <v>5</v>
      </c>
      <c r="G1798">
        <v>5</v>
      </c>
      <c r="H1798" t="s">
        <v>4823</v>
      </c>
      <c r="I1798">
        <v>5.0999999999999996</v>
      </c>
      <c r="J1798">
        <v>130.9</v>
      </c>
      <c r="K1798" t="str">
        <f>"PTPRC"</f>
        <v>PTPRC</v>
      </c>
      <c r="L1798" t="str">
        <f>"PTPRC"</f>
        <v>PTPRC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1.8001620641859499</v>
      </c>
      <c r="S1798">
        <v>0</v>
      </c>
      <c r="T1798">
        <v>0</v>
      </c>
      <c r="U1798">
        <v>0</v>
      </c>
      <c r="V1798">
        <v>2.1012719352831399</v>
      </c>
      <c r="W1798">
        <v>0</v>
      </c>
      <c r="X1798">
        <v>0</v>
      </c>
    </row>
    <row r="1799" spans="1:24">
      <c r="A1799">
        <v>577</v>
      </c>
      <c r="B1799" t="s">
        <v>4824</v>
      </c>
      <c r="C1799">
        <v>2</v>
      </c>
      <c r="D1799" t="s">
        <v>4825</v>
      </c>
      <c r="E1799">
        <v>3</v>
      </c>
      <c r="F1799">
        <v>3</v>
      </c>
      <c r="G1799">
        <v>3</v>
      </c>
      <c r="H1799" t="s">
        <v>4826</v>
      </c>
      <c r="I1799">
        <v>18.3</v>
      </c>
      <c r="J1799">
        <v>22.408000000000001</v>
      </c>
      <c r="K1799" t="str">
        <f>"QDPR"</f>
        <v>QDPR</v>
      </c>
      <c r="L1799" t="str">
        <f>"QDPR"</f>
        <v>QDPR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1.18448996772836</v>
      </c>
      <c r="U1799">
        <v>0</v>
      </c>
      <c r="V1799">
        <v>0</v>
      </c>
      <c r="W1799">
        <v>0</v>
      </c>
      <c r="X1799">
        <v>0</v>
      </c>
    </row>
    <row r="1800" spans="1:24">
      <c r="A1800">
        <v>629</v>
      </c>
      <c r="B1800" t="s">
        <v>4827</v>
      </c>
      <c r="C1800">
        <v>3</v>
      </c>
      <c r="D1800" t="s">
        <v>4828</v>
      </c>
      <c r="E1800">
        <v>4</v>
      </c>
      <c r="F1800">
        <v>4</v>
      </c>
      <c r="G1800">
        <v>4</v>
      </c>
      <c r="H1800" t="s">
        <v>4829</v>
      </c>
      <c r="I1800">
        <v>10</v>
      </c>
      <c r="J1800">
        <v>52.220999999999997</v>
      </c>
      <c r="K1800" t="str">
        <f>"UMPS"</f>
        <v>UMPS</v>
      </c>
      <c r="L1800" t="str">
        <f>"UMPS"</f>
        <v>UMPS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0.90008103209297396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</row>
    <row r="1801" spans="1:24">
      <c r="A1801">
        <v>748</v>
      </c>
      <c r="B1801" t="s">
        <v>4830</v>
      </c>
      <c r="C1801">
        <v>1</v>
      </c>
      <c r="D1801" t="s">
        <v>4831</v>
      </c>
      <c r="E1801">
        <v>2</v>
      </c>
      <c r="F1801">
        <v>2</v>
      </c>
      <c r="G1801">
        <v>2</v>
      </c>
      <c r="H1801" t="s">
        <v>4830</v>
      </c>
      <c r="I1801">
        <v>5.7</v>
      </c>
      <c r="J1801">
        <v>54.168999999999997</v>
      </c>
      <c r="K1801" t="str">
        <f>"TRIM21"</f>
        <v>TRIM21</v>
      </c>
      <c r="L1801" t="str">
        <f>"TRIM21"</f>
        <v>TRIM21</v>
      </c>
      <c r="M1801">
        <v>0</v>
      </c>
      <c r="N1801">
        <v>0.89450172185430499</v>
      </c>
      <c r="O1801">
        <v>0.91194339418818204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1.10235831809872</v>
      </c>
      <c r="V1801">
        <v>1.05063596764157</v>
      </c>
      <c r="W1801">
        <v>0</v>
      </c>
      <c r="X1801">
        <v>0</v>
      </c>
    </row>
    <row r="1802" spans="1:24">
      <c r="A1802">
        <v>814</v>
      </c>
      <c r="B1802" t="s">
        <v>4832</v>
      </c>
      <c r="C1802">
        <v>1</v>
      </c>
      <c r="D1802" t="s">
        <v>4833</v>
      </c>
      <c r="E1802">
        <v>3</v>
      </c>
      <c r="F1802">
        <v>3</v>
      </c>
      <c r="G1802">
        <v>3</v>
      </c>
      <c r="H1802" t="s">
        <v>4832</v>
      </c>
      <c r="I1802">
        <v>18</v>
      </c>
      <c r="J1802">
        <v>27.806999999999999</v>
      </c>
      <c r="K1802" t="str">
        <f>"PRTN3"</f>
        <v>PRTN3</v>
      </c>
      <c r="L1802" t="str">
        <f>"PRTN3"</f>
        <v>PRTN3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0.90008103209297396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</row>
    <row r="1803" spans="1:24">
      <c r="A1803">
        <v>833</v>
      </c>
      <c r="B1803" t="s">
        <v>4834</v>
      </c>
      <c r="C1803">
        <v>2</v>
      </c>
      <c r="D1803" t="s">
        <v>4835</v>
      </c>
      <c r="E1803">
        <v>1</v>
      </c>
      <c r="F1803">
        <v>1</v>
      </c>
      <c r="G1803">
        <v>1</v>
      </c>
      <c r="H1803" t="s">
        <v>4836</v>
      </c>
      <c r="I1803">
        <v>0.6</v>
      </c>
      <c r="J1803">
        <v>183.16</v>
      </c>
      <c r="K1803" t="str">
        <f>"DNMT1"</f>
        <v>DNMT1</v>
      </c>
      <c r="L1803" t="str">
        <f>"DNMT1"</f>
        <v>DNMT1</v>
      </c>
      <c r="M1803">
        <v>1.2103892752168599</v>
      </c>
      <c r="N1803">
        <v>0</v>
      </c>
      <c r="O1803">
        <v>0.91194339418818204</v>
      </c>
      <c r="P1803">
        <v>1.0652189274447901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0.984645710619934</v>
      </c>
    </row>
    <row r="1804" spans="1:24">
      <c r="A1804">
        <v>860</v>
      </c>
      <c r="B1804" t="s">
        <v>4837</v>
      </c>
      <c r="C1804">
        <v>1</v>
      </c>
      <c r="D1804" t="s">
        <v>4838</v>
      </c>
      <c r="E1804">
        <v>3</v>
      </c>
      <c r="F1804">
        <v>3</v>
      </c>
      <c r="G1804">
        <v>3</v>
      </c>
      <c r="H1804" t="s">
        <v>4837</v>
      </c>
      <c r="I1804">
        <v>13</v>
      </c>
      <c r="J1804">
        <v>25.356999999999999</v>
      </c>
      <c r="K1804" t="str">
        <f>"PSMB6"</f>
        <v>PSMB6</v>
      </c>
      <c r="L1804" t="str">
        <f>"PSMB6"</f>
        <v>PSMB6</v>
      </c>
      <c r="M1804">
        <v>0</v>
      </c>
      <c r="N1804">
        <v>0</v>
      </c>
      <c r="O1804">
        <v>0.91194339418818204</v>
      </c>
      <c r="P1804">
        <v>0</v>
      </c>
      <c r="Q1804">
        <v>0</v>
      </c>
      <c r="R1804">
        <v>0.90008103209297396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</row>
    <row r="1805" spans="1:24">
      <c r="A1805">
        <v>1039</v>
      </c>
      <c r="B1805" t="s">
        <v>4839</v>
      </c>
      <c r="C1805">
        <v>1</v>
      </c>
      <c r="D1805" t="s">
        <v>4840</v>
      </c>
      <c r="E1805">
        <v>2</v>
      </c>
      <c r="F1805">
        <v>2</v>
      </c>
      <c r="G1805">
        <v>2</v>
      </c>
      <c r="H1805" t="s">
        <v>4839</v>
      </c>
      <c r="I1805">
        <v>5.7</v>
      </c>
      <c r="J1805">
        <v>55.52</v>
      </c>
      <c r="K1805" t="str">
        <f>"NAMPT"</f>
        <v>NAMPT</v>
      </c>
      <c r="L1805" t="str">
        <f>"NAMPT"</f>
        <v>NAMPT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1.8001620641859499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</row>
    <row r="1806" spans="1:24">
      <c r="A1806">
        <v>1046</v>
      </c>
      <c r="B1806" t="s">
        <v>4841</v>
      </c>
      <c r="C1806">
        <v>2</v>
      </c>
      <c r="D1806" t="s">
        <v>4842</v>
      </c>
      <c r="E1806">
        <v>2</v>
      </c>
      <c r="F1806">
        <v>2</v>
      </c>
      <c r="G1806">
        <v>2</v>
      </c>
      <c r="H1806" t="s">
        <v>4843</v>
      </c>
      <c r="I1806">
        <v>10.8</v>
      </c>
      <c r="J1806">
        <v>22.905000000000001</v>
      </c>
      <c r="K1806" t="str">
        <f>"CRK"</f>
        <v>CRK</v>
      </c>
      <c r="L1806" t="str">
        <f>"CRK"</f>
        <v>CRK</v>
      </c>
      <c r="M1806">
        <v>0</v>
      </c>
      <c r="N1806">
        <v>0</v>
      </c>
      <c r="O1806">
        <v>0.91194339418818204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1.27539809638918</v>
      </c>
      <c r="X1806">
        <v>0</v>
      </c>
    </row>
    <row r="1807" spans="1:24">
      <c r="A1807">
        <v>1068</v>
      </c>
      <c r="B1807" t="s">
        <v>4844</v>
      </c>
      <c r="C1807">
        <v>1</v>
      </c>
      <c r="D1807" t="s">
        <v>4845</v>
      </c>
      <c r="E1807">
        <v>2</v>
      </c>
      <c r="F1807">
        <v>2</v>
      </c>
      <c r="G1807">
        <v>2</v>
      </c>
      <c r="H1807" t="s">
        <v>4844</v>
      </c>
      <c r="I1807">
        <v>3.6</v>
      </c>
      <c r="J1807">
        <v>72.765000000000001</v>
      </c>
      <c r="K1807" t="str">
        <f>"GCLC"</f>
        <v>GCLC</v>
      </c>
      <c r="L1807" t="str">
        <f>"GCLC"</f>
        <v>GCLC</v>
      </c>
      <c r="M1807">
        <v>0</v>
      </c>
      <c r="N1807">
        <v>0</v>
      </c>
      <c r="O1807">
        <v>0</v>
      </c>
      <c r="P1807">
        <v>1.0652189274447901</v>
      </c>
      <c r="Q1807">
        <v>0</v>
      </c>
      <c r="R1807">
        <v>0.90008103209297396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</row>
    <row r="1808" spans="1:24">
      <c r="A1808">
        <v>1130</v>
      </c>
      <c r="B1808" t="s">
        <v>4846</v>
      </c>
      <c r="C1808">
        <v>2</v>
      </c>
      <c r="D1808" t="s">
        <v>4847</v>
      </c>
      <c r="E1808">
        <v>3</v>
      </c>
      <c r="F1808">
        <v>3</v>
      </c>
      <c r="G1808">
        <v>3</v>
      </c>
      <c r="H1808" t="s">
        <v>4848</v>
      </c>
      <c r="I1808">
        <v>10.5</v>
      </c>
      <c r="J1808">
        <v>41.468000000000004</v>
      </c>
      <c r="K1808" t="str">
        <f>"IDH3G"</f>
        <v>IDH3G</v>
      </c>
      <c r="L1808" t="str">
        <f>"IDH3G"</f>
        <v>IDH3G</v>
      </c>
      <c r="M1808">
        <v>0</v>
      </c>
      <c r="N1808">
        <v>0</v>
      </c>
      <c r="O1808">
        <v>0</v>
      </c>
      <c r="P1808">
        <v>0</v>
      </c>
      <c r="Q1808">
        <v>1.25576199330606</v>
      </c>
      <c r="R1808">
        <v>0</v>
      </c>
      <c r="S1808">
        <v>0</v>
      </c>
      <c r="T1808">
        <v>0</v>
      </c>
      <c r="U1808">
        <v>1.10235831809872</v>
      </c>
      <c r="V1808">
        <v>0</v>
      </c>
      <c r="W1808">
        <v>1.27539809638918</v>
      </c>
      <c r="X1808">
        <v>0.984645710619934</v>
      </c>
    </row>
    <row r="1809" spans="1:24">
      <c r="A1809">
        <v>1252</v>
      </c>
      <c r="B1809" t="s">
        <v>4849</v>
      </c>
      <c r="C1809">
        <v>2</v>
      </c>
      <c r="D1809" t="s">
        <v>4850</v>
      </c>
      <c r="E1809">
        <v>3</v>
      </c>
      <c r="F1809">
        <v>3</v>
      </c>
      <c r="G1809">
        <v>2</v>
      </c>
      <c r="H1809" t="s">
        <v>4851</v>
      </c>
      <c r="I1809">
        <v>18</v>
      </c>
      <c r="J1809">
        <v>16.010999999999999</v>
      </c>
      <c r="K1809" t="str">
        <f>"AP1S1"</f>
        <v>AP1S1</v>
      </c>
      <c r="L1809" t="str">
        <f>"AP1S1"</f>
        <v>AP1S1</v>
      </c>
      <c r="M1809">
        <v>0</v>
      </c>
      <c r="N1809">
        <v>0</v>
      </c>
      <c r="O1809">
        <v>0</v>
      </c>
      <c r="P1809">
        <v>0</v>
      </c>
      <c r="Q1809">
        <v>1.25576199330606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</row>
    <row r="1810" spans="1:24">
      <c r="A1810">
        <v>1261</v>
      </c>
      <c r="B1810" t="s">
        <v>4852</v>
      </c>
      <c r="C1810">
        <v>1</v>
      </c>
      <c r="D1810" t="s">
        <v>4853</v>
      </c>
      <c r="E1810">
        <v>1</v>
      </c>
      <c r="F1810">
        <v>1</v>
      </c>
      <c r="G1810">
        <v>1</v>
      </c>
      <c r="H1810" t="s">
        <v>4852</v>
      </c>
      <c r="I1810">
        <v>6.8</v>
      </c>
      <c r="J1810">
        <v>16.445</v>
      </c>
      <c r="K1810" t="str">
        <f>"RPS16"</f>
        <v>RPS16</v>
      </c>
      <c r="L1810" t="str">
        <f>"RPS16"</f>
        <v>RPS16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0.90008103209297396</v>
      </c>
      <c r="S1810">
        <v>0</v>
      </c>
      <c r="T1810">
        <v>0</v>
      </c>
      <c r="U1810">
        <v>1.10235831809872</v>
      </c>
      <c r="V1810">
        <v>0</v>
      </c>
      <c r="W1810">
        <v>0</v>
      </c>
      <c r="X1810">
        <v>0</v>
      </c>
    </row>
    <row r="1811" spans="1:24">
      <c r="A1811">
        <v>1334</v>
      </c>
      <c r="B1811" t="s">
        <v>4854</v>
      </c>
      <c r="C1811">
        <v>2</v>
      </c>
      <c r="D1811" t="s">
        <v>4855</v>
      </c>
      <c r="E1811">
        <v>3</v>
      </c>
      <c r="F1811">
        <v>3</v>
      </c>
      <c r="G1811">
        <v>3</v>
      </c>
      <c r="H1811" t="s">
        <v>4856</v>
      </c>
      <c r="I1811">
        <v>3.5</v>
      </c>
      <c r="J1811">
        <v>137.99</v>
      </c>
      <c r="K1811" t="str">
        <f>"HDLBP"</f>
        <v>HDLBP</v>
      </c>
      <c r="L1811" t="str">
        <f>"HDLBP"</f>
        <v>HDLBP</v>
      </c>
      <c r="M1811">
        <v>0</v>
      </c>
      <c r="N1811">
        <v>0</v>
      </c>
      <c r="O1811">
        <v>0.91194339418818204</v>
      </c>
      <c r="P1811">
        <v>0</v>
      </c>
      <c r="Q1811">
        <v>0</v>
      </c>
      <c r="R1811">
        <v>0.90008103209297396</v>
      </c>
      <c r="S1811">
        <v>0</v>
      </c>
      <c r="T1811">
        <v>0</v>
      </c>
      <c r="U1811">
        <v>1.10235831809872</v>
      </c>
      <c r="V1811">
        <v>0</v>
      </c>
      <c r="W1811">
        <v>0</v>
      </c>
      <c r="X1811">
        <v>0</v>
      </c>
    </row>
    <row r="1812" spans="1:24">
      <c r="A1812">
        <v>1384</v>
      </c>
      <c r="B1812" t="s">
        <v>4857</v>
      </c>
      <c r="C1812">
        <v>1</v>
      </c>
      <c r="D1812" t="s">
        <v>4858</v>
      </c>
      <c r="E1812">
        <v>1</v>
      </c>
      <c r="F1812">
        <v>1</v>
      </c>
      <c r="G1812">
        <v>1</v>
      </c>
      <c r="H1812" t="s">
        <v>4857</v>
      </c>
      <c r="I1812">
        <v>0.9</v>
      </c>
      <c r="J1812">
        <v>109.24</v>
      </c>
      <c r="K1812" t="str">
        <f>"ENPEP"</f>
        <v>ENPEP</v>
      </c>
      <c r="L1812" t="str">
        <f>"ENPEP"</f>
        <v>ENPEP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0.90008103209297396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</row>
    <row r="1813" spans="1:24">
      <c r="A1813">
        <v>1399</v>
      </c>
      <c r="B1813" t="s">
        <v>4859</v>
      </c>
      <c r="C1813">
        <v>1</v>
      </c>
      <c r="D1813" t="s">
        <v>4860</v>
      </c>
      <c r="E1813">
        <v>3</v>
      </c>
      <c r="F1813">
        <v>3</v>
      </c>
      <c r="G1813">
        <v>3</v>
      </c>
      <c r="H1813" t="s">
        <v>4859</v>
      </c>
      <c r="I1813">
        <v>3.6</v>
      </c>
      <c r="J1813">
        <v>629.09</v>
      </c>
      <c r="K1813" t="str">
        <f>"AHNAK"</f>
        <v>AHNAK</v>
      </c>
      <c r="L1813" t="str">
        <f>"AHNAK"</f>
        <v>AHNAK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1.8001620641859499</v>
      </c>
      <c r="S1813">
        <v>0</v>
      </c>
      <c r="T1813">
        <v>0</v>
      </c>
      <c r="U1813">
        <v>2.20471663619744</v>
      </c>
      <c r="V1813">
        <v>0</v>
      </c>
      <c r="W1813">
        <v>0</v>
      </c>
      <c r="X1813">
        <v>0</v>
      </c>
    </row>
    <row r="1814" spans="1:24">
      <c r="A1814">
        <v>1403</v>
      </c>
      <c r="B1814" t="s">
        <v>4861</v>
      </c>
      <c r="C1814">
        <v>2</v>
      </c>
      <c r="D1814" t="s">
        <v>4862</v>
      </c>
      <c r="E1814">
        <v>4</v>
      </c>
      <c r="F1814">
        <v>4</v>
      </c>
      <c r="G1814">
        <v>4</v>
      </c>
      <c r="H1814" t="s">
        <v>4863</v>
      </c>
      <c r="I1814">
        <v>9.5</v>
      </c>
      <c r="J1814">
        <v>64.731999999999999</v>
      </c>
      <c r="K1814" t="str">
        <f>"GALNT2"</f>
        <v>GALNT2</v>
      </c>
      <c r="L1814" t="str">
        <f>"GALNT2"</f>
        <v>GALNT2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0.984645710619934</v>
      </c>
    </row>
    <row r="1815" spans="1:24">
      <c r="A1815">
        <v>1560</v>
      </c>
      <c r="B1815" t="s">
        <v>4864</v>
      </c>
      <c r="C1815">
        <v>2</v>
      </c>
      <c r="D1815" t="s">
        <v>4865</v>
      </c>
      <c r="E1815">
        <v>1</v>
      </c>
      <c r="F1815">
        <v>1</v>
      </c>
      <c r="G1815">
        <v>1</v>
      </c>
      <c r="H1815" t="s">
        <v>4866</v>
      </c>
      <c r="I1815">
        <v>1</v>
      </c>
      <c r="J1815">
        <v>142.94999999999999</v>
      </c>
      <c r="K1815" t="str">
        <f>"STIL"</f>
        <v>STIL</v>
      </c>
      <c r="L1815" t="str">
        <f>"STIL"</f>
        <v>STIL</v>
      </c>
      <c r="M1815">
        <v>0</v>
      </c>
      <c r="N1815">
        <v>0</v>
      </c>
      <c r="O1815">
        <v>0</v>
      </c>
      <c r="P1815">
        <v>0</v>
      </c>
      <c r="Q1815">
        <v>1.25576199330606</v>
      </c>
      <c r="R1815">
        <v>0.90008103209297396</v>
      </c>
      <c r="S1815">
        <v>0</v>
      </c>
      <c r="T1815">
        <v>1.18448996772836</v>
      </c>
      <c r="U1815">
        <v>0</v>
      </c>
      <c r="V1815">
        <v>0</v>
      </c>
      <c r="W1815">
        <v>1.27539809638918</v>
      </c>
      <c r="X1815">
        <v>0</v>
      </c>
    </row>
    <row r="1816" spans="1:24">
      <c r="A1816">
        <v>1590</v>
      </c>
      <c r="B1816" t="s">
        <v>4867</v>
      </c>
      <c r="C1816">
        <v>2</v>
      </c>
      <c r="D1816" t="s">
        <v>4868</v>
      </c>
      <c r="E1816">
        <v>2</v>
      </c>
      <c r="F1816">
        <v>2</v>
      </c>
      <c r="G1816">
        <v>2</v>
      </c>
      <c r="H1816" t="s">
        <v>4869</v>
      </c>
      <c r="I1816">
        <v>7.3</v>
      </c>
      <c r="J1816">
        <v>28.565000000000001</v>
      </c>
      <c r="K1816" t="str">
        <f>"SYPL1"</f>
        <v>SYPL1</v>
      </c>
      <c r="L1816" t="str">
        <f>"SYPL1"</f>
        <v>SYPL1</v>
      </c>
      <c r="M1816">
        <v>0</v>
      </c>
      <c r="N1816">
        <v>0</v>
      </c>
      <c r="O1816">
        <v>0</v>
      </c>
      <c r="P1816">
        <v>1.0652189274447901</v>
      </c>
      <c r="Q1816">
        <v>0</v>
      </c>
      <c r="R1816">
        <v>0</v>
      </c>
      <c r="S1816">
        <v>0</v>
      </c>
      <c r="T1816">
        <v>1.18448996772836</v>
      </c>
      <c r="U1816">
        <v>0</v>
      </c>
      <c r="V1816">
        <v>0</v>
      </c>
      <c r="W1816">
        <v>0</v>
      </c>
      <c r="X1816">
        <v>0</v>
      </c>
    </row>
    <row r="1817" spans="1:24">
      <c r="A1817">
        <v>1617</v>
      </c>
      <c r="B1817" t="s">
        <v>4870</v>
      </c>
      <c r="C1817">
        <v>6</v>
      </c>
      <c r="D1817" t="s">
        <v>4871</v>
      </c>
      <c r="E1817">
        <v>3</v>
      </c>
      <c r="F1817">
        <v>3</v>
      </c>
      <c r="G1817">
        <v>3</v>
      </c>
      <c r="H1817" t="s">
        <v>4872</v>
      </c>
      <c r="I1817">
        <v>4.8</v>
      </c>
      <c r="J1817">
        <v>79.548000000000002</v>
      </c>
      <c r="K1817" t="str">
        <f>"RABL6"</f>
        <v>RABL6</v>
      </c>
      <c r="L1817" t="str">
        <f>"RABL6"</f>
        <v>RABL6</v>
      </c>
      <c r="M1817">
        <v>0</v>
      </c>
      <c r="N1817">
        <v>0.89450172185430499</v>
      </c>
      <c r="O1817">
        <v>0</v>
      </c>
      <c r="P1817">
        <v>0</v>
      </c>
      <c r="Q1817">
        <v>2.51152398661212</v>
      </c>
      <c r="R1817">
        <v>0</v>
      </c>
      <c r="S1817">
        <v>0</v>
      </c>
      <c r="T1817">
        <v>0</v>
      </c>
      <c r="U1817">
        <v>1.10235831809872</v>
      </c>
      <c r="V1817">
        <v>0</v>
      </c>
      <c r="W1817">
        <v>0</v>
      </c>
      <c r="X1817">
        <v>0</v>
      </c>
    </row>
    <row r="1818" spans="1:24">
      <c r="A1818">
        <v>1633</v>
      </c>
      <c r="B1818" t="s">
        <v>4873</v>
      </c>
      <c r="C1818">
        <v>1</v>
      </c>
      <c r="D1818" t="s">
        <v>4874</v>
      </c>
      <c r="E1818">
        <v>6</v>
      </c>
      <c r="F1818">
        <v>6</v>
      </c>
      <c r="G1818">
        <v>6</v>
      </c>
      <c r="H1818" t="s">
        <v>4873</v>
      </c>
      <c r="I1818">
        <v>4.4000000000000004</v>
      </c>
      <c r="J1818">
        <v>237.67</v>
      </c>
      <c r="K1818" t="str">
        <f>"DOCK11"</f>
        <v>DOCK11</v>
      </c>
      <c r="L1818" t="str">
        <f>"DOCK11"</f>
        <v>DOCK11</v>
      </c>
      <c r="M1818">
        <v>0</v>
      </c>
      <c r="N1818">
        <v>0.89450172185430499</v>
      </c>
      <c r="O1818">
        <v>0.91194339418818204</v>
      </c>
      <c r="P1818">
        <v>0</v>
      </c>
      <c r="Q1818">
        <v>0</v>
      </c>
      <c r="R1818">
        <v>0.90008103209297396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</row>
    <row r="1819" spans="1:24">
      <c r="A1819">
        <v>1638</v>
      </c>
      <c r="B1819" t="s">
        <v>4875</v>
      </c>
      <c r="C1819">
        <v>3</v>
      </c>
      <c r="D1819" t="s">
        <v>4876</v>
      </c>
      <c r="E1819">
        <v>1</v>
      </c>
      <c r="F1819">
        <v>1</v>
      </c>
      <c r="G1819">
        <v>1</v>
      </c>
      <c r="H1819" t="s">
        <v>4877</v>
      </c>
      <c r="I1819">
        <v>6.7</v>
      </c>
      <c r="J1819">
        <v>24.402999999999999</v>
      </c>
      <c r="K1819" t="str">
        <f>"EOGT"</f>
        <v>EOGT</v>
      </c>
      <c r="L1819" t="str">
        <f>"EOGT"</f>
        <v>EOGT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0.90008103209297396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</row>
    <row r="1820" spans="1:24">
      <c r="A1820">
        <v>1649</v>
      </c>
      <c r="B1820" t="s">
        <v>4878</v>
      </c>
      <c r="C1820">
        <v>4</v>
      </c>
      <c r="D1820" t="s">
        <v>4879</v>
      </c>
      <c r="E1820">
        <v>2</v>
      </c>
      <c r="F1820">
        <v>2</v>
      </c>
      <c r="G1820">
        <v>2</v>
      </c>
      <c r="H1820" t="s">
        <v>4880</v>
      </c>
      <c r="I1820">
        <v>2.2000000000000002</v>
      </c>
      <c r="J1820">
        <v>121.83</v>
      </c>
      <c r="K1820" t="str">
        <f>"SH3PXD2A;SH3PXD2B"</f>
        <v>SH3PXD2A;SH3PXD2B</v>
      </c>
      <c r="L1820" t="str">
        <f>"SH3PXD2A;SH3PXD2B"</f>
        <v>SH3PXD2A;SH3PXD2B</v>
      </c>
      <c r="M1820">
        <v>0</v>
      </c>
      <c r="N1820">
        <v>0</v>
      </c>
      <c r="O1820">
        <v>0</v>
      </c>
      <c r="P1820">
        <v>1.0652189274447901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>
      <c r="A1821">
        <v>1662</v>
      </c>
      <c r="B1821" t="s">
        <v>4881</v>
      </c>
      <c r="C1821">
        <v>3</v>
      </c>
      <c r="D1821" t="s">
        <v>4882</v>
      </c>
      <c r="E1821">
        <v>2</v>
      </c>
      <c r="F1821">
        <v>2</v>
      </c>
      <c r="G1821">
        <v>2</v>
      </c>
      <c r="H1821" t="s">
        <v>4883</v>
      </c>
      <c r="I1821">
        <v>4.5</v>
      </c>
      <c r="J1821">
        <v>54.470999999999997</v>
      </c>
      <c r="K1821" t="str">
        <f>"STEAP3"</f>
        <v>STEAP3</v>
      </c>
      <c r="L1821" t="str">
        <f>"STEAP3"</f>
        <v>STEAP3</v>
      </c>
      <c r="M1821">
        <v>0</v>
      </c>
      <c r="N1821">
        <v>0</v>
      </c>
      <c r="O1821">
        <v>0</v>
      </c>
      <c r="P1821">
        <v>1.0652189274447901</v>
      </c>
      <c r="Q1821">
        <v>0</v>
      </c>
      <c r="R1821">
        <v>0</v>
      </c>
      <c r="S1821">
        <v>0</v>
      </c>
      <c r="T1821">
        <v>0</v>
      </c>
      <c r="U1821">
        <v>1.10235831809872</v>
      </c>
      <c r="V1821">
        <v>0</v>
      </c>
      <c r="W1821">
        <v>1.27539809638918</v>
      </c>
      <c r="X1821">
        <v>0.984645710619934</v>
      </c>
    </row>
    <row r="1822" spans="1:24">
      <c r="A1822">
        <v>1683</v>
      </c>
      <c r="B1822" t="s">
        <v>4884</v>
      </c>
      <c r="C1822">
        <v>1</v>
      </c>
      <c r="D1822" t="s">
        <v>4885</v>
      </c>
      <c r="E1822">
        <v>2</v>
      </c>
      <c r="F1822">
        <v>2</v>
      </c>
      <c r="G1822">
        <v>2</v>
      </c>
      <c r="H1822" t="s">
        <v>4884</v>
      </c>
      <c r="I1822">
        <v>21.7</v>
      </c>
      <c r="J1822">
        <v>20.555</v>
      </c>
      <c r="K1822" t="str">
        <f>"TNFAIP8L2"</f>
        <v>TNFAIP8L2</v>
      </c>
      <c r="L1822" t="str">
        <f>"TNFAIP8L2"</f>
        <v>TNFAIP8L2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1.8001620641859499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</row>
    <row r="1823" spans="1:24">
      <c r="A1823">
        <v>1723</v>
      </c>
      <c r="B1823" t="s">
        <v>4886</v>
      </c>
      <c r="C1823">
        <v>1</v>
      </c>
      <c r="D1823" t="s">
        <v>4887</v>
      </c>
      <c r="E1823">
        <v>1</v>
      </c>
      <c r="F1823">
        <v>1</v>
      </c>
      <c r="G1823">
        <v>1</v>
      </c>
      <c r="H1823" t="s">
        <v>4886</v>
      </c>
      <c r="I1823">
        <v>1.3</v>
      </c>
      <c r="J1823">
        <v>86.572999999999993</v>
      </c>
      <c r="K1823" t="str">
        <f>"FASTKD5"</f>
        <v>FASTKD5</v>
      </c>
      <c r="L1823" t="str">
        <f>"FASTKD5"</f>
        <v>FASTKD5</v>
      </c>
      <c r="M1823">
        <v>0</v>
      </c>
      <c r="N1823">
        <v>0.89450172185430499</v>
      </c>
      <c r="O1823">
        <v>0.91194339418818204</v>
      </c>
      <c r="P1823">
        <v>0</v>
      </c>
      <c r="Q1823">
        <v>0</v>
      </c>
      <c r="R1823">
        <v>0.90008103209297396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</row>
    <row r="1824" spans="1:24">
      <c r="A1824">
        <v>1730</v>
      </c>
      <c r="B1824" t="s">
        <v>4888</v>
      </c>
      <c r="C1824">
        <v>1</v>
      </c>
      <c r="D1824" t="s">
        <v>4889</v>
      </c>
      <c r="E1824">
        <v>3</v>
      </c>
      <c r="F1824">
        <v>3</v>
      </c>
      <c r="G1824">
        <v>3</v>
      </c>
      <c r="H1824" t="s">
        <v>4888</v>
      </c>
      <c r="I1824">
        <v>2.2999999999999998</v>
      </c>
      <c r="J1824">
        <v>155.22999999999999</v>
      </c>
      <c r="K1824" t="str">
        <f>"DHX29"</f>
        <v>DHX29</v>
      </c>
      <c r="L1824" t="str">
        <f>"DHX29"</f>
        <v>DHX29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0.90008103209297396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</row>
    <row r="1825" spans="1:24">
      <c r="A1825">
        <v>1737</v>
      </c>
      <c r="B1825" t="s">
        <v>4890</v>
      </c>
      <c r="C1825">
        <v>3</v>
      </c>
      <c r="D1825" t="s">
        <v>4891</v>
      </c>
      <c r="E1825">
        <v>4</v>
      </c>
      <c r="F1825">
        <v>4</v>
      </c>
      <c r="G1825">
        <v>4</v>
      </c>
      <c r="H1825" t="s">
        <v>4892</v>
      </c>
      <c r="I1825">
        <v>15.2</v>
      </c>
      <c r="J1825">
        <v>46.277000000000001</v>
      </c>
      <c r="K1825" t="str">
        <f>"ACOT1;ACOT2"</f>
        <v>ACOT1;ACOT2</v>
      </c>
      <c r="L1825" t="str">
        <f>"ACOT1;ACOT2"</f>
        <v>ACOT1;ACOT2</v>
      </c>
      <c r="M1825">
        <v>0</v>
      </c>
      <c r="N1825">
        <v>0</v>
      </c>
      <c r="O1825">
        <v>0</v>
      </c>
      <c r="P1825">
        <v>0</v>
      </c>
      <c r="Q1825">
        <v>1.25576199330606</v>
      </c>
      <c r="R1825">
        <v>0</v>
      </c>
      <c r="S1825">
        <v>0</v>
      </c>
      <c r="T1825">
        <v>1.18448996772836</v>
      </c>
      <c r="U1825">
        <v>0</v>
      </c>
      <c r="V1825">
        <v>0</v>
      </c>
      <c r="W1825">
        <v>0</v>
      </c>
      <c r="X1825">
        <v>0</v>
      </c>
    </row>
    <row r="1826" spans="1:24">
      <c r="A1826">
        <v>1826</v>
      </c>
      <c r="B1826" t="s">
        <v>4893</v>
      </c>
      <c r="C1826">
        <v>2</v>
      </c>
      <c r="D1826" t="s">
        <v>4894</v>
      </c>
      <c r="E1826">
        <v>2</v>
      </c>
      <c r="F1826">
        <v>2</v>
      </c>
      <c r="G1826">
        <v>2</v>
      </c>
      <c r="H1826" t="s">
        <v>4895</v>
      </c>
      <c r="I1826">
        <v>12.9</v>
      </c>
      <c r="J1826">
        <v>23.382000000000001</v>
      </c>
      <c r="K1826" t="str">
        <f>"NT5C"</f>
        <v>NT5C</v>
      </c>
      <c r="L1826" t="str">
        <f>"NT5C"</f>
        <v>NT5C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1.18448996772836</v>
      </c>
      <c r="U1826">
        <v>0</v>
      </c>
      <c r="V1826">
        <v>1.05063596764157</v>
      </c>
      <c r="W1826">
        <v>0</v>
      </c>
      <c r="X1826">
        <v>0.984645710619934</v>
      </c>
    </row>
    <row r="1827" spans="1:24">
      <c r="A1827">
        <v>1861</v>
      </c>
      <c r="B1827" t="s">
        <v>4896</v>
      </c>
      <c r="C1827">
        <v>3</v>
      </c>
      <c r="D1827" t="s">
        <v>4897</v>
      </c>
      <c r="E1827">
        <v>5</v>
      </c>
      <c r="F1827">
        <v>5</v>
      </c>
      <c r="G1827">
        <v>5</v>
      </c>
      <c r="H1827" t="s">
        <v>4898</v>
      </c>
      <c r="I1827">
        <v>7.7</v>
      </c>
      <c r="J1827">
        <v>83.828999999999994</v>
      </c>
      <c r="K1827" t="str">
        <f>"ELMO1"</f>
        <v>ELMO1</v>
      </c>
      <c r="L1827" t="str">
        <f>"ELMO1"</f>
        <v>ELMO1</v>
      </c>
      <c r="M1827">
        <v>1.2103892752168599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1.10235831809872</v>
      </c>
      <c r="V1827">
        <v>0</v>
      </c>
      <c r="W1827">
        <v>0</v>
      </c>
      <c r="X1827">
        <v>0</v>
      </c>
    </row>
    <row r="1828" spans="1:24">
      <c r="A1828">
        <v>1868</v>
      </c>
      <c r="B1828" t="s">
        <v>4899</v>
      </c>
      <c r="C1828">
        <v>2</v>
      </c>
      <c r="D1828" t="s">
        <v>4900</v>
      </c>
      <c r="E1828">
        <v>4</v>
      </c>
      <c r="F1828">
        <v>4</v>
      </c>
      <c r="G1828">
        <v>4</v>
      </c>
      <c r="H1828" t="s">
        <v>4901</v>
      </c>
      <c r="I1828">
        <v>5.6</v>
      </c>
      <c r="J1828">
        <v>123.11</v>
      </c>
      <c r="K1828" t="str">
        <f>"ANKS1A"</f>
        <v>ANKS1A</v>
      </c>
      <c r="L1828" t="str">
        <f>"ANKS1A"</f>
        <v>ANKS1A</v>
      </c>
      <c r="M1828">
        <v>0</v>
      </c>
      <c r="N1828">
        <v>0</v>
      </c>
      <c r="O1828">
        <v>0</v>
      </c>
      <c r="P1828">
        <v>1.0652189274447901</v>
      </c>
      <c r="Q1828">
        <v>0</v>
      </c>
      <c r="R1828">
        <v>0.90008103209297396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</row>
    <row r="1829" spans="1:24">
      <c r="A1829">
        <v>1869</v>
      </c>
      <c r="B1829" t="s">
        <v>4902</v>
      </c>
      <c r="C1829">
        <v>1</v>
      </c>
      <c r="D1829" t="s">
        <v>4903</v>
      </c>
      <c r="E1829">
        <v>2</v>
      </c>
      <c r="F1829">
        <v>2</v>
      </c>
      <c r="G1829">
        <v>2</v>
      </c>
      <c r="H1829" t="s">
        <v>4902</v>
      </c>
      <c r="I1829">
        <v>19.2</v>
      </c>
      <c r="J1829">
        <v>7.6184000000000003</v>
      </c>
      <c r="K1829" t="str">
        <f>"NRGN"</f>
        <v>NRGN</v>
      </c>
      <c r="L1829" t="str">
        <f>"NRGN"</f>
        <v>NRGN</v>
      </c>
      <c r="M1829">
        <v>0</v>
      </c>
      <c r="N1829">
        <v>0</v>
      </c>
      <c r="O1829">
        <v>0</v>
      </c>
      <c r="P1829">
        <v>2.1304378548895899</v>
      </c>
      <c r="Q1829">
        <v>0</v>
      </c>
      <c r="R1829">
        <v>0.90008103209297396</v>
      </c>
      <c r="S1829">
        <v>0</v>
      </c>
      <c r="T1829">
        <v>0</v>
      </c>
      <c r="U1829">
        <v>0</v>
      </c>
      <c r="V1829">
        <v>1.05063596764157</v>
      </c>
      <c r="W1829">
        <v>0</v>
      </c>
      <c r="X1829">
        <v>0</v>
      </c>
    </row>
    <row r="1830" spans="1:24">
      <c r="A1830">
        <v>1870</v>
      </c>
      <c r="B1830" t="s">
        <v>4904</v>
      </c>
      <c r="C1830">
        <v>1</v>
      </c>
      <c r="D1830" t="s">
        <v>4905</v>
      </c>
      <c r="E1830">
        <v>4</v>
      </c>
      <c r="F1830">
        <v>4</v>
      </c>
      <c r="G1830">
        <v>4</v>
      </c>
      <c r="H1830" t="s">
        <v>4904</v>
      </c>
      <c r="I1830">
        <v>8.8000000000000007</v>
      </c>
      <c r="J1830">
        <v>65.070999999999998</v>
      </c>
      <c r="K1830" t="str">
        <f>"RABGGTA"</f>
        <v>RABGGTA</v>
      </c>
      <c r="L1830" t="str">
        <f>"RABGGTA"</f>
        <v>RABGGTA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1.05063596764157</v>
      </c>
      <c r="W1830">
        <v>0</v>
      </c>
      <c r="X1830">
        <v>0.984645710619934</v>
      </c>
    </row>
    <row r="1831" spans="1:24">
      <c r="A1831">
        <v>1876</v>
      </c>
      <c r="B1831" t="s">
        <v>4906</v>
      </c>
      <c r="C1831">
        <v>1</v>
      </c>
      <c r="D1831" t="s">
        <v>4907</v>
      </c>
      <c r="E1831">
        <v>4</v>
      </c>
      <c r="F1831">
        <v>4</v>
      </c>
      <c r="G1831">
        <v>4</v>
      </c>
      <c r="H1831" t="s">
        <v>4906</v>
      </c>
      <c r="I1831">
        <v>15.4</v>
      </c>
      <c r="J1831">
        <v>35.963999999999999</v>
      </c>
      <c r="K1831" t="str">
        <f>"GGH"</f>
        <v>GGH</v>
      </c>
      <c r="L1831" t="str">
        <f>"GGH"</f>
        <v>GGH</v>
      </c>
      <c r="M1831">
        <v>0</v>
      </c>
      <c r="N1831">
        <v>0.89450172185430499</v>
      </c>
      <c r="O1831">
        <v>0.91194339418818204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1.10235831809872</v>
      </c>
      <c r="V1831">
        <v>0</v>
      </c>
      <c r="W1831">
        <v>1.27539809638918</v>
      </c>
      <c r="X1831">
        <v>0</v>
      </c>
    </row>
    <row r="1832" spans="1:24">
      <c r="A1832">
        <v>1877</v>
      </c>
      <c r="B1832" t="s">
        <v>4908</v>
      </c>
      <c r="C1832">
        <v>5</v>
      </c>
      <c r="D1832" t="s">
        <v>4909</v>
      </c>
      <c r="E1832">
        <v>4</v>
      </c>
      <c r="F1832">
        <v>4</v>
      </c>
      <c r="G1832">
        <v>3</v>
      </c>
      <c r="H1832" t="s">
        <v>4910</v>
      </c>
      <c r="I1832">
        <v>4</v>
      </c>
      <c r="J1832">
        <v>133.19</v>
      </c>
      <c r="K1832" t="str">
        <f>"INPP5D;CLNK"</f>
        <v>INPP5D;CLNK</v>
      </c>
      <c r="L1832" t="str">
        <f>"INPP5D;CLNK"</f>
        <v>INPP5D;CLNK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1.1331355704698001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>
      <c r="A1833">
        <v>1935</v>
      </c>
      <c r="B1833" t="s">
        <v>4911</v>
      </c>
      <c r="C1833">
        <v>1</v>
      </c>
      <c r="D1833" t="s">
        <v>4912</v>
      </c>
      <c r="E1833">
        <v>1</v>
      </c>
      <c r="F1833">
        <v>1</v>
      </c>
      <c r="G1833">
        <v>1</v>
      </c>
      <c r="H1833" t="s">
        <v>4911</v>
      </c>
      <c r="I1833">
        <v>4.3</v>
      </c>
      <c r="J1833">
        <v>32.962000000000003</v>
      </c>
      <c r="K1833" t="str">
        <f>"ZC3HAV1L"</f>
        <v>ZC3HAV1L</v>
      </c>
      <c r="L1833" t="str">
        <f>"ZC3HAV1L"</f>
        <v>ZC3HAV1L</v>
      </c>
      <c r="M1833">
        <v>0</v>
      </c>
      <c r="N1833">
        <v>0</v>
      </c>
      <c r="O1833">
        <v>0.91194339418818204</v>
      </c>
      <c r="P1833">
        <v>0</v>
      </c>
      <c r="Q1833">
        <v>0</v>
      </c>
      <c r="R1833">
        <v>0</v>
      </c>
      <c r="S1833">
        <v>1.1331355704698001</v>
      </c>
      <c r="T1833">
        <v>0</v>
      </c>
      <c r="U1833">
        <v>0</v>
      </c>
      <c r="V1833">
        <v>0</v>
      </c>
      <c r="W1833">
        <v>0</v>
      </c>
      <c r="X1833">
        <v>0</v>
      </c>
    </row>
    <row r="1834" spans="1:24">
      <c r="A1834">
        <v>1948</v>
      </c>
      <c r="B1834" t="s">
        <v>4913</v>
      </c>
      <c r="C1834">
        <v>2</v>
      </c>
      <c r="D1834" t="s">
        <v>4914</v>
      </c>
      <c r="E1834">
        <v>2</v>
      </c>
      <c r="F1834">
        <v>2</v>
      </c>
      <c r="G1834">
        <v>2</v>
      </c>
      <c r="H1834" t="s">
        <v>4915</v>
      </c>
      <c r="I1834">
        <v>3.4</v>
      </c>
      <c r="J1834">
        <v>63.404000000000003</v>
      </c>
      <c r="K1834" t="str">
        <f>"TMEM87B"</f>
        <v>TMEM87B</v>
      </c>
      <c r="L1834" t="str">
        <f>"TMEM87B"</f>
        <v>TMEM87B</v>
      </c>
      <c r="M1834">
        <v>0</v>
      </c>
      <c r="N1834">
        <v>0.89450172185430499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</row>
    <row r="1835" spans="1:24">
      <c r="A1835">
        <v>1957</v>
      </c>
      <c r="B1835" t="s">
        <v>4916</v>
      </c>
      <c r="C1835">
        <v>2</v>
      </c>
      <c r="D1835" t="s">
        <v>4917</v>
      </c>
      <c r="E1835">
        <v>3</v>
      </c>
      <c r="F1835">
        <v>3</v>
      </c>
      <c r="G1835">
        <v>3</v>
      </c>
      <c r="H1835" t="s">
        <v>4918</v>
      </c>
      <c r="I1835">
        <v>12.9</v>
      </c>
      <c r="J1835">
        <v>32.520000000000003</v>
      </c>
      <c r="K1835" t="str">
        <f>"FGD4"</f>
        <v>FGD4</v>
      </c>
      <c r="L1835" t="str">
        <f>"FGD4"</f>
        <v>FGD4</v>
      </c>
      <c r="M1835">
        <v>0</v>
      </c>
      <c r="N1835">
        <v>0.89450172185430499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1.10235831809872</v>
      </c>
      <c r="V1835">
        <v>0</v>
      </c>
      <c r="W1835">
        <v>0</v>
      </c>
      <c r="X1835">
        <v>0</v>
      </c>
    </row>
    <row r="1836" spans="1:24">
      <c r="A1836">
        <v>2056</v>
      </c>
      <c r="B1836" t="s">
        <v>4919</v>
      </c>
      <c r="C1836">
        <v>1</v>
      </c>
      <c r="D1836" t="s">
        <v>4920</v>
      </c>
      <c r="E1836">
        <v>4</v>
      </c>
      <c r="F1836">
        <v>4</v>
      </c>
      <c r="G1836">
        <v>4</v>
      </c>
      <c r="H1836" t="s">
        <v>4919</v>
      </c>
      <c r="I1836">
        <v>3.5</v>
      </c>
      <c r="J1836">
        <v>136.68</v>
      </c>
      <c r="K1836" t="str">
        <f>"WDR11"</f>
        <v>WDR11</v>
      </c>
      <c r="L1836" t="str">
        <f>"WDR11"</f>
        <v>WDR11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1.18448996772836</v>
      </c>
      <c r="U1836">
        <v>0</v>
      </c>
      <c r="V1836">
        <v>0</v>
      </c>
      <c r="W1836">
        <v>0</v>
      </c>
      <c r="X1836">
        <v>0.984645710619934</v>
      </c>
    </row>
    <row r="1837" spans="1:24">
      <c r="A1837">
        <v>2113</v>
      </c>
      <c r="B1837" t="s">
        <v>4921</v>
      </c>
      <c r="C1837">
        <v>1</v>
      </c>
      <c r="D1837" t="s">
        <v>4922</v>
      </c>
      <c r="E1837">
        <v>4</v>
      </c>
      <c r="F1837">
        <v>4</v>
      </c>
      <c r="G1837">
        <v>4</v>
      </c>
      <c r="H1837" t="s">
        <v>4921</v>
      </c>
      <c r="I1837">
        <v>21.7</v>
      </c>
      <c r="J1837">
        <v>27.797000000000001</v>
      </c>
      <c r="K1837" t="str">
        <f>"PLEKHF2"</f>
        <v>PLEKHF2</v>
      </c>
      <c r="L1837" t="str">
        <f>"PLEKHF2"</f>
        <v>PLEKHF2</v>
      </c>
      <c r="M1837">
        <v>0</v>
      </c>
      <c r="N1837">
        <v>1.78900344370861</v>
      </c>
      <c r="O1837">
        <v>0</v>
      </c>
      <c r="P1837">
        <v>0</v>
      </c>
      <c r="Q1837">
        <v>0</v>
      </c>
      <c r="R1837">
        <v>0.90008103209297396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</row>
    <row r="1838" spans="1:24">
      <c r="A1838">
        <v>2149</v>
      </c>
      <c r="B1838" t="s">
        <v>4923</v>
      </c>
      <c r="C1838">
        <v>3</v>
      </c>
      <c r="D1838" t="s">
        <v>4924</v>
      </c>
      <c r="E1838">
        <v>3</v>
      </c>
      <c r="F1838">
        <v>3</v>
      </c>
      <c r="G1838">
        <v>3</v>
      </c>
      <c r="H1838" t="s">
        <v>4925</v>
      </c>
      <c r="I1838">
        <v>18.3</v>
      </c>
      <c r="J1838">
        <v>21.231999999999999</v>
      </c>
      <c r="K1838" t="str">
        <f>"DIABLO"</f>
        <v>DIABLO</v>
      </c>
      <c r="L1838" t="str">
        <f>"DIABLO"</f>
        <v>DIABLO</v>
      </c>
      <c r="M1838">
        <v>0</v>
      </c>
      <c r="N1838">
        <v>0</v>
      </c>
      <c r="O1838">
        <v>0</v>
      </c>
      <c r="P1838">
        <v>1.0652189274447901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1.27539809638918</v>
      </c>
      <c r="X1838">
        <v>0</v>
      </c>
    </row>
    <row r="1839" spans="1:24">
      <c r="A1839">
        <v>2198</v>
      </c>
      <c r="B1839" t="s">
        <v>4926</v>
      </c>
      <c r="C1839">
        <v>3</v>
      </c>
      <c r="D1839" t="s">
        <v>4927</v>
      </c>
      <c r="E1839">
        <v>2</v>
      </c>
      <c r="F1839">
        <v>2</v>
      </c>
      <c r="G1839">
        <v>2</v>
      </c>
      <c r="H1839" t="s">
        <v>4928</v>
      </c>
      <c r="I1839">
        <v>4.5</v>
      </c>
      <c r="J1839">
        <v>58.076000000000001</v>
      </c>
      <c r="K1839" t="str">
        <f>"PSD3"</f>
        <v>PSD3</v>
      </c>
      <c r="L1839" t="str">
        <f>"PSD3"</f>
        <v>PSD3</v>
      </c>
      <c r="M1839">
        <v>0</v>
      </c>
      <c r="N1839">
        <v>0</v>
      </c>
      <c r="O1839">
        <v>0.91194339418818204</v>
      </c>
      <c r="P1839">
        <v>0</v>
      </c>
      <c r="Q1839">
        <v>0</v>
      </c>
      <c r="R1839">
        <v>0</v>
      </c>
      <c r="S1839">
        <v>1.1331355704698001</v>
      </c>
      <c r="T1839">
        <v>0</v>
      </c>
      <c r="U1839">
        <v>0</v>
      </c>
      <c r="V1839">
        <v>1.05063596764157</v>
      </c>
      <c r="W1839">
        <v>0</v>
      </c>
      <c r="X1839">
        <v>0</v>
      </c>
    </row>
    <row r="1840" spans="1:24">
      <c r="A1840">
        <v>2220</v>
      </c>
      <c r="B1840" t="s">
        <v>4929</v>
      </c>
      <c r="C1840">
        <v>1</v>
      </c>
      <c r="D1840" t="s">
        <v>4930</v>
      </c>
      <c r="E1840">
        <v>5</v>
      </c>
      <c r="F1840">
        <v>5</v>
      </c>
      <c r="G1840">
        <v>5</v>
      </c>
      <c r="H1840" t="s">
        <v>4929</v>
      </c>
      <c r="I1840">
        <v>10</v>
      </c>
      <c r="J1840">
        <v>62.542999999999999</v>
      </c>
      <c r="K1840" t="str">
        <f>"SLAIN2"</f>
        <v>SLAIN2</v>
      </c>
      <c r="L1840" t="str">
        <f>"SLAIN2"</f>
        <v>SLAIN2</v>
      </c>
      <c r="M1840">
        <v>0</v>
      </c>
      <c r="N1840">
        <v>0.89450172185430499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1.05063596764157</v>
      </c>
      <c r="W1840">
        <v>0</v>
      </c>
      <c r="X1840">
        <v>0</v>
      </c>
    </row>
    <row r="1841" spans="1:24">
      <c r="A1841">
        <v>2252</v>
      </c>
      <c r="B1841" t="s">
        <v>4931</v>
      </c>
      <c r="C1841">
        <v>2</v>
      </c>
      <c r="D1841" t="s">
        <v>4932</v>
      </c>
      <c r="E1841">
        <v>3</v>
      </c>
      <c r="F1841">
        <v>3</v>
      </c>
      <c r="G1841">
        <v>3</v>
      </c>
      <c r="H1841" t="s">
        <v>4933</v>
      </c>
      <c r="I1841">
        <v>15.8</v>
      </c>
      <c r="J1841">
        <v>28.32</v>
      </c>
      <c r="K1841" t="str">
        <f>"BCAP29"</f>
        <v>BCAP29</v>
      </c>
      <c r="L1841" t="str">
        <f>"BCAP29"</f>
        <v>BCAP29</v>
      </c>
      <c r="M1841">
        <v>0</v>
      </c>
      <c r="N1841">
        <v>0.89450172185430499</v>
      </c>
      <c r="O1841">
        <v>0.91194339418818204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>
      <c r="A1842">
        <v>2289</v>
      </c>
      <c r="B1842" t="s">
        <v>4934</v>
      </c>
      <c r="C1842">
        <v>6</v>
      </c>
      <c r="D1842" t="s">
        <v>4935</v>
      </c>
      <c r="E1842">
        <v>4</v>
      </c>
      <c r="F1842">
        <v>4</v>
      </c>
      <c r="G1842">
        <v>4</v>
      </c>
      <c r="H1842" t="s">
        <v>4936</v>
      </c>
      <c r="I1842">
        <v>9.8000000000000007</v>
      </c>
      <c r="J1842">
        <v>59.219000000000001</v>
      </c>
      <c r="K1842" t="str">
        <f>"UBQLN1;UBQLN4;UBQLN2"</f>
        <v>UBQLN1;UBQLN4;UBQLN2</v>
      </c>
      <c r="L1842" t="str">
        <f>"UBQLN1;UBQLN4;UBQLN2"</f>
        <v>UBQLN1;UBQLN4;UBQLN2</v>
      </c>
      <c r="M1842">
        <v>0</v>
      </c>
      <c r="N1842">
        <v>0.89450172185430499</v>
      </c>
      <c r="O1842">
        <v>0.91194339418818204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0.984645710619934</v>
      </c>
    </row>
    <row r="1843" spans="1:24">
      <c r="A1843">
        <v>48</v>
      </c>
      <c r="B1843" t="s">
        <v>4937</v>
      </c>
      <c r="C1843">
        <v>5</v>
      </c>
      <c r="D1843" t="s">
        <v>4938</v>
      </c>
      <c r="E1843">
        <v>1</v>
      </c>
      <c r="F1843">
        <v>1</v>
      </c>
      <c r="G1843">
        <v>1</v>
      </c>
      <c r="H1843" t="s">
        <v>4939</v>
      </c>
      <c r="I1843">
        <v>3.7</v>
      </c>
      <c r="J1843">
        <v>30.488</v>
      </c>
      <c r="K1843" t="str">
        <f>"DDX39A;DDX39B"</f>
        <v>DDX39A;DDX39B</v>
      </c>
      <c r="L1843" t="str">
        <f>"DDX39A;DDX39B"</f>
        <v>DDX39A;DDX39B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0.90008103209297396</v>
      </c>
      <c r="S1843">
        <v>0</v>
      </c>
      <c r="T1843">
        <v>0</v>
      </c>
      <c r="U1843">
        <v>1.10235831809872</v>
      </c>
      <c r="V1843">
        <v>0</v>
      </c>
      <c r="W1843">
        <v>0</v>
      </c>
      <c r="X1843">
        <v>0</v>
      </c>
    </row>
    <row r="1844" spans="1:24">
      <c r="A1844">
        <v>77</v>
      </c>
      <c r="B1844" t="s">
        <v>4940</v>
      </c>
      <c r="C1844">
        <v>1</v>
      </c>
      <c r="D1844" t="s">
        <v>4941</v>
      </c>
      <c r="E1844">
        <v>2</v>
      </c>
      <c r="F1844">
        <v>2</v>
      </c>
      <c r="G1844">
        <v>2</v>
      </c>
      <c r="H1844" t="s">
        <v>4940</v>
      </c>
      <c r="I1844">
        <v>10.199999999999999</v>
      </c>
      <c r="J1844">
        <v>29.48</v>
      </c>
      <c r="K1844" t="str">
        <f>"RNASET2"</f>
        <v>RNASET2</v>
      </c>
      <c r="L1844" t="str">
        <f>"RNASET2"</f>
        <v>RNASET2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1.18448996772836</v>
      </c>
      <c r="U1844">
        <v>0</v>
      </c>
      <c r="V1844">
        <v>0</v>
      </c>
      <c r="W1844">
        <v>0</v>
      </c>
      <c r="X1844">
        <v>0</v>
      </c>
    </row>
    <row r="1845" spans="1:24">
      <c r="A1845">
        <v>122</v>
      </c>
      <c r="B1845" t="s">
        <v>4942</v>
      </c>
      <c r="C1845">
        <v>2</v>
      </c>
      <c r="D1845" t="s">
        <v>4943</v>
      </c>
      <c r="E1845">
        <v>4</v>
      </c>
      <c r="F1845">
        <v>4</v>
      </c>
      <c r="G1845">
        <v>3</v>
      </c>
      <c r="H1845" t="s">
        <v>4944</v>
      </c>
      <c r="I1845">
        <v>17</v>
      </c>
      <c r="J1845">
        <v>29.937000000000001</v>
      </c>
      <c r="K1845" t="str">
        <f>"CTDSPL"</f>
        <v>CTDSPL</v>
      </c>
      <c r="L1845" t="str">
        <f>"CTDSPL"</f>
        <v>CTDSPL</v>
      </c>
      <c r="M1845">
        <v>0</v>
      </c>
      <c r="N1845">
        <v>0.89450172185430499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1.27539809638918</v>
      </c>
      <c r="X1845">
        <v>0.984645710619934</v>
      </c>
    </row>
    <row r="1846" spans="1:24">
      <c r="A1846">
        <v>125</v>
      </c>
      <c r="B1846" t="s">
        <v>4945</v>
      </c>
      <c r="C1846">
        <v>3</v>
      </c>
      <c r="D1846" t="s">
        <v>4946</v>
      </c>
      <c r="E1846">
        <v>2</v>
      </c>
      <c r="F1846">
        <v>2</v>
      </c>
      <c r="G1846">
        <v>2</v>
      </c>
      <c r="H1846" t="s">
        <v>4947</v>
      </c>
      <c r="I1846">
        <v>14.5</v>
      </c>
      <c r="J1846">
        <v>17.97</v>
      </c>
      <c r="K1846" t="str">
        <f>"SURF4"</f>
        <v>SURF4</v>
      </c>
      <c r="L1846" t="str">
        <f>"SURF4"</f>
        <v>SURF4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0.90008103209297396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</row>
    <row r="1847" spans="1:24">
      <c r="A1847">
        <v>157</v>
      </c>
      <c r="B1847" t="s">
        <v>4948</v>
      </c>
      <c r="C1847">
        <v>2</v>
      </c>
      <c r="D1847" t="s">
        <v>4949</v>
      </c>
      <c r="E1847">
        <v>3</v>
      </c>
      <c r="F1847">
        <v>3</v>
      </c>
      <c r="G1847">
        <v>3</v>
      </c>
      <c r="H1847" t="s">
        <v>4950</v>
      </c>
      <c r="I1847">
        <v>18.3</v>
      </c>
      <c r="J1847">
        <v>20.274000000000001</v>
      </c>
      <c r="K1847" t="str">
        <f>"TRAPPC3"</f>
        <v>TRAPPC3</v>
      </c>
      <c r="L1847" t="str">
        <f>"TRAPPC3"</f>
        <v>TRAPPC3</v>
      </c>
      <c r="M1847">
        <v>1.2103892752168599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>
      <c r="A1848">
        <v>206</v>
      </c>
      <c r="B1848" t="s">
        <v>4951</v>
      </c>
      <c r="C1848">
        <v>4</v>
      </c>
      <c r="D1848" t="s">
        <v>4952</v>
      </c>
      <c r="E1848">
        <v>2</v>
      </c>
      <c r="F1848">
        <v>2</v>
      </c>
      <c r="G1848">
        <v>2</v>
      </c>
      <c r="H1848" t="s">
        <v>4953</v>
      </c>
      <c r="I1848">
        <v>22.3</v>
      </c>
      <c r="J1848">
        <v>10.504</v>
      </c>
      <c r="K1848" t="str">
        <f>"GGCT"</f>
        <v>GGCT</v>
      </c>
      <c r="L1848" t="str">
        <f>"GGCT"</f>
        <v>GGCT</v>
      </c>
      <c r="M1848">
        <v>0</v>
      </c>
      <c r="N1848">
        <v>0.89450172185430499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</row>
    <row r="1849" spans="1:24">
      <c r="A1849">
        <v>257</v>
      </c>
      <c r="B1849" t="s">
        <v>4954</v>
      </c>
      <c r="C1849">
        <v>1</v>
      </c>
      <c r="D1849" t="s">
        <v>4955</v>
      </c>
      <c r="E1849">
        <v>3</v>
      </c>
      <c r="F1849">
        <v>3</v>
      </c>
      <c r="G1849">
        <v>3</v>
      </c>
      <c r="H1849" t="s">
        <v>4954</v>
      </c>
      <c r="I1849">
        <v>11.3</v>
      </c>
      <c r="J1849">
        <v>34.113999999999997</v>
      </c>
      <c r="K1849" t="str">
        <f>"ZFPL1"</f>
        <v>ZFPL1</v>
      </c>
      <c r="L1849" t="str">
        <f>"ZFPL1"</f>
        <v>ZFPL1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</row>
    <row r="1850" spans="1:24">
      <c r="A1850">
        <v>271</v>
      </c>
      <c r="B1850" t="s">
        <v>4956</v>
      </c>
      <c r="C1850">
        <v>1</v>
      </c>
      <c r="D1850" t="s">
        <v>4957</v>
      </c>
      <c r="E1850">
        <v>2</v>
      </c>
      <c r="F1850">
        <v>2</v>
      </c>
      <c r="G1850">
        <v>2</v>
      </c>
      <c r="H1850" t="s">
        <v>4956</v>
      </c>
      <c r="I1850">
        <v>6.4</v>
      </c>
      <c r="J1850">
        <v>57.011000000000003</v>
      </c>
      <c r="K1850" t="str">
        <f>"VNN1"</f>
        <v>VNN1</v>
      </c>
      <c r="L1850" t="str">
        <f>"VNN1"</f>
        <v>VNN1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1.1331355704698001</v>
      </c>
      <c r="T1850">
        <v>0</v>
      </c>
      <c r="U1850">
        <v>0</v>
      </c>
      <c r="V1850">
        <v>0</v>
      </c>
      <c r="W1850">
        <v>0</v>
      </c>
      <c r="X1850">
        <v>0</v>
      </c>
    </row>
    <row r="1851" spans="1:24">
      <c r="A1851">
        <v>288</v>
      </c>
      <c r="B1851" t="s">
        <v>4958</v>
      </c>
      <c r="C1851">
        <v>1</v>
      </c>
      <c r="D1851" t="s">
        <v>4959</v>
      </c>
      <c r="E1851">
        <v>2</v>
      </c>
      <c r="F1851">
        <v>2</v>
      </c>
      <c r="G1851">
        <v>2</v>
      </c>
      <c r="H1851" t="s">
        <v>4958</v>
      </c>
      <c r="I1851">
        <v>10.5</v>
      </c>
      <c r="J1851">
        <v>19.206</v>
      </c>
      <c r="K1851" t="str">
        <f>"TXNDC12"</f>
        <v>TXNDC12</v>
      </c>
      <c r="L1851" t="str">
        <f>"TXNDC12"</f>
        <v>TXNDC12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1.05063596764157</v>
      </c>
      <c r="W1851">
        <v>0</v>
      </c>
      <c r="X1851">
        <v>0</v>
      </c>
    </row>
    <row r="1852" spans="1:24">
      <c r="A1852">
        <v>430</v>
      </c>
      <c r="B1852" t="s">
        <v>4960</v>
      </c>
      <c r="C1852">
        <v>1</v>
      </c>
      <c r="D1852" t="s">
        <v>4961</v>
      </c>
      <c r="E1852">
        <v>3</v>
      </c>
      <c r="F1852">
        <v>3</v>
      </c>
      <c r="G1852">
        <v>3</v>
      </c>
      <c r="H1852" t="s">
        <v>4960</v>
      </c>
      <c r="I1852">
        <v>28</v>
      </c>
      <c r="J1852">
        <v>20.018999999999998</v>
      </c>
      <c r="K1852" t="str">
        <f>"FTL"</f>
        <v>FTL</v>
      </c>
      <c r="L1852" t="str">
        <f>"FTL"</f>
        <v>FTL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0.90008103209297396</v>
      </c>
      <c r="S1852">
        <v>0</v>
      </c>
      <c r="T1852">
        <v>0</v>
      </c>
      <c r="U1852">
        <v>1.10235831809872</v>
      </c>
      <c r="V1852">
        <v>0</v>
      </c>
      <c r="W1852">
        <v>0</v>
      </c>
      <c r="X1852">
        <v>0</v>
      </c>
    </row>
    <row r="1853" spans="1:24">
      <c r="A1853">
        <v>486</v>
      </c>
      <c r="B1853" t="s">
        <v>4962</v>
      </c>
      <c r="C1853">
        <v>3</v>
      </c>
      <c r="D1853" t="s">
        <v>4963</v>
      </c>
      <c r="E1853">
        <v>2</v>
      </c>
      <c r="F1853">
        <v>2</v>
      </c>
      <c r="G1853">
        <v>2</v>
      </c>
      <c r="H1853" t="s">
        <v>4964</v>
      </c>
      <c r="I1853">
        <v>8.1999999999999993</v>
      </c>
      <c r="J1853">
        <v>27.434999999999999</v>
      </c>
      <c r="K1853" t="str">
        <f>"RPLP0;RPLP0P6"</f>
        <v>RPLP0;RPLP0P6</v>
      </c>
      <c r="L1853" t="str">
        <f>"RPLP0;RPLP0P6"</f>
        <v>RPLP0;RPLP0P6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1.8001620641859499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</row>
    <row r="1854" spans="1:24">
      <c r="A1854">
        <v>548</v>
      </c>
      <c r="B1854" t="s">
        <v>4965</v>
      </c>
      <c r="C1854">
        <v>7</v>
      </c>
      <c r="D1854" t="s">
        <v>4966</v>
      </c>
      <c r="E1854">
        <v>4</v>
      </c>
      <c r="F1854">
        <v>4</v>
      </c>
      <c r="G1854">
        <v>4</v>
      </c>
      <c r="H1854" t="s">
        <v>4967</v>
      </c>
      <c r="I1854">
        <v>12.1</v>
      </c>
      <c r="J1854">
        <v>48.512999999999998</v>
      </c>
      <c r="K1854" t="str">
        <f>"CD55"</f>
        <v>CD55</v>
      </c>
      <c r="L1854" t="str">
        <f>"CD55"</f>
        <v>CD55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0.90008103209297396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</row>
    <row r="1855" spans="1:24">
      <c r="A1855">
        <v>555</v>
      </c>
      <c r="B1855" t="s">
        <v>4968</v>
      </c>
      <c r="C1855">
        <v>1</v>
      </c>
      <c r="D1855" t="s">
        <v>4969</v>
      </c>
      <c r="E1855">
        <v>3</v>
      </c>
      <c r="F1855">
        <v>3</v>
      </c>
      <c r="G1855">
        <v>3</v>
      </c>
      <c r="H1855" t="s">
        <v>4968</v>
      </c>
      <c r="I1855">
        <v>13.7</v>
      </c>
      <c r="J1855">
        <v>28.837</v>
      </c>
      <c r="K1855" t="str">
        <f>"CTSG"</f>
        <v>CTSG</v>
      </c>
      <c r="L1855" t="str">
        <f>"CTSG"</f>
        <v>CTSG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1.1331355704698001</v>
      </c>
      <c r="T1855">
        <v>0</v>
      </c>
      <c r="U1855">
        <v>0</v>
      </c>
      <c r="V1855">
        <v>0</v>
      </c>
      <c r="W1855">
        <v>0</v>
      </c>
      <c r="X1855">
        <v>0</v>
      </c>
    </row>
    <row r="1856" spans="1:24">
      <c r="A1856">
        <v>631</v>
      </c>
      <c r="B1856" t="s">
        <v>4970</v>
      </c>
      <c r="C1856">
        <v>1</v>
      </c>
      <c r="D1856" t="s">
        <v>4971</v>
      </c>
      <c r="E1856">
        <v>3</v>
      </c>
      <c r="F1856">
        <v>3</v>
      </c>
      <c r="G1856">
        <v>3</v>
      </c>
      <c r="H1856" t="s">
        <v>4970</v>
      </c>
      <c r="I1856">
        <v>8.5</v>
      </c>
      <c r="J1856">
        <v>53.485999999999997</v>
      </c>
      <c r="K1856" t="str">
        <f>"DBT"</f>
        <v>DBT</v>
      </c>
      <c r="L1856" t="str">
        <f>"DBT"</f>
        <v>DBT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1.05063596764157</v>
      </c>
      <c r="W1856">
        <v>0</v>
      </c>
      <c r="X1856">
        <v>0.984645710619934</v>
      </c>
    </row>
    <row r="1857" spans="1:24">
      <c r="A1857">
        <v>684</v>
      </c>
      <c r="B1857" t="s">
        <v>4972</v>
      </c>
      <c r="C1857">
        <v>1</v>
      </c>
      <c r="D1857" t="s">
        <v>4973</v>
      </c>
      <c r="E1857">
        <v>1</v>
      </c>
      <c r="F1857">
        <v>1</v>
      </c>
      <c r="G1857">
        <v>1</v>
      </c>
      <c r="H1857" t="s">
        <v>4972</v>
      </c>
      <c r="I1857">
        <v>15.7</v>
      </c>
      <c r="J1857">
        <v>9.3958999999999993</v>
      </c>
      <c r="K1857" t="str">
        <f>"COX7A2"</f>
        <v>COX7A2</v>
      </c>
      <c r="L1857" t="str">
        <f>"COX7A2"</f>
        <v>COX7A2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</row>
    <row r="1858" spans="1:24">
      <c r="A1858">
        <v>702</v>
      </c>
      <c r="B1858" t="s">
        <v>4974</v>
      </c>
      <c r="C1858">
        <v>1</v>
      </c>
      <c r="D1858" t="s">
        <v>4975</v>
      </c>
      <c r="E1858">
        <v>2</v>
      </c>
      <c r="F1858">
        <v>2</v>
      </c>
      <c r="G1858">
        <v>2</v>
      </c>
      <c r="H1858" t="s">
        <v>4974</v>
      </c>
      <c r="I1858">
        <v>8.3000000000000007</v>
      </c>
      <c r="J1858">
        <v>26.181999999999999</v>
      </c>
      <c r="K1858" t="str">
        <f>"UCHL3"</f>
        <v>UCHL3</v>
      </c>
      <c r="L1858" t="str">
        <f>"UCHL3"</f>
        <v>UCHL3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0.90008103209297396</v>
      </c>
      <c r="S1858">
        <v>1.1331355704698001</v>
      </c>
      <c r="T1858">
        <v>0</v>
      </c>
      <c r="U1858">
        <v>0</v>
      </c>
      <c r="V1858">
        <v>0</v>
      </c>
      <c r="W1858">
        <v>0</v>
      </c>
      <c r="X1858">
        <v>0.984645710619934</v>
      </c>
    </row>
    <row r="1859" spans="1:24">
      <c r="A1859">
        <v>723</v>
      </c>
      <c r="B1859" t="s">
        <v>4976</v>
      </c>
      <c r="C1859">
        <v>1</v>
      </c>
      <c r="D1859" t="s">
        <v>4977</v>
      </c>
      <c r="E1859">
        <v>1</v>
      </c>
      <c r="F1859">
        <v>1</v>
      </c>
      <c r="G1859">
        <v>1</v>
      </c>
      <c r="H1859" t="s">
        <v>4976</v>
      </c>
      <c r="I1859">
        <v>4.5999999999999996</v>
      </c>
      <c r="J1859">
        <v>46.564</v>
      </c>
      <c r="K1859" t="str">
        <f>"NAGA"</f>
        <v>NAGA</v>
      </c>
      <c r="L1859" t="str">
        <f>"NAGA"</f>
        <v>NAGA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1.18448996772836</v>
      </c>
      <c r="U1859">
        <v>1.10235831809872</v>
      </c>
      <c r="V1859">
        <v>0</v>
      </c>
      <c r="W1859">
        <v>1.27539809638918</v>
      </c>
      <c r="X1859">
        <v>1.96929142123987</v>
      </c>
    </row>
    <row r="1860" spans="1:24">
      <c r="A1860">
        <v>729</v>
      </c>
      <c r="B1860" t="s">
        <v>4978</v>
      </c>
      <c r="C1860">
        <v>2</v>
      </c>
      <c r="D1860" t="s">
        <v>4979</v>
      </c>
      <c r="E1860">
        <v>5</v>
      </c>
      <c r="F1860">
        <v>5</v>
      </c>
      <c r="G1860">
        <v>5</v>
      </c>
      <c r="H1860" t="s">
        <v>4980</v>
      </c>
      <c r="I1860">
        <v>9.4</v>
      </c>
      <c r="J1860">
        <v>79.994</v>
      </c>
      <c r="K1860" t="str">
        <f>"CAPN2"</f>
        <v>CAPN2</v>
      </c>
      <c r="L1860" t="str">
        <f>"CAPN2"</f>
        <v>CAPN2</v>
      </c>
      <c r="M1860">
        <v>0</v>
      </c>
      <c r="N1860">
        <v>0</v>
      </c>
      <c r="O1860">
        <v>0.91194339418818204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1.27539809638918</v>
      </c>
      <c r="X1860">
        <v>0.984645710619934</v>
      </c>
    </row>
    <row r="1861" spans="1:24">
      <c r="A1861">
        <v>747</v>
      </c>
      <c r="B1861" t="s">
        <v>4981</v>
      </c>
      <c r="C1861">
        <v>1</v>
      </c>
      <c r="D1861" t="s">
        <v>4982</v>
      </c>
      <c r="E1861">
        <v>3</v>
      </c>
      <c r="F1861">
        <v>3</v>
      </c>
      <c r="G1861">
        <v>3</v>
      </c>
      <c r="H1861" t="s">
        <v>4981</v>
      </c>
      <c r="I1861">
        <v>17.3</v>
      </c>
      <c r="J1861">
        <v>27.390999999999998</v>
      </c>
      <c r="K1861" t="str">
        <f>"NDUFV2"</f>
        <v>NDUFV2</v>
      </c>
      <c r="L1861" t="str">
        <f>"NDUFV2"</f>
        <v>NDUFV2</v>
      </c>
      <c r="M1861">
        <v>1.2103892752168599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</row>
    <row r="1862" spans="1:24">
      <c r="A1862">
        <v>758</v>
      </c>
      <c r="B1862" t="s">
        <v>4983</v>
      </c>
      <c r="C1862">
        <v>1</v>
      </c>
      <c r="D1862" t="s">
        <v>4984</v>
      </c>
      <c r="E1862">
        <v>3</v>
      </c>
      <c r="F1862">
        <v>3</v>
      </c>
      <c r="G1862">
        <v>3</v>
      </c>
      <c r="H1862" t="s">
        <v>4983</v>
      </c>
      <c r="I1862">
        <v>11.2</v>
      </c>
      <c r="J1862">
        <v>26.885000000000002</v>
      </c>
      <c r="K1862" t="str">
        <f>"AZU1"</f>
        <v>AZU1</v>
      </c>
      <c r="L1862" t="str">
        <f>"AZU1"</f>
        <v>AZU1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>
      <c r="A1863">
        <v>806</v>
      </c>
      <c r="B1863" t="s">
        <v>4985</v>
      </c>
      <c r="C1863">
        <v>8</v>
      </c>
      <c r="D1863" t="s">
        <v>4986</v>
      </c>
      <c r="E1863">
        <v>2</v>
      </c>
      <c r="F1863">
        <v>2</v>
      </c>
      <c r="G1863">
        <v>2</v>
      </c>
      <c r="H1863" t="s">
        <v>4987</v>
      </c>
      <c r="I1863">
        <v>1</v>
      </c>
      <c r="J1863">
        <v>214.5</v>
      </c>
      <c r="K1863" t="str">
        <f>"PTPRB;PTPRO"</f>
        <v>PTPRB;PTPRO</v>
      </c>
      <c r="L1863" t="str">
        <f>"PTPRB;PTPRO"</f>
        <v>PTPRB;PTPRO</v>
      </c>
      <c r="M1863">
        <v>0</v>
      </c>
      <c r="N1863">
        <v>0</v>
      </c>
      <c r="O1863">
        <v>0</v>
      </c>
      <c r="P1863">
        <v>0</v>
      </c>
      <c r="Q1863">
        <v>1.25576199330606</v>
      </c>
      <c r="R1863">
        <v>0</v>
      </c>
      <c r="S1863">
        <v>0</v>
      </c>
      <c r="T1863">
        <v>0</v>
      </c>
      <c r="U1863">
        <v>1.10235831809872</v>
      </c>
      <c r="V1863">
        <v>0</v>
      </c>
      <c r="W1863">
        <v>0</v>
      </c>
      <c r="X1863">
        <v>0.984645710619934</v>
      </c>
    </row>
    <row r="1864" spans="1:24">
      <c r="A1864">
        <v>824</v>
      </c>
      <c r="B1864" t="s">
        <v>4988</v>
      </c>
      <c r="C1864">
        <v>1</v>
      </c>
      <c r="D1864" t="s">
        <v>4989</v>
      </c>
      <c r="E1864">
        <v>4</v>
      </c>
      <c r="F1864">
        <v>4</v>
      </c>
      <c r="G1864">
        <v>4</v>
      </c>
      <c r="H1864" t="s">
        <v>4988</v>
      </c>
      <c r="I1864">
        <v>35.6</v>
      </c>
      <c r="J1864">
        <v>14.515000000000001</v>
      </c>
      <c r="K1864" t="str">
        <f>"RPS12"</f>
        <v>RPS12</v>
      </c>
      <c r="L1864" t="str">
        <f>"RPS12"</f>
        <v>RPS12</v>
      </c>
      <c r="M1864">
        <v>0</v>
      </c>
      <c r="N1864">
        <v>0</v>
      </c>
      <c r="O1864">
        <v>0</v>
      </c>
      <c r="P1864">
        <v>1.0652189274447901</v>
      </c>
      <c r="Q1864">
        <v>0</v>
      </c>
      <c r="R1864">
        <v>0.90008103209297396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</row>
    <row r="1865" spans="1:24">
      <c r="A1865">
        <v>851</v>
      </c>
      <c r="B1865" t="s">
        <v>4990</v>
      </c>
      <c r="C1865">
        <v>3</v>
      </c>
      <c r="D1865" t="s">
        <v>4991</v>
      </c>
      <c r="E1865">
        <v>1</v>
      </c>
      <c r="F1865">
        <v>1</v>
      </c>
      <c r="G1865">
        <v>1</v>
      </c>
      <c r="H1865" t="s">
        <v>4992</v>
      </c>
      <c r="I1865">
        <v>2</v>
      </c>
      <c r="J1865">
        <v>102.9</v>
      </c>
      <c r="K1865" t="str">
        <f>"MAP4"</f>
        <v>MAP4</v>
      </c>
      <c r="L1865" t="str">
        <f>"MAP4"</f>
        <v>MAP4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0.90008103209297396</v>
      </c>
      <c r="S1865">
        <v>0</v>
      </c>
      <c r="T1865">
        <v>0</v>
      </c>
      <c r="U1865">
        <v>1.10235831809872</v>
      </c>
      <c r="V1865">
        <v>0</v>
      </c>
      <c r="W1865">
        <v>0</v>
      </c>
      <c r="X1865">
        <v>0.984645710619934</v>
      </c>
    </row>
    <row r="1866" spans="1:24">
      <c r="A1866">
        <v>857</v>
      </c>
      <c r="B1866" t="s">
        <v>4993</v>
      </c>
      <c r="C1866">
        <v>2</v>
      </c>
      <c r="D1866" t="s">
        <v>4994</v>
      </c>
      <c r="E1866">
        <v>1</v>
      </c>
      <c r="F1866">
        <v>1</v>
      </c>
      <c r="G1866">
        <v>1</v>
      </c>
      <c r="H1866" t="s">
        <v>4995</v>
      </c>
      <c r="I1866">
        <v>5.7</v>
      </c>
      <c r="J1866">
        <v>22.327999999999999</v>
      </c>
      <c r="K1866" t="str">
        <f>"PSMB9"</f>
        <v>PSMB9</v>
      </c>
      <c r="L1866" t="str">
        <f>"PSMB9"</f>
        <v>PSMB9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</row>
    <row r="1867" spans="1:24">
      <c r="A1867">
        <v>912</v>
      </c>
      <c r="B1867" t="s">
        <v>4996</v>
      </c>
      <c r="C1867">
        <v>1</v>
      </c>
      <c r="D1867" t="s">
        <v>4997</v>
      </c>
      <c r="E1867">
        <v>1</v>
      </c>
      <c r="F1867">
        <v>1</v>
      </c>
      <c r="G1867">
        <v>1</v>
      </c>
      <c r="H1867" t="s">
        <v>4996</v>
      </c>
      <c r="I1867">
        <v>3.5</v>
      </c>
      <c r="J1867">
        <v>50.097000000000001</v>
      </c>
      <c r="K1867" t="str">
        <f>"ADSS"</f>
        <v>ADSS</v>
      </c>
      <c r="L1867" t="str">
        <f>"ADSS"</f>
        <v>ADSS</v>
      </c>
      <c r="M1867">
        <v>0</v>
      </c>
      <c r="N1867">
        <v>0</v>
      </c>
      <c r="O1867">
        <v>0.91194339418818204</v>
      </c>
      <c r="P1867">
        <v>0</v>
      </c>
      <c r="Q1867">
        <v>0</v>
      </c>
      <c r="R1867">
        <v>0.90008103209297396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>
      <c r="A1868">
        <v>924</v>
      </c>
      <c r="B1868" t="s">
        <v>4998</v>
      </c>
      <c r="C1868">
        <v>2</v>
      </c>
      <c r="D1868" t="s">
        <v>4999</v>
      </c>
      <c r="E1868">
        <v>3</v>
      </c>
      <c r="F1868">
        <v>3</v>
      </c>
      <c r="G1868">
        <v>3</v>
      </c>
      <c r="H1868" t="s">
        <v>5000</v>
      </c>
      <c r="I1868">
        <v>10.3</v>
      </c>
      <c r="J1868">
        <v>44.868000000000002</v>
      </c>
      <c r="K1868" t="str">
        <f>"DNAJA1"</f>
        <v>DNAJA1</v>
      </c>
      <c r="L1868" t="str">
        <f>"DNAJA1"</f>
        <v>DNAJA1</v>
      </c>
      <c r="M1868">
        <v>0</v>
      </c>
      <c r="N1868">
        <v>0</v>
      </c>
      <c r="O1868">
        <v>0.91194339418818204</v>
      </c>
      <c r="P1868">
        <v>0</v>
      </c>
      <c r="Q1868">
        <v>0</v>
      </c>
      <c r="R1868">
        <v>0.90008103209297396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</row>
    <row r="1869" spans="1:24">
      <c r="A1869">
        <v>998</v>
      </c>
      <c r="B1869" t="s">
        <v>5001</v>
      </c>
      <c r="C1869">
        <v>1</v>
      </c>
      <c r="D1869" t="s">
        <v>5002</v>
      </c>
      <c r="E1869">
        <v>3</v>
      </c>
      <c r="F1869">
        <v>3</v>
      </c>
      <c r="G1869">
        <v>3</v>
      </c>
      <c r="H1869" t="s">
        <v>5001</v>
      </c>
      <c r="I1869">
        <v>17.2</v>
      </c>
      <c r="J1869">
        <v>16.059999999999999</v>
      </c>
      <c r="K1869" t="str">
        <f>"RPS19"</f>
        <v>RPS19</v>
      </c>
      <c r="L1869" t="str">
        <f>"RPS19"</f>
        <v>RPS19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1.8001620641859499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</row>
    <row r="1870" spans="1:24">
      <c r="A1870">
        <v>1003</v>
      </c>
      <c r="B1870" t="s">
        <v>5003</v>
      </c>
      <c r="C1870">
        <v>1</v>
      </c>
      <c r="D1870" t="s">
        <v>5004</v>
      </c>
      <c r="E1870">
        <v>2</v>
      </c>
      <c r="F1870">
        <v>2</v>
      </c>
      <c r="G1870">
        <v>2</v>
      </c>
      <c r="H1870" t="s">
        <v>5003</v>
      </c>
      <c r="I1870">
        <v>9.9</v>
      </c>
      <c r="J1870">
        <v>28.936</v>
      </c>
      <c r="K1870" t="str">
        <f>"PSMB10"</f>
        <v>PSMB10</v>
      </c>
      <c r="L1870" t="str">
        <f>"PSMB10"</f>
        <v>PSMB10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>
      <c r="A1871">
        <v>1054</v>
      </c>
      <c r="B1871" t="s">
        <v>5005</v>
      </c>
      <c r="C1871">
        <v>3</v>
      </c>
      <c r="D1871" t="s">
        <v>5006</v>
      </c>
      <c r="E1871">
        <v>5</v>
      </c>
      <c r="F1871">
        <v>5</v>
      </c>
      <c r="G1871">
        <v>5</v>
      </c>
      <c r="H1871" t="s">
        <v>5007</v>
      </c>
      <c r="I1871">
        <v>19.5</v>
      </c>
      <c r="J1871">
        <v>37.478000000000002</v>
      </c>
      <c r="K1871" t="str">
        <f>"GYG1"</f>
        <v>GYG1</v>
      </c>
      <c r="L1871" t="str">
        <f>"GYG1"</f>
        <v>GYG1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>
      <c r="A1872">
        <v>1067</v>
      </c>
      <c r="B1872" t="s">
        <v>5008</v>
      </c>
      <c r="C1872">
        <v>3</v>
      </c>
      <c r="D1872" t="s">
        <v>5009</v>
      </c>
      <c r="E1872">
        <v>4</v>
      </c>
      <c r="F1872">
        <v>4</v>
      </c>
      <c r="G1872">
        <v>4</v>
      </c>
      <c r="H1872" t="s">
        <v>5010</v>
      </c>
      <c r="I1872">
        <v>7.8</v>
      </c>
      <c r="J1872">
        <v>74.216999999999999</v>
      </c>
      <c r="K1872" t="str">
        <f>"LSS"</f>
        <v>LSS</v>
      </c>
      <c r="L1872" t="str">
        <f>"LSS"</f>
        <v>LSS</v>
      </c>
      <c r="M1872">
        <v>0</v>
      </c>
      <c r="N1872">
        <v>0.89450172185430499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</row>
    <row r="1873" spans="1:24">
      <c r="A1873">
        <v>1085</v>
      </c>
      <c r="B1873" t="s">
        <v>5011</v>
      </c>
      <c r="C1873">
        <v>2</v>
      </c>
      <c r="D1873" t="s">
        <v>5012</v>
      </c>
      <c r="E1873">
        <v>2</v>
      </c>
      <c r="F1873">
        <v>2</v>
      </c>
      <c r="G1873">
        <v>2</v>
      </c>
      <c r="H1873" t="s">
        <v>5013</v>
      </c>
      <c r="I1873">
        <v>6.4</v>
      </c>
      <c r="J1873">
        <v>36.491999999999997</v>
      </c>
      <c r="K1873" t="str">
        <f>"FNTA"</f>
        <v>FNTA</v>
      </c>
      <c r="L1873" t="str">
        <f>"FNTA"</f>
        <v>FNTA</v>
      </c>
      <c r="M1873">
        <v>0</v>
      </c>
      <c r="N1873">
        <v>0.89450172185430499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</row>
    <row r="1874" spans="1:24">
      <c r="A1874">
        <v>1120</v>
      </c>
      <c r="B1874" t="s">
        <v>5014</v>
      </c>
      <c r="C1874">
        <v>1</v>
      </c>
      <c r="D1874" t="s">
        <v>5015</v>
      </c>
      <c r="E1874">
        <v>2</v>
      </c>
      <c r="F1874">
        <v>2</v>
      </c>
      <c r="G1874">
        <v>2</v>
      </c>
      <c r="H1874" t="s">
        <v>5014</v>
      </c>
      <c r="I1874">
        <v>15.6</v>
      </c>
      <c r="J1874">
        <v>16.829000000000001</v>
      </c>
      <c r="K1874" t="str">
        <f>"NUDT2"</f>
        <v>NUDT2</v>
      </c>
      <c r="L1874" t="str">
        <f>"NUDT2"</f>
        <v>NUDT2</v>
      </c>
      <c r="M1874">
        <v>0</v>
      </c>
      <c r="N1874">
        <v>0.89450172185430499</v>
      </c>
      <c r="O1874">
        <v>0.91194339418818204</v>
      </c>
      <c r="P1874">
        <v>0</v>
      </c>
      <c r="Q1874">
        <v>0</v>
      </c>
      <c r="R1874">
        <v>0.90008103209297396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</row>
    <row r="1875" spans="1:24">
      <c r="A1875">
        <v>1160</v>
      </c>
      <c r="B1875" t="s">
        <v>5016</v>
      </c>
      <c r="C1875">
        <v>1</v>
      </c>
      <c r="D1875" t="s">
        <v>5017</v>
      </c>
      <c r="E1875">
        <v>3</v>
      </c>
      <c r="F1875">
        <v>3</v>
      </c>
      <c r="G1875">
        <v>3</v>
      </c>
      <c r="H1875" t="s">
        <v>5016</v>
      </c>
      <c r="I1875">
        <v>7</v>
      </c>
      <c r="J1875">
        <v>56.878</v>
      </c>
      <c r="K1875" t="str">
        <f>"PPP5C"</f>
        <v>PPP5C</v>
      </c>
      <c r="L1875" t="str">
        <f>"PPP5C"</f>
        <v>PPP5C</v>
      </c>
      <c r="M1875">
        <v>0</v>
      </c>
      <c r="N1875">
        <v>0</v>
      </c>
      <c r="O1875">
        <v>0.91194339418818204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1.10235831809872</v>
      </c>
      <c r="V1875">
        <v>0</v>
      </c>
      <c r="W1875">
        <v>0</v>
      </c>
      <c r="X1875">
        <v>0</v>
      </c>
    </row>
    <row r="1876" spans="1:24">
      <c r="A1876">
        <v>1200</v>
      </c>
      <c r="B1876" t="s">
        <v>5018</v>
      </c>
      <c r="C1876">
        <v>5</v>
      </c>
      <c r="D1876" t="s">
        <v>5019</v>
      </c>
      <c r="E1876">
        <v>1</v>
      </c>
      <c r="F1876">
        <v>1</v>
      </c>
      <c r="G1876">
        <v>1</v>
      </c>
      <c r="H1876" t="s">
        <v>5020</v>
      </c>
      <c r="I1876">
        <v>16.899999999999999</v>
      </c>
      <c r="J1876">
        <v>8.1111000000000004</v>
      </c>
      <c r="K1876" t="str">
        <f>"SUMO2;SUMO4;SUMO3"</f>
        <v>SUMO2;SUMO4;SUMO3</v>
      </c>
      <c r="L1876" t="str">
        <f>"SUMO2;SUMO4;SUMO3"</f>
        <v>SUMO2;SUMO4;SUMO3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0.90008103209297396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</row>
    <row r="1877" spans="1:24">
      <c r="A1877">
        <v>1368</v>
      </c>
      <c r="B1877" t="s">
        <v>5021</v>
      </c>
      <c r="C1877">
        <v>1</v>
      </c>
      <c r="D1877" t="s">
        <v>5022</v>
      </c>
      <c r="E1877">
        <v>3</v>
      </c>
      <c r="F1877">
        <v>3</v>
      </c>
      <c r="G1877">
        <v>3</v>
      </c>
      <c r="H1877" t="s">
        <v>5021</v>
      </c>
      <c r="I1877">
        <v>6.9</v>
      </c>
      <c r="J1877">
        <v>57.152000000000001</v>
      </c>
      <c r="K1877" t="str">
        <f>"ACVR1"</f>
        <v>ACVR1</v>
      </c>
      <c r="L1877" t="str">
        <f>"ACVR1"</f>
        <v>ACVR1</v>
      </c>
      <c r="M1877">
        <v>0</v>
      </c>
      <c r="N1877">
        <v>0</v>
      </c>
      <c r="O1877">
        <v>2.7358301825645501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>
      <c r="A1878">
        <v>1406</v>
      </c>
      <c r="B1878" t="s">
        <v>5023</v>
      </c>
      <c r="C1878">
        <v>2</v>
      </c>
      <c r="D1878" t="s">
        <v>5024</v>
      </c>
      <c r="E1878">
        <v>4</v>
      </c>
      <c r="F1878">
        <v>4</v>
      </c>
      <c r="G1878">
        <v>4</v>
      </c>
      <c r="H1878" t="s">
        <v>5025</v>
      </c>
      <c r="I1878">
        <v>12.6</v>
      </c>
      <c r="J1878">
        <v>58.252000000000002</v>
      </c>
      <c r="K1878" t="str">
        <f>"PMPCA"</f>
        <v>PMPCA</v>
      </c>
      <c r="L1878" t="str">
        <f>"PMPCA"</f>
        <v>PMPCA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0.90008103209297396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>
      <c r="A1879">
        <v>1413</v>
      </c>
      <c r="B1879" t="s">
        <v>5026</v>
      </c>
      <c r="C1879">
        <v>2</v>
      </c>
      <c r="D1879" t="s">
        <v>5027</v>
      </c>
      <c r="E1879">
        <v>4</v>
      </c>
      <c r="F1879">
        <v>4</v>
      </c>
      <c r="G1879">
        <v>4</v>
      </c>
      <c r="H1879" t="s">
        <v>5028</v>
      </c>
      <c r="I1879">
        <v>11.8</v>
      </c>
      <c r="J1879">
        <v>56.212000000000003</v>
      </c>
      <c r="K1879" t="str">
        <f>"LRMP"</f>
        <v>LRMP</v>
      </c>
      <c r="L1879" t="str">
        <f>"LRMP"</f>
        <v>LRMP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1.1331355704698001</v>
      </c>
      <c r="T1879">
        <v>0</v>
      </c>
      <c r="U1879">
        <v>1.10235831809872</v>
      </c>
      <c r="V1879">
        <v>0</v>
      </c>
      <c r="W1879">
        <v>0</v>
      </c>
      <c r="X1879">
        <v>0</v>
      </c>
    </row>
    <row r="1880" spans="1:24">
      <c r="A1880">
        <v>1430</v>
      </c>
      <c r="B1880" t="s">
        <v>5029</v>
      </c>
      <c r="C1880">
        <v>1</v>
      </c>
      <c r="D1880" t="s">
        <v>5030</v>
      </c>
      <c r="E1880">
        <v>2</v>
      </c>
      <c r="F1880">
        <v>2</v>
      </c>
      <c r="G1880">
        <v>2</v>
      </c>
      <c r="H1880" t="s">
        <v>5029</v>
      </c>
      <c r="I1880">
        <v>6.9</v>
      </c>
      <c r="J1880">
        <v>35.347999999999999</v>
      </c>
      <c r="K1880" t="str">
        <f>"AIMP2"</f>
        <v>AIMP2</v>
      </c>
      <c r="L1880" t="str">
        <f>"AIMP2"</f>
        <v>AIMP2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0.90008103209297396</v>
      </c>
      <c r="S1880">
        <v>0</v>
      </c>
      <c r="T1880">
        <v>0</v>
      </c>
      <c r="U1880">
        <v>1.10235831809872</v>
      </c>
      <c r="V1880">
        <v>0</v>
      </c>
      <c r="W1880">
        <v>0</v>
      </c>
      <c r="X1880">
        <v>0</v>
      </c>
    </row>
    <row r="1881" spans="1:24">
      <c r="A1881">
        <v>1441</v>
      </c>
      <c r="B1881" t="s">
        <v>5031</v>
      </c>
      <c r="C1881">
        <v>2</v>
      </c>
      <c r="D1881" t="s">
        <v>5032</v>
      </c>
      <c r="E1881">
        <v>3</v>
      </c>
      <c r="F1881">
        <v>3</v>
      </c>
      <c r="G1881">
        <v>3</v>
      </c>
      <c r="H1881" t="s">
        <v>5033</v>
      </c>
      <c r="I1881">
        <v>9.8000000000000007</v>
      </c>
      <c r="J1881">
        <v>46.404000000000003</v>
      </c>
      <c r="K1881" t="str">
        <f>"CTBP1"</f>
        <v>CTBP1</v>
      </c>
      <c r="L1881" t="str">
        <f>"CTBP1"</f>
        <v>CTBP1</v>
      </c>
      <c r="M1881">
        <v>0</v>
      </c>
      <c r="N1881">
        <v>0</v>
      </c>
      <c r="O1881">
        <v>0.91194339418818204</v>
      </c>
      <c r="P1881">
        <v>0</v>
      </c>
      <c r="Q1881">
        <v>0</v>
      </c>
      <c r="R1881">
        <v>0.90008103209297396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0.984645710619934</v>
      </c>
    </row>
    <row r="1882" spans="1:24">
      <c r="A1882">
        <v>1462</v>
      </c>
      <c r="B1882" t="s">
        <v>5034</v>
      </c>
      <c r="C1882">
        <v>3</v>
      </c>
      <c r="D1882" t="s">
        <v>5035</v>
      </c>
      <c r="E1882">
        <v>4</v>
      </c>
      <c r="F1882">
        <v>4</v>
      </c>
      <c r="G1882">
        <v>4</v>
      </c>
      <c r="H1882" t="s">
        <v>5036</v>
      </c>
      <c r="I1882">
        <v>6.4</v>
      </c>
      <c r="J1882">
        <v>81.091999999999999</v>
      </c>
      <c r="K1882" t="str">
        <f>"CUL3"</f>
        <v>CUL3</v>
      </c>
      <c r="L1882" t="str">
        <f>"CUL3"</f>
        <v>CUL3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1.10235831809872</v>
      </c>
      <c r="V1882">
        <v>1.05063596764157</v>
      </c>
      <c r="W1882">
        <v>0</v>
      </c>
      <c r="X1882">
        <v>0.984645710619934</v>
      </c>
    </row>
    <row r="1883" spans="1:24">
      <c r="A1883">
        <v>1507</v>
      </c>
      <c r="B1883" t="s">
        <v>5037</v>
      </c>
      <c r="C1883">
        <v>1</v>
      </c>
      <c r="D1883" t="s">
        <v>5038</v>
      </c>
      <c r="E1883">
        <v>2</v>
      </c>
      <c r="F1883">
        <v>2</v>
      </c>
      <c r="G1883">
        <v>2</v>
      </c>
      <c r="H1883" t="s">
        <v>5037</v>
      </c>
      <c r="I1883">
        <v>6.6</v>
      </c>
      <c r="J1883">
        <v>47.819000000000003</v>
      </c>
      <c r="K1883" t="str">
        <f>"INPP5A"</f>
        <v>INPP5A</v>
      </c>
      <c r="L1883" t="str">
        <f>"INPP5A"</f>
        <v>INPP5A</v>
      </c>
      <c r="M1883">
        <v>0</v>
      </c>
      <c r="N1883">
        <v>0</v>
      </c>
      <c r="O1883">
        <v>0.91194339418818204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1.10235831809872</v>
      </c>
      <c r="V1883">
        <v>0</v>
      </c>
      <c r="W1883">
        <v>0</v>
      </c>
      <c r="X1883">
        <v>0</v>
      </c>
    </row>
    <row r="1884" spans="1:24">
      <c r="A1884">
        <v>1510</v>
      </c>
      <c r="B1884" t="s">
        <v>5039</v>
      </c>
      <c r="C1884">
        <v>4</v>
      </c>
      <c r="D1884" t="s">
        <v>5040</v>
      </c>
      <c r="E1884">
        <v>1</v>
      </c>
      <c r="F1884">
        <v>1</v>
      </c>
      <c r="G1884">
        <v>1</v>
      </c>
      <c r="H1884" t="s">
        <v>5041</v>
      </c>
      <c r="I1884">
        <v>14.3</v>
      </c>
      <c r="J1884">
        <v>16.73</v>
      </c>
      <c r="K1884" t="str">
        <f>"IRF3"</f>
        <v>IRF3</v>
      </c>
      <c r="L1884" t="str">
        <f>"IRF3"</f>
        <v>IRF3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0.90008103209297396</v>
      </c>
      <c r="S1884">
        <v>0</v>
      </c>
      <c r="T1884">
        <v>0</v>
      </c>
      <c r="U1884">
        <v>0</v>
      </c>
      <c r="V1884">
        <v>1.05063596764157</v>
      </c>
      <c r="W1884">
        <v>0</v>
      </c>
      <c r="X1884">
        <v>0</v>
      </c>
    </row>
    <row r="1885" spans="1:24">
      <c r="A1885">
        <v>1518</v>
      </c>
      <c r="B1885" t="s">
        <v>5042</v>
      </c>
      <c r="C1885">
        <v>3</v>
      </c>
      <c r="D1885" t="s">
        <v>5043</v>
      </c>
      <c r="E1885">
        <v>49</v>
      </c>
      <c r="F1885">
        <v>1</v>
      </c>
      <c r="G1885">
        <v>1</v>
      </c>
      <c r="H1885" t="s">
        <v>5044</v>
      </c>
      <c r="I1885">
        <v>40.700000000000003</v>
      </c>
      <c r="J1885">
        <v>147.22999999999999</v>
      </c>
      <c r="K1885" t="str">
        <f>"LTBP1;LTBP3"</f>
        <v>LTBP1;LTBP3</v>
      </c>
      <c r="L1885" t="str">
        <f>"LTBP1;LTBP3"</f>
        <v>LTBP1;LTBP3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1.10235831809872</v>
      </c>
      <c r="V1885">
        <v>1.05063596764157</v>
      </c>
      <c r="W1885">
        <v>0</v>
      </c>
      <c r="X1885">
        <v>0</v>
      </c>
    </row>
    <row r="1886" spans="1:24">
      <c r="A1886">
        <v>1625</v>
      </c>
      <c r="B1886" t="s">
        <v>5045</v>
      </c>
      <c r="C1886">
        <v>3</v>
      </c>
      <c r="D1886" t="s">
        <v>5046</v>
      </c>
      <c r="E1886">
        <v>2</v>
      </c>
      <c r="F1886">
        <v>2</v>
      </c>
      <c r="G1886">
        <v>2</v>
      </c>
      <c r="H1886" t="s">
        <v>5047</v>
      </c>
      <c r="I1886">
        <v>4.5999999999999996</v>
      </c>
      <c r="J1886">
        <v>92.736999999999995</v>
      </c>
      <c r="K1886" t="str">
        <f>"GRIPAP1"</f>
        <v>GRIPAP1</v>
      </c>
      <c r="L1886" t="str">
        <f>"GRIPAP1"</f>
        <v>GRIPAP1</v>
      </c>
      <c r="M1886">
        <v>0</v>
      </c>
      <c r="N1886">
        <v>0</v>
      </c>
      <c r="O1886">
        <v>0.91194339418818204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</row>
    <row r="1887" spans="1:24">
      <c r="A1887">
        <v>1660</v>
      </c>
      <c r="B1887" t="s">
        <v>5048</v>
      </c>
      <c r="C1887">
        <v>3</v>
      </c>
      <c r="D1887" t="s">
        <v>5049</v>
      </c>
      <c r="E1887">
        <v>3</v>
      </c>
      <c r="F1887">
        <v>3</v>
      </c>
      <c r="G1887">
        <v>3</v>
      </c>
      <c r="H1887" t="s">
        <v>5050</v>
      </c>
      <c r="I1887">
        <v>0.8</v>
      </c>
      <c r="J1887">
        <v>591.4</v>
      </c>
      <c r="K1887" t="str">
        <f>"RNF213"</f>
        <v>RNF213</v>
      </c>
      <c r="L1887" t="str">
        <f>"RNF213"</f>
        <v>RNF213</v>
      </c>
      <c r="M1887">
        <v>1.2103892752168599</v>
      </c>
      <c r="N1887">
        <v>0</v>
      </c>
      <c r="O1887">
        <v>0.91194339418818204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</row>
    <row r="1888" spans="1:24">
      <c r="A1888">
        <v>1706</v>
      </c>
      <c r="B1888" t="s">
        <v>5051</v>
      </c>
      <c r="C1888">
        <v>2</v>
      </c>
      <c r="D1888" t="s">
        <v>5052</v>
      </c>
      <c r="E1888">
        <v>2</v>
      </c>
      <c r="F1888">
        <v>2</v>
      </c>
      <c r="G1888">
        <v>2</v>
      </c>
      <c r="H1888" t="s">
        <v>5053</v>
      </c>
      <c r="I1888">
        <v>2.6</v>
      </c>
      <c r="J1888">
        <v>58.164999999999999</v>
      </c>
      <c r="K1888" t="str">
        <f>"CYP4V2"</f>
        <v>CYP4V2</v>
      </c>
      <c r="L1888" t="str">
        <f>"CYP4V2"</f>
        <v>CYP4V2</v>
      </c>
      <c r="M1888">
        <v>0</v>
      </c>
      <c r="N1888">
        <v>0</v>
      </c>
      <c r="O1888">
        <v>0</v>
      </c>
      <c r="P1888">
        <v>1.0652189274447901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</row>
    <row r="1889" spans="1:24">
      <c r="A1889">
        <v>1775</v>
      </c>
      <c r="B1889" t="s">
        <v>5054</v>
      </c>
      <c r="C1889">
        <v>1</v>
      </c>
      <c r="D1889" t="s">
        <v>5055</v>
      </c>
      <c r="E1889">
        <v>2</v>
      </c>
      <c r="F1889">
        <v>2</v>
      </c>
      <c r="G1889">
        <v>2</v>
      </c>
      <c r="H1889" t="s">
        <v>5054</v>
      </c>
      <c r="I1889">
        <v>6.9</v>
      </c>
      <c r="J1889">
        <v>49.665999999999997</v>
      </c>
      <c r="K1889" t="str">
        <f>"MICU2"</f>
        <v>MICU2</v>
      </c>
      <c r="L1889" t="str">
        <f>"MICU2"</f>
        <v>MICU2</v>
      </c>
      <c r="M1889">
        <v>0</v>
      </c>
      <c r="N1889">
        <v>0.89450172185430499</v>
      </c>
      <c r="O1889">
        <v>0</v>
      </c>
      <c r="P1889">
        <v>0</v>
      </c>
      <c r="Q1889">
        <v>0</v>
      </c>
      <c r="R1889">
        <v>0</v>
      </c>
      <c r="S1889">
        <v>1.1331355704698001</v>
      </c>
      <c r="T1889">
        <v>0</v>
      </c>
      <c r="U1889">
        <v>0</v>
      </c>
      <c r="V1889">
        <v>0</v>
      </c>
      <c r="W1889">
        <v>0</v>
      </c>
      <c r="X1889">
        <v>0</v>
      </c>
    </row>
    <row r="1890" spans="1:24">
      <c r="A1890">
        <v>1840</v>
      </c>
      <c r="B1890" t="s">
        <v>5056</v>
      </c>
      <c r="C1890">
        <v>3</v>
      </c>
      <c r="D1890" t="s">
        <v>5057</v>
      </c>
      <c r="E1890">
        <v>2</v>
      </c>
      <c r="F1890">
        <v>2</v>
      </c>
      <c r="G1890">
        <v>2</v>
      </c>
      <c r="H1890" t="s">
        <v>5058</v>
      </c>
      <c r="I1890">
        <v>5.7</v>
      </c>
      <c r="J1890">
        <v>37.697000000000003</v>
      </c>
      <c r="K1890" t="str">
        <f>"SMAP2"</f>
        <v>SMAP2</v>
      </c>
      <c r="L1890" t="str">
        <f>"SMAP2"</f>
        <v>SMAP2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1.05063596764157</v>
      </c>
      <c r="W1890">
        <v>0</v>
      </c>
      <c r="X1890">
        <v>0</v>
      </c>
    </row>
    <row r="1891" spans="1:24">
      <c r="A1891">
        <v>1874</v>
      </c>
      <c r="B1891" t="s">
        <v>5059</v>
      </c>
      <c r="C1891">
        <v>2</v>
      </c>
      <c r="D1891" t="s">
        <v>5060</v>
      </c>
      <c r="E1891">
        <v>3</v>
      </c>
      <c r="F1891">
        <v>1</v>
      </c>
      <c r="G1891">
        <v>1</v>
      </c>
      <c r="H1891" t="s">
        <v>5061</v>
      </c>
      <c r="I1891">
        <v>8.1999999999999993</v>
      </c>
      <c r="J1891">
        <v>44.970999999999997</v>
      </c>
      <c r="K1891" t="str">
        <f>"STAM"</f>
        <v>STAM</v>
      </c>
      <c r="L1891" t="str">
        <f>"STAM"</f>
        <v>STAM</v>
      </c>
      <c r="M1891">
        <v>0</v>
      </c>
      <c r="N1891">
        <v>0</v>
      </c>
      <c r="O1891">
        <v>0.91194339418818204</v>
      </c>
      <c r="P1891">
        <v>0</v>
      </c>
      <c r="Q1891">
        <v>0</v>
      </c>
      <c r="R1891">
        <v>0</v>
      </c>
      <c r="S1891">
        <v>1.1331355704698001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>
      <c r="A1892">
        <v>1879</v>
      </c>
      <c r="B1892" t="s">
        <v>5062</v>
      </c>
      <c r="C1892">
        <v>4</v>
      </c>
      <c r="D1892" t="s">
        <v>5063</v>
      </c>
      <c r="E1892">
        <v>2</v>
      </c>
      <c r="F1892">
        <v>2</v>
      </c>
      <c r="G1892">
        <v>2</v>
      </c>
      <c r="H1892" t="s">
        <v>5064</v>
      </c>
      <c r="I1892">
        <v>3.9</v>
      </c>
      <c r="J1892">
        <v>102.43</v>
      </c>
      <c r="K1892" t="str">
        <f>"ARHGEF1"</f>
        <v>ARHGEF1</v>
      </c>
      <c r="L1892" t="str">
        <f>"ARHGEF1"</f>
        <v>ARHGEF1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1.8001620641859499</v>
      </c>
      <c r="S1892">
        <v>0</v>
      </c>
      <c r="T1892">
        <v>0</v>
      </c>
      <c r="U1892">
        <v>0</v>
      </c>
      <c r="V1892">
        <v>0</v>
      </c>
      <c r="W1892">
        <v>1.27539809638918</v>
      </c>
      <c r="X1892">
        <v>0.984645710619934</v>
      </c>
    </row>
    <row r="1893" spans="1:24">
      <c r="A1893">
        <v>1958</v>
      </c>
      <c r="B1893" t="s">
        <v>5065</v>
      </c>
      <c r="C1893">
        <v>2</v>
      </c>
      <c r="D1893" t="s">
        <v>5066</v>
      </c>
      <c r="E1893">
        <v>5</v>
      </c>
      <c r="F1893">
        <v>5</v>
      </c>
      <c r="G1893">
        <v>5</v>
      </c>
      <c r="H1893" t="s">
        <v>5067</v>
      </c>
      <c r="I1893">
        <v>6.6</v>
      </c>
      <c r="J1893">
        <v>105.29</v>
      </c>
      <c r="K1893" t="str">
        <f>"FAM65C"</f>
        <v>FAM65C</v>
      </c>
      <c r="L1893" t="str">
        <f>"FAM65C"</f>
        <v>FAM65C</v>
      </c>
      <c r="M1893">
        <v>0</v>
      </c>
      <c r="N1893">
        <v>0.89450172185430499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</row>
    <row r="1894" spans="1:24">
      <c r="A1894">
        <v>1980</v>
      </c>
      <c r="B1894" t="s">
        <v>5068</v>
      </c>
      <c r="C1894">
        <v>1</v>
      </c>
      <c r="D1894" t="s">
        <v>5069</v>
      </c>
      <c r="E1894">
        <v>1</v>
      </c>
      <c r="F1894">
        <v>1</v>
      </c>
      <c r="G1894">
        <v>1</v>
      </c>
      <c r="H1894" t="s">
        <v>5068</v>
      </c>
      <c r="I1894">
        <v>3</v>
      </c>
      <c r="J1894">
        <v>45.860999999999997</v>
      </c>
      <c r="K1894" t="str">
        <f>"SEC62"</f>
        <v>SEC62</v>
      </c>
      <c r="L1894" t="str">
        <f>"SEC62"</f>
        <v>SEC62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0.90008103209297396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>
      <c r="A1895">
        <v>2011</v>
      </c>
      <c r="B1895" t="s">
        <v>5070</v>
      </c>
      <c r="C1895">
        <v>1</v>
      </c>
      <c r="D1895" t="s">
        <v>5071</v>
      </c>
      <c r="E1895">
        <v>2</v>
      </c>
      <c r="F1895">
        <v>2</v>
      </c>
      <c r="G1895">
        <v>2</v>
      </c>
      <c r="H1895" t="s">
        <v>5070</v>
      </c>
      <c r="I1895">
        <v>1.9</v>
      </c>
      <c r="J1895">
        <v>121.05</v>
      </c>
      <c r="K1895" t="str">
        <f>"ANKRD32"</f>
        <v>ANKRD32</v>
      </c>
      <c r="L1895" t="str">
        <f>"SLF1"</f>
        <v>SLF1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1.1331355704698001</v>
      </c>
      <c r="T1895">
        <v>1.18448996772836</v>
      </c>
      <c r="U1895">
        <v>1.10235831809872</v>
      </c>
      <c r="V1895">
        <v>0</v>
      </c>
      <c r="W1895">
        <v>0</v>
      </c>
      <c r="X1895">
        <v>0</v>
      </c>
    </row>
    <row r="1896" spans="1:24">
      <c r="A1896">
        <v>2021</v>
      </c>
      <c r="B1896" t="s">
        <v>5072</v>
      </c>
      <c r="C1896">
        <v>2</v>
      </c>
      <c r="D1896" t="s">
        <v>5073</v>
      </c>
      <c r="E1896">
        <v>2</v>
      </c>
      <c r="F1896">
        <v>2</v>
      </c>
      <c r="G1896">
        <v>2</v>
      </c>
      <c r="H1896" t="s">
        <v>5074</v>
      </c>
      <c r="I1896">
        <v>2.7</v>
      </c>
      <c r="J1896">
        <v>102.53</v>
      </c>
      <c r="K1896" t="str">
        <f>"TUBGCP2"</f>
        <v>TUBGCP2</v>
      </c>
      <c r="L1896" t="str">
        <f>"TUBGCP2"</f>
        <v>TUBGCP2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0.90008103209297396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>
      <c r="A1897">
        <v>2040</v>
      </c>
      <c r="B1897" t="s">
        <v>5075</v>
      </c>
      <c r="C1897">
        <v>3</v>
      </c>
      <c r="D1897" t="s">
        <v>5076</v>
      </c>
      <c r="E1897">
        <v>2</v>
      </c>
      <c r="F1897">
        <v>2</v>
      </c>
      <c r="G1897">
        <v>2</v>
      </c>
      <c r="H1897" t="s">
        <v>5077</v>
      </c>
      <c r="I1897">
        <v>5.8</v>
      </c>
      <c r="J1897">
        <v>41.677</v>
      </c>
      <c r="K1897" t="str">
        <f>"CHID1"</f>
        <v>CHID1</v>
      </c>
      <c r="L1897" t="str">
        <f>"CHID1"</f>
        <v>CHID1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1.05063596764157</v>
      </c>
      <c r="W1897">
        <v>0</v>
      </c>
      <c r="X1897">
        <v>0</v>
      </c>
    </row>
    <row r="1898" spans="1:24">
      <c r="A1898">
        <v>2069</v>
      </c>
      <c r="B1898" t="s">
        <v>5078</v>
      </c>
      <c r="C1898">
        <v>3</v>
      </c>
      <c r="D1898" t="s">
        <v>5079</v>
      </c>
      <c r="E1898">
        <v>2</v>
      </c>
      <c r="F1898">
        <v>2</v>
      </c>
      <c r="G1898">
        <v>2</v>
      </c>
      <c r="H1898" t="s">
        <v>5080</v>
      </c>
      <c r="I1898">
        <v>8.6</v>
      </c>
      <c r="J1898">
        <v>38.982999999999997</v>
      </c>
      <c r="K1898" t="str">
        <f>"NIF3L1"</f>
        <v>NIF3L1</v>
      </c>
      <c r="L1898" t="str">
        <f>"NIF3L1"</f>
        <v>NIF3L1</v>
      </c>
      <c r="M1898">
        <v>0</v>
      </c>
      <c r="N1898">
        <v>0.89450172185430499</v>
      </c>
      <c r="O1898">
        <v>0</v>
      </c>
      <c r="P1898">
        <v>0</v>
      </c>
      <c r="Q1898">
        <v>0</v>
      </c>
      <c r="R1898">
        <v>0</v>
      </c>
      <c r="S1898">
        <v>1.1331355704698001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>
      <c r="A1899">
        <v>2094</v>
      </c>
      <c r="B1899" t="s">
        <v>5081</v>
      </c>
      <c r="C1899">
        <v>1</v>
      </c>
      <c r="D1899" t="s">
        <v>5082</v>
      </c>
      <c r="E1899">
        <v>2</v>
      </c>
      <c r="F1899">
        <v>2</v>
      </c>
      <c r="G1899">
        <v>2</v>
      </c>
      <c r="H1899" t="s">
        <v>5081</v>
      </c>
      <c r="I1899">
        <v>4.5</v>
      </c>
      <c r="J1899">
        <v>60.593000000000004</v>
      </c>
      <c r="K1899" t="str">
        <f>"ACBD3"</f>
        <v>ACBD3</v>
      </c>
      <c r="L1899" t="str">
        <f>"ACBD3"</f>
        <v>ACBD3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0.90008103209297396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>
      <c r="A1900">
        <v>2161</v>
      </c>
      <c r="B1900" t="s">
        <v>5083</v>
      </c>
      <c r="C1900">
        <v>1</v>
      </c>
      <c r="D1900" t="s">
        <v>5084</v>
      </c>
      <c r="E1900">
        <v>1</v>
      </c>
      <c r="F1900">
        <v>1</v>
      </c>
      <c r="G1900">
        <v>1</v>
      </c>
      <c r="H1900" t="s">
        <v>5083</v>
      </c>
      <c r="I1900">
        <v>5.8</v>
      </c>
      <c r="J1900">
        <v>21.097000000000001</v>
      </c>
      <c r="K1900" t="str">
        <f>"HEBP1"</f>
        <v>HEBP1</v>
      </c>
      <c r="L1900" t="str">
        <f>"HEBP1"</f>
        <v>HEBP1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0.90008103209297396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</row>
    <row r="1901" spans="1:24">
      <c r="A1901">
        <v>2191</v>
      </c>
      <c r="B1901" t="s">
        <v>5085</v>
      </c>
      <c r="C1901">
        <v>4</v>
      </c>
      <c r="D1901" t="s">
        <v>5086</v>
      </c>
      <c r="E1901">
        <v>2</v>
      </c>
      <c r="F1901">
        <v>2</v>
      </c>
      <c r="G1901">
        <v>2</v>
      </c>
      <c r="H1901" t="s">
        <v>5087</v>
      </c>
      <c r="I1901">
        <v>8.1999999999999993</v>
      </c>
      <c r="J1901">
        <v>27.626000000000001</v>
      </c>
      <c r="K1901" t="str">
        <f>"OCIAD1"</f>
        <v>OCIAD1</v>
      </c>
      <c r="L1901" t="str">
        <f>"OCIAD1"</f>
        <v>OCIAD1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0.90008103209297396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</row>
    <row r="1902" spans="1:24">
      <c r="A1902">
        <v>2192</v>
      </c>
      <c r="B1902" t="s">
        <v>5088</v>
      </c>
      <c r="C1902">
        <v>1</v>
      </c>
      <c r="D1902" t="s">
        <v>5089</v>
      </c>
      <c r="E1902">
        <v>4</v>
      </c>
      <c r="F1902">
        <v>4</v>
      </c>
      <c r="G1902">
        <v>4</v>
      </c>
      <c r="H1902" t="s">
        <v>5088</v>
      </c>
      <c r="I1902">
        <v>18.899999999999999</v>
      </c>
      <c r="J1902">
        <v>26.152000000000001</v>
      </c>
      <c r="K1902" t="str">
        <f>"CHCHD3"</f>
        <v>CHCHD3</v>
      </c>
      <c r="L1902" t="str">
        <f>"CHCHD3"</f>
        <v>CHCHD3</v>
      </c>
      <c r="M1902">
        <v>1.2103892752168599</v>
      </c>
      <c r="N1902">
        <v>0</v>
      </c>
      <c r="O1902">
        <v>0</v>
      </c>
      <c r="P1902">
        <v>0</v>
      </c>
      <c r="Q1902">
        <v>0</v>
      </c>
      <c r="R1902">
        <v>0.90008103209297396</v>
      </c>
      <c r="S1902">
        <v>0</v>
      </c>
      <c r="T1902">
        <v>0</v>
      </c>
      <c r="U1902">
        <v>1.10235831809872</v>
      </c>
      <c r="V1902">
        <v>1.05063596764157</v>
      </c>
      <c r="W1902">
        <v>0</v>
      </c>
      <c r="X1902">
        <v>0</v>
      </c>
    </row>
    <row r="1903" spans="1:24">
      <c r="A1903">
        <v>2221</v>
      </c>
      <c r="B1903" t="s">
        <v>5090</v>
      </c>
      <c r="C1903">
        <v>3</v>
      </c>
      <c r="D1903" t="s">
        <v>5091</v>
      </c>
      <c r="E1903">
        <v>11</v>
      </c>
      <c r="F1903">
        <v>3</v>
      </c>
      <c r="G1903">
        <v>3</v>
      </c>
      <c r="H1903" t="s">
        <v>5092</v>
      </c>
      <c r="I1903">
        <v>23.8</v>
      </c>
      <c r="J1903">
        <v>46.527999999999999</v>
      </c>
      <c r="K1903" t="str">
        <f>"STK26"</f>
        <v>STK26</v>
      </c>
      <c r="L1903" t="str">
        <f>"STK26"</f>
        <v>STK26</v>
      </c>
      <c r="M1903">
        <v>0</v>
      </c>
      <c r="N1903">
        <v>0</v>
      </c>
      <c r="O1903">
        <v>0.91194339418818204</v>
      </c>
      <c r="P1903">
        <v>0</v>
      </c>
      <c r="Q1903">
        <v>0</v>
      </c>
      <c r="R1903">
        <v>0</v>
      </c>
      <c r="S1903">
        <v>1.1331355704698001</v>
      </c>
      <c r="T1903">
        <v>0</v>
      </c>
      <c r="U1903">
        <v>1.10235831809872</v>
      </c>
      <c r="V1903">
        <v>0</v>
      </c>
      <c r="W1903">
        <v>0</v>
      </c>
      <c r="X1903">
        <v>0</v>
      </c>
    </row>
    <row r="1904" spans="1:24">
      <c r="A1904">
        <v>2229</v>
      </c>
      <c r="B1904" t="s">
        <v>5093</v>
      </c>
      <c r="C1904">
        <v>2</v>
      </c>
      <c r="D1904" t="s">
        <v>5094</v>
      </c>
      <c r="E1904">
        <v>2</v>
      </c>
      <c r="F1904">
        <v>2</v>
      </c>
      <c r="G1904">
        <v>2</v>
      </c>
      <c r="H1904" t="s">
        <v>5095</v>
      </c>
      <c r="I1904">
        <v>2</v>
      </c>
      <c r="J1904">
        <v>114.36</v>
      </c>
      <c r="K1904" t="str">
        <f>"HDAC6"</f>
        <v>HDAC6</v>
      </c>
      <c r="L1904" t="str">
        <f>"HDAC6"</f>
        <v>HDAC6</v>
      </c>
      <c r="M1904">
        <v>0</v>
      </c>
      <c r="N1904">
        <v>0.89450172185430499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</row>
    <row r="1905" spans="1:24">
      <c r="A1905">
        <v>2234</v>
      </c>
      <c r="B1905" t="s">
        <v>5096</v>
      </c>
      <c r="C1905">
        <v>1</v>
      </c>
      <c r="D1905" t="s">
        <v>5097</v>
      </c>
      <c r="E1905">
        <v>2</v>
      </c>
      <c r="F1905">
        <v>2</v>
      </c>
      <c r="G1905">
        <v>2</v>
      </c>
      <c r="H1905" t="s">
        <v>5096</v>
      </c>
      <c r="I1905">
        <v>4.5</v>
      </c>
      <c r="J1905">
        <v>50.18</v>
      </c>
      <c r="K1905" t="str">
        <f>"FBLN5"</f>
        <v>FBLN5</v>
      </c>
      <c r="L1905" t="str">
        <f>"FBLN5"</f>
        <v>FBLN5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1.1331355704698001</v>
      </c>
      <c r="T1905">
        <v>0</v>
      </c>
      <c r="U1905">
        <v>0</v>
      </c>
      <c r="V1905">
        <v>0</v>
      </c>
      <c r="W1905">
        <v>0</v>
      </c>
      <c r="X1905">
        <v>0</v>
      </c>
    </row>
    <row r="1906" spans="1:24">
      <c r="A1906">
        <v>2241</v>
      </c>
      <c r="B1906" t="s">
        <v>5098</v>
      </c>
      <c r="C1906">
        <v>1</v>
      </c>
      <c r="D1906" t="s">
        <v>5099</v>
      </c>
      <c r="E1906">
        <v>1</v>
      </c>
      <c r="F1906">
        <v>1</v>
      </c>
      <c r="G1906">
        <v>1</v>
      </c>
      <c r="H1906" t="s">
        <v>5098</v>
      </c>
      <c r="I1906">
        <v>6.6</v>
      </c>
      <c r="J1906">
        <v>18.82</v>
      </c>
      <c r="K1906" t="str">
        <f>"CGGBP1"</f>
        <v>CGGBP1</v>
      </c>
      <c r="L1906" t="str">
        <f>"CGGBP1"</f>
        <v>CGGBP1</v>
      </c>
      <c r="M1906">
        <v>1.2103892752168599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1.18448996772836</v>
      </c>
      <c r="U1906">
        <v>0</v>
      </c>
      <c r="V1906">
        <v>1.05063596764157</v>
      </c>
      <c r="W1906">
        <v>0</v>
      </c>
      <c r="X1906">
        <v>0</v>
      </c>
    </row>
    <row r="1907" spans="1:24">
      <c r="A1907">
        <v>2266</v>
      </c>
      <c r="B1907" t="s">
        <v>5100</v>
      </c>
      <c r="C1907">
        <v>2</v>
      </c>
      <c r="D1907" t="s">
        <v>5101</v>
      </c>
      <c r="E1907">
        <v>4</v>
      </c>
      <c r="F1907">
        <v>4</v>
      </c>
      <c r="G1907">
        <v>2</v>
      </c>
      <c r="H1907" t="s">
        <v>5102</v>
      </c>
      <c r="I1907">
        <v>6.2</v>
      </c>
      <c r="J1907">
        <v>74.174999999999997</v>
      </c>
      <c r="K1907" t="str">
        <f>"SLC25A13"</f>
        <v>SLC25A13</v>
      </c>
      <c r="L1907" t="str">
        <f>"SLC25A13"</f>
        <v>SLC25A13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</row>
    <row r="1908" spans="1:24">
      <c r="A1908">
        <v>2305</v>
      </c>
      <c r="B1908" t="s">
        <v>5103</v>
      </c>
      <c r="C1908">
        <v>2</v>
      </c>
      <c r="D1908" t="s">
        <v>5104</v>
      </c>
      <c r="E1908">
        <v>3</v>
      </c>
      <c r="F1908">
        <v>3</v>
      </c>
      <c r="G1908">
        <v>3</v>
      </c>
      <c r="H1908" t="s">
        <v>5105</v>
      </c>
      <c r="I1908">
        <v>5.4</v>
      </c>
      <c r="J1908">
        <v>59.743000000000002</v>
      </c>
      <c r="K1908" t="str">
        <f>"SHOC2"</f>
        <v>SHOC2</v>
      </c>
      <c r="L1908" t="str">
        <f>"SHOC2"</f>
        <v>SHOC2</v>
      </c>
      <c r="M1908">
        <v>0</v>
      </c>
      <c r="N1908">
        <v>0</v>
      </c>
      <c r="O1908">
        <v>0</v>
      </c>
      <c r="P1908">
        <v>1.0652189274447901</v>
      </c>
      <c r="Q1908">
        <v>0</v>
      </c>
      <c r="R1908">
        <v>0</v>
      </c>
      <c r="S1908">
        <v>0</v>
      </c>
      <c r="T1908">
        <v>0</v>
      </c>
      <c r="U1908">
        <v>1.10235831809872</v>
      </c>
      <c r="V1908">
        <v>0</v>
      </c>
      <c r="W1908">
        <v>0</v>
      </c>
      <c r="X1908">
        <v>0</v>
      </c>
    </row>
    <row r="1909" spans="1:24">
      <c r="A1909">
        <v>2321</v>
      </c>
      <c r="B1909" t="s">
        <v>5106</v>
      </c>
      <c r="C1909">
        <v>2</v>
      </c>
      <c r="D1909" t="s">
        <v>5107</v>
      </c>
      <c r="E1909">
        <v>1</v>
      </c>
      <c r="F1909">
        <v>1</v>
      </c>
      <c r="G1909">
        <v>1</v>
      </c>
      <c r="H1909" t="s">
        <v>5108</v>
      </c>
      <c r="I1909">
        <v>8.1</v>
      </c>
      <c r="J1909">
        <v>18.283000000000001</v>
      </c>
      <c r="K1909" t="str">
        <f>"ITM2B"</f>
        <v>ITM2B</v>
      </c>
      <c r="L1909" t="str">
        <f>"ITM2B"</f>
        <v>ITM2B</v>
      </c>
      <c r="M1909">
        <v>0</v>
      </c>
      <c r="N1909">
        <v>0</v>
      </c>
      <c r="O1909">
        <v>0.91194339418818204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>
      <c r="A1910">
        <v>2326</v>
      </c>
      <c r="B1910" t="s">
        <v>5109</v>
      </c>
      <c r="C1910">
        <v>2</v>
      </c>
      <c r="D1910" t="s">
        <v>5110</v>
      </c>
      <c r="E1910">
        <v>1</v>
      </c>
      <c r="F1910">
        <v>1</v>
      </c>
      <c r="G1910">
        <v>1</v>
      </c>
      <c r="H1910" t="s">
        <v>5111</v>
      </c>
      <c r="I1910">
        <v>1.1000000000000001</v>
      </c>
      <c r="J1910">
        <v>153.03</v>
      </c>
      <c r="K1910" t="str">
        <f>"TRAPPC8"</f>
        <v>TRAPPC8</v>
      </c>
      <c r="L1910" t="str">
        <f>"TRAPPC8"</f>
        <v>TRAPPC8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2.20471663619744</v>
      </c>
      <c r="V1910">
        <v>0</v>
      </c>
      <c r="W1910">
        <v>0</v>
      </c>
      <c r="X1910">
        <v>0.984645710619934</v>
      </c>
    </row>
    <row r="1911" spans="1:24">
      <c r="A1911">
        <v>2357</v>
      </c>
      <c r="B1911" t="s">
        <v>5112</v>
      </c>
      <c r="C1911">
        <v>1</v>
      </c>
      <c r="D1911" t="s">
        <v>5113</v>
      </c>
      <c r="E1911">
        <v>5</v>
      </c>
      <c r="F1911">
        <v>5</v>
      </c>
      <c r="G1911">
        <v>5</v>
      </c>
      <c r="H1911" t="s">
        <v>5112</v>
      </c>
      <c r="I1911">
        <v>10.199999999999999</v>
      </c>
      <c r="J1911">
        <v>59.573</v>
      </c>
      <c r="K1911" t="str">
        <f>"TRAF6"</f>
        <v>TRAF6</v>
      </c>
      <c r="L1911" t="str">
        <f>"TRAF6"</f>
        <v>TRAF6</v>
      </c>
      <c r="M1911">
        <v>0</v>
      </c>
      <c r="N1911">
        <v>0.89450172185430499</v>
      </c>
      <c r="O1911">
        <v>0.91194339418818204</v>
      </c>
      <c r="P1911">
        <v>0</v>
      </c>
      <c r="Q1911">
        <v>0</v>
      </c>
      <c r="R1911">
        <v>0.90008103209297396</v>
      </c>
      <c r="S1911">
        <v>0</v>
      </c>
      <c r="T1911">
        <v>0</v>
      </c>
      <c r="U1911">
        <v>1.10235831809872</v>
      </c>
      <c r="V1911">
        <v>0</v>
      </c>
      <c r="W1911">
        <v>0</v>
      </c>
      <c r="X1911">
        <v>0</v>
      </c>
    </row>
    <row r="1912" spans="1:24">
      <c r="A1912">
        <v>2359</v>
      </c>
      <c r="B1912" t="s">
        <v>5114</v>
      </c>
      <c r="C1912">
        <v>4</v>
      </c>
      <c r="D1912" t="s">
        <v>5115</v>
      </c>
      <c r="E1912">
        <v>6</v>
      </c>
      <c r="F1912">
        <v>6</v>
      </c>
      <c r="G1912">
        <v>6</v>
      </c>
      <c r="H1912" t="s">
        <v>5116</v>
      </c>
      <c r="I1912">
        <v>8.1999999999999993</v>
      </c>
      <c r="J1912">
        <v>88.582999999999998</v>
      </c>
      <c r="K1912" t="str">
        <f>"AFG3L2;ANK2"</f>
        <v>AFG3L2;ANK2</v>
      </c>
      <c r="L1912" t="str">
        <f>"AFG3L2;ANK2"</f>
        <v>AFG3L2;ANK2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1.27539809638918</v>
      </c>
      <c r="X1912">
        <v>0</v>
      </c>
    </row>
    <row r="1913" spans="1:24">
      <c r="A1913">
        <v>11</v>
      </c>
      <c r="B1913" t="s">
        <v>5117</v>
      </c>
      <c r="C1913">
        <v>3</v>
      </c>
      <c r="D1913" t="s">
        <v>5118</v>
      </c>
      <c r="E1913">
        <v>2</v>
      </c>
      <c r="F1913">
        <v>2</v>
      </c>
      <c r="G1913">
        <v>2</v>
      </c>
      <c r="H1913" t="s">
        <v>5119</v>
      </c>
      <c r="I1913">
        <v>2.6</v>
      </c>
      <c r="J1913">
        <v>82.278000000000006</v>
      </c>
      <c r="K1913" t="str">
        <f>"MYO1G"</f>
        <v>MYO1G</v>
      </c>
      <c r="L1913" t="str">
        <f>"MYO1G"</f>
        <v>MYO1G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0.90008103209297396</v>
      </c>
      <c r="S1913">
        <v>0</v>
      </c>
      <c r="T1913">
        <v>0</v>
      </c>
      <c r="U1913">
        <v>1.10235831809872</v>
      </c>
      <c r="V1913">
        <v>0</v>
      </c>
      <c r="W1913">
        <v>0</v>
      </c>
      <c r="X1913">
        <v>0</v>
      </c>
    </row>
    <row r="1914" spans="1:24">
      <c r="A1914">
        <v>12</v>
      </c>
      <c r="B1914" t="s">
        <v>5120</v>
      </c>
      <c r="C1914">
        <v>1</v>
      </c>
      <c r="D1914" t="s">
        <v>5121</v>
      </c>
      <c r="E1914">
        <v>1</v>
      </c>
      <c r="F1914">
        <v>1</v>
      </c>
      <c r="G1914">
        <v>1</v>
      </c>
      <c r="H1914" t="s">
        <v>5120</v>
      </c>
      <c r="I1914">
        <v>15.4</v>
      </c>
      <c r="J1914">
        <v>8.7490000000000006</v>
      </c>
      <c r="K1914" t="str">
        <f>"SMIM1"</f>
        <v>SMIM1</v>
      </c>
      <c r="L1914" t="str">
        <f>"SMIM1"</f>
        <v>SMIM1</v>
      </c>
      <c r="M1914">
        <v>0</v>
      </c>
      <c r="N1914">
        <v>0.89450172185430499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</row>
    <row r="1915" spans="1:24">
      <c r="A1915">
        <v>74</v>
      </c>
      <c r="B1915" t="s">
        <v>5122</v>
      </c>
      <c r="C1915">
        <v>1</v>
      </c>
      <c r="D1915" t="s">
        <v>5123</v>
      </c>
      <c r="E1915">
        <v>2</v>
      </c>
      <c r="F1915">
        <v>2</v>
      </c>
      <c r="G1915">
        <v>2</v>
      </c>
      <c r="H1915" t="s">
        <v>5122</v>
      </c>
      <c r="I1915">
        <v>10.6</v>
      </c>
      <c r="J1915">
        <v>23.146999999999998</v>
      </c>
      <c r="K1915" t="str">
        <f>"CLDN5"</f>
        <v>CLDN5</v>
      </c>
      <c r="L1915" t="str">
        <f>"CLDN5"</f>
        <v>CLDN5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1.05063596764157</v>
      </c>
      <c r="W1915">
        <v>0</v>
      </c>
      <c r="X1915">
        <v>0</v>
      </c>
    </row>
    <row r="1916" spans="1:24">
      <c r="A1916">
        <v>80</v>
      </c>
      <c r="B1916" t="s">
        <v>5124</v>
      </c>
      <c r="C1916">
        <v>2</v>
      </c>
      <c r="D1916" t="s">
        <v>5125</v>
      </c>
      <c r="E1916">
        <v>1</v>
      </c>
      <c r="F1916">
        <v>1</v>
      </c>
      <c r="G1916">
        <v>1</v>
      </c>
      <c r="H1916" t="s">
        <v>5126</v>
      </c>
      <c r="I1916">
        <v>1.2</v>
      </c>
      <c r="J1916">
        <v>113.61</v>
      </c>
      <c r="K1916" t="str">
        <f>"MAN2B1"</f>
        <v>MAN2B1</v>
      </c>
      <c r="L1916" t="str">
        <f>"MAN2B1"</f>
        <v>MAN2B1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0.984645710619934</v>
      </c>
    </row>
    <row r="1917" spans="1:24">
      <c r="A1917">
        <v>81</v>
      </c>
      <c r="B1917" t="s">
        <v>5127</v>
      </c>
      <c r="C1917">
        <v>2</v>
      </c>
      <c r="D1917" t="s">
        <v>5128</v>
      </c>
      <c r="E1917">
        <v>1</v>
      </c>
      <c r="F1917">
        <v>1</v>
      </c>
      <c r="G1917">
        <v>1</v>
      </c>
      <c r="H1917" t="s">
        <v>5129</v>
      </c>
      <c r="I1917">
        <v>1.4</v>
      </c>
      <c r="J1917">
        <v>76.180000000000007</v>
      </c>
      <c r="K1917" t="str">
        <f>"C2CD2L"</f>
        <v>C2CD2L</v>
      </c>
      <c r="L1917" t="str">
        <f>"C2CD2L"</f>
        <v>C2CD2L</v>
      </c>
      <c r="M1917">
        <v>1.2103892752168599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</row>
    <row r="1918" spans="1:24">
      <c r="A1918">
        <v>86</v>
      </c>
      <c r="B1918" t="s">
        <v>5130</v>
      </c>
      <c r="C1918">
        <v>6</v>
      </c>
      <c r="D1918" t="s">
        <v>5131</v>
      </c>
      <c r="E1918">
        <v>2</v>
      </c>
      <c r="F1918">
        <v>2</v>
      </c>
      <c r="G1918">
        <v>2</v>
      </c>
      <c r="H1918" t="s">
        <v>5132</v>
      </c>
      <c r="I1918">
        <v>4</v>
      </c>
      <c r="J1918">
        <v>81.12</v>
      </c>
      <c r="K1918" t="str">
        <f>"ABLIM1"</f>
        <v>ABLIM1</v>
      </c>
      <c r="L1918" t="str">
        <f>"ABLIM1"</f>
        <v>ABLIM1</v>
      </c>
      <c r="M1918">
        <v>0</v>
      </c>
      <c r="N1918">
        <v>0</v>
      </c>
      <c r="O1918">
        <v>0</v>
      </c>
      <c r="P1918">
        <v>1.0652189274447901</v>
      </c>
      <c r="Q1918">
        <v>0</v>
      </c>
      <c r="R1918">
        <v>0</v>
      </c>
      <c r="S1918">
        <v>1.1331355704698001</v>
      </c>
      <c r="T1918">
        <v>0</v>
      </c>
      <c r="U1918">
        <v>0</v>
      </c>
      <c r="V1918">
        <v>1.05063596764157</v>
      </c>
      <c r="W1918">
        <v>0</v>
      </c>
      <c r="X1918">
        <v>0</v>
      </c>
    </row>
    <row r="1919" spans="1:24">
      <c r="A1919">
        <v>87</v>
      </c>
      <c r="B1919" t="s">
        <v>5133</v>
      </c>
      <c r="C1919">
        <v>2</v>
      </c>
      <c r="D1919" t="s">
        <v>5134</v>
      </c>
      <c r="E1919">
        <v>2</v>
      </c>
      <c r="F1919">
        <v>2</v>
      </c>
      <c r="G1919">
        <v>2</v>
      </c>
      <c r="H1919" t="s">
        <v>5135</v>
      </c>
      <c r="I1919">
        <v>7.8</v>
      </c>
      <c r="J1919">
        <v>37.808</v>
      </c>
      <c r="K1919" t="str">
        <f>"TOR1A"</f>
        <v>TOR1A</v>
      </c>
      <c r="L1919" t="str">
        <f>"TOR1A"</f>
        <v>TOR1A</v>
      </c>
      <c r="M1919">
        <v>0</v>
      </c>
      <c r="N1919">
        <v>0.89450172185430499</v>
      </c>
      <c r="O1919">
        <v>0</v>
      </c>
      <c r="P1919">
        <v>0</v>
      </c>
      <c r="Q1919">
        <v>0</v>
      </c>
      <c r="R1919">
        <v>0.90008103209297396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</row>
    <row r="1920" spans="1:24">
      <c r="A1920">
        <v>113</v>
      </c>
      <c r="B1920" t="s">
        <v>5136</v>
      </c>
      <c r="C1920">
        <v>1</v>
      </c>
      <c r="D1920" t="s">
        <v>5137</v>
      </c>
      <c r="E1920">
        <v>1</v>
      </c>
      <c r="F1920">
        <v>1</v>
      </c>
      <c r="G1920">
        <v>1</v>
      </c>
      <c r="H1920" t="s">
        <v>5136</v>
      </c>
      <c r="I1920">
        <v>1.2</v>
      </c>
      <c r="J1920">
        <v>84.638999999999996</v>
      </c>
      <c r="K1920" t="str">
        <f>"CHUK"</f>
        <v>CHUK</v>
      </c>
      <c r="L1920" t="str">
        <f>"CHUK"</f>
        <v>CHUK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0.90008103209297396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</row>
    <row r="1921" spans="1:24">
      <c r="A1921">
        <v>127</v>
      </c>
      <c r="B1921" t="s">
        <v>5138</v>
      </c>
      <c r="C1921">
        <v>1</v>
      </c>
      <c r="D1921" t="s">
        <v>5139</v>
      </c>
      <c r="E1921">
        <v>1</v>
      </c>
      <c r="F1921">
        <v>1</v>
      </c>
      <c r="G1921">
        <v>1</v>
      </c>
      <c r="H1921" t="s">
        <v>5138</v>
      </c>
      <c r="I1921">
        <v>3.7</v>
      </c>
      <c r="J1921">
        <v>28.082000000000001</v>
      </c>
      <c r="K1921" t="str">
        <f>"PMM2"</f>
        <v>PMM2</v>
      </c>
      <c r="L1921" t="str">
        <f>"PMM2"</f>
        <v>PMM2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0.984645710619934</v>
      </c>
    </row>
    <row r="1922" spans="1:24">
      <c r="A1922">
        <v>166</v>
      </c>
      <c r="B1922" t="s">
        <v>5140</v>
      </c>
      <c r="C1922">
        <v>10</v>
      </c>
      <c r="D1922" t="s">
        <v>5141</v>
      </c>
      <c r="E1922">
        <v>2</v>
      </c>
      <c r="F1922">
        <v>2</v>
      </c>
      <c r="G1922">
        <v>2</v>
      </c>
      <c r="H1922" t="s">
        <v>5142</v>
      </c>
      <c r="I1922">
        <v>25.7</v>
      </c>
      <c r="J1922">
        <v>12.404</v>
      </c>
      <c r="K1922" t="str">
        <f>"ENSA;ARPP19"</f>
        <v>ENSA;ARPP19</v>
      </c>
      <c r="L1922" t="str">
        <f>"ENSA;ARPP19"</f>
        <v>ENSA;ARPP19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0.984645710619934</v>
      </c>
    </row>
    <row r="1923" spans="1:24">
      <c r="A1923">
        <v>171</v>
      </c>
      <c r="B1923" t="s">
        <v>5143</v>
      </c>
      <c r="C1923">
        <v>2</v>
      </c>
      <c r="D1923" t="s">
        <v>5144</v>
      </c>
      <c r="E1923">
        <v>2</v>
      </c>
      <c r="F1923">
        <v>2</v>
      </c>
      <c r="G1923">
        <v>2</v>
      </c>
      <c r="H1923" t="s">
        <v>5145</v>
      </c>
      <c r="I1923">
        <v>7.6</v>
      </c>
      <c r="J1923">
        <v>41.887</v>
      </c>
      <c r="K1923" t="str">
        <f>"IDH3B"</f>
        <v>IDH3B</v>
      </c>
      <c r="L1923" t="str">
        <f>"IDH3B"</f>
        <v>IDH3B</v>
      </c>
      <c r="M1923">
        <v>0</v>
      </c>
      <c r="N1923">
        <v>0</v>
      </c>
      <c r="O1923">
        <v>0.91194339418818204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1.05063596764157</v>
      </c>
      <c r="W1923">
        <v>0</v>
      </c>
      <c r="X1923">
        <v>0.984645710619934</v>
      </c>
    </row>
    <row r="1924" spans="1:24">
      <c r="A1924">
        <v>203</v>
      </c>
      <c r="B1924" t="s">
        <v>5146</v>
      </c>
      <c r="C1924">
        <v>3</v>
      </c>
      <c r="D1924" t="s">
        <v>5147</v>
      </c>
      <c r="E1924">
        <v>5</v>
      </c>
      <c r="F1924">
        <v>5</v>
      </c>
      <c r="G1924">
        <v>5</v>
      </c>
      <c r="H1924" t="s">
        <v>5148</v>
      </c>
      <c r="I1924">
        <v>14.3</v>
      </c>
      <c r="J1924">
        <v>52.451000000000001</v>
      </c>
      <c r="K1924" t="str">
        <f>"RAB11FIP3"</f>
        <v>RAB11FIP3</v>
      </c>
      <c r="L1924" t="str">
        <f>"RAB11FIP3"</f>
        <v>RAB11FIP3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</row>
    <row r="1925" spans="1:24">
      <c r="A1925">
        <v>204</v>
      </c>
      <c r="B1925" t="s">
        <v>5149</v>
      </c>
      <c r="C1925">
        <v>1</v>
      </c>
      <c r="D1925" t="s">
        <v>5150</v>
      </c>
      <c r="E1925">
        <v>4</v>
      </c>
      <c r="F1925">
        <v>4</v>
      </c>
      <c r="G1925">
        <v>4</v>
      </c>
      <c r="H1925" t="s">
        <v>5149</v>
      </c>
      <c r="I1925">
        <v>1.9</v>
      </c>
      <c r="J1925">
        <v>254.41</v>
      </c>
      <c r="K1925" t="str">
        <f>"DNAJC13"</f>
        <v>DNAJC13</v>
      </c>
      <c r="L1925" t="str">
        <f>"DNAJC13"</f>
        <v>DNAJC13</v>
      </c>
      <c r="M1925">
        <v>0</v>
      </c>
      <c r="N1925">
        <v>0.89450172185430499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</row>
    <row r="1926" spans="1:24">
      <c r="A1926">
        <v>205</v>
      </c>
      <c r="B1926" t="s">
        <v>5151</v>
      </c>
      <c r="C1926">
        <v>6</v>
      </c>
      <c r="D1926" t="s">
        <v>5152</v>
      </c>
      <c r="E1926">
        <v>2</v>
      </c>
      <c r="F1926">
        <v>2</v>
      </c>
      <c r="G1926">
        <v>2</v>
      </c>
      <c r="H1926" t="s">
        <v>5153</v>
      </c>
      <c r="I1926">
        <v>9.1999999999999993</v>
      </c>
      <c r="J1926">
        <v>36.087000000000003</v>
      </c>
      <c r="K1926" t="str">
        <f>"DNAJB6;DNAJB3;DNAJB7"</f>
        <v>DNAJB6;DNAJB3;DNAJB7</v>
      </c>
      <c r="L1926" t="str">
        <f>"DNAJB6;DNAJB3;DNAJB7"</f>
        <v>DNAJB6;DNAJB3;DNAJB7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0.90008103209297396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</row>
    <row r="1927" spans="1:24">
      <c r="A1927">
        <v>219</v>
      </c>
      <c r="B1927" t="s">
        <v>5154</v>
      </c>
      <c r="C1927">
        <v>4</v>
      </c>
      <c r="D1927" t="s">
        <v>5155</v>
      </c>
      <c r="E1927">
        <v>2</v>
      </c>
      <c r="F1927">
        <v>2</v>
      </c>
      <c r="G1927">
        <v>2</v>
      </c>
      <c r="H1927" t="s">
        <v>5156</v>
      </c>
      <c r="I1927">
        <v>6.4</v>
      </c>
      <c r="J1927">
        <v>38.924999999999997</v>
      </c>
      <c r="K1927" t="str">
        <f>"ERLIN1;ERLIN2"</f>
        <v>ERLIN1;ERLIN2</v>
      </c>
      <c r="L1927" t="str">
        <f>"ERLIN1;ERLIN2"</f>
        <v>ERLIN1;ERLIN2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0.90008103209297396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</row>
    <row r="1928" spans="1:24">
      <c r="A1928">
        <v>260</v>
      </c>
      <c r="B1928" t="s">
        <v>5157</v>
      </c>
      <c r="C1928">
        <v>2</v>
      </c>
      <c r="D1928" t="s">
        <v>5158</v>
      </c>
      <c r="E1928">
        <v>1</v>
      </c>
      <c r="F1928">
        <v>1</v>
      </c>
      <c r="G1928">
        <v>1</v>
      </c>
      <c r="H1928" t="s">
        <v>5159</v>
      </c>
      <c r="I1928">
        <v>4.9000000000000004</v>
      </c>
      <c r="J1928">
        <v>35.61</v>
      </c>
      <c r="K1928" t="str">
        <f>"SNX4"</f>
        <v>SNX4</v>
      </c>
      <c r="L1928" t="str">
        <f>"SNX4"</f>
        <v>SNX4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</row>
    <row r="1929" spans="1:24">
      <c r="A1929">
        <v>291</v>
      </c>
      <c r="B1929" t="s">
        <v>5160</v>
      </c>
      <c r="C1929">
        <v>2</v>
      </c>
      <c r="D1929" t="s">
        <v>5161</v>
      </c>
      <c r="E1929">
        <v>2</v>
      </c>
      <c r="F1929">
        <v>2</v>
      </c>
      <c r="G1929">
        <v>2</v>
      </c>
      <c r="H1929" t="s">
        <v>5162</v>
      </c>
      <c r="I1929">
        <v>8.6</v>
      </c>
      <c r="J1929">
        <v>26.724</v>
      </c>
      <c r="K1929" t="str">
        <f>"PEX11B"</f>
        <v>PEX11B</v>
      </c>
      <c r="L1929" t="str">
        <f>"PEX11B"</f>
        <v>PEX11B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0.90008103209297396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0.984645710619934</v>
      </c>
    </row>
    <row r="1930" spans="1:24">
      <c r="A1930">
        <v>449</v>
      </c>
      <c r="B1930" t="s">
        <v>5163</v>
      </c>
      <c r="C1930">
        <v>1</v>
      </c>
      <c r="D1930" t="s">
        <v>5164</v>
      </c>
      <c r="E1930">
        <v>2</v>
      </c>
      <c r="F1930">
        <v>1</v>
      </c>
      <c r="G1930">
        <v>1</v>
      </c>
      <c r="H1930" t="s">
        <v>5163</v>
      </c>
      <c r="I1930">
        <v>19.399999999999999</v>
      </c>
      <c r="J1930">
        <v>14.275</v>
      </c>
      <c r="K1930" t="s">
        <v>4680</v>
      </c>
      <c r="L1930" t="s">
        <v>4680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1.1331355704698001</v>
      </c>
      <c r="T1930">
        <v>0</v>
      </c>
      <c r="U1930">
        <v>0</v>
      </c>
      <c r="V1930">
        <v>0</v>
      </c>
      <c r="W1930">
        <v>2.5507961927783702</v>
      </c>
      <c r="X1930">
        <v>0.984645710619934</v>
      </c>
    </row>
    <row r="1931" spans="1:24">
      <c r="A1931">
        <v>625</v>
      </c>
      <c r="B1931" t="s">
        <v>5165</v>
      </c>
      <c r="C1931">
        <v>2</v>
      </c>
      <c r="D1931" t="s">
        <v>5166</v>
      </c>
      <c r="E1931">
        <v>1</v>
      </c>
      <c r="F1931">
        <v>1</v>
      </c>
      <c r="G1931">
        <v>1</v>
      </c>
      <c r="H1931" t="s">
        <v>5167</v>
      </c>
      <c r="I1931">
        <v>4.4000000000000004</v>
      </c>
      <c r="J1931">
        <v>18.417000000000002</v>
      </c>
      <c r="K1931" t="str">
        <f>"ACP2"</f>
        <v>ACP2</v>
      </c>
      <c r="L1931" t="str">
        <f>"ACP2"</f>
        <v>ACP2</v>
      </c>
      <c r="M1931">
        <v>0</v>
      </c>
      <c r="N1931">
        <v>0.89450172185430499</v>
      </c>
      <c r="O1931">
        <v>0</v>
      </c>
      <c r="P1931">
        <v>0</v>
      </c>
      <c r="Q1931">
        <v>0</v>
      </c>
      <c r="R1931">
        <v>0</v>
      </c>
      <c r="S1931">
        <v>1.1331355704698001</v>
      </c>
      <c r="T1931">
        <v>0</v>
      </c>
      <c r="U1931">
        <v>0</v>
      </c>
      <c r="V1931">
        <v>0</v>
      </c>
      <c r="W1931">
        <v>0</v>
      </c>
      <c r="X1931">
        <v>0</v>
      </c>
    </row>
    <row r="1932" spans="1:24">
      <c r="A1932">
        <v>650</v>
      </c>
      <c r="B1932" t="s">
        <v>5168</v>
      </c>
      <c r="C1932">
        <v>1</v>
      </c>
      <c r="D1932" t="s">
        <v>5169</v>
      </c>
      <c r="E1932">
        <v>2</v>
      </c>
      <c r="F1932">
        <v>2</v>
      </c>
      <c r="G1932">
        <v>2</v>
      </c>
      <c r="H1932" t="s">
        <v>5168</v>
      </c>
      <c r="I1932">
        <v>5.8</v>
      </c>
      <c r="J1932">
        <v>55.804000000000002</v>
      </c>
      <c r="K1932" t="str">
        <f>"IMPDH2"</f>
        <v>IMPDH2</v>
      </c>
      <c r="L1932" t="str">
        <f>"IMPDH2"</f>
        <v>IMPDH2</v>
      </c>
      <c r="M1932">
        <v>0</v>
      </c>
      <c r="N1932">
        <v>0</v>
      </c>
      <c r="O1932">
        <v>0.91194339418818204</v>
      </c>
      <c r="P1932">
        <v>0</v>
      </c>
      <c r="Q1932">
        <v>0</v>
      </c>
      <c r="R1932">
        <v>0</v>
      </c>
      <c r="S1932">
        <v>0</v>
      </c>
      <c r="T1932">
        <v>1.18448996772836</v>
      </c>
      <c r="U1932">
        <v>0</v>
      </c>
      <c r="V1932">
        <v>0</v>
      </c>
      <c r="W1932">
        <v>0</v>
      </c>
      <c r="X1932">
        <v>0</v>
      </c>
    </row>
    <row r="1933" spans="1:24">
      <c r="A1933">
        <v>657</v>
      </c>
      <c r="B1933" t="s">
        <v>5170</v>
      </c>
      <c r="C1933">
        <v>2</v>
      </c>
      <c r="D1933" t="s">
        <v>5171</v>
      </c>
      <c r="E1933">
        <v>2</v>
      </c>
      <c r="F1933">
        <v>2</v>
      </c>
      <c r="G1933">
        <v>2</v>
      </c>
      <c r="H1933" t="s">
        <v>5172</v>
      </c>
      <c r="I1933">
        <v>3.5</v>
      </c>
      <c r="J1933">
        <v>65.147999999999996</v>
      </c>
      <c r="K1933" t="str">
        <f>"XRCC6"</f>
        <v>XRCC6</v>
      </c>
      <c r="L1933" t="str">
        <f>"XRCC6"</f>
        <v>XRCC6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0.90008103209297396</v>
      </c>
      <c r="S1933">
        <v>0</v>
      </c>
      <c r="T1933">
        <v>0</v>
      </c>
      <c r="U1933">
        <v>1.10235831809872</v>
      </c>
      <c r="V1933">
        <v>0</v>
      </c>
      <c r="W1933">
        <v>0</v>
      </c>
      <c r="X1933">
        <v>0</v>
      </c>
    </row>
    <row r="1934" spans="1:24">
      <c r="A1934">
        <v>708</v>
      </c>
      <c r="B1934" t="s">
        <v>5173</v>
      </c>
      <c r="C1934">
        <v>1</v>
      </c>
      <c r="D1934" t="s">
        <v>5174</v>
      </c>
      <c r="E1934">
        <v>3</v>
      </c>
      <c r="F1934">
        <v>3</v>
      </c>
      <c r="G1934">
        <v>3</v>
      </c>
      <c r="H1934" t="s">
        <v>5173</v>
      </c>
      <c r="I1934">
        <v>16</v>
      </c>
      <c r="J1934">
        <v>25.917999999999999</v>
      </c>
      <c r="K1934" t="str">
        <f>"NQO2"</f>
        <v>NQO2</v>
      </c>
      <c r="L1934" t="str">
        <f>"NQO2"</f>
        <v>NQO2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>
      <c r="A1935">
        <v>895</v>
      </c>
      <c r="B1935" t="s">
        <v>5175</v>
      </c>
      <c r="C1935">
        <v>1</v>
      </c>
      <c r="D1935" t="s">
        <v>5176</v>
      </c>
      <c r="E1935">
        <v>24</v>
      </c>
      <c r="F1935">
        <v>1</v>
      </c>
      <c r="G1935">
        <v>0</v>
      </c>
      <c r="H1935" t="s">
        <v>5175</v>
      </c>
      <c r="I1935">
        <v>61.4</v>
      </c>
      <c r="J1935">
        <v>40.731999999999999</v>
      </c>
      <c r="K1935" t="str">
        <f>"HLA-A"</f>
        <v>HLA-A</v>
      </c>
      <c r="L1935" t="str">
        <f>"HLA-A"</f>
        <v>HLA-A</v>
      </c>
      <c r="M1935">
        <v>0</v>
      </c>
      <c r="N1935">
        <v>1.78900344370861</v>
      </c>
      <c r="O1935">
        <v>0</v>
      </c>
      <c r="P1935">
        <v>1.0652189274447901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</row>
    <row r="1936" spans="1:24">
      <c r="A1936">
        <v>897</v>
      </c>
      <c r="B1936" t="s">
        <v>5177</v>
      </c>
      <c r="C1936">
        <v>1</v>
      </c>
      <c r="D1936" t="s">
        <v>5178</v>
      </c>
      <c r="E1936">
        <v>18</v>
      </c>
      <c r="F1936">
        <v>1</v>
      </c>
      <c r="G1936">
        <v>0</v>
      </c>
      <c r="H1936" t="s">
        <v>5177</v>
      </c>
      <c r="I1936">
        <v>51.8</v>
      </c>
      <c r="J1936">
        <v>41.031999999999996</v>
      </c>
      <c r="K1936" t="str">
        <f>"HLA-A"</f>
        <v>HLA-A</v>
      </c>
      <c r="L1936" t="str">
        <f>"HLA-A"</f>
        <v>HLA-A</v>
      </c>
      <c r="M1936">
        <v>0</v>
      </c>
      <c r="N1936">
        <v>0</v>
      </c>
      <c r="O1936">
        <v>0</v>
      </c>
      <c r="P1936">
        <v>2.1304378548895899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>
      <c r="A1937">
        <v>900</v>
      </c>
      <c r="B1937" t="s">
        <v>5179</v>
      </c>
      <c r="C1937">
        <v>2</v>
      </c>
      <c r="D1937" t="s">
        <v>5180</v>
      </c>
      <c r="E1937">
        <v>19</v>
      </c>
      <c r="F1937">
        <v>3</v>
      </c>
      <c r="G1937">
        <v>0</v>
      </c>
      <c r="H1937" t="s">
        <v>5181</v>
      </c>
      <c r="I1937">
        <v>47.5</v>
      </c>
      <c r="J1937">
        <v>40.357999999999997</v>
      </c>
      <c r="K1937" t="str">
        <f>"HLA-B;HLA-G"</f>
        <v>HLA-B;HLA-G</v>
      </c>
      <c r="L1937" t="str">
        <f>"HLA-B;HLA-G"</f>
        <v>HLA-B;HLA-G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</row>
    <row r="1938" spans="1:24">
      <c r="A1938">
        <v>904</v>
      </c>
      <c r="B1938" t="s">
        <v>5182</v>
      </c>
      <c r="C1938">
        <v>1</v>
      </c>
      <c r="D1938" t="s">
        <v>5183</v>
      </c>
      <c r="E1938">
        <v>17</v>
      </c>
      <c r="F1938">
        <v>2</v>
      </c>
      <c r="G1938">
        <v>0</v>
      </c>
      <c r="H1938" t="s">
        <v>5182</v>
      </c>
      <c r="I1938">
        <v>52.5</v>
      </c>
      <c r="J1938">
        <v>40.539000000000001</v>
      </c>
      <c r="K1938" t="str">
        <f>"HLA-B"</f>
        <v>HLA-B</v>
      </c>
      <c r="L1938" t="str">
        <f>"HLA-B"</f>
        <v>HLA-B</v>
      </c>
      <c r="M1938">
        <v>0</v>
      </c>
      <c r="N1938">
        <v>0</v>
      </c>
      <c r="O1938">
        <v>0</v>
      </c>
      <c r="P1938">
        <v>2.1304378548895899</v>
      </c>
      <c r="Q1938">
        <v>0</v>
      </c>
      <c r="R1938">
        <v>0</v>
      </c>
      <c r="S1938">
        <v>0</v>
      </c>
      <c r="T1938">
        <v>0</v>
      </c>
      <c r="U1938">
        <v>1.10235831809872</v>
      </c>
      <c r="V1938">
        <v>1.05063596764157</v>
      </c>
      <c r="W1938">
        <v>0</v>
      </c>
      <c r="X1938">
        <v>0</v>
      </c>
    </row>
    <row r="1939" spans="1:24">
      <c r="A1939">
        <v>939</v>
      </c>
      <c r="B1939" t="s">
        <v>5184</v>
      </c>
      <c r="C1939">
        <v>2</v>
      </c>
      <c r="D1939" t="s">
        <v>5185</v>
      </c>
      <c r="E1939">
        <v>4</v>
      </c>
      <c r="F1939">
        <v>4</v>
      </c>
      <c r="G1939">
        <v>4</v>
      </c>
      <c r="H1939" t="s">
        <v>5186</v>
      </c>
      <c r="I1939">
        <v>19.100000000000001</v>
      </c>
      <c r="J1939">
        <v>20.015999999999998</v>
      </c>
      <c r="K1939" t="str">
        <f>"DCTD"</f>
        <v>DCTD</v>
      </c>
      <c r="L1939" t="str">
        <f>"DCTD"</f>
        <v>DCTD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1.27539809638918</v>
      </c>
      <c r="X1939">
        <v>0.984645710619934</v>
      </c>
    </row>
    <row r="1940" spans="1:24">
      <c r="A1940">
        <v>940</v>
      </c>
      <c r="B1940" t="s">
        <v>5187</v>
      </c>
      <c r="C1940">
        <v>2</v>
      </c>
      <c r="D1940" t="s">
        <v>5188</v>
      </c>
      <c r="E1940">
        <v>2</v>
      </c>
      <c r="F1940">
        <v>2</v>
      </c>
      <c r="G1940">
        <v>2</v>
      </c>
      <c r="H1940" t="s">
        <v>5189</v>
      </c>
      <c r="I1940">
        <v>7.1</v>
      </c>
      <c r="J1940">
        <v>40.497</v>
      </c>
      <c r="K1940" t="str">
        <f>"HPD"</f>
        <v>HPD</v>
      </c>
      <c r="L1940" t="str">
        <f>"HPD"</f>
        <v>HPD</v>
      </c>
      <c r="M1940">
        <v>0</v>
      </c>
      <c r="N1940">
        <v>0</v>
      </c>
      <c r="O1940">
        <v>0.91194339418818204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</row>
    <row r="1941" spans="1:24">
      <c r="A1941">
        <v>944</v>
      </c>
      <c r="B1941" t="s">
        <v>5190</v>
      </c>
      <c r="C1941">
        <v>1</v>
      </c>
      <c r="D1941" t="s">
        <v>5191</v>
      </c>
      <c r="E1941">
        <v>1</v>
      </c>
      <c r="F1941">
        <v>1</v>
      </c>
      <c r="G1941">
        <v>1</v>
      </c>
      <c r="H1941" t="s">
        <v>5190</v>
      </c>
      <c r="I1941">
        <v>8.8000000000000007</v>
      </c>
      <c r="J1941">
        <v>16.84</v>
      </c>
      <c r="K1941" t="str">
        <f>"RNASE4"</f>
        <v>RNASE4</v>
      </c>
      <c r="L1941" t="str">
        <f>"RNASE4"</f>
        <v>RNASE4</v>
      </c>
      <c r="M1941">
        <v>0</v>
      </c>
      <c r="N1941">
        <v>0.89450172185430499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0.984645710619934</v>
      </c>
    </row>
    <row r="1942" spans="1:24">
      <c r="A1942">
        <v>951</v>
      </c>
      <c r="B1942" t="s">
        <v>5192</v>
      </c>
      <c r="C1942">
        <v>2</v>
      </c>
      <c r="D1942" t="s">
        <v>5193</v>
      </c>
      <c r="E1942">
        <v>4</v>
      </c>
      <c r="F1942">
        <v>4</v>
      </c>
      <c r="G1942">
        <v>4</v>
      </c>
      <c r="H1942" t="s">
        <v>5194</v>
      </c>
      <c r="I1942">
        <v>14.9</v>
      </c>
      <c r="J1942">
        <v>46.655000000000001</v>
      </c>
      <c r="K1942" t="str">
        <f>"MPI"</f>
        <v>MPI</v>
      </c>
      <c r="L1942" t="str">
        <f>"MPI"</f>
        <v>MPI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1.27539809638918</v>
      </c>
      <c r="X1942">
        <v>0</v>
      </c>
    </row>
    <row r="1943" spans="1:24">
      <c r="A1943">
        <v>958</v>
      </c>
      <c r="B1943" t="s">
        <v>5195</v>
      </c>
      <c r="C1943">
        <v>1</v>
      </c>
      <c r="D1943" t="s">
        <v>5196</v>
      </c>
      <c r="E1943">
        <v>2</v>
      </c>
      <c r="F1943">
        <v>2</v>
      </c>
      <c r="G1943">
        <v>2</v>
      </c>
      <c r="H1943" t="s">
        <v>5195</v>
      </c>
      <c r="I1943">
        <v>3.2</v>
      </c>
      <c r="J1943">
        <v>72.668999999999997</v>
      </c>
      <c r="K1943" t="str">
        <f>"IDUA"</f>
        <v>IDUA</v>
      </c>
      <c r="L1943" t="str">
        <f>"IDUA"</f>
        <v>IDUA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>
      <c r="A1944">
        <v>979</v>
      </c>
      <c r="B1944" t="s">
        <v>5197</v>
      </c>
      <c r="C1944">
        <v>1</v>
      </c>
      <c r="D1944" t="s">
        <v>5198</v>
      </c>
      <c r="E1944">
        <v>1</v>
      </c>
      <c r="F1944">
        <v>1</v>
      </c>
      <c r="G1944">
        <v>1</v>
      </c>
      <c r="H1944" t="s">
        <v>5197</v>
      </c>
      <c r="I1944">
        <v>3.7</v>
      </c>
      <c r="J1944">
        <v>47.697000000000003</v>
      </c>
      <c r="K1944" t="str">
        <f>"RPL4"</f>
        <v>RPL4</v>
      </c>
      <c r="L1944" t="str">
        <f>"RPL4"</f>
        <v>RPL4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0.90008103209297396</v>
      </c>
      <c r="S1944">
        <v>0</v>
      </c>
      <c r="T1944">
        <v>0</v>
      </c>
      <c r="U1944">
        <v>1.10235831809872</v>
      </c>
      <c r="V1944">
        <v>0</v>
      </c>
      <c r="W1944">
        <v>0</v>
      </c>
      <c r="X1944">
        <v>0</v>
      </c>
    </row>
    <row r="1945" spans="1:24">
      <c r="A1945">
        <v>995</v>
      </c>
      <c r="B1945" t="s">
        <v>5199</v>
      </c>
      <c r="C1945">
        <v>2</v>
      </c>
      <c r="D1945" t="s">
        <v>5200</v>
      </c>
      <c r="E1945">
        <v>2</v>
      </c>
      <c r="F1945">
        <v>2</v>
      </c>
      <c r="G1945">
        <v>2</v>
      </c>
      <c r="H1945" t="s">
        <v>5201</v>
      </c>
      <c r="I1945">
        <v>12</v>
      </c>
      <c r="J1945">
        <v>39.110999999999997</v>
      </c>
      <c r="K1945" t="str">
        <f>"LIPA"</f>
        <v>LIPA</v>
      </c>
      <c r="L1945" t="str">
        <f>"LIPA"</f>
        <v>LIPA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0.90008103209297396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</row>
    <row r="1946" spans="1:24">
      <c r="A1946">
        <v>1004</v>
      </c>
      <c r="B1946" t="s">
        <v>5202</v>
      </c>
      <c r="C1946">
        <v>2</v>
      </c>
      <c r="D1946" t="s">
        <v>5203</v>
      </c>
      <c r="E1946">
        <v>4</v>
      </c>
      <c r="F1946">
        <v>4</v>
      </c>
      <c r="G1946">
        <v>4</v>
      </c>
      <c r="H1946" t="s">
        <v>5204</v>
      </c>
      <c r="I1946">
        <v>31.1</v>
      </c>
      <c r="J1946">
        <v>18.565000000000001</v>
      </c>
      <c r="K1946" t="str">
        <f>"ARL1"</f>
        <v>ARL1</v>
      </c>
      <c r="L1946" t="str">
        <f>"ARL1"</f>
        <v>ARL1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0.90008103209297396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</row>
    <row r="1947" spans="1:24">
      <c r="A1947">
        <v>1023</v>
      </c>
      <c r="B1947" t="s">
        <v>5205</v>
      </c>
      <c r="C1947">
        <v>1</v>
      </c>
      <c r="D1947" t="s">
        <v>5206</v>
      </c>
      <c r="E1947">
        <v>3</v>
      </c>
      <c r="F1947">
        <v>3</v>
      </c>
      <c r="G1947">
        <v>3</v>
      </c>
      <c r="H1947" t="s">
        <v>5205</v>
      </c>
      <c r="I1947">
        <v>1.8</v>
      </c>
      <c r="J1947">
        <v>231.32</v>
      </c>
      <c r="K1947" t="str">
        <f>"PI4KA"</f>
        <v>PI4KA</v>
      </c>
      <c r="L1947" t="str">
        <f>"PI4KA"</f>
        <v>PI4KA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1.05063596764157</v>
      </c>
      <c r="W1947">
        <v>0</v>
      </c>
      <c r="X1947">
        <v>0</v>
      </c>
    </row>
    <row r="1948" spans="1:24">
      <c r="A1948">
        <v>1030</v>
      </c>
      <c r="B1948" t="s">
        <v>5207</v>
      </c>
      <c r="C1948">
        <v>2</v>
      </c>
      <c r="D1948" t="s">
        <v>5208</v>
      </c>
      <c r="E1948">
        <v>2</v>
      </c>
      <c r="F1948">
        <v>2</v>
      </c>
      <c r="G1948">
        <v>2</v>
      </c>
      <c r="H1948" t="s">
        <v>5209</v>
      </c>
      <c r="I1948">
        <v>3.2</v>
      </c>
      <c r="J1948">
        <v>74.596000000000004</v>
      </c>
      <c r="K1948" t="str">
        <f>"MTHFR"</f>
        <v>MTHFR</v>
      </c>
      <c r="L1948" t="str">
        <f>"MTHFR"</f>
        <v>MTHFR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1.18448996772836</v>
      </c>
      <c r="U1948">
        <v>0</v>
      </c>
      <c r="V1948">
        <v>0</v>
      </c>
      <c r="W1948">
        <v>0</v>
      </c>
      <c r="X1948">
        <v>0</v>
      </c>
    </row>
    <row r="1949" spans="1:24">
      <c r="A1949">
        <v>1131</v>
      </c>
      <c r="B1949" t="s">
        <v>5210</v>
      </c>
      <c r="C1949">
        <v>2</v>
      </c>
      <c r="D1949" t="s">
        <v>5211</v>
      </c>
      <c r="E1949">
        <v>4</v>
      </c>
      <c r="F1949">
        <v>4</v>
      </c>
      <c r="G1949">
        <v>4</v>
      </c>
      <c r="H1949" t="s">
        <v>5212</v>
      </c>
      <c r="I1949">
        <v>14</v>
      </c>
      <c r="J1949">
        <v>42.271999999999998</v>
      </c>
      <c r="K1949" t="str">
        <f>"GALK1"</f>
        <v>GALK1</v>
      </c>
      <c r="L1949" t="str">
        <f>"GALK1"</f>
        <v>GALK1</v>
      </c>
      <c r="M1949">
        <v>0</v>
      </c>
      <c r="N1949">
        <v>0.89450172185430499</v>
      </c>
      <c r="O1949">
        <v>0.91194339418818204</v>
      </c>
      <c r="P1949">
        <v>0</v>
      </c>
      <c r="Q1949">
        <v>0</v>
      </c>
      <c r="R1949">
        <v>0.90008103209297396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</row>
    <row r="1950" spans="1:24">
      <c r="A1950">
        <v>1159</v>
      </c>
      <c r="B1950" t="s">
        <v>5213</v>
      </c>
      <c r="C1950">
        <v>1</v>
      </c>
      <c r="D1950" t="s">
        <v>5214</v>
      </c>
      <c r="E1950">
        <v>4</v>
      </c>
      <c r="F1950">
        <v>4</v>
      </c>
      <c r="G1950">
        <v>4</v>
      </c>
      <c r="H1950" t="s">
        <v>5213</v>
      </c>
      <c r="I1950">
        <v>13.8</v>
      </c>
      <c r="J1950">
        <v>34.012</v>
      </c>
      <c r="K1950" t="str">
        <f>"SLC25A1"</f>
        <v>SLC25A1</v>
      </c>
      <c r="L1950" t="str">
        <f>"SLC25A1"</f>
        <v>SLC25A1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</row>
    <row r="1951" spans="1:24">
      <c r="A1951">
        <v>1185</v>
      </c>
      <c r="B1951" t="s">
        <v>5215</v>
      </c>
      <c r="C1951">
        <v>3</v>
      </c>
      <c r="D1951" t="s">
        <v>5216</v>
      </c>
      <c r="E1951">
        <v>1</v>
      </c>
      <c r="F1951">
        <v>1</v>
      </c>
      <c r="G1951">
        <v>1</v>
      </c>
      <c r="H1951" t="s">
        <v>5217</v>
      </c>
      <c r="I1951">
        <v>3.8</v>
      </c>
      <c r="J1951">
        <v>44.134999999999998</v>
      </c>
      <c r="K1951" t="str">
        <f>"PLTP"</f>
        <v>PLTP</v>
      </c>
      <c r="L1951" t="str">
        <f>"PLTP"</f>
        <v>PLTP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</row>
    <row r="1952" spans="1:24">
      <c r="A1952">
        <v>1211</v>
      </c>
      <c r="B1952" t="s">
        <v>5218</v>
      </c>
      <c r="C1952">
        <v>3</v>
      </c>
      <c r="D1952" t="s">
        <v>5219</v>
      </c>
      <c r="E1952">
        <v>4</v>
      </c>
      <c r="F1952">
        <v>4</v>
      </c>
      <c r="G1952">
        <v>4</v>
      </c>
      <c r="H1952" t="s">
        <v>5220</v>
      </c>
      <c r="I1952">
        <v>6.8</v>
      </c>
      <c r="J1952">
        <v>83.165999999999997</v>
      </c>
      <c r="K1952" t="str">
        <f>"LOXL3"</f>
        <v>LOXL3</v>
      </c>
      <c r="L1952" t="str">
        <f>"LOXL3"</f>
        <v>LOXL3</v>
      </c>
      <c r="M1952">
        <v>0</v>
      </c>
      <c r="N1952">
        <v>0</v>
      </c>
      <c r="O1952">
        <v>0.91194339418818204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1.27539809638918</v>
      </c>
      <c r="X1952">
        <v>0</v>
      </c>
    </row>
    <row r="1953" spans="1:24">
      <c r="A1953">
        <v>1232</v>
      </c>
      <c r="B1953" t="s">
        <v>5221</v>
      </c>
      <c r="C1953">
        <v>1</v>
      </c>
      <c r="D1953" t="s">
        <v>5222</v>
      </c>
      <c r="E1953">
        <v>5</v>
      </c>
      <c r="F1953">
        <v>5</v>
      </c>
      <c r="G1953">
        <v>5</v>
      </c>
      <c r="H1953" t="s">
        <v>5221</v>
      </c>
      <c r="I1953">
        <v>31.7</v>
      </c>
      <c r="J1953">
        <v>20.9</v>
      </c>
      <c r="K1953" t="str">
        <f>"UBE2M"</f>
        <v>UBE2M</v>
      </c>
      <c r="L1953" t="str">
        <f>"UBE2M"</f>
        <v>UBE2M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0.984645710619934</v>
      </c>
    </row>
    <row r="1954" spans="1:24">
      <c r="A1954">
        <v>1318</v>
      </c>
      <c r="B1954" t="s">
        <v>5223</v>
      </c>
      <c r="C1954">
        <v>2</v>
      </c>
      <c r="D1954" t="s">
        <v>5224</v>
      </c>
      <c r="E1954">
        <v>2</v>
      </c>
      <c r="F1954">
        <v>2</v>
      </c>
      <c r="G1954">
        <v>2</v>
      </c>
      <c r="H1954" t="s">
        <v>5225</v>
      </c>
      <c r="I1954">
        <v>9.1</v>
      </c>
      <c r="J1954">
        <v>31.545999999999999</v>
      </c>
      <c r="K1954" t="str">
        <f>"IFI35"</f>
        <v>IFI35</v>
      </c>
      <c r="L1954" t="str">
        <f>"IFI35"</f>
        <v>IFI35</v>
      </c>
      <c r="M1954">
        <v>0</v>
      </c>
      <c r="N1954">
        <v>0.89450172185430499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</row>
    <row r="1955" spans="1:24">
      <c r="A1955">
        <v>1341</v>
      </c>
      <c r="B1955" t="s">
        <v>5226</v>
      </c>
      <c r="C1955">
        <v>2</v>
      </c>
      <c r="D1955" t="s">
        <v>5227</v>
      </c>
      <c r="E1955">
        <v>3</v>
      </c>
      <c r="F1955">
        <v>3</v>
      </c>
      <c r="G1955">
        <v>3</v>
      </c>
      <c r="H1955" t="s">
        <v>5228</v>
      </c>
      <c r="I1955">
        <v>14.6</v>
      </c>
      <c r="J1955">
        <v>38.323999999999998</v>
      </c>
      <c r="K1955" t="str">
        <f>"SORD"</f>
        <v>SORD</v>
      </c>
      <c r="L1955" t="str">
        <f>"SORD"</f>
        <v>SORD</v>
      </c>
      <c r="M1955">
        <v>0</v>
      </c>
      <c r="N1955">
        <v>0</v>
      </c>
      <c r="O1955">
        <v>0.91194339418818204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</row>
    <row r="1956" spans="1:24">
      <c r="A1956">
        <v>1362</v>
      </c>
      <c r="B1956" t="s">
        <v>5229</v>
      </c>
      <c r="C1956">
        <v>4</v>
      </c>
      <c r="D1956" t="s">
        <v>5230</v>
      </c>
      <c r="E1956">
        <v>1</v>
      </c>
      <c r="F1956">
        <v>1</v>
      </c>
      <c r="G1956">
        <v>1</v>
      </c>
      <c r="H1956" t="s">
        <v>5231</v>
      </c>
      <c r="I1956">
        <v>2.4</v>
      </c>
      <c r="J1956">
        <v>58.805999999999997</v>
      </c>
      <c r="K1956" t="str">
        <f>"RELA"</f>
        <v>RELA</v>
      </c>
      <c r="L1956" t="str">
        <f>"RELA"</f>
        <v>RELA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1.05063596764157</v>
      </c>
      <c r="W1956">
        <v>0</v>
      </c>
      <c r="X1956">
        <v>0</v>
      </c>
    </row>
    <row r="1957" spans="1:24">
      <c r="A1957">
        <v>1390</v>
      </c>
      <c r="B1957" t="s">
        <v>5232</v>
      </c>
      <c r="C1957">
        <v>1</v>
      </c>
      <c r="D1957" t="s">
        <v>5233</v>
      </c>
      <c r="E1957">
        <v>3</v>
      </c>
      <c r="F1957">
        <v>3</v>
      </c>
      <c r="G1957">
        <v>3</v>
      </c>
      <c r="H1957" t="s">
        <v>5232</v>
      </c>
      <c r="I1957">
        <v>2.7</v>
      </c>
      <c r="J1957">
        <v>140.96</v>
      </c>
      <c r="K1957" t="str">
        <f>"DHX9"</f>
        <v>DHX9</v>
      </c>
      <c r="L1957" t="str">
        <f>"DHX9"</f>
        <v>DHX9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1.8001620641859499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</row>
    <row r="1958" spans="1:24">
      <c r="A1958">
        <v>1415</v>
      </c>
      <c r="B1958" t="s">
        <v>5234</v>
      </c>
      <c r="C1958">
        <v>2</v>
      </c>
      <c r="D1958" t="s">
        <v>5235</v>
      </c>
      <c r="E1958">
        <v>3</v>
      </c>
      <c r="F1958">
        <v>3</v>
      </c>
      <c r="G1958">
        <v>3</v>
      </c>
      <c r="H1958" t="s">
        <v>5236</v>
      </c>
      <c r="I1958">
        <v>5.8</v>
      </c>
      <c r="J1958">
        <v>74.266999999999996</v>
      </c>
      <c r="K1958" t="str">
        <f>"TRAP1"</f>
        <v>TRAP1</v>
      </c>
      <c r="L1958" t="str">
        <f>"TRAP1"</f>
        <v>TRAP1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</row>
    <row r="1959" spans="1:24">
      <c r="A1959">
        <v>1459</v>
      </c>
      <c r="B1959" t="s">
        <v>5237</v>
      </c>
      <c r="C1959">
        <v>3</v>
      </c>
      <c r="D1959" t="s">
        <v>5238</v>
      </c>
      <c r="E1959">
        <v>6</v>
      </c>
      <c r="F1959">
        <v>4</v>
      </c>
      <c r="G1959">
        <v>4</v>
      </c>
      <c r="H1959" t="s">
        <v>5239</v>
      </c>
      <c r="I1959">
        <v>13.6</v>
      </c>
      <c r="J1959">
        <v>51.811999999999998</v>
      </c>
      <c r="K1959" t="str">
        <f>"SNX1"</f>
        <v>SNX1</v>
      </c>
      <c r="L1959" t="str">
        <f>"SNX1"</f>
        <v>SNX1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0.90008103209297396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>
      <c r="A1960">
        <v>1465</v>
      </c>
      <c r="B1960" t="s">
        <v>5240</v>
      </c>
      <c r="C1960">
        <v>2</v>
      </c>
      <c r="D1960" t="s">
        <v>5241</v>
      </c>
      <c r="E1960">
        <v>4</v>
      </c>
      <c r="F1960">
        <v>4</v>
      </c>
      <c r="G1960">
        <v>4</v>
      </c>
      <c r="H1960" t="s">
        <v>5242</v>
      </c>
      <c r="I1960">
        <v>9.8000000000000007</v>
      </c>
      <c r="J1960">
        <v>80.701999999999998</v>
      </c>
      <c r="K1960" t="str">
        <f>"MOGS"</f>
        <v>MOGS</v>
      </c>
      <c r="L1960" t="str">
        <f>"MOGS"</f>
        <v>MOGS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</row>
    <row r="1961" spans="1:24">
      <c r="A1961">
        <v>1486</v>
      </c>
      <c r="B1961" t="s">
        <v>5243</v>
      </c>
      <c r="C1961">
        <v>5</v>
      </c>
      <c r="D1961" t="s">
        <v>5244</v>
      </c>
      <c r="E1961">
        <v>3</v>
      </c>
      <c r="F1961">
        <v>3</v>
      </c>
      <c r="G1961">
        <v>3</v>
      </c>
      <c r="H1961" t="s">
        <v>5245</v>
      </c>
      <c r="I1961">
        <v>6.7</v>
      </c>
      <c r="J1961">
        <v>78.783000000000001</v>
      </c>
      <c r="K1961" t="str">
        <f>"SCARF1"</f>
        <v>SCARF1</v>
      </c>
      <c r="L1961" t="str">
        <f>"SCARF1"</f>
        <v>SCARF1</v>
      </c>
      <c r="M1961">
        <v>0</v>
      </c>
      <c r="N1961">
        <v>1.78900344370861</v>
      </c>
      <c r="O1961">
        <v>0</v>
      </c>
      <c r="P1961">
        <v>0</v>
      </c>
      <c r="Q1961">
        <v>0</v>
      </c>
      <c r="R1961">
        <v>0.90008103209297396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</row>
    <row r="1962" spans="1:24">
      <c r="A1962">
        <v>1515</v>
      </c>
      <c r="B1962" t="s">
        <v>5246</v>
      </c>
      <c r="C1962">
        <v>1</v>
      </c>
      <c r="D1962" t="s">
        <v>5247</v>
      </c>
      <c r="E1962">
        <v>2</v>
      </c>
      <c r="F1962">
        <v>2</v>
      </c>
      <c r="G1962">
        <v>2</v>
      </c>
      <c r="H1962" t="s">
        <v>5246</v>
      </c>
      <c r="I1962">
        <v>5.5</v>
      </c>
      <c r="J1962">
        <v>70.701999999999998</v>
      </c>
      <c r="K1962" t="str">
        <f>"LBR"</f>
        <v>LBR</v>
      </c>
      <c r="L1962" t="str">
        <f>"LBR"</f>
        <v>LBR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0.90008103209297396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</row>
    <row r="1963" spans="1:24">
      <c r="A1963">
        <v>1529</v>
      </c>
      <c r="B1963" t="s">
        <v>5248</v>
      </c>
      <c r="C1963">
        <v>2</v>
      </c>
      <c r="D1963" t="s">
        <v>5249</v>
      </c>
      <c r="E1963">
        <v>4</v>
      </c>
      <c r="F1963">
        <v>4</v>
      </c>
      <c r="G1963">
        <v>4</v>
      </c>
      <c r="H1963" t="s">
        <v>5250</v>
      </c>
      <c r="I1963">
        <v>10.1</v>
      </c>
      <c r="J1963">
        <v>49.997999999999998</v>
      </c>
      <c r="K1963" t="str">
        <f>"SNX17"</f>
        <v>SNX17</v>
      </c>
      <c r="L1963" t="str">
        <f>"SNX17"</f>
        <v>SNX17</v>
      </c>
      <c r="M1963">
        <v>0</v>
      </c>
      <c r="N1963">
        <v>0</v>
      </c>
      <c r="O1963">
        <v>0</v>
      </c>
      <c r="P1963">
        <v>1.0652189274447901</v>
      </c>
      <c r="Q1963">
        <v>0</v>
      </c>
      <c r="R1963">
        <v>0.90008103209297396</v>
      </c>
      <c r="S1963">
        <v>0</v>
      </c>
      <c r="T1963">
        <v>0</v>
      </c>
      <c r="U1963">
        <v>1.10235831809872</v>
      </c>
      <c r="V1963">
        <v>0</v>
      </c>
      <c r="W1963">
        <v>0</v>
      </c>
      <c r="X1963">
        <v>0</v>
      </c>
    </row>
    <row r="1964" spans="1:24">
      <c r="A1964">
        <v>1556</v>
      </c>
      <c r="B1964" t="s">
        <v>5251</v>
      </c>
      <c r="C1964">
        <v>2</v>
      </c>
      <c r="D1964" t="s">
        <v>5252</v>
      </c>
      <c r="E1964">
        <v>5</v>
      </c>
      <c r="F1964">
        <v>5</v>
      </c>
      <c r="G1964">
        <v>5</v>
      </c>
      <c r="H1964" t="s">
        <v>5253</v>
      </c>
      <c r="I1964">
        <v>11.7</v>
      </c>
      <c r="J1964">
        <v>57.454999999999998</v>
      </c>
      <c r="K1964" t="str">
        <f>"ANGPT1"</f>
        <v>ANGPT1</v>
      </c>
      <c r="L1964" t="str">
        <f>"ANGPT1"</f>
        <v>ANGPT1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0.90008103209297396</v>
      </c>
      <c r="S1964">
        <v>0</v>
      </c>
      <c r="T1964">
        <v>0</v>
      </c>
      <c r="U1964">
        <v>0</v>
      </c>
      <c r="V1964">
        <v>1.05063596764157</v>
      </c>
      <c r="W1964">
        <v>0</v>
      </c>
      <c r="X1964">
        <v>0</v>
      </c>
    </row>
    <row r="1965" spans="1:24">
      <c r="A1965">
        <v>1562</v>
      </c>
      <c r="B1965" t="s">
        <v>5254</v>
      </c>
      <c r="C1965">
        <v>2</v>
      </c>
      <c r="D1965" t="s">
        <v>5255</v>
      </c>
      <c r="E1965">
        <v>1</v>
      </c>
      <c r="F1965">
        <v>1</v>
      </c>
      <c r="G1965">
        <v>1</v>
      </c>
      <c r="H1965" t="s">
        <v>5256</v>
      </c>
      <c r="I1965">
        <v>4.7</v>
      </c>
      <c r="J1965">
        <v>30.227</v>
      </c>
      <c r="K1965" t="str">
        <f>"FCN2"</f>
        <v>FCN2</v>
      </c>
      <c r="L1965" t="str">
        <f>"FCN2"</f>
        <v>FCN2</v>
      </c>
      <c r="M1965">
        <v>1.2103892752168599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1.18448996772836</v>
      </c>
      <c r="U1965">
        <v>0</v>
      </c>
      <c r="V1965">
        <v>0</v>
      </c>
      <c r="W1965">
        <v>0</v>
      </c>
      <c r="X1965">
        <v>0</v>
      </c>
    </row>
    <row r="1966" spans="1:24">
      <c r="A1966">
        <v>1568</v>
      </c>
      <c r="B1966" t="s">
        <v>5257</v>
      </c>
      <c r="C1966">
        <v>2</v>
      </c>
      <c r="D1966" t="s">
        <v>5258</v>
      </c>
      <c r="E1966">
        <v>1</v>
      </c>
      <c r="F1966">
        <v>1</v>
      </c>
      <c r="G1966">
        <v>1</v>
      </c>
      <c r="H1966" t="s">
        <v>5259</v>
      </c>
      <c r="I1966">
        <v>4.3</v>
      </c>
      <c r="J1966">
        <v>36.091000000000001</v>
      </c>
      <c r="K1966" t="str">
        <f>"ELAVL1"</f>
        <v>ELAVL1</v>
      </c>
      <c r="L1966" t="str">
        <f>"ELAVL1"</f>
        <v>ELAVL1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1.10235831809872</v>
      </c>
      <c r="V1966">
        <v>0</v>
      </c>
      <c r="W1966">
        <v>0</v>
      </c>
      <c r="X1966">
        <v>0</v>
      </c>
    </row>
    <row r="1967" spans="1:24">
      <c r="A1967">
        <v>1651</v>
      </c>
      <c r="B1967" t="s">
        <v>5260</v>
      </c>
      <c r="C1967">
        <v>7</v>
      </c>
      <c r="D1967" t="s">
        <v>5261</v>
      </c>
      <c r="E1967">
        <v>2</v>
      </c>
      <c r="F1967">
        <v>2</v>
      </c>
      <c r="G1967">
        <v>2</v>
      </c>
      <c r="H1967" t="s">
        <v>5262</v>
      </c>
      <c r="I1967">
        <v>3.8</v>
      </c>
      <c r="J1967">
        <v>66.765000000000001</v>
      </c>
      <c r="K1967" t="str">
        <f>"TTC39B"</f>
        <v>TTC39B</v>
      </c>
      <c r="L1967" t="str">
        <f>"TTC39B"</f>
        <v>TTC39B</v>
      </c>
      <c r="M1967">
        <v>0</v>
      </c>
      <c r="N1967">
        <v>0</v>
      </c>
      <c r="O1967">
        <v>0.91194339418818204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0.984645710619934</v>
      </c>
    </row>
    <row r="1968" spans="1:24">
      <c r="A1968">
        <v>1746</v>
      </c>
      <c r="B1968" t="s">
        <v>5263</v>
      </c>
      <c r="C1968">
        <v>3</v>
      </c>
      <c r="D1968" t="s">
        <v>5264</v>
      </c>
      <c r="E1968">
        <v>3</v>
      </c>
      <c r="F1968">
        <v>3</v>
      </c>
      <c r="G1968">
        <v>3</v>
      </c>
      <c r="H1968" t="s">
        <v>5265</v>
      </c>
      <c r="I1968">
        <v>4.9000000000000004</v>
      </c>
      <c r="J1968">
        <v>83.125</v>
      </c>
      <c r="K1968" t="str">
        <f>"HOOK3;HOOK1"</f>
        <v>HOOK3;HOOK1</v>
      </c>
      <c r="L1968" t="str">
        <f>"HOOK3;HOOK1"</f>
        <v>HOOK3;HOOK1</v>
      </c>
      <c r="M1968">
        <v>0</v>
      </c>
      <c r="N1968">
        <v>0</v>
      </c>
      <c r="O1968">
        <v>0.91194339418818204</v>
      </c>
      <c r="P1968">
        <v>0</v>
      </c>
      <c r="Q1968">
        <v>0</v>
      </c>
      <c r="R1968">
        <v>0.90008103209297396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</row>
    <row r="1969" spans="1:24">
      <c r="A1969">
        <v>1759</v>
      </c>
      <c r="B1969" t="s">
        <v>5266</v>
      </c>
      <c r="C1969">
        <v>1</v>
      </c>
      <c r="D1969" t="s">
        <v>5267</v>
      </c>
      <c r="E1969">
        <v>1</v>
      </c>
      <c r="F1969">
        <v>1</v>
      </c>
      <c r="G1969">
        <v>1</v>
      </c>
      <c r="H1969" t="s">
        <v>5266</v>
      </c>
      <c r="I1969">
        <v>3.9</v>
      </c>
      <c r="J1969">
        <v>24.687000000000001</v>
      </c>
      <c r="K1969" t="str">
        <f>"WFDC3"</f>
        <v>WFDC3</v>
      </c>
      <c r="L1969" t="str">
        <f>"WFDC3"</f>
        <v>WFDC3</v>
      </c>
      <c r="M1969">
        <v>0</v>
      </c>
      <c r="N1969">
        <v>0</v>
      </c>
      <c r="O1969">
        <v>0</v>
      </c>
      <c r="P1969">
        <v>0</v>
      </c>
      <c r="Q1969">
        <v>1.25576199330606</v>
      </c>
      <c r="R1969">
        <v>0.90008103209297396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>
      <c r="A1970">
        <v>1766</v>
      </c>
      <c r="B1970" t="s">
        <v>5268</v>
      </c>
      <c r="C1970">
        <v>1</v>
      </c>
      <c r="D1970" t="s">
        <v>5269</v>
      </c>
      <c r="E1970">
        <v>3</v>
      </c>
      <c r="F1970">
        <v>3</v>
      </c>
      <c r="G1970">
        <v>3</v>
      </c>
      <c r="H1970" t="s">
        <v>5268</v>
      </c>
      <c r="I1970">
        <v>8.5</v>
      </c>
      <c r="J1970">
        <v>46.323</v>
      </c>
      <c r="K1970" t="str">
        <f>"WDFY1"</f>
        <v>WDFY1</v>
      </c>
      <c r="L1970" t="str">
        <f>"WDFY1"</f>
        <v>WDFY1</v>
      </c>
      <c r="M1970">
        <v>0</v>
      </c>
      <c r="N1970">
        <v>0</v>
      </c>
      <c r="O1970">
        <v>0.91194339418818204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</row>
    <row r="1971" spans="1:24">
      <c r="A1971">
        <v>1772</v>
      </c>
      <c r="B1971" t="s">
        <v>5270</v>
      </c>
      <c r="C1971">
        <v>1</v>
      </c>
      <c r="D1971" t="s">
        <v>5271</v>
      </c>
      <c r="E1971">
        <v>3</v>
      </c>
      <c r="F1971">
        <v>3</v>
      </c>
      <c r="G1971">
        <v>3</v>
      </c>
      <c r="H1971" t="s">
        <v>5270</v>
      </c>
      <c r="I1971">
        <v>4.4000000000000004</v>
      </c>
      <c r="J1971">
        <v>81.798000000000002</v>
      </c>
      <c r="K1971" t="str">
        <f>"EXOC8"</f>
        <v>EXOC8</v>
      </c>
      <c r="L1971" t="str">
        <f>"EXOC8"</f>
        <v>EXOC8</v>
      </c>
      <c r="M1971">
        <v>0</v>
      </c>
      <c r="N1971">
        <v>0</v>
      </c>
      <c r="O1971">
        <v>0.91194339418818204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</row>
    <row r="1972" spans="1:24">
      <c r="A1972">
        <v>1779</v>
      </c>
      <c r="B1972" t="s">
        <v>5272</v>
      </c>
      <c r="C1972">
        <v>2</v>
      </c>
      <c r="D1972" t="s">
        <v>5273</v>
      </c>
      <c r="E1972">
        <v>2</v>
      </c>
      <c r="F1972">
        <v>2</v>
      </c>
      <c r="G1972">
        <v>2</v>
      </c>
      <c r="H1972" t="s">
        <v>5274</v>
      </c>
      <c r="I1972">
        <v>11.9</v>
      </c>
      <c r="J1972">
        <v>19.835000000000001</v>
      </c>
      <c r="K1972" t="str">
        <f>"VKORC1L1"</f>
        <v>VKORC1L1</v>
      </c>
      <c r="L1972" t="str">
        <f>"VKORC1L1"</f>
        <v>VKORC1L1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</row>
    <row r="1973" spans="1:24">
      <c r="A1973">
        <v>1789</v>
      </c>
      <c r="B1973" t="s">
        <v>5275</v>
      </c>
      <c r="C1973">
        <v>2</v>
      </c>
      <c r="D1973" t="s">
        <v>5276</v>
      </c>
      <c r="E1973">
        <v>3</v>
      </c>
      <c r="F1973">
        <v>3</v>
      </c>
      <c r="G1973">
        <v>3</v>
      </c>
      <c r="H1973" t="s">
        <v>5277</v>
      </c>
      <c r="I1973">
        <v>4.7</v>
      </c>
      <c r="J1973">
        <v>80.724000000000004</v>
      </c>
      <c r="K1973" t="str">
        <f>"AFAP1"</f>
        <v>AFAP1</v>
      </c>
      <c r="L1973" t="str">
        <f>"AFAP1"</f>
        <v>AFAP1</v>
      </c>
      <c r="M1973">
        <v>0</v>
      </c>
      <c r="N1973">
        <v>0.89450172185430499</v>
      </c>
      <c r="O1973">
        <v>0</v>
      </c>
      <c r="P1973">
        <v>0</v>
      </c>
      <c r="Q1973">
        <v>0</v>
      </c>
      <c r="R1973">
        <v>1.8001620641859499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</row>
    <row r="1974" spans="1:24">
      <c r="A1974">
        <v>1819</v>
      </c>
      <c r="B1974" t="s">
        <v>5278</v>
      </c>
      <c r="C1974">
        <v>2</v>
      </c>
      <c r="D1974" t="s">
        <v>5279</v>
      </c>
      <c r="E1974">
        <v>2</v>
      </c>
      <c r="F1974">
        <v>2</v>
      </c>
      <c r="G1974">
        <v>2</v>
      </c>
      <c r="H1974" t="s">
        <v>5280</v>
      </c>
      <c r="I1974">
        <v>5.9</v>
      </c>
      <c r="J1974">
        <v>33.478999999999999</v>
      </c>
      <c r="K1974" t="str">
        <f>"GDAP1"</f>
        <v>GDAP1</v>
      </c>
      <c r="L1974" t="str">
        <f>"GDAP1"</f>
        <v>GDAP1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1.1331355704698001</v>
      </c>
      <c r="T1974">
        <v>0</v>
      </c>
      <c r="U1974">
        <v>0</v>
      </c>
      <c r="V1974">
        <v>0</v>
      </c>
      <c r="W1974">
        <v>0</v>
      </c>
      <c r="X1974">
        <v>0.984645710619934</v>
      </c>
    </row>
    <row r="1975" spans="1:24">
      <c r="A1975">
        <v>1860</v>
      </c>
      <c r="B1975" t="s">
        <v>5281</v>
      </c>
      <c r="C1975">
        <v>1</v>
      </c>
      <c r="D1975" t="s">
        <v>5282</v>
      </c>
      <c r="E1975">
        <v>4</v>
      </c>
      <c r="F1975">
        <v>4</v>
      </c>
      <c r="G1975">
        <v>4</v>
      </c>
      <c r="H1975" t="s">
        <v>5281</v>
      </c>
      <c r="I1975">
        <v>6.9</v>
      </c>
      <c r="J1975">
        <v>74.518000000000001</v>
      </c>
      <c r="K1975" t="str">
        <f>"TM9SF4"</f>
        <v>TM9SF4</v>
      </c>
      <c r="L1975" t="str">
        <f>"TM9SF4"</f>
        <v>TM9SF4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>
      <c r="A1976">
        <v>1862</v>
      </c>
      <c r="B1976" t="s">
        <v>5283</v>
      </c>
      <c r="C1976">
        <v>1</v>
      </c>
      <c r="D1976" t="s">
        <v>5284</v>
      </c>
      <c r="E1976">
        <v>3</v>
      </c>
      <c r="F1976">
        <v>3</v>
      </c>
      <c r="G1976">
        <v>3</v>
      </c>
      <c r="H1976" t="s">
        <v>5283</v>
      </c>
      <c r="I1976">
        <v>17.100000000000001</v>
      </c>
      <c r="J1976">
        <v>21.731999999999999</v>
      </c>
      <c r="K1976" t="str">
        <f>"AP3S1"</f>
        <v>AP3S1</v>
      </c>
      <c r="L1976" t="str">
        <f>"AP3S1"</f>
        <v>AP3S1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0.90008103209297396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>
      <c r="A1977">
        <v>1865</v>
      </c>
      <c r="B1977" t="s">
        <v>5285</v>
      </c>
      <c r="C1977">
        <v>2</v>
      </c>
      <c r="D1977" t="s">
        <v>5286</v>
      </c>
      <c r="E1977">
        <v>3</v>
      </c>
      <c r="F1977">
        <v>3</v>
      </c>
      <c r="G1977">
        <v>3</v>
      </c>
      <c r="H1977" t="s">
        <v>5287</v>
      </c>
      <c r="I1977">
        <v>5.5</v>
      </c>
      <c r="J1977">
        <v>89.003</v>
      </c>
      <c r="K1977" t="str">
        <f>"TBC1D5"</f>
        <v>TBC1D5</v>
      </c>
      <c r="L1977" t="str">
        <f>"TBC1D5"</f>
        <v>TBC1D5</v>
      </c>
      <c r="M1977">
        <v>0</v>
      </c>
      <c r="N1977">
        <v>0.89450172185430499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</row>
    <row r="1978" spans="1:24">
      <c r="A1978">
        <v>1888</v>
      </c>
      <c r="B1978" t="s">
        <v>5288</v>
      </c>
      <c r="C1978">
        <v>3</v>
      </c>
      <c r="D1978" t="s">
        <v>5289</v>
      </c>
      <c r="E1978">
        <v>2</v>
      </c>
      <c r="F1978">
        <v>2</v>
      </c>
      <c r="G1978">
        <v>2</v>
      </c>
      <c r="H1978" t="s">
        <v>5290</v>
      </c>
      <c r="I1978">
        <v>2.4</v>
      </c>
      <c r="J1978">
        <v>108.24</v>
      </c>
      <c r="K1978" t="str">
        <f>"ARHGEF2"</f>
        <v>ARHGEF2</v>
      </c>
      <c r="L1978" t="str">
        <f>"ARHGEF2"</f>
        <v>ARHGEF2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1.05063596764157</v>
      </c>
      <c r="W1978">
        <v>0</v>
      </c>
      <c r="X1978">
        <v>0</v>
      </c>
    </row>
    <row r="1979" spans="1:24">
      <c r="A1979">
        <v>1918</v>
      </c>
      <c r="B1979" t="s">
        <v>5291</v>
      </c>
      <c r="C1979">
        <v>2</v>
      </c>
      <c r="D1979" t="s">
        <v>5292</v>
      </c>
      <c r="E1979">
        <v>1</v>
      </c>
      <c r="F1979">
        <v>1</v>
      </c>
      <c r="G1979">
        <v>1</v>
      </c>
      <c r="H1979" t="s">
        <v>5293</v>
      </c>
      <c r="I1979">
        <v>1.1000000000000001</v>
      </c>
      <c r="J1979">
        <v>91.375</v>
      </c>
      <c r="K1979" t="str">
        <f>"EVI5L"</f>
        <v>EVI5L</v>
      </c>
      <c r="L1979" t="str">
        <f>"EVI5L"</f>
        <v>EVI5L</v>
      </c>
      <c r="M1979">
        <v>0</v>
      </c>
      <c r="N1979">
        <v>0</v>
      </c>
      <c r="O1979">
        <v>0.91194339418818204</v>
      </c>
      <c r="P1979">
        <v>0</v>
      </c>
      <c r="Q1979">
        <v>0</v>
      </c>
      <c r="R1979">
        <v>0.90008103209297396</v>
      </c>
      <c r="S1979">
        <v>0</v>
      </c>
      <c r="T1979">
        <v>1.18448996772836</v>
      </c>
      <c r="U1979">
        <v>0</v>
      </c>
      <c r="V1979">
        <v>0</v>
      </c>
      <c r="W1979">
        <v>0</v>
      </c>
      <c r="X1979">
        <v>0</v>
      </c>
    </row>
    <row r="1980" spans="1:24">
      <c r="A1980">
        <v>1920</v>
      </c>
      <c r="B1980" t="s">
        <v>5294</v>
      </c>
      <c r="C1980">
        <v>1</v>
      </c>
      <c r="D1980" t="s">
        <v>5295</v>
      </c>
      <c r="E1980">
        <v>1</v>
      </c>
      <c r="F1980">
        <v>1</v>
      </c>
      <c r="G1980">
        <v>1</v>
      </c>
      <c r="H1980" t="s">
        <v>5294</v>
      </c>
      <c r="I1980">
        <v>2.7</v>
      </c>
      <c r="J1980">
        <v>52.622999999999998</v>
      </c>
      <c r="K1980" t="str">
        <f>"FAF2"</f>
        <v>FAF2</v>
      </c>
      <c r="L1980" t="str">
        <f>"FAF2"</f>
        <v>FAF2</v>
      </c>
      <c r="M1980">
        <v>0</v>
      </c>
      <c r="N1980">
        <v>0.89450172185430499</v>
      </c>
      <c r="O1980">
        <v>0.91194339418818204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</row>
    <row r="1981" spans="1:24">
      <c r="A1981">
        <v>1991</v>
      </c>
      <c r="B1981" t="s">
        <v>5296</v>
      </c>
      <c r="C1981">
        <v>1</v>
      </c>
      <c r="D1981" t="s">
        <v>5297</v>
      </c>
      <c r="E1981">
        <v>1</v>
      </c>
      <c r="F1981">
        <v>1</v>
      </c>
      <c r="G1981">
        <v>1</v>
      </c>
      <c r="H1981" t="s">
        <v>5296</v>
      </c>
      <c r="I1981">
        <v>5.6</v>
      </c>
      <c r="J1981">
        <v>22.456</v>
      </c>
      <c r="K1981" t="str">
        <f>"CHP1"</f>
        <v>CHP1</v>
      </c>
      <c r="L1981" t="str">
        <f>"CHP1"</f>
        <v>CHP1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</row>
    <row r="1982" spans="1:24">
      <c r="A1982">
        <v>2009</v>
      </c>
      <c r="B1982" t="s">
        <v>5298</v>
      </c>
      <c r="C1982">
        <v>2</v>
      </c>
      <c r="D1982" t="s">
        <v>5299</v>
      </c>
      <c r="E1982">
        <v>2</v>
      </c>
      <c r="F1982">
        <v>2</v>
      </c>
      <c r="G1982">
        <v>2</v>
      </c>
      <c r="H1982" t="s">
        <v>5300</v>
      </c>
      <c r="I1982">
        <v>5</v>
      </c>
      <c r="J1982">
        <v>46.45</v>
      </c>
      <c r="K1982" t="str">
        <f>"C7orf25"</f>
        <v>C7orf25</v>
      </c>
      <c r="L1982" t="str">
        <f>"C7orf25"</f>
        <v>C7orf25</v>
      </c>
      <c r="M1982">
        <v>0</v>
      </c>
      <c r="N1982">
        <v>0.89450172185430499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</row>
    <row r="1983" spans="1:24">
      <c r="A1983">
        <v>2044</v>
      </c>
      <c r="B1983" t="s">
        <v>5301</v>
      </c>
      <c r="C1983">
        <v>1</v>
      </c>
      <c r="D1983" t="s">
        <v>5302</v>
      </c>
      <c r="E1983">
        <v>1</v>
      </c>
      <c r="F1983">
        <v>1</v>
      </c>
      <c r="G1983">
        <v>1</v>
      </c>
      <c r="H1983" t="s">
        <v>5301</v>
      </c>
      <c r="I1983">
        <v>3</v>
      </c>
      <c r="J1983">
        <v>38.697000000000003</v>
      </c>
      <c r="K1983" t="str">
        <f>"SUCNR1"</f>
        <v>SUCNR1</v>
      </c>
      <c r="L1983" t="str">
        <f>"SUCNR1"</f>
        <v>SUCNR1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</row>
    <row r="1984" spans="1:24">
      <c r="A1984">
        <v>2047</v>
      </c>
      <c r="B1984" t="s">
        <v>5303</v>
      </c>
      <c r="C1984">
        <v>1</v>
      </c>
      <c r="D1984" t="s">
        <v>5304</v>
      </c>
      <c r="E1984">
        <v>3</v>
      </c>
      <c r="F1984">
        <v>2</v>
      </c>
      <c r="G1984">
        <v>2</v>
      </c>
      <c r="H1984" t="s">
        <v>5303</v>
      </c>
      <c r="I1984">
        <v>6</v>
      </c>
      <c r="J1984">
        <v>64.418999999999997</v>
      </c>
      <c r="K1984" t="str">
        <f>"CFHR5"</f>
        <v>CFHR5</v>
      </c>
      <c r="L1984" t="str">
        <f>"CFHR5"</f>
        <v>CFHR5</v>
      </c>
      <c r="M1984">
        <v>0</v>
      </c>
      <c r="N1984">
        <v>0</v>
      </c>
      <c r="O1984">
        <v>0.91194339418818204</v>
      </c>
      <c r="P1984">
        <v>0</v>
      </c>
      <c r="Q1984">
        <v>0</v>
      </c>
      <c r="R1984">
        <v>0</v>
      </c>
      <c r="S1984">
        <v>0</v>
      </c>
      <c r="T1984">
        <v>1.18448996772836</v>
      </c>
      <c r="U1984">
        <v>0</v>
      </c>
      <c r="V1984">
        <v>0</v>
      </c>
      <c r="W1984">
        <v>0</v>
      </c>
      <c r="X1984">
        <v>0</v>
      </c>
    </row>
    <row r="1985" spans="1:24">
      <c r="A1985">
        <v>2085</v>
      </c>
      <c r="B1985" t="s">
        <v>5305</v>
      </c>
      <c r="C1985">
        <v>3</v>
      </c>
      <c r="D1985" t="s">
        <v>5306</v>
      </c>
      <c r="E1985">
        <v>2</v>
      </c>
      <c r="F1985">
        <v>2</v>
      </c>
      <c r="G1985">
        <v>2</v>
      </c>
      <c r="H1985" t="s">
        <v>5307</v>
      </c>
      <c r="I1985">
        <v>6.8</v>
      </c>
      <c r="J1985">
        <v>42.953000000000003</v>
      </c>
      <c r="K1985" t="str">
        <f>"CARD9"</f>
        <v>CARD9</v>
      </c>
      <c r="L1985" t="str">
        <f>"CARD9"</f>
        <v>CARD9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0.90008103209297396</v>
      </c>
      <c r="S1985">
        <v>0</v>
      </c>
      <c r="T1985">
        <v>0</v>
      </c>
      <c r="U1985">
        <v>0</v>
      </c>
      <c r="V1985">
        <v>1.05063596764157</v>
      </c>
      <c r="W1985">
        <v>0</v>
      </c>
      <c r="X1985">
        <v>0</v>
      </c>
    </row>
    <row r="1986" spans="1:24">
      <c r="A1986">
        <v>2100</v>
      </c>
      <c r="B1986" t="s">
        <v>5308</v>
      </c>
      <c r="C1986">
        <v>1</v>
      </c>
      <c r="D1986" t="s">
        <v>5309</v>
      </c>
      <c r="E1986">
        <v>2</v>
      </c>
      <c r="F1986">
        <v>2</v>
      </c>
      <c r="G1986">
        <v>2</v>
      </c>
      <c r="H1986" t="s">
        <v>5308</v>
      </c>
      <c r="I1986">
        <v>3.3</v>
      </c>
      <c r="J1986">
        <v>73.91</v>
      </c>
      <c r="K1986" t="str">
        <f>"DEF6"</f>
        <v>DEF6</v>
      </c>
      <c r="L1986" t="str">
        <f>"DEF6"</f>
        <v>DEF6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0.90008103209297396</v>
      </c>
      <c r="S1986">
        <v>1.1331355704698001</v>
      </c>
      <c r="T1986">
        <v>0</v>
      </c>
      <c r="U1986">
        <v>0</v>
      </c>
      <c r="V1986">
        <v>0</v>
      </c>
      <c r="W1986">
        <v>1.27539809638918</v>
      </c>
      <c r="X1986">
        <v>0</v>
      </c>
    </row>
    <row r="1987" spans="1:24">
      <c r="A1987">
        <v>2101</v>
      </c>
      <c r="B1987" t="s">
        <v>5310</v>
      </c>
      <c r="C1987">
        <v>1</v>
      </c>
      <c r="D1987" t="s">
        <v>5311</v>
      </c>
      <c r="E1987">
        <v>2</v>
      </c>
      <c r="F1987">
        <v>2</v>
      </c>
      <c r="G1987">
        <v>2</v>
      </c>
      <c r="H1987" t="s">
        <v>5310</v>
      </c>
      <c r="I1987">
        <v>16.899999999999999</v>
      </c>
      <c r="J1987">
        <v>17.218</v>
      </c>
      <c r="K1987" t="str">
        <f>"GLIPR2"</f>
        <v>GLIPR2</v>
      </c>
      <c r="L1987" t="str">
        <f>"GLIPR2"</f>
        <v>GLIPR2</v>
      </c>
      <c r="M1987">
        <v>0</v>
      </c>
      <c r="N1987">
        <v>0.89450172185430499</v>
      </c>
      <c r="O1987">
        <v>0.91194339418818204</v>
      </c>
      <c r="P1987">
        <v>0</v>
      </c>
      <c r="Q1987">
        <v>0</v>
      </c>
      <c r="R1987">
        <v>0.90008103209297396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>
      <c r="A1988">
        <v>2160</v>
      </c>
      <c r="B1988" t="s">
        <v>5312</v>
      </c>
      <c r="C1988">
        <v>2</v>
      </c>
      <c r="D1988" t="s">
        <v>5313</v>
      </c>
      <c r="E1988">
        <v>1</v>
      </c>
      <c r="F1988">
        <v>1</v>
      </c>
      <c r="G1988">
        <v>1</v>
      </c>
      <c r="H1988" t="s">
        <v>5314</v>
      </c>
      <c r="I1988">
        <v>8.1</v>
      </c>
      <c r="J1988">
        <v>16.829000000000001</v>
      </c>
      <c r="K1988" t="str">
        <f>"OSTC"</f>
        <v>OSTC</v>
      </c>
      <c r="L1988" t="str">
        <f>"OSTC"</f>
        <v>OSTC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1.18448996772836</v>
      </c>
      <c r="U1988">
        <v>0</v>
      </c>
      <c r="V1988">
        <v>0</v>
      </c>
      <c r="W1988">
        <v>0</v>
      </c>
      <c r="X1988">
        <v>0</v>
      </c>
    </row>
    <row r="1989" spans="1:24">
      <c r="A1989">
        <v>2184</v>
      </c>
      <c r="B1989" t="s">
        <v>5315</v>
      </c>
      <c r="C1989">
        <v>3</v>
      </c>
      <c r="D1989" t="s">
        <v>5316</v>
      </c>
      <c r="E1989">
        <v>2</v>
      </c>
      <c r="F1989">
        <v>2</v>
      </c>
      <c r="G1989">
        <v>2</v>
      </c>
      <c r="H1989" t="s">
        <v>5317</v>
      </c>
      <c r="I1989">
        <v>10.7</v>
      </c>
      <c r="J1989">
        <v>24.977</v>
      </c>
      <c r="K1989" t="str">
        <f>"FGFR1OP2"</f>
        <v>FGFR1OP2</v>
      </c>
      <c r="L1989" t="str">
        <f>"FGFR1OP2"</f>
        <v>FGFR1OP2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1.10235831809872</v>
      </c>
      <c r="V1989">
        <v>0</v>
      </c>
      <c r="W1989">
        <v>1.27539809638918</v>
      </c>
      <c r="X1989">
        <v>0</v>
      </c>
    </row>
    <row r="1990" spans="1:24">
      <c r="A1990">
        <v>2185</v>
      </c>
      <c r="B1990" t="s">
        <v>5318</v>
      </c>
      <c r="C1990">
        <v>4</v>
      </c>
      <c r="D1990" t="s">
        <v>5319</v>
      </c>
      <c r="E1990">
        <v>2</v>
      </c>
      <c r="F1990">
        <v>2</v>
      </c>
      <c r="G1990">
        <v>2</v>
      </c>
      <c r="H1990" t="s">
        <v>5320</v>
      </c>
      <c r="I1990">
        <v>12.5</v>
      </c>
      <c r="J1990">
        <v>28.338000000000001</v>
      </c>
      <c r="K1990" t="str">
        <f>"NECAP2"</f>
        <v>NECAP2</v>
      </c>
      <c r="L1990" t="str">
        <f>"NECAP2"</f>
        <v>NECAP2</v>
      </c>
      <c r="M1990">
        <v>0</v>
      </c>
      <c r="N1990">
        <v>0.89450172185430499</v>
      </c>
      <c r="O1990">
        <v>0</v>
      </c>
      <c r="P1990">
        <v>0</v>
      </c>
      <c r="Q1990">
        <v>0</v>
      </c>
      <c r="R1990">
        <v>0.90008103209297396</v>
      </c>
      <c r="S1990">
        <v>0</v>
      </c>
      <c r="T1990">
        <v>0</v>
      </c>
      <c r="U1990">
        <v>1.10235831809872</v>
      </c>
      <c r="V1990">
        <v>0</v>
      </c>
      <c r="W1990">
        <v>0</v>
      </c>
      <c r="X1990">
        <v>0</v>
      </c>
    </row>
    <row r="1991" spans="1:24">
      <c r="A1991">
        <v>2206</v>
      </c>
      <c r="B1991" t="s">
        <v>5321</v>
      </c>
      <c r="C1991">
        <v>2</v>
      </c>
      <c r="D1991" t="s">
        <v>5322</v>
      </c>
      <c r="E1991">
        <v>1</v>
      </c>
      <c r="F1991">
        <v>1</v>
      </c>
      <c r="G1991">
        <v>1</v>
      </c>
      <c r="H1991" t="s">
        <v>5323</v>
      </c>
      <c r="I1991">
        <v>3.5</v>
      </c>
      <c r="J1991">
        <v>39.918999999999997</v>
      </c>
      <c r="K1991" t="str">
        <f>"MTCH1"</f>
        <v>MTCH1</v>
      </c>
      <c r="L1991" t="str">
        <f>"MTCH1"</f>
        <v>MTCH1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</row>
    <row r="1992" spans="1:24">
      <c r="A1992">
        <v>2217</v>
      </c>
      <c r="B1992" t="s">
        <v>5324</v>
      </c>
      <c r="C1992">
        <v>4</v>
      </c>
      <c r="D1992" t="s">
        <v>5325</v>
      </c>
      <c r="E1992">
        <v>4</v>
      </c>
      <c r="F1992">
        <v>4</v>
      </c>
      <c r="G1992">
        <v>4</v>
      </c>
      <c r="H1992" t="s">
        <v>5326</v>
      </c>
      <c r="I1992">
        <v>7.6</v>
      </c>
      <c r="J1992">
        <v>70.977999999999994</v>
      </c>
      <c r="K1992" t="str">
        <f>"CALCOCO1"</f>
        <v>CALCOCO1</v>
      </c>
      <c r="L1992" t="str">
        <f>"CALCOCO1"</f>
        <v>CALCOCO1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0.90008103209297396</v>
      </c>
      <c r="S1992">
        <v>0</v>
      </c>
      <c r="T1992">
        <v>0</v>
      </c>
      <c r="U1992">
        <v>0</v>
      </c>
      <c r="V1992">
        <v>1.05063596764157</v>
      </c>
      <c r="W1992">
        <v>1.27539809638918</v>
      </c>
      <c r="X1992">
        <v>0</v>
      </c>
    </row>
    <row r="1993" spans="1:24">
      <c r="A1993">
        <v>2223</v>
      </c>
      <c r="B1993" t="s">
        <v>5327</v>
      </c>
      <c r="C1993">
        <v>3</v>
      </c>
      <c r="D1993" t="s">
        <v>5328</v>
      </c>
      <c r="E1993">
        <v>4</v>
      </c>
      <c r="F1993">
        <v>4</v>
      </c>
      <c r="G1993">
        <v>4</v>
      </c>
      <c r="H1993" t="s">
        <v>5329</v>
      </c>
      <c r="I1993">
        <v>4.4000000000000004</v>
      </c>
      <c r="J1993">
        <v>128.04</v>
      </c>
      <c r="K1993" t="str">
        <f>"LARS"</f>
        <v>LARS</v>
      </c>
      <c r="L1993" t="str">
        <f>"LARS"</f>
        <v>LARS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1.10235831809872</v>
      </c>
      <c r="V1993">
        <v>0</v>
      </c>
      <c r="W1993">
        <v>0</v>
      </c>
      <c r="X1993">
        <v>0</v>
      </c>
    </row>
    <row r="1994" spans="1:24">
      <c r="A1994">
        <v>2273</v>
      </c>
      <c r="B1994" t="s">
        <v>5330</v>
      </c>
      <c r="C1994">
        <v>2</v>
      </c>
      <c r="D1994" t="s">
        <v>5331</v>
      </c>
      <c r="E1994">
        <v>4</v>
      </c>
      <c r="F1994">
        <v>4</v>
      </c>
      <c r="G1994">
        <v>4</v>
      </c>
      <c r="H1994" t="s">
        <v>5332</v>
      </c>
      <c r="I1994">
        <v>15.7</v>
      </c>
      <c r="J1994">
        <v>31.782</v>
      </c>
      <c r="K1994" t="str">
        <f>"PITPNC1"</f>
        <v>PITPNC1</v>
      </c>
      <c r="L1994" t="str">
        <f>"PITPNC1"</f>
        <v>PITPNC1</v>
      </c>
      <c r="M1994">
        <v>0</v>
      </c>
      <c r="N1994">
        <v>0.89450172185430499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</row>
    <row r="1995" spans="1:24">
      <c r="A1995">
        <v>2286</v>
      </c>
      <c r="B1995" t="s">
        <v>5333</v>
      </c>
      <c r="C1995">
        <v>2</v>
      </c>
      <c r="D1995" t="s">
        <v>5334</v>
      </c>
      <c r="E1995">
        <v>4</v>
      </c>
      <c r="F1995">
        <v>4</v>
      </c>
      <c r="G1995">
        <v>4</v>
      </c>
      <c r="H1995" t="s">
        <v>5335</v>
      </c>
      <c r="I1995">
        <v>4</v>
      </c>
      <c r="J1995">
        <v>206.84</v>
      </c>
      <c r="K1995" t="str">
        <f>"PLXNB3"</f>
        <v>PLXNB3</v>
      </c>
      <c r="L1995" t="str">
        <f>"PLXNB3"</f>
        <v>PLXNB3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0.90008103209297396</v>
      </c>
      <c r="S1995">
        <v>0</v>
      </c>
      <c r="T1995">
        <v>0</v>
      </c>
      <c r="U1995">
        <v>1.10235831809872</v>
      </c>
      <c r="V1995">
        <v>0</v>
      </c>
      <c r="W1995">
        <v>0</v>
      </c>
      <c r="X1995">
        <v>0</v>
      </c>
    </row>
    <row r="1996" spans="1:24">
      <c r="A1996">
        <v>2308</v>
      </c>
      <c r="B1996" t="s">
        <v>5336</v>
      </c>
      <c r="C1996">
        <v>6</v>
      </c>
      <c r="D1996" t="s">
        <v>5337</v>
      </c>
      <c r="E1996">
        <v>2</v>
      </c>
      <c r="F1996">
        <v>2</v>
      </c>
      <c r="G1996">
        <v>2</v>
      </c>
      <c r="H1996" t="s">
        <v>5338</v>
      </c>
      <c r="I1996">
        <v>3.2</v>
      </c>
      <c r="J1996">
        <v>93.186000000000007</v>
      </c>
      <c r="K1996" t="str">
        <f>"TRPC6;TRPC7"</f>
        <v>TRPC6;TRPC7</v>
      </c>
      <c r="L1996" t="str">
        <f>"TRPC6;TRPC7"</f>
        <v>TRPC6;TRPC7</v>
      </c>
      <c r="M1996">
        <v>0</v>
      </c>
      <c r="N1996">
        <v>0</v>
      </c>
      <c r="O1996">
        <v>0.91194339418818204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0.984645710619934</v>
      </c>
    </row>
    <row r="1997" spans="1:24">
      <c r="A1997">
        <v>2323</v>
      </c>
      <c r="B1997" t="s">
        <v>5339</v>
      </c>
      <c r="C1997">
        <v>1</v>
      </c>
      <c r="D1997" t="s">
        <v>5340</v>
      </c>
      <c r="E1997">
        <v>3</v>
      </c>
      <c r="F1997">
        <v>3</v>
      </c>
      <c r="G1997">
        <v>3</v>
      </c>
      <c r="H1997" t="s">
        <v>5339</v>
      </c>
      <c r="I1997">
        <v>25.8</v>
      </c>
      <c r="J1997">
        <v>20.652000000000001</v>
      </c>
      <c r="K1997" t="str">
        <f>"CNPY2"</f>
        <v>CNPY2</v>
      </c>
      <c r="L1997" t="str">
        <f>"CNPY2"</f>
        <v>CNPY2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</row>
    <row r="1998" spans="1:24">
      <c r="A1998">
        <v>2325</v>
      </c>
      <c r="B1998" t="s">
        <v>5341</v>
      </c>
      <c r="C1998">
        <v>4</v>
      </c>
      <c r="D1998" t="s">
        <v>5342</v>
      </c>
      <c r="E1998">
        <v>7</v>
      </c>
      <c r="F1998">
        <v>6</v>
      </c>
      <c r="G1998">
        <v>6</v>
      </c>
      <c r="H1998" t="s">
        <v>5343</v>
      </c>
      <c r="I1998">
        <v>12.5</v>
      </c>
      <c r="J1998">
        <v>96.513000000000005</v>
      </c>
      <c r="K1998" t="str">
        <f>"EPB41L3"</f>
        <v>EPB41L3</v>
      </c>
      <c r="L1998" t="str">
        <f>"EPB41L3"</f>
        <v>EPB41L3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0.984645710619934</v>
      </c>
    </row>
    <row r="1999" spans="1:24">
      <c r="A1999">
        <v>2353</v>
      </c>
      <c r="B1999" t="s">
        <v>5344</v>
      </c>
      <c r="C1999">
        <v>3</v>
      </c>
      <c r="D1999" t="s">
        <v>5345</v>
      </c>
      <c r="E1999">
        <v>3</v>
      </c>
      <c r="F1999">
        <v>3</v>
      </c>
      <c r="G1999">
        <v>3</v>
      </c>
      <c r="H1999" t="s">
        <v>5346</v>
      </c>
      <c r="I1999">
        <v>0.8</v>
      </c>
      <c r="J1999">
        <v>438.02</v>
      </c>
      <c r="K1999" t="str">
        <f>"HECTD4"</f>
        <v>HECTD4</v>
      </c>
      <c r="L1999" t="str">
        <f>"HECTD4"</f>
        <v>HECTD4</v>
      </c>
      <c r="M1999">
        <v>0</v>
      </c>
      <c r="N1999">
        <v>0</v>
      </c>
      <c r="O1999">
        <v>0</v>
      </c>
      <c r="P1999">
        <v>0</v>
      </c>
      <c r="Q1999">
        <v>1.25576199330606</v>
      </c>
      <c r="R1999">
        <v>0.90008103209297396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</row>
    <row r="2000" spans="1:24">
      <c r="A2000">
        <v>2392</v>
      </c>
      <c r="B2000" t="s">
        <v>5347</v>
      </c>
      <c r="C2000">
        <v>2</v>
      </c>
      <c r="D2000" t="s">
        <v>5348</v>
      </c>
      <c r="E2000">
        <v>5</v>
      </c>
      <c r="F2000">
        <v>5</v>
      </c>
      <c r="G2000">
        <v>5</v>
      </c>
      <c r="H2000" t="s">
        <v>5349</v>
      </c>
      <c r="I2000">
        <v>8</v>
      </c>
      <c r="J2000">
        <v>102.19</v>
      </c>
      <c r="K2000" t="str">
        <f>"SEC23IP"</f>
        <v>SEC23IP</v>
      </c>
      <c r="L2000" t="str">
        <f>"SEC23IP"</f>
        <v>SEC23IP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</row>
    <row r="2001" spans="1:24">
      <c r="A2001">
        <v>3</v>
      </c>
      <c r="B2001" t="s">
        <v>5350</v>
      </c>
      <c r="C2001">
        <v>1</v>
      </c>
      <c r="D2001" t="s">
        <v>5351</v>
      </c>
      <c r="E2001">
        <v>5</v>
      </c>
      <c r="F2001">
        <v>5</v>
      </c>
      <c r="G2001">
        <v>5</v>
      </c>
      <c r="H2001" t="s">
        <v>5350</v>
      </c>
      <c r="I2001">
        <v>7.4</v>
      </c>
      <c r="J2001">
        <v>89.373999999999995</v>
      </c>
      <c r="K2001" t="str">
        <f>"ARHGAP10"</f>
        <v>ARHGAP10</v>
      </c>
      <c r="L2001" t="str">
        <f>"ARHGAP10"</f>
        <v>ARHGAP10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0.984645710619934</v>
      </c>
    </row>
    <row r="2002" spans="1:24">
      <c r="A2002">
        <v>82</v>
      </c>
      <c r="B2002" t="s">
        <v>5352</v>
      </c>
      <c r="C2002">
        <v>2</v>
      </c>
      <c r="D2002" t="s">
        <v>5353</v>
      </c>
      <c r="E2002">
        <v>1</v>
      </c>
      <c r="F2002">
        <v>1</v>
      </c>
      <c r="G2002">
        <v>1</v>
      </c>
      <c r="H2002" t="s">
        <v>5354</v>
      </c>
      <c r="I2002">
        <v>9.8000000000000007</v>
      </c>
      <c r="J2002">
        <v>19.033999999999999</v>
      </c>
      <c r="K2002" t="str">
        <f>"TRAFD1"</f>
        <v>TRAFD1</v>
      </c>
      <c r="L2002" t="str">
        <f>"TRAFD1"</f>
        <v>TRAFD1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</row>
    <row r="2003" spans="1:24">
      <c r="A2003">
        <v>91</v>
      </c>
      <c r="B2003" t="s">
        <v>5355</v>
      </c>
      <c r="C2003">
        <v>5</v>
      </c>
      <c r="D2003" t="s">
        <v>5356</v>
      </c>
      <c r="E2003">
        <v>2</v>
      </c>
      <c r="F2003">
        <v>2</v>
      </c>
      <c r="G2003">
        <v>2</v>
      </c>
      <c r="H2003" t="s">
        <v>5357</v>
      </c>
      <c r="I2003">
        <v>4.3</v>
      </c>
      <c r="J2003">
        <v>53.579000000000001</v>
      </c>
      <c r="K2003" t="str">
        <f>"PRMT5"</f>
        <v>PRMT5</v>
      </c>
      <c r="L2003" t="str">
        <f>"PRMT5"</f>
        <v>PRMT5</v>
      </c>
      <c r="M2003">
        <v>0</v>
      </c>
      <c r="N2003">
        <v>0.89450172185430499</v>
      </c>
      <c r="O2003">
        <v>0.91194339418818204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</row>
    <row r="2004" spans="1:24">
      <c r="A2004">
        <v>129</v>
      </c>
      <c r="B2004" t="s">
        <v>5358</v>
      </c>
      <c r="C2004">
        <v>2</v>
      </c>
      <c r="D2004" t="s">
        <v>5359</v>
      </c>
      <c r="E2004">
        <v>3</v>
      </c>
      <c r="F2004">
        <v>2</v>
      </c>
      <c r="G2004">
        <v>2</v>
      </c>
      <c r="H2004" t="s">
        <v>5360</v>
      </c>
      <c r="I2004">
        <v>2.5</v>
      </c>
      <c r="J2004">
        <v>138.6</v>
      </c>
      <c r="K2004" t="str">
        <f>"INPPL1"</f>
        <v>INPPL1</v>
      </c>
      <c r="L2004" t="str">
        <f>"INPPL1"</f>
        <v>INPPL1</v>
      </c>
      <c r="M2004">
        <v>0</v>
      </c>
      <c r="N2004">
        <v>0.89450172185430499</v>
      </c>
      <c r="O2004">
        <v>0.91194339418818204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</row>
    <row r="2005" spans="1:24">
      <c r="A2005">
        <v>137</v>
      </c>
      <c r="B2005" t="s">
        <v>5361</v>
      </c>
      <c r="C2005">
        <v>1</v>
      </c>
      <c r="D2005" t="s">
        <v>5362</v>
      </c>
      <c r="E2005">
        <v>1</v>
      </c>
      <c r="F2005">
        <v>1</v>
      </c>
      <c r="G2005">
        <v>1</v>
      </c>
      <c r="H2005" t="s">
        <v>5361</v>
      </c>
      <c r="I2005">
        <v>6.4</v>
      </c>
      <c r="J2005">
        <v>23.318000000000001</v>
      </c>
      <c r="K2005" t="str">
        <f>"CLDN3"</f>
        <v>CLDN3</v>
      </c>
      <c r="L2005" t="str">
        <f>"CLDN3"</f>
        <v>CLDN3</v>
      </c>
      <c r="M2005">
        <v>0</v>
      </c>
      <c r="N2005">
        <v>0</v>
      </c>
      <c r="O2005">
        <v>0</v>
      </c>
      <c r="P2005">
        <v>1.0652189274447901</v>
      </c>
      <c r="Q2005">
        <v>0</v>
      </c>
      <c r="R2005">
        <v>0.90008103209297396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>
      <c r="A2006">
        <v>156</v>
      </c>
      <c r="B2006" t="s">
        <v>5363</v>
      </c>
      <c r="C2006">
        <v>1</v>
      </c>
      <c r="D2006" t="s">
        <v>5364</v>
      </c>
      <c r="E2006">
        <v>3</v>
      </c>
      <c r="F2006">
        <v>3</v>
      </c>
      <c r="G2006">
        <v>3</v>
      </c>
      <c r="H2006" t="s">
        <v>5363</v>
      </c>
      <c r="I2006">
        <v>8</v>
      </c>
      <c r="J2006">
        <v>51.354999999999997</v>
      </c>
      <c r="K2006" t="str">
        <f>"TIMM44"</f>
        <v>TIMM44</v>
      </c>
      <c r="L2006" t="str">
        <f>"TIMM44"</f>
        <v>TIMM44</v>
      </c>
      <c r="M2006">
        <v>0</v>
      </c>
      <c r="N2006">
        <v>0</v>
      </c>
      <c r="O2006">
        <v>0.91194339418818204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>
      <c r="A2007">
        <v>176</v>
      </c>
      <c r="B2007" t="s">
        <v>5365</v>
      </c>
      <c r="C2007">
        <v>1</v>
      </c>
      <c r="D2007" t="s">
        <v>5366</v>
      </c>
      <c r="E2007">
        <v>2</v>
      </c>
      <c r="F2007">
        <v>2</v>
      </c>
      <c r="G2007">
        <v>2</v>
      </c>
      <c r="H2007" t="s">
        <v>5365</v>
      </c>
      <c r="I2007">
        <v>17.899999999999999</v>
      </c>
      <c r="J2007">
        <v>12.516999999999999</v>
      </c>
      <c r="K2007" t="str">
        <f>"NDUFS5"</f>
        <v>NDUFS5</v>
      </c>
      <c r="L2007" t="str">
        <f>"NDUFS5"</f>
        <v>NDUFS5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1.18448996772836</v>
      </c>
      <c r="U2007">
        <v>0</v>
      </c>
      <c r="V2007">
        <v>1.05063596764157</v>
      </c>
      <c r="W2007">
        <v>0</v>
      </c>
      <c r="X2007">
        <v>0</v>
      </c>
    </row>
    <row r="2008" spans="1:24">
      <c r="A2008">
        <v>248</v>
      </c>
      <c r="B2008" t="s">
        <v>5367</v>
      </c>
      <c r="C2008">
        <v>3</v>
      </c>
      <c r="D2008" t="s">
        <v>5368</v>
      </c>
      <c r="E2008">
        <v>2</v>
      </c>
      <c r="F2008">
        <v>2</v>
      </c>
      <c r="G2008">
        <v>2</v>
      </c>
      <c r="H2008" t="s">
        <v>5369</v>
      </c>
      <c r="I2008">
        <v>5.5</v>
      </c>
      <c r="J2008">
        <v>57.582999999999998</v>
      </c>
      <c r="K2008" t="str">
        <f>"UFL1"</f>
        <v>UFL1</v>
      </c>
      <c r="L2008" t="str">
        <f>"UFL1"</f>
        <v>UFL1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1.10235831809872</v>
      </c>
      <c r="V2008">
        <v>0</v>
      </c>
      <c r="W2008">
        <v>0</v>
      </c>
      <c r="X2008">
        <v>0.984645710619934</v>
      </c>
    </row>
    <row r="2009" spans="1:24">
      <c r="A2009">
        <v>269</v>
      </c>
      <c r="B2009" t="s">
        <v>5370</v>
      </c>
      <c r="C2009">
        <v>2</v>
      </c>
      <c r="D2009" t="s">
        <v>5371</v>
      </c>
      <c r="E2009">
        <v>1</v>
      </c>
      <c r="F2009">
        <v>1</v>
      </c>
      <c r="G2009">
        <v>1</v>
      </c>
      <c r="H2009" t="s">
        <v>5372</v>
      </c>
      <c r="I2009">
        <v>5.2</v>
      </c>
      <c r="J2009">
        <v>30.288</v>
      </c>
      <c r="K2009" t="str">
        <f>"PSMG1"</f>
        <v>PSMG1</v>
      </c>
      <c r="L2009" t="str">
        <f>"PSMG1"</f>
        <v>PSMG1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0.90008103209297396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</row>
    <row r="2010" spans="1:24">
      <c r="A2010">
        <v>273</v>
      </c>
      <c r="B2010" t="s">
        <v>5373</v>
      </c>
      <c r="C2010">
        <v>1</v>
      </c>
      <c r="D2010" t="s">
        <v>5374</v>
      </c>
      <c r="E2010">
        <v>3</v>
      </c>
      <c r="F2010">
        <v>2</v>
      </c>
      <c r="G2010">
        <v>2</v>
      </c>
      <c r="H2010" t="s">
        <v>5373</v>
      </c>
      <c r="I2010">
        <v>6.5</v>
      </c>
      <c r="J2010">
        <v>80.418999999999997</v>
      </c>
      <c r="K2010" t="str">
        <f>"ACSL3"</f>
        <v>ACSL3</v>
      </c>
      <c r="L2010" t="str">
        <f>"ACSL3"</f>
        <v>ACSL3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0.90008103209297396</v>
      </c>
      <c r="S2010">
        <v>0</v>
      </c>
      <c r="T2010">
        <v>0</v>
      </c>
      <c r="U2010">
        <v>1.10235831809872</v>
      </c>
      <c r="V2010">
        <v>0</v>
      </c>
      <c r="W2010">
        <v>0</v>
      </c>
      <c r="X2010">
        <v>0</v>
      </c>
    </row>
    <row r="2011" spans="1:24">
      <c r="A2011">
        <v>339</v>
      </c>
      <c r="B2011" t="s">
        <v>5375</v>
      </c>
      <c r="C2011">
        <v>1</v>
      </c>
      <c r="D2011" t="s">
        <v>5376</v>
      </c>
      <c r="E2011">
        <v>2</v>
      </c>
      <c r="F2011">
        <v>2</v>
      </c>
      <c r="G2011">
        <v>2</v>
      </c>
      <c r="H2011" t="s">
        <v>5375</v>
      </c>
      <c r="I2011">
        <v>26.5</v>
      </c>
      <c r="J2011">
        <v>12.73</v>
      </c>
      <c r="K2011" t="str">
        <f>"IGKV1D-16"</f>
        <v>IGKV1D-16</v>
      </c>
      <c r="L2011" t="str">
        <f>"IGKV1D-16"</f>
        <v>IGKV1D-16</v>
      </c>
      <c r="M2011">
        <v>0</v>
      </c>
      <c r="N2011">
        <v>0</v>
      </c>
      <c r="O2011">
        <v>0.91194339418818204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</row>
    <row r="2012" spans="1:24">
      <c r="A2012">
        <v>341</v>
      </c>
      <c r="B2012" t="s">
        <v>5377</v>
      </c>
      <c r="C2012">
        <v>1</v>
      </c>
      <c r="D2012" t="s">
        <v>5378</v>
      </c>
      <c r="E2012">
        <v>2</v>
      </c>
      <c r="F2012">
        <v>2</v>
      </c>
      <c r="G2012">
        <v>2</v>
      </c>
      <c r="H2012" t="s">
        <v>5377</v>
      </c>
      <c r="I2012">
        <v>19.399999999999999</v>
      </c>
      <c r="J2012">
        <v>12.125999999999999</v>
      </c>
      <c r="K2012" t="s">
        <v>1648</v>
      </c>
      <c r="L2012" t="s">
        <v>1648</v>
      </c>
      <c r="M2012">
        <v>1.2103892752168599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0.984645710619934</v>
      </c>
    </row>
    <row r="2013" spans="1:24">
      <c r="A2013">
        <v>390</v>
      </c>
      <c r="B2013" t="s">
        <v>5379</v>
      </c>
      <c r="C2013">
        <v>1</v>
      </c>
      <c r="D2013" t="s">
        <v>5380</v>
      </c>
      <c r="E2013">
        <v>17</v>
      </c>
      <c r="F2013">
        <v>1</v>
      </c>
      <c r="G2013">
        <v>1</v>
      </c>
      <c r="H2013" t="s">
        <v>5379</v>
      </c>
      <c r="I2013">
        <v>50.8</v>
      </c>
      <c r="J2013">
        <v>40.46</v>
      </c>
      <c r="K2013" t="str">
        <f>"HLA-B"</f>
        <v>HLA-B</v>
      </c>
      <c r="L2013" t="str">
        <f>"HLA-B"</f>
        <v>HLA-B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>
      <c r="A2014">
        <v>391</v>
      </c>
      <c r="B2014" t="s">
        <v>5381</v>
      </c>
      <c r="C2014">
        <v>1</v>
      </c>
      <c r="D2014" t="s">
        <v>5382</v>
      </c>
      <c r="E2014">
        <v>22</v>
      </c>
      <c r="F2014">
        <v>3</v>
      </c>
      <c r="G2014">
        <v>3</v>
      </c>
      <c r="H2014" t="s">
        <v>5381</v>
      </c>
      <c r="I2014">
        <v>58.9</v>
      </c>
      <c r="J2014">
        <v>40.908000000000001</v>
      </c>
      <c r="K2014" t="str">
        <f>"HLA-A"</f>
        <v>HLA-A</v>
      </c>
      <c r="L2014" t="str">
        <f>"HLA-A"</f>
        <v>HLA-A</v>
      </c>
      <c r="M2014">
        <v>0</v>
      </c>
      <c r="N2014">
        <v>2.6835051655629099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</row>
    <row r="2015" spans="1:24">
      <c r="A2015">
        <v>393</v>
      </c>
      <c r="B2015" t="s">
        <v>5383</v>
      </c>
      <c r="C2015">
        <v>2</v>
      </c>
      <c r="D2015" t="s">
        <v>5384</v>
      </c>
      <c r="E2015">
        <v>1</v>
      </c>
      <c r="F2015">
        <v>1</v>
      </c>
      <c r="G2015">
        <v>1</v>
      </c>
      <c r="H2015" t="s">
        <v>5385</v>
      </c>
      <c r="I2015">
        <v>4.7</v>
      </c>
      <c r="J2015">
        <v>28.606999999999999</v>
      </c>
      <c r="K2015" t="str">
        <f>"HLA-DRA;HLA-DQA2"</f>
        <v>HLA-DRA;HLA-DQA2</v>
      </c>
      <c r="L2015" t="str">
        <f>"HLA-DRA;HLA-DQA2"</f>
        <v>HLA-DRA;HLA-DQA2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1.8001620641859499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</row>
    <row r="2016" spans="1:24">
      <c r="A2016">
        <v>407</v>
      </c>
      <c r="B2016" t="s">
        <v>5386</v>
      </c>
      <c r="C2016">
        <v>2</v>
      </c>
      <c r="D2016" t="s">
        <v>5387</v>
      </c>
      <c r="E2016">
        <v>1</v>
      </c>
      <c r="F2016">
        <v>1</v>
      </c>
      <c r="G2016">
        <v>1</v>
      </c>
      <c r="H2016" t="s">
        <v>5388</v>
      </c>
      <c r="I2016">
        <v>9.6</v>
      </c>
      <c r="J2016">
        <v>21.521999999999998</v>
      </c>
      <c r="K2016" t="str">
        <f>"MBP"</f>
        <v>MBP</v>
      </c>
      <c r="L2016" t="str">
        <f>"MBP"</f>
        <v>MBP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1.05063596764157</v>
      </c>
      <c r="W2016">
        <v>0</v>
      </c>
      <c r="X2016">
        <v>0</v>
      </c>
    </row>
    <row r="2017" spans="1:24">
      <c r="A2017">
        <v>504</v>
      </c>
      <c r="B2017" t="s">
        <v>5389</v>
      </c>
      <c r="C2017">
        <v>2</v>
      </c>
      <c r="D2017" t="s">
        <v>5390</v>
      </c>
      <c r="E2017">
        <v>3</v>
      </c>
      <c r="F2017">
        <v>3</v>
      </c>
      <c r="G2017">
        <v>3</v>
      </c>
      <c r="H2017" t="s">
        <v>5391</v>
      </c>
      <c r="I2017">
        <v>21.8</v>
      </c>
      <c r="J2017">
        <v>12.074</v>
      </c>
      <c r="K2017" t="str">
        <f>"PTMA"</f>
        <v>PTMA</v>
      </c>
      <c r="L2017" t="str">
        <f>"PTMA"</f>
        <v>PTMA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</row>
    <row r="2018" spans="1:24">
      <c r="A2018">
        <v>554</v>
      </c>
      <c r="B2018" t="s">
        <v>5392</v>
      </c>
      <c r="C2018">
        <v>1</v>
      </c>
      <c r="D2018" t="s">
        <v>5393</v>
      </c>
      <c r="E2018">
        <v>3</v>
      </c>
      <c r="F2018">
        <v>3</v>
      </c>
      <c r="G2018">
        <v>3</v>
      </c>
      <c r="H2018" t="s">
        <v>5392</v>
      </c>
      <c r="I2018">
        <v>14.6</v>
      </c>
      <c r="J2018">
        <v>25.850999999999999</v>
      </c>
      <c r="K2018" t="str">
        <f>"SOD3"</f>
        <v>SOD3</v>
      </c>
      <c r="L2018" t="str">
        <f>"SOD3"</f>
        <v>SOD3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>
      <c r="A2019">
        <v>607</v>
      </c>
      <c r="B2019" t="s">
        <v>5394</v>
      </c>
      <c r="C2019">
        <v>1</v>
      </c>
      <c r="D2019" t="s">
        <v>5395</v>
      </c>
      <c r="E2019">
        <v>2</v>
      </c>
      <c r="F2019">
        <v>2</v>
      </c>
      <c r="G2019">
        <v>2</v>
      </c>
      <c r="H2019" t="s">
        <v>5394</v>
      </c>
      <c r="I2019">
        <v>10.1</v>
      </c>
      <c r="J2019">
        <v>17.652000000000001</v>
      </c>
      <c r="K2019" t="str">
        <f>"SRGN"</f>
        <v>SRGN</v>
      </c>
      <c r="L2019" t="str">
        <f>"SRGN"</f>
        <v>SRGN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1.18448996772836</v>
      </c>
      <c r="U2019">
        <v>0</v>
      </c>
      <c r="V2019">
        <v>0</v>
      </c>
      <c r="W2019">
        <v>0</v>
      </c>
      <c r="X2019">
        <v>0</v>
      </c>
    </row>
    <row r="2020" spans="1:24">
      <c r="A2020">
        <v>691</v>
      </c>
      <c r="B2020" t="s">
        <v>5396</v>
      </c>
      <c r="C2020">
        <v>2</v>
      </c>
      <c r="D2020" t="s">
        <v>5397</v>
      </c>
      <c r="E2020">
        <v>4</v>
      </c>
      <c r="F2020">
        <v>4</v>
      </c>
      <c r="G2020">
        <v>4</v>
      </c>
      <c r="H2020" t="s">
        <v>5398</v>
      </c>
      <c r="I2020">
        <v>5.0999999999999996</v>
      </c>
      <c r="J2020">
        <v>117.97</v>
      </c>
      <c r="K2020" t="str">
        <f>"IDE"</f>
        <v>IDE</v>
      </c>
      <c r="L2020" t="str">
        <f>"IDE"</f>
        <v>IDE</v>
      </c>
      <c r="M2020">
        <v>0</v>
      </c>
      <c r="N2020">
        <v>0</v>
      </c>
      <c r="O2020">
        <v>0.91194339418818204</v>
      </c>
      <c r="P2020">
        <v>0</v>
      </c>
      <c r="Q2020">
        <v>0</v>
      </c>
      <c r="R2020">
        <v>0.90008103209297396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>
      <c r="A2021">
        <v>710</v>
      </c>
      <c r="B2021" t="s">
        <v>5399</v>
      </c>
      <c r="C2021">
        <v>1</v>
      </c>
      <c r="D2021" t="s">
        <v>5400</v>
      </c>
      <c r="E2021">
        <v>2</v>
      </c>
      <c r="F2021">
        <v>2</v>
      </c>
      <c r="G2021">
        <v>2</v>
      </c>
      <c r="H2021" t="s">
        <v>5399</v>
      </c>
      <c r="I2021">
        <v>4.5</v>
      </c>
      <c r="J2021">
        <v>40.320999999999998</v>
      </c>
      <c r="K2021" t="str">
        <f>"SPN"</f>
        <v>SPN</v>
      </c>
      <c r="L2021" t="str">
        <f>"SPN"</f>
        <v>SPN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0.90008103209297396</v>
      </c>
      <c r="S2021">
        <v>0</v>
      </c>
      <c r="T2021">
        <v>0</v>
      </c>
      <c r="U2021">
        <v>1.10235831809872</v>
      </c>
      <c r="V2021">
        <v>0</v>
      </c>
      <c r="W2021">
        <v>0</v>
      </c>
      <c r="X2021">
        <v>0</v>
      </c>
    </row>
    <row r="2022" spans="1:24">
      <c r="A2022">
        <v>795</v>
      </c>
      <c r="B2022" t="s">
        <v>5401</v>
      </c>
      <c r="C2022">
        <v>2</v>
      </c>
      <c r="D2022" t="s">
        <v>5402</v>
      </c>
      <c r="E2022">
        <v>3</v>
      </c>
      <c r="F2022">
        <v>3</v>
      </c>
      <c r="G2022">
        <v>3</v>
      </c>
      <c r="H2022" t="s">
        <v>5403</v>
      </c>
      <c r="I2022">
        <v>7.8</v>
      </c>
      <c r="J2022">
        <v>44.743000000000002</v>
      </c>
      <c r="K2022" t="str">
        <f>"PROZ"</f>
        <v>PROZ</v>
      </c>
      <c r="L2022" t="str">
        <f>"PROZ"</f>
        <v>PROZ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1.05063596764157</v>
      </c>
      <c r="W2022">
        <v>0</v>
      </c>
      <c r="X2022">
        <v>0</v>
      </c>
    </row>
    <row r="2023" spans="1:24">
      <c r="A2023">
        <v>902</v>
      </c>
      <c r="B2023" t="s">
        <v>5404</v>
      </c>
      <c r="C2023">
        <v>1</v>
      </c>
      <c r="D2023" t="s">
        <v>5405</v>
      </c>
      <c r="E2023">
        <v>16</v>
      </c>
      <c r="F2023">
        <v>2</v>
      </c>
      <c r="G2023">
        <v>1</v>
      </c>
      <c r="H2023" t="s">
        <v>5404</v>
      </c>
      <c r="I2023">
        <v>53.9</v>
      </c>
      <c r="J2023">
        <v>40.274000000000001</v>
      </c>
      <c r="K2023" t="str">
        <f t="shared" ref="K2023:L2025" si="0">"HLA-B"</f>
        <v>HLA-B</v>
      </c>
      <c r="L2023" t="str">
        <f t="shared" si="0"/>
        <v>HLA-B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</row>
    <row r="2024" spans="1:24">
      <c r="A2024">
        <v>903</v>
      </c>
      <c r="B2024" t="s">
        <v>5406</v>
      </c>
      <c r="C2024">
        <v>1</v>
      </c>
      <c r="D2024" t="s">
        <v>5407</v>
      </c>
      <c r="E2024">
        <v>19</v>
      </c>
      <c r="F2024">
        <v>1</v>
      </c>
      <c r="G2024">
        <v>0</v>
      </c>
      <c r="H2024" t="s">
        <v>5406</v>
      </c>
      <c r="I2024">
        <v>50.6</v>
      </c>
      <c r="J2024">
        <v>40.328000000000003</v>
      </c>
      <c r="K2024" t="str">
        <f t="shared" si="0"/>
        <v>HLA-B</v>
      </c>
      <c r="L2024" t="str">
        <f t="shared" si="0"/>
        <v>HLA-B</v>
      </c>
      <c r="M2024">
        <v>0</v>
      </c>
      <c r="N2024">
        <v>0</v>
      </c>
      <c r="O2024">
        <v>0</v>
      </c>
      <c r="P2024">
        <v>0</v>
      </c>
      <c r="Q2024">
        <v>1.25576199330606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</row>
    <row r="2025" spans="1:24">
      <c r="A2025">
        <v>906</v>
      </c>
      <c r="B2025" t="s">
        <v>5408</v>
      </c>
      <c r="C2025">
        <v>1</v>
      </c>
      <c r="D2025" t="s">
        <v>5409</v>
      </c>
      <c r="E2025">
        <v>16</v>
      </c>
      <c r="F2025">
        <v>2</v>
      </c>
      <c r="G2025">
        <v>0</v>
      </c>
      <c r="H2025" t="s">
        <v>5408</v>
      </c>
      <c r="I2025">
        <v>40.299999999999997</v>
      </c>
      <c r="J2025">
        <v>40.481000000000002</v>
      </c>
      <c r="K2025" t="str">
        <f t="shared" si="0"/>
        <v>HLA-B</v>
      </c>
      <c r="L2025" t="str">
        <f t="shared" si="0"/>
        <v>HLA-B</v>
      </c>
      <c r="M2025">
        <v>0</v>
      </c>
      <c r="N2025">
        <v>0</v>
      </c>
      <c r="O2025">
        <v>0</v>
      </c>
      <c r="P2025">
        <v>1.0652189274447901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</row>
    <row r="2026" spans="1:24">
      <c r="A2026">
        <v>953</v>
      </c>
      <c r="B2026" t="s">
        <v>5410</v>
      </c>
      <c r="C2026">
        <v>3</v>
      </c>
      <c r="D2026" t="s">
        <v>5411</v>
      </c>
      <c r="E2026">
        <v>3</v>
      </c>
      <c r="F2026">
        <v>3</v>
      </c>
      <c r="G2026">
        <v>3</v>
      </c>
      <c r="H2026" t="s">
        <v>5412</v>
      </c>
      <c r="I2026">
        <v>18.100000000000001</v>
      </c>
      <c r="J2026">
        <v>40.529000000000003</v>
      </c>
      <c r="K2026" t="str">
        <f>"PTPN7"</f>
        <v>PTPN7</v>
      </c>
      <c r="L2026" t="str">
        <f>"PTPN7"</f>
        <v>PTPN7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</row>
    <row r="2027" spans="1:24">
      <c r="A2027">
        <v>980</v>
      </c>
      <c r="B2027" t="s">
        <v>5413</v>
      </c>
      <c r="C2027">
        <v>3</v>
      </c>
      <c r="D2027" t="s">
        <v>5414</v>
      </c>
      <c r="E2027">
        <v>4</v>
      </c>
      <c r="F2027">
        <v>4</v>
      </c>
      <c r="G2027">
        <v>4</v>
      </c>
      <c r="H2027" t="s">
        <v>5415</v>
      </c>
      <c r="I2027">
        <v>8.6999999999999993</v>
      </c>
      <c r="J2027">
        <v>85.64</v>
      </c>
      <c r="K2027" t="str">
        <f>"LONP1"</f>
        <v>LONP1</v>
      </c>
      <c r="L2027" t="str">
        <f>"LONP1"</f>
        <v>LONP1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</row>
    <row r="2028" spans="1:24">
      <c r="A2028">
        <v>994</v>
      </c>
      <c r="B2028" t="s">
        <v>5416</v>
      </c>
      <c r="C2028">
        <v>3</v>
      </c>
      <c r="D2028" t="s">
        <v>5417</v>
      </c>
      <c r="E2028">
        <v>2</v>
      </c>
      <c r="F2028">
        <v>2</v>
      </c>
      <c r="G2028">
        <v>2</v>
      </c>
      <c r="H2028" t="s">
        <v>5418</v>
      </c>
      <c r="I2028">
        <v>6.3</v>
      </c>
      <c r="J2028">
        <v>40.845999999999997</v>
      </c>
      <c r="K2028" t="str">
        <f>"RBMX;RBMXL1"</f>
        <v>RBMX;RBMXL1</v>
      </c>
      <c r="L2028" t="str">
        <f>"RBMX;RBMXL1"</f>
        <v>RBMX;RBMXL1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0.90008103209297396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</row>
    <row r="2029" spans="1:24">
      <c r="A2029">
        <v>1014</v>
      </c>
      <c r="B2029" t="s">
        <v>5419</v>
      </c>
      <c r="C2029">
        <v>1</v>
      </c>
      <c r="D2029" t="s">
        <v>5420</v>
      </c>
      <c r="E2029">
        <v>2</v>
      </c>
      <c r="F2029">
        <v>2</v>
      </c>
      <c r="G2029">
        <v>2</v>
      </c>
      <c r="H2029" t="s">
        <v>5419</v>
      </c>
      <c r="I2029">
        <v>1.4</v>
      </c>
      <c r="J2029">
        <v>144.5</v>
      </c>
      <c r="K2029" t="str">
        <f>"IARS"</f>
        <v>IARS</v>
      </c>
      <c r="L2029" t="str">
        <f>"IARS"</f>
        <v>IARS</v>
      </c>
      <c r="M2029">
        <v>0</v>
      </c>
      <c r="N2029">
        <v>0</v>
      </c>
      <c r="O2029">
        <v>0.91194339418818204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</row>
    <row r="2030" spans="1:24">
      <c r="A2030">
        <v>1071</v>
      </c>
      <c r="B2030" t="s">
        <v>5421</v>
      </c>
      <c r="C2030">
        <v>2</v>
      </c>
      <c r="D2030" t="s">
        <v>5422</v>
      </c>
      <c r="E2030">
        <v>3</v>
      </c>
      <c r="F2030">
        <v>3</v>
      </c>
      <c r="G2030">
        <v>3</v>
      </c>
      <c r="H2030" t="s">
        <v>5423</v>
      </c>
      <c r="I2030">
        <v>3.3</v>
      </c>
      <c r="J2030">
        <v>142.19</v>
      </c>
      <c r="K2030" t="str">
        <f>"TRAPPC10"</f>
        <v>TRAPPC10</v>
      </c>
      <c r="L2030" t="str">
        <f>"TRAPPC10"</f>
        <v>TRAPPC10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1.10235831809872</v>
      </c>
      <c r="V2030">
        <v>0</v>
      </c>
      <c r="W2030">
        <v>0</v>
      </c>
      <c r="X2030">
        <v>0</v>
      </c>
    </row>
    <row r="2031" spans="1:24">
      <c r="A2031">
        <v>1114</v>
      </c>
      <c r="B2031" t="s">
        <v>5424</v>
      </c>
      <c r="C2031">
        <v>3</v>
      </c>
      <c r="D2031" t="s">
        <v>5425</v>
      </c>
      <c r="E2031">
        <v>2</v>
      </c>
      <c r="F2031">
        <v>2</v>
      </c>
      <c r="G2031">
        <v>2</v>
      </c>
      <c r="H2031" t="s">
        <v>5426</v>
      </c>
      <c r="I2031">
        <v>6.6</v>
      </c>
      <c r="J2031">
        <v>44.942999999999998</v>
      </c>
      <c r="K2031" t="str">
        <f>"GATM"</f>
        <v>GATM</v>
      </c>
      <c r="L2031" t="str">
        <f>"GATM"</f>
        <v>GATM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0.90008103209297396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</row>
    <row r="2032" spans="1:24">
      <c r="A2032">
        <v>1142</v>
      </c>
      <c r="B2032" t="s">
        <v>5427</v>
      </c>
      <c r="C2032">
        <v>6</v>
      </c>
      <c r="D2032" t="s">
        <v>5428</v>
      </c>
      <c r="E2032">
        <v>3</v>
      </c>
      <c r="F2032">
        <v>3</v>
      </c>
      <c r="G2032">
        <v>3</v>
      </c>
      <c r="H2032" t="s">
        <v>5429</v>
      </c>
      <c r="I2032">
        <v>3.8</v>
      </c>
      <c r="J2032">
        <v>105.12</v>
      </c>
      <c r="K2032" t="str">
        <f>"AFF2"</f>
        <v>AFF2</v>
      </c>
      <c r="L2032" t="str">
        <f>"AFF2"</f>
        <v>AFF2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1.27539809638918</v>
      </c>
      <c r="X2032">
        <v>0</v>
      </c>
    </row>
    <row r="2033" spans="1:24">
      <c r="A2033">
        <v>1154</v>
      </c>
      <c r="B2033" t="s">
        <v>5430</v>
      </c>
      <c r="C2033">
        <v>1</v>
      </c>
      <c r="D2033" t="s">
        <v>5431</v>
      </c>
      <c r="E2033">
        <v>3</v>
      </c>
      <c r="F2033">
        <v>1</v>
      </c>
      <c r="G2033">
        <v>1</v>
      </c>
      <c r="H2033" t="s">
        <v>5430</v>
      </c>
      <c r="I2033">
        <v>10.6</v>
      </c>
      <c r="J2033">
        <v>45.670999999999999</v>
      </c>
      <c r="K2033" t="str">
        <f>"HNRNPF"</f>
        <v>HNRNPF</v>
      </c>
      <c r="L2033" t="str">
        <f>"HNRNPF"</f>
        <v>HNRNPF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0.90008103209297396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</row>
    <row r="2034" spans="1:24">
      <c r="A2034">
        <v>1193</v>
      </c>
      <c r="B2034" t="s">
        <v>5432</v>
      </c>
      <c r="C2034">
        <v>4</v>
      </c>
      <c r="D2034" t="s">
        <v>5433</v>
      </c>
      <c r="E2034">
        <v>2</v>
      </c>
      <c r="F2034">
        <v>2</v>
      </c>
      <c r="G2034">
        <v>2</v>
      </c>
      <c r="H2034" t="s">
        <v>5434</v>
      </c>
      <c r="I2034">
        <v>7.6</v>
      </c>
      <c r="J2034">
        <v>31.614000000000001</v>
      </c>
      <c r="K2034" t="str">
        <f>"CASP7"</f>
        <v>CASP7</v>
      </c>
      <c r="L2034" t="str">
        <f>"CASP7"</f>
        <v>CASP7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0.90008103209297396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</row>
    <row r="2035" spans="1:24">
      <c r="A2035">
        <v>1194</v>
      </c>
      <c r="B2035" t="s">
        <v>5435</v>
      </c>
      <c r="C2035">
        <v>4</v>
      </c>
      <c r="D2035" t="s">
        <v>5436</v>
      </c>
      <c r="E2035">
        <v>1</v>
      </c>
      <c r="F2035">
        <v>1</v>
      </c>
      <c r="G2035">
        <v>1</v>
      </c>
      <c r="H2035" t="s">
        <v>5437</v>
      </c>
      <c r="I2035">
        <v>12.3</v>
      </c>
      <c r="J2035">
        <v>17.396999999999998</v>
      </c>
      <c r="K2035" t="str">
        <f>"CASP9"</f>
        <v>CASP9</v>
      </c>
      <c r="L2035" t="str">
        <f>"CASP9"</f>
        <v>CASP9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0.90008103209297396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>
      <c r="A2036">
        <v>1290</v>
      </c>
      <c r="B2036" t="s">
        <v>5438</v>
      </c>
      <c r="C2036">
        <v>1</v>
      </c>
      <c r="D2036" t="s">
        <v>5439</v>
      </c>
      <c r="E2036">
        <v>2</v>
      </c>
      <c r="F2036">
        <v>2</v>
      </c>
      <c r="G2036">
        <v>2</v>
      </c>
      <c r="H2036" t="s">
        <v>5438</v>
      </c>
      <c r="I2036">
        <v>8.8000000000000007</v>
      </c>
      <c r="J2036">
        <v>35.076000000000001</v>
      </c>
      <c r="K2036" t="str">
        <f>"GNB2L1"</f>
        <v>GNB2L1</v>
      </c>
      <c r="L2036" t="str">
        <f>"RACK1"</f>
        <v>RACK1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0.90008103209297396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</row>
    <row r="2037" spans="1:24">
      <c r="A2037">
        <v>1323</v>
      </c>
      <c r="B2037" t="s">
        <v>5440</v>
      </c>
      <c r="C2037">
        <v>1</v>
      </c>
      <c r="D2037" t="s">
        <v>5441</v>
      </c>
      <c r="E2037">
        <v>5</v>
      </c>
      <c r="F2037">
        <v>2</v>
      </c>
      <c r="G2037">
        <v>2</v>
      </c>
      <c r="H2037" t="s">
        <v>5440</v>
      </c>
      <c r="I2037">
        <v>39.4</v>
      </c>
      <c r="J2037">
        <v>12.06</v>
      </c>
      <c r="K2037" t="s">
        <v>866</v>
      </c>
      <c r="L2037" t="s">
        <v>866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1.18448996772836</v>
      </c>
      <c r="U2037">
        <v>0</v>
      </c>
      <c r="V2037">
        <v>0</v>
      </c>
      <c r="W2037">
        <v>1.27539809638918</v>
      </c>
      <c r="X2037">
        <v>0</v>
      </c>
    </row>
    <row r="2038" spans="1:24">
      <c r="A2038">
        <v>1332</v>
      </c>
      <c r="B2038" t="s">
        <v>5442</v>
      </c>
      <c r="C2038">
        <v>2</v>
      </c>
      <c r="D2038" t="s">
        <v>5443</v>
      </c>
      <c r="E2038">
        <v>3</v>
      </c>
      <c r="F2038">
        <v>3</v>
      </c>
      <c r="G2038">
        <v>3</v>
      </c>
      <c r="H2038" t="s">
        <v>5444</v>
      </c>
      <c r="I2038">
        <v>13.8</v>
      </c>
      <c r="J2038">
        <v>29.096</v>
      </c>
      <c r="K2038" t="str">
        <f>"TFAM"</f>
        <v>TFAM</v>
      </c>
      <c r="L2038" t="str">
        <f>"TFAM"</f>
        <v>TFAM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1.18448996772836</v>
      </c>
      <c r="U2038">
        <v>0</v>
      </c>
      <c r="V2038">
        <v>0</v>
      </c>
      <c r="W2038">
        <v>0</v>
      </c>
      <c r="X2038">
        <v>0</v>
      </c>
    </row>
    <row r="2039" spans="1:24">
      <c r="A2039">
        <v>1349</v>
      </c>
      <c r="B2039" t="s">
        <v>5445</v>
      </c>
      <c r="C2039">
        <v>1</v>
      </c>
      <c r="D2039" t="s">
        <v>5446</v>
      </c>
      <c r="E2039">
        <v>2</v>
      </c>
      <c r="F2039">
        <v>2</v>
      </c>
      <c r="G2039">
        <v>2</v>
      </c>
      <c r="H2039" t="s">
        <v>5445</v>
      </c>
      <c r="I2039">
        <v>1.2</v>
      </c>
      <c r="J2039">
        <v>80.734999999999999</v>
      </c>
      <c r="K2039" t="str">
        <f>"AKAP17A"</f>
        <v>AKAP17A</v>
      </c>
      <c r="L2039" t="str">
        <f>"AKAP17A"</f>
        <v>AKAP17A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0.90008103209297396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</row>
    <row r="2040" spans="1:24">
      <c r="A2040">
        <v>1355</v>
      </c>
      <c r="B2040" t="s">
        <v>5447</v>
      </c>
      <c r="C2040">
        <v>1</v>
      </c>
      <c r="D2040" t="s">
        <v>5448</v>
      </c>
      <c r="E2040">
        <v>4</v>
      </c>
      <c r="F2040">
        <v>4</v>
      </c>
      <c r="G2040">
        <v>4</v>
      </c>
      <c r="H2040" t="s">
        <v>5447</v>
      </c>
      <c r="I2040">
        <v>13.1</v>
      </c>
      <c r="J2040">
        <v>51.804000000000002</v>
      </c>
      <c r="K2040" t="str">
        <f>"FKBP4"</f>
        <v>FKBP4</v>
      </c>
      <c r="L2040" t="str">
        <f>"FKBP4"</f>
        <v>FKBP4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</row>
    <row r="2041" spans="1:24">
      <c r="A2041">
        <v>1386</v>
      </c>
      <c r="B2041" t="s">
        <v>5449</v>
      </c>
      <c r="C2041">
        <v>3</v>
      </c>
      <c r="D2041" t="s">
        <v>5450</v>
      </c>
      <c r="E2041">
        <v>2</v>
      </c>
      <c r="F2041">
        <v>2</v>
      </c>
      <c r="G2041">
        <v>2</v>
      </c>
      <c r="H2041" t="s">
        <v>5451</v>
      </c>
      <c r="I2041">
        <v>11.2</v>
      </c>
      <c r="J2041">
        <v>18.893999999999998</v>
      </c>
      <c r="K2041" t="str">
        <f>"BCL2L1"</f>
        <v>BCL2L1</v>
      </c>
      <c r="L2041" t="str">
        <f>"BCL2L1"</f>
        <v>BCL2L1</v>
      </c>
      <c r="M2041">
        <v>0</v>
      </c>
      <c r="N2041">
        <v>0</v>
      </c>
      <c r="O2041">
        <v>0.91194339418818204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0.984645710619934</v>
      </c>
    </row>
    <row r="2042" spans="1:24">
      <c r="A2042">
        <v>1425</v>
      </c>
      <c r="B2042" t="s">
        <v>5452</v>
      </c>
      <c r="C2042">
        <v>1</v>
      </c>
      <c r="D2042" t="s">
        <v>5453</v>
      </c>
      <c r="E2042">
        <v>1</v>
      </c>
      <c r="F2042">
        <v>1</v>
      </c>
      <c r="G2042">
        <v>1</v>
      </c>
      <c r="H2042" t="s">
        <v>5452</v>
      </c>
      <c r="I2042">
        <v>5.7</v>
      </c>
      <c r="J2042">
        <v>24.337</v>
      </c>
      <c r="K2042" t="str">
        <f>"SPP2"</f>
        <v>SPP2</v>
      </c>
      <c r="L2042" t="str">
        <f>"SPP2"</f>
        <v>SPP2</v>
      </c>
      <c r="M2042">
        <v>0</v>
      </c>
      <c r="N2042">
        <v>0.89450172185430499</v>
      </c>
      <c r="O2042">
        <v>1.8238867883763601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>
      <c r="A2043">
        <v>1450</v>
      </c>
      <c r="B2043" t="s">
        <v>5454</v>
      </c>
      <c r="C2043">
        <v>2</v>
      </c>
      <c r="D2043" t="s">
        <v>5455</v>
      </c>
      <c r="E2043">
        <v>1</v>
      </c>
      <c r="F2043">
        <v>1</v>
      </c>
      <c r="G2043">
        <v>1</v>
      </c>
      <c r="H2043" t="s">
        <v>5456</v>
      </c>
      <c r="I2043">
        <v>5.0999999999999996</v>
      </c>
      <c r="J2043">
        <v>38.628999999999998</v>
      </c>
      <c r="K2043" t="str">
        <f>"SQSTM1"</f>
        <v>SQSTM1</v>
      </c>
      <c r="L2043" t="str">
        <f>"SQSTM1"</f>
        <v>SQSTM1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1.1331355704698001</v>
      </c>
      <c r="T2043">
        <v>0</v>
      </c>
      <c r="U2043">
        <v>1.10235831809872</v>
      </c>
      <c r="V2043">
        <v>0</v>
      </c>
      <c r="W2043">
        <v>0</v>
      </c>
      <c r="X2043">
        <v>0.984645710619934</v>
      </c>
    </row>
    <row r="2044" spans="1:24">
      <c r="A2044">
        <v>1477</v>
      </c>
      <c r="B2044" t="s">
        <v>5457</v>
      </c>
      <c r="C2044">
        <v>1</v>
      </c>
      <c r="D2044" t="s">
        <v>5458</v>
      </c>
      <c r="E2044">
        <v>2</v>
      </c>
      <c r="F2044">
        <v>2</v>
      </c>
      <c r="G2044">
        <v>2</v>
      </c>
      <c r="H2044" t="s">
        <v>5457</v>
      </c>
      <c r="I2044">
        <v>9.3000000000000007</v>
      </c>
      <c r="J2044">
        <v>26.591999999999999</v>
      </c>
      <c r="K2044" t="str">
        <f>"RAB33A"</f>
        <v>RAB33A</v>
      </c>
      <c r="L2044" t="str">
        <f>"RAB33A"</f>
        <v>RAB33A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0.90008103209297396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</row>
    <row r="2045" spans="1:24">
      <c r="A2045">
        <v>1492</v>
      </c>
      <c r="B2045" t="s">
        <v>5459</v>
      </c>
      <c r="C2045">
        <v>2</v>
      </c>
      <c r="D2045" t="s">
        <v>5460</v>
      </c>
      <c r="E2045">
        <v>3</v>
      </c>
      <c r="F2045">
        <v>3</v>
      </c>
      <c r="G2045">
        <v>3</v>
      </c>
      <c r="H2045" t="s">
        <v>5461</v>
      </c>
      <c r="I2045">
        <v>13.1</v>
      </c>
      <c r="J2045">
        <v>24.617000000000001</v>
      </c>
      <c r="K2045" t="str">
        <f>"EIF2B1"</f>
        <v>EIF2B1</v>
      </c>
      <c r="L2045" t="str">
        <f>"EIF2B1"</f>
        <v>EIF2B1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</row>
    <row r="2046" spans="1:24">
      <c r="A2046">
        <v>1534</v>
      </c>
      <c r="B2046" t="s">
        <v>5462</v>
      </c>
      <c r="C2046">
        <v>1</v>
      </c>
      <c r="D2046" t="s">
        <v>5463</v>
      </c>
      <c r="E2046">
        <v>2</v>
      </c>
      <c r="F2046">
        <v>2</v>
      </c>
      <c r="G2046">
        <v>2</v>
      </c>
      <c r="H2046" t="s">
        <v>5462</v>
      </c>
      <c r="I2046">
        <v>3</v>
      </c>
      <c r="J2046">
        <v>88.028000000000006</v>
      </c>
      <c r="K2046" t="str">
        <f>"ACAP2"</f>
        <v>ACAP2</v>
      </c>
      <c r="L2046" t="str">
        <f>"ACAP2"</f>
        <v>ACAP2</v>
      </c>
      <c r="M2046">
        <v>0</v>
      </c>
      <c r="N2046">
        <v>0</v>
      </c>
      <c r="O2046">
        <v>0.91194339418818204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</row>
    <row r="2047" spans="1:24">
      <c r="A2047">
        <v>1602</v>
      </c>
      <c r="B2047" t="s">
        <v>5464</v>
      </c>
      <c r="C2047">
        <v>4</v>
      </c>
      <c r="D2047" t="s">
        <v>5465</v>
      </c>
      <c r="E2047">
        <v>3</v>
      </c>
      <c r="F2047">
        <v>3</v>
      </c>
      <c r="G2047">
        <v>3</v>
      </c>
      <c r="H2047" t="s">
        <v>5466</v>
      </c>
      <c r="I2047">
        <v>5</v>
      </c>
      <c r="J2047">
        <v>70.728999999999999</v>
      </c>
      <c r="K2047" t="str">
        <f>"PCK2;PCK1"</f>
        <v>PCK2;PCK1</v>
      </c>
      <c r="L2047" t="str">
        <f>"PCK2;PCK1"</f>
        <v>PCK2;PCK1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</row>
    <row r="2048" spans="1:24">
      <c r="A2048">
        <v>1637</v>
      </c>
      <c r="B2048" t="s">
        <v>5467</v>
      </c>
      <c r="C2048">
        <v>2</v>
      </c>
      <c r="D2048" t="s">
        <v>5468</v>
      </c>
      <c r="E2048">
        <v>2</v>
      </c>
      <c r="F2048">
        <v>2</v>
      </c>
      <c r="G2048">
        <v>2</v>
      </c>
      <c r="H2048" t="s">
        <v>5469</v>
      </c>
      <c r="I2048">
        <v>13.4</v>
      </c>
      <c r="J2048">
        <v>48.201000000000001</v>
      </c>
      <c r="K2048" t="str">
        <f>"WIPI1"</f>
        <v>WIPI1</v>
      </c>
      <c r="L2048" t="str">
        <f>"WIPI1"</f>
        <v>WIPI1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0.984645710619934</v>
      </c>
    </row>
    <row r="2049" spans="1:24">
      <c r="A2049">
        <v>1685</v>
      </c>
      <c r="B2049" t="s">
        <v>5470</v>
      </c>
      <c r="C2049">
        <v>1</v>
      </c>
      <c r="D2049" t="s">
        <v>5471</v>
      </c>
      <c r="E2049">
        <v>2</v>
      </c>
      <c r="F2049">
        <v>2</v>
      </c>
      <c r="G2049">
        <v>2</v>
      </c>
      <c r="H2049" t="s">
        <v>5470</v>
      </c>
      <c r="I2049">
        <v>4</v>
      </c>
      <c r="J2049">
        <v>70.441000000000003</v>
      </c>
      <c r="K2049" t="str">
        <f>"PGM2L1"</f>
        <v>PGM2L1</v>
      </c>
      <c r="L2049" t="str">
        <f>"PGM2L1"</f>
        <v>PGM2L1</v>
      </c>
      <c r="M2049">
        <v>0</v>
      </c>
      <c r="N2049">
        <v>0</v>
      </c>
      <c r="O2049">
        <v>0.91194339418818204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1.10235831809872</v>
      </c>
      <c r="V2049">
        <v>0</v>
      </c>
      <c r="W2049">
        <v>0</v>
      </c>
      <c r="X2049">
        <v>0</v>
      </c>
    </row>
    <row r="2050" spans="1:24">
      <c r="A2050">
        <v>1686</v>
      </c>
      <c r="B2050" t="s">
        <v>5472</v>
      </c>
      <c r="C2050">
        <v>1</v>
      </c>
      <c r="D2050" t="s">
        <v>5473</v>
      </c>
      <c r="E2050">
        <v>3</v>
      </c>
      <c r="F2050">
        <v>3</v>
      </c>
      <c r="G2050">
        <v>3</v>
      </c>
      <c r="H2050" t="s">
        <v>5472</v>
      </c>
      <c r="I2050">
        <v>2.4</v>
      </c>
      <c r="J2050">
        <v>175.48</v>
      </c>
      <c r="K2050" t="str">
        <f>"TTC37"</f>
        <v>TTC37</v>
      </c>
      <c r="L2050" t="str">
        <f>"TTC37"</f>
        <v>TTC37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>
      <c r="A2051">
        <v>1760</v>
      </c>
      <c r="B2051" t="s">
        <v>5474</v>
      </c>
      <c r="C2051">
        <v>2</v>
      </c>
      <c r="D2051" t="s">
        <v>5475</v>
      </c>
      <c r="E2051">
        <v>1</v>
      </c>
      <c r="F2051">
        <v>1</v>
      </c>
      <c r="G2051">
        <v>1</v>
      </c>
      <c r="H2051" t="s">
        <v>5476</v>
      </c>
      <c r="I2051">
        <v>1.7</v>
      </c>
      <c r="J2051">
        <v>124.9</v>
      </c>
      <c r="K2051" t="str">
        <f>"ERC1"</f>
        <v>ERC1</v>
      </c>
      <c r="L2051" t="str">
        <f>"ERC1"</f>
        <v>ERC1</v>
      </c>
      <c r="M2051">
        <v>0</v>
      </c>
      <c r="N2051">
        <v>0.89450172185430499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>
      <c r="A2052">
        <v>1762</v>
      </c>
      <c r="B2052" t="s">
        <v>5477</v>
      </c>
      <c r="C2052">
        <v>1</v>
      </c>
      <c r="D2052" t="s">
        <v>5478</v>
      </c>
      <c r="E2052">
        <v>1</v>
      </c>
      <c r="F2052">
        <v>1</v>
      </c>
      <c r="G2052">
        <v>1</v>
      </c>
      <c r="H2052" t="s">
        <v>5477</v>
      </c>
      <c r="I2052">
        <v>4.8</v>
      </c>
      <c r="J2052">
        <v>20.783000000000001</v>
      </c>
      <c r="K2052" t="str">
        <f>"TRAPPC5"</f>
        <v>TRAPPC5</v>
      </c>
      <c r="L2052" t="str">
        <f>"TRAPPC5"</f>
        <v>TRAPPC5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0.90008103209297396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</row>
    <row r="2053" spans="1:24">
      <c r="A2053">
        <v>1777</v>
      </c>
      <c r="B2053" t="s">
        <v>5479</v>
      </c>
      <c r="C2053">
        <v>2</v>
      </c>
      <c r="D2053" t="s">
        <v>5480</v>
      </c>
      <c r="E2053">
        <v>2</v>
      </c>
      <c r="F2053">
        <v>2</v>
      </c>
      <c r="G2053">
        <v>2</v>
      </c>
      <c r="H2053" t="s">
        <v>5481</v>
      </c>
      <c r="I2053">
        <v>10.3</v>
      </c>
      <c r="J2053">
        <v>45.055</v>
      </c>
      <c r="K2053" t="str">
        <f>"SAMD14"</f>
        <v>SAMD14</v>
      </c>
      <c r="L2053" t="str">
        <f>"SAMD14"</f>
        <v>SAMD14</v>
      </c>
      <c r="M2053">
        <v>0</v>
      </c>
      <c r="N2053">
        <v>0.89450172185430499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0.984645710619934</v>
      </c>
    </row>
    <row r="2054" spans="1:24">
      <c r="A2054">
        <v>1785</v>
      </c>
      <c r="B2054" t="s">
        <v>5482</v>
      </c>
      <c r="C2054">
        <v>1</v>
      </c>
      <c r="D2054" t="s">
        <v>5483</v>
      </c>
      <c r="E2054">
        <v>4</v>
      </c>
      <c r="F2054">
        <v>4</v>
      </c>
      <c r="G2054">
        <v>3</v>
      </c>
      <c r="H2054" t="s">
        <v>5482</v>
      </c>
      <c r="I2054">
        <v>3.5</v>
      </c>
      <c r="J2054">
        <v>161.85</v>
      </c>
      <c r="K2054" t="str">
        <f>"EHBP1L1"</f>
        <v>EHBP1L1</v>
      </c>
      <c r="L2054" t="str">
        <f>"EHBP1L1"</f>
        <v>EHBP1L1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>
      <c r="A2055">
        <v>1798</v>
      </c>
      <c r="B2055" t="s">
        <v>5484</v>
      </c>
      <c r="C2055">
        <v>5</v>
      </c>
      <c r="D2055" t="s">
        <v>5485</v>
      </c>
      <c r="E2055">
        <v>3</v>
      </c>
      <c r="F2055">
        <v>3</v>
      </c>
      <c r="G2055">
        <v>3</v>
      </c>
      <c r="H2055" t="s">
        <v>5486</v>
      </c>
      <c r="I2055">
        <v>14.3</v>
      </c>
      <c r="J2055">
        <v>33.843000000000004</v>
      </c>
      <c r="K2055" t="str">
        <f>"SUMF2"</f>
        <v>SUMF2</v>
      </c>
      <c r="L2055" t="str">
        <f>"SUMF2"</f>
        <v>SUMF2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>
      <c r="A2056">
        <v>1800</v>
      </c>
      <c r="B2056" t="s">
        <v>5487</v>
      </c>
      <c r="C2056">
        <v>1</v>
      </c>
      <c r="D2056" t="s">
        <v>5488</v>
      </c>
      <c r="E2056">
        <v>3</v>
      </c>
      <c r="F2056">
        <v>3</v>
      </c>
      <c r="G2056">
        <v>3</v>
      </c>
      <c r="H2056" t="s">
        <v>5487</v>
      </c>
      <c r="I2056">
        <v>8.6999999999999993</v>
      </c>
      <c r="J2056">
        <v>32.935000000000002</v>
      </c>
      <c r="K2056" t="str">
        <f>"HSD17B11"</f>
        <v>HSD17B11</v>
      </c>
      <c r="L2056" t="str">
        <f>"HSD17B11"</f>
        <v>HSD17B11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>
      <c r="A2057">
        <v>1808</v>
      </c>
      <c r="B2057" t="s">
        <v>5489</v>
      </c>
      <c r="C2057">
        <v>1</v>
      </c>
      <c r="D2057" t="s">
        <v>5490</v>
      </c>
      <c r="E2057">
        <v>1</v>
      </c>
      <c r="F2057">
        <v>1</v>
      </c>
      <c r="G2057">
        <v>1</v>
      </c>
      <c r="H2057" t="s">
        <v>5489</v>
      </c>
      <c r="I2057">
        <v>6.9</v>
      </c>
      <c r="J2057">
        <v>24.268999999999998</v>
      </c>
      <c r="K2057" t="str">
        <f>"MAPK1IP1L"</f>
        <v>MAPK1IP1L</v>
      </c>
      <c r="L2057" t="str">
        <f>"MAPK1IP1L"</f>
        <v>MAPK1IP1L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0.90008103209297396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0.984645710619934</v>
      </c>
    </row>
    <row r="2058" spans="1:24">
      <c r="A2058">
        <v>1820</v>
      </c>
      <c r="B2058" t="s">
        <v>5491</v>
      </c>
      <c r="C2058">
        <v>2</v>
      </c>
      <c r="D2058" t="s">
        <v>5492</v>
      </c>
      <c r="E2058">
        <v>2</v>
      </c>
      <c r="F2058">
        <v>2</v>
      </c>
      <c r="G2058">
        <v>2</v>
      </c>
      <c r="H2058" t="s">
        <v>5493</v>
      </c>
      <c r="I2058">
        <v>17.100000000000001</v>
      </c>
      <c r="J2058">
        <v>20.239000000000001</v>
      </c>
      <c r="K2058" t="str">
        <f>"ABHD4"</f>
        <v>ABHD4</v>
      </c>
      <c r="L2058" t="str">
        <f>"ABHD4"</f>
        <v>ABHD4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0.984645710619934</v>
      </c>
    </row>
    <row r="2059" spans="1:24">
      <c r="A2059">
        <v>1885</v>
      </c>
      <c r="B2059" t="s">
        <v>5494</v>
      </c>
      <c r="C2059">
        <v>6</v>
      </c>
      <c r="D2059" t="s">
        <v>5495</v>
      </c>
      <c r="E2059">
        <v>1</v>
      </c>
      <c r="F2059">
        <v>1</v>
      </c>
      <c r="G2059">
        <v>1</v>
      </c>
      <c r="H2059" t="s">
        <v>5496</v>
      </c>
      <c r="I2059">
        <v>1.8</v>
      </c>
      <c r="J2059">
        <v>102.51</v>
      </c>
      <c r="K2059" t="str">
        <f>"PRG4"</f>
        <v>PRG4</v>
      </c>
      <c r="L2059" t="str">
        <f>"PRG4"</f>
        <v>PRG4</v>
      </c>
      <c r="M2059">
        <v>1.2103892752168599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</row>
    <row r="2060" spans="1:24">
      <c r="A2060">
        <v>1904</v>
      </c>
      <c r="B2060" t="s">
        <v>5497</v>
      </c>
      <c r="C2060">
        <v>2</v>
      </c>
      <c r="D2060" t="s">
        <v>5498</v>
      </c>
      <c r="E2060">
        <v>3</v>
      </c>
      <c r="F2060">
        <v>3</v>
      </c>
      <c r="G2060">
        <v>3</v>
      </c>
      <c r="H2060" t="s">
        <v>5499</v>
      </c>
      <c r="I2060">
        <v>4</v>
      </c>
      <c r="J2060">
        <v>55.317</v>
      </c>
      <c r="K2060" t="str">
        <f>"CCDC47"</f>
        <v>CCDC47</v>
      </c>
      <c r="L2060" t="str">
        <f>"CCDC47"</f>
        <v>CCDC47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</row>
    <row r="2061" spans="1:24">
      <c r="A2061">
        <v>1913</v>
      </c>
      <c r="B2061" t="s">
        <v>5500</v>
      </c>
      <c r="C2061">
        <v>2</v>
      </c>
      <c r="D2061" t="s">
        <v>5501</v>
      </c>
      <c r="E2061">
        <v>1</v>
      </c>
      <c r="F2061">
        <v>1</v>
      </c>
      <c r="G2061">
        <v>1</v>
      </c>
      <c r="H2061" t="s">
        <v>5502</v>
      </c>
      <c r="I2061">
        <v>5.3</v>
      </c>
      <c r="J2061">
        <v>21.521000000000001</v>
      </c>
      <c r="K2061" t="str">
        <f>"TESC"</f>
        <v>TESC</v>
      </c>
      <c r="L2061" t="str">
        <f>"TESC"</f>
        <v>TESC</v>
      </c>
      <c r="M2061">
        <v>0</v>
      </c>
      <c r="N2061">
        <v>0</v>
      </c>
      <c r="O2061">
        <v>0.91194339418818204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1.10235831809872</v>
      </c>
      <c r="V2061">
        <v>0</v>
      </c>
      <c r="W2061">
        <v>0</v>
      </c>
      <c r="X2061">
        <v>0</v>
      </c>
    </row>
    <row r="2062" spans="1:24">
      <c r="A2062">
        <v>1950</v>
      </c>
      <c r="B2062" t="s">
        <v>5503</v>
      </c>
      <c r="C2062">
        <v>2</v>
      </c>
      <c r="D2062" t="s">
        <v>5504</v>
      </c>
      <c r="E2062">
        <v>2</v>
      </c>
      <c r="F2062">
        <v>2</v>
      </c>
      <c r="G2062">
        <v>2</v>
      </c>
      <c r="H2062" t="s">
        <v>5505</v>
      </c>
      <c r="I2062">
        <v>5.6</v>
      </c>
      <c r="J2062">
        <v>36.085000000000001</v>
      </c>
      <c r="K2062" t="str">
        <f>"PBK"</f>
        <v>PBK</v>
      </c>
      <c r="L2062" t="str">
        <f>"PBK"</f>
        <v>PBK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1.27539809638918</v>
      </c>
      <c r="X2062">
        <v>0</v>
      </c>
    </row>
    <row r="2063" spans="1:24">
      <c r="A2063">
        <v>1951</v>
      </c>
      <c r="B2063" t="s">
        <v>5506</v>
      </c>
      <c r="C2063">
        <v>6</v>
      </c>
      <c r="D2063" t="s">
        <v>5507</v>
      </c>
      <c r="E2063">
        <v>2</v>
      </c>
      <c r="F2063">
        <v>2</v>
      </c>
      <c r="G2063">
        <v>2</v>
      </c>
      <c r="H2063" t="s">
        <v>5508</v>
      </c>
      <c r="I2063">
        <v>3.5</v>
      </c>
      <c r="J2063">
        <v>69.236999999999995</v>
      </c>
      <c r="K2063" t="str">
        <f>"SCYL1"</f>
        <v>SCYL1</v>
      </c>
      <c r="L2063" t="str">
        <f>"SCYL1"</f>
        <v>SCYL1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</row>
    <row r="2064" spans="1:24">
      <c r="A2064">
        <v>1961</v>
      </c>
      <c r="B2064" t="s">
        <v>5509</v>
      </c>
      <c r="C2064">
        <v>1</v>
      </c>
      <c r="D2064" t="s">
        <v>5510</v>
      </c>
      <c r="E2064">
        <v>3</v>
      </c>
      <c r="F2064">
        <v>3</v>
      </c>
      <c r="G2064">
        <v>3</v>
      </c>
      <c r="H2064" t="s">
        <v>5509</v>
      </c>
      <c r="I2064">
        <v>4.2</v>
      </c>
      <c r="J2064">
        <v>115.96</v>
      </c>
      <c r="K2064" t="str">
        <f>"IPO9"</f>
        <v>IPO9</v>
      </c>
      <c r="L2064" t="str">
        <f>"IPO9"</f>
        <v>IPO9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</row>
    <row r="2065" spans="1:24">
      <c r="A2065">
        <v>1965</v>
      </c>
      <c r="B2065" t="s">
        <v>5511</v>
      </c>
      <c r="C2065">
        <v>2</v>
      </c>
      <c r="D2065" t="s">
        <v>5512</v>
      </c>
      <c r="E2065">
        <v>1</v>
      </c>
      <c r="F2065">
        <v>1</v>
      </c>
      <c r="G2065">
        <v>1</v>
      </c>
      <c r="H2065" t="s">
        <v>5513</v>
      </c>
      <c r="I2065">
        <v>6.9</v>
      </c>
      <c r="J2065">
        <v>31.308</v>
      </c>
      <c r="K2065" t="str">
        <f>"TSPAN32"</f>
        <v>TSPAN32</v>
      </c>
      <c r="L2065" t="str">
        <f>"TSPAN32"</f>
        <v>TSPAN32</v>
      </c>
      <c r="M2065">
        <v>0</v>
      </c>
      <c r="N2065">
        <v>0.89450172185430499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</row>
    <row r="2066" spans="1:24">
      <c r="A2066">
        <v>1972</v>
      </c>
      <c r="B2066" t="s">
        <v>5514</v>
      </c>
      <c r="C2066">
        <v>1</v>
      </c>
      <c r="D2066" t="s">
        <v>5515</v>
      </c>
      <c r="E2066">
        <v>1</v>
      </c>
      <c r="F2066">
        <v>1</v>
      </c>
      <c r="G2066">
        <v>1</v>
      </c>
      <c r="H2066" t="s">
        <v>5514</v>
      </c>
      <c r="I2066">
        <v>12.3</v>
      </c>
      <c r="J2066">
        <v>20.995999999999999</v>
      </c>
      <c r="K2066" t="str">
        <f>"GPX7"</f>
        <v>GPX7</v>
      </c>
      <c r="L2066" t="str">
        <f>"GPX7"</f>
        <v>GPX7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0.984645710619934</v>
      </c>
    </row>
    <row r="2067" spans="1:24">
      <c r="A2067">
        <v>1988</v>
      </c>
      <c r="B2067" t="s">
        <v>5516</v>
      </c>
      <c r="C2067">
        <v>1</v>
      </c>
      <c r="D2067" t="s">
        <v>5517</v>
      </c>
      <c r="E2067">
        <v>3</v>
      </c>
      <c r="F2067">
        <v>3</v>
      </c>
      <c r="G2067">
        <v>3</v>
      </c>
      <c r="H2067" t="s">
        <v>5516</v>
      </c>
      <c r="I2067">
        <v>13.4</v>
      </c>
      <c r="J2067">
        <v>33.526000000000003</v>
      </c>
      <c r="K2067" t="str">
        <f>"TTC1"</f>
        <v>TTC1</v>
      </c>
      <c r="L2067" t="str">
        <f>"TTC1"</f>
        <v>TTC1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</row>
    <row r="2068" spans="1:24">
      <c r="A2068">
        <v>2068</v>
      </c>
      <c r="B2068" t="s">
        <v>5518</v>
      </c>
      <c r="C2068">
        <v>1</v>
      </c>
      <c r="D2068" t="s">
        <v>5519</v>
      </c>
      <c r="E2068">
        <v>2</v>
      </c>
      <c r="F2068">
        <v>2</v>
      </c>
      <c r="G2068">
        <v>2</v>
      </c>
      <c r="H2068" t="s">
        <v>5518</v>
      </c>
      <c r="I2068">
        <v>7.9</v>
      </c>
      <c r="J2068">
        <v>33.58</v>
      </c>
      <c r="K2068" t="str">
        <f>"WDR61"</f>
        <v>WDR61</v>
      </c>
      <c r="L2068" t="str">
        <f>"WDR61"</f>
        <v>WDR61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>
      <c r="A2069">
        <v>2072</v>
      </c>
      <c r="B2069" t="s">
        <v>5520</v>
      </c>
      <c r="C2069">
        <v>3</v>
      </c>
      <c r="D2069" t="s">
        <v>5521</v>
      </c>
      <c r="E2069">
        <v>2</v>
      </c>
      <c r="F2069">
        <v>2</v>
      </c>
      <c r="G2069">
        <v>2</v>
      </c>
      <c r="H2069" t="s">
        <v>5522</v>
      </c>
      <c r="I2069">
        <v>8.1999999999999993</v>
      </c>
      <c r="J2069">
        <v>42.006</v>
      </c>
      <c r="K2069" t="str">
        <f>"PAIP1"</f>
        <v>PAIP1</v>
      </c>
      <c r="L2069" t="str">
        <f>"PAIP1"</f>
        <v>PAIP1</v>
      </c>
      <c r="M2069">
        <v>0</v>
      </c>
      <c r="N2069">
        <v>0</v>
      </c>
      <c r="O2069">
        <v>0.91194339418818204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1.27539809638918</v>
      </c>
      <c r="X2069">
        <v>0</v>
      </c>
    </row>
    <row r="2070" spans="1:24">
      <c r="A2070">
        <v>2079</v>
      </c>
      <c r="B2070" t="s">
        <v>5523</v>
      </c>
      <c r="C2070">
        <v>3</v>
      </c>
      <c r="D2070" t="s">
        <v>5524</v>
      </c>
      <c r="E2070">
        <v>3</v>
      </c>
      <c r="F2070">
        <v>3</v>
      </c>
      <c r="G2070">
        <v>3</v>
      </c>
      <c r="H2070" t="s">
        <v>5525</v>
      </c>
      <c r="I2070">
        <v>15.5</v>
      </c>
      <c r="J2070">
        <v>25.498000000000001</v>
      </c>
      <c r="K2070" t="str">
        <f>"RBM38;RBM24"</f>
        <v>RBM38;RBM24</v>
      </c>
      <c r="L2070" t="str">
        <f>"RBM38;RBM24"</f>
        <v>RBM38;RBM24</v>
      </c>
      <c r="M2070">
        <v>0</v>
      </c>
      <c r="N2070">
        <v>0</v>
      </c>
      <c r="O2070">
        <v>0.91194339418818204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1.10235831809872</v>
      </c>
      <c r="V2070">
        <v>0</v>
      </c>
      <c r="W2070">
        <v>0</v>
      </c>
      <c r="X2070">
        <v>0</v>
      </c>
    </row>
    <row r="2071" spans="1:24">
      <c r="A2071">
        <v>2080</v>
      </c>
      <c r="B2071" t="s">
        <v>5526</v>
      </c>
      <c r="C2071">
        <v>2</v>
      </c>
      <c r="D2071" t="s">
        <v>5527</v>
      </c>
      <c r="E2071">
        <v>2</v>
      </c>
      <c r="F2071">
        <v>2</v>
      </c>
      <c r="G2071">
        <v>2</v>
      </c>
      <c r="H2071" t="s">
        <v>5528</v>
      </c>
      <c r="I2071">
        <v>2.5</v>
      </c>
      <c r="J2071">
        <v>96.766000000000005</v>
      </c>
      <c r="K2071" t="str">
        <f>"XYLT2"</f>
        <v>XYLT2</v>
      </c>
      <c r="L2071" t="str">
        <f>"XYLT2"</f>
        <v>XYLT2</v>
      </c>
      <c r="M2071">
        <v>0</v>
      </c>
      <c r="N2071">
        <v>0</v>
      </c>
      <c r="O2071">
        <v>0</v>
      </c>
      <c r="P2071">
        <v>1.0652189274447901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</row>
    <row r="2072" spans="1:24">
      <c r="A2072">
        <v>2109</v>
      </c>
      <c r="B2072" t="s">
        <v>5529</v>
      </c>
      <c r="C2072">
        <v>1</v>
      </c>
      <c r="D2072" t="s">
        <v>5530</v>
      </c>
      <c r="E2072">
        <v>2</v>
      </c>
      <c r="F2072">
        <v>2</v>
      </c>
      <c r="G2072">
        <v>2</v>
      </c>
      <c r="H2072" t="s">
        <v>5529</v>
      </c>
      <c r="I2072">
        <v>5.3</v>
      </c>
      <c r="J2072">
        <v>41.942999999999998</v>
      </c>
      <c r="K2072" t="str">
        <f>"PTGES2"</f>
        <v>PTGES2</v>
      </c>
      <c r="L2072" t="str">
        <f>"PTGES2"</f>
        <v>PTGES2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1.05063596764157</v>
      </c>
      <c r="W2072">
        <v>0</v>
      </c>
      <c r="X2072">
        <v>0</v>
      </c>
    </row>
    <row r="2073" spans="1:24">
      <c r="A2073">
        <v>2116</v>
      </c>
      <c r="B2073" t="s">
        <v>5531</v>
      </c>
      <c r="C2073">
        <v>1</v>
      </c>
      <c r="D2073" t="s">
        <v>5532</v>
      </c>
      <c r="E2073">
        <v>4</v>
      </c>
      <c r="F2073">
        <v>4</v>
      </c>
      <c r="G2073">
        <v>4</v>
      </c>
      <c r="H2073" t="s">
        <v>5531</v>
      </c>
      <c r="I2073">
        <v>14.3</v>
      </c>
      <c r="J2073">
        <v>35.619</v>
      </c>
      <c r="K2073" t="str">
        <f>"SFXN1"</f>
        <v>SFXN1</v>
      </c>
      <c r="L2073" t="str">
        <f>"SFXN1"</f>
        <v>SFXN1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1.10235831809872</v>
      </c>
      <c r="V2073">
        <v>0</v>
      </c>
      <c r="W2073">
        <v>1.27539809638918</v>
      </c>
      <c r="X2073">
        <v>0</v>
      </c>
    </row>
    <row r="2074" spans="1:24">
      <c r="A2074">
        <v>2130</v>
      </c>
      <c r="B2074" t="s">
        <v>5533</v>
      </c>
      <c r="C2074">
        <v>1</v>
      </c>
      <c r="D2074" t="s">
        <v>5534</v>
      </c>
      <c r="E2074">
        <v>1</v>
      </c>
      <c r="F2074">
        <v>1</v>
      </c>
      <c r="G2074">
        <v>1</v>
      </c>
      <c r="H2074" t="s">
        <v>5533</v>
      </c>
      <c r="I2074">
        <v>9</v>
      </c>
      <c r="J2074">
        <v>23.597999999999999</v>
      </c>
      <c r="K2074" t="str">
        <f>"SDF2L1"</f>
        <v>SDF2L1</v>
      </c>
      <c r="L2074" t="str">
        <f>"SDF2L1"</f>
        <v>SDF2L1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1.10235831809872</v>
      </c>
      <c r="V2074">
        <v>0</v>
      </c>
      <c r="W2074">
        <v>0</v>
      </c>
      <c r="X2074">
        <v>0</v>
      </c>
    </row>
    <row r="2075" spans="1:24">
      <c r="A2075">
        <v>2148</v>
      </c>
      <c r="B2075" t="s">
        <v>5535</v>
      </c>
      <c r="C2075">
        <v>2</v>
      </c>
      <c r="D2075" t="s">
        <v>5536</v>
      </c>
      <c r="E2075">
        <v>2</v>
      </c>
      <c r="F2075">
        <v>2</v>
      </c>
      <c r="G2075">
        <v>2</v>
      </c>
      <c r="H2075" t="s">
        <v>5537</v>
      </c>
      <c r="I2075">
        <v>4.4000000000000004</v>
      </c>
      <c r="J2075">
        <v>78.578999999999994</v>
      </c>
      <c r="K2075" t="str">
        <f>"ACSS2"</f>
        <v>ACSS2</v>
      </c>
      <c r="L2075" t="str">
        <f>"ACSS2"</f>
        <v>ACSS2</v>
      </c>
      <c r="M2075">
        <v>0</v>
      </c>
      <c r="N2075">
        <v>0.89450172185430499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0.984645710619934</v>
      </c>
    </row>
    <row r="2076" spans="1:24">
      <c r="A2076">
        <v>2157</v>
      </c>
      <c r="B2076" t="s">
        <v>5538</v>
      </c>
      <c r="C2076">
        <v>1</v>
      </c>
      <c r="D2076" t="s">
        <v>5539</v>
      </c>
      <c r="E2076">
        <v>2</v>
      </c>
      <c r="F2076">
        <v>2</v>
      </c>
      <c r="G2076">
        <v>2</v>
      </c>
      <c r="H2076" t="s">
        <v>5538</v>
      </c>
      <c r="I2076">
        <v>3</v>
      </c>
      <c r="J2076">
        <v>79.147000000000006</v>
      </c>
      <c r="K2076" t="str">
        <f>"ABCB10"</f>
        <v>ABCB10</v>
      </c>
      <c r="L2076" t="str">
        <f>"ABCB10"</f>
        <v>ABCB10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0.90008103209297396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>
      <c r="A2077">
        <v>2169</v>
      </c>
      <c r="B2077" t="s">
        <v>5540</v>
      </c>
      <c r="C2077">
        <v>2</v>
      </c>
      <c r="D2077" t="s">
        <v>5541</v>
      </c>
      <c r="E2077">
        <v>2</v>
      </c>
      <c r="F2077">
        <v>2</v>
      </c>
      <c r="G2077">
        <v>2</v>
      </c>
      <c r="H2077" t="s">
        <v>5542</v>
      </c>
      <c r="I2077">
        <v>7.7</v>
      </c>
      <c r="J2077">
        <v>35.466999999999999</v>
      </c>
      <c r="K2077" t="str">
        <f>"ATG3"</f>
        <v>ATG3</v>
      </c>
      <c r="L2077" t="str">
        <f>"ATG3"</f>
        <v>ATG3</v>
      </c>
      <c r="M2077">
        <v>0</v>
      </c>
      <c r="N2077">
        <v>0.89450172185430499</v>
      </c>
      <c r="O2077">
        <v>0.91194339418818204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>
      <c r="A2078">
        <v>2228</v>
      </c>
      <c r="B2078" t="s">
        <v>5543</v>
      </c>
      <c r="C2078">
        <v>1</v>
      </c>
      <c r="D2078" t="s">
        <v>5544</v>
      </c>
      <c r="E2078">
        <v>2</v>
      </c>
      <c r="F2078">
        <v>2</v>
      </c>
      <c r="G2078">
        <v>2</v>
      </c>
      <c r="H2078" t="s">
        <v>5543</v>
      </c>
      <c r="I2078">
        <v>3.6</v>
      </c>
      <c r="J2078">
        <v>54.488999999999997</v>
      </c>
      <c r="K2078" t="str">
        <f>"DHCR7"</f>
        <v>DHCR7</v>
      </c>
      <c r="L2078" t="str">
        <f>"DHCR7"</f>
        <v>DHCR7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1.1331355704698001</v>
      </c>
      <c r="T2078">
        <v>0</v>
      </c>
      <c r="U2078">
        <v>0</v>
      </c>
      <c r="V2078">
        <v>0</v>
      </c>
      <c r="W2078">
        <v>0</v>
      </c>
      <c r="X2078">
        <v>0</v>
      </c>
    </row>
    <row r="2079" spans="1:24">
      <c r="A2079">
        <v>2247</v>
      </c>
      <c r="B2079" t="s">
        <v>5545</v>
      </c>
      <c r="C2079">
        <v>1</v>
      </c>
      <c r="D2079" t="s">
        <v>5546</v>
      </c>
      <c r="E2079">
        <v>2</v>
      </c>
      <c r="F2079">
        <v>2</v>
      </c>
      <c r="G2079">
        <v>2</v>
      </c>
      <c r="H2079" t="s">
        <v>5545</v>
      </c>
      <c r="I2079">
        <v>5.2</v>
      </c>
      <c r="J2079">
        <v>83.641000000000005</v>
      </c>
      <c r="K2079" t="str">
        <f>"TBK1"</f>
        <v>TBK1</v>
      </c>
      <c r="L2079" t="str">
        <f>"TBK1"</f>
        <v>TBK1</v>
      </c>
      <c r="M2079">
        <v>0</v>
      </c>
      <c r="N2079">
        <v>0</v>
      </c>
      <c r="O2079">
        <v>0.91194339418818204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</row>
    <row r="2080" spans="1:24">
      <c r="A2080">
        <v>2249</v>
      </c>
      <c r="B2080" t="s">
        <v>5547</v>
      </c>
      <c r="C2080">
        <v>2</v>
      </c>
      <c r="D2080" t="s">
        <v>5548</v>
      </c>
      <c r="E2080">
        <v>3</v>
      </c>
      <c r="F2080">
        <v>3</v>
      </c>
      <c r="G2080">
        <v>3</v>
      </c>
      <c r="H2080" t="s">
        <v>5549</v>
      </c>
      <c r="I2080">
        <v>7.1</v>
      </c>
      <c r="J2080">
        <v>56.639000000000003</v>
      </c>
      <c r="K2080" t="str">
        <f>"PCYOX1"</f>
        <v>PCYOX1</v>
      </c>
      <c r="L2080" t="str">
        <f>"PCYOX1"</f>
        <v>PCYOX1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1.1331355704698001</v>
      </c>
      <c r="T2080">
        <v>0</v>
      </c>
      <c r="U2080">
        <v>0</v>
      </c>
      <c r="V2080">
        <v>0</v>
      </c>
      <c r="W2080">
        <v>0</v>
      </c>
      <c r="X2080">
        <v>0</v>
      </c>
    </row>
    <row r="2081" spans="1:24">
      <c r="A2081">
        <v>2257</v>
      </c>
      <c r="B2081" t="s">
        <v>5550</v>
      </c>
      <c r="C2081">
        <v>2</v>
      </c>
      <c r="D2081" t="s">
        <v>5551</v>
      </c>
      <c r="E2081">
        <v>2</v>
      </c>
      <c r="F2081">
        <v>2</v>
      </c>
      <c r="G2081">
        <v>2</v>
      </c>
      <c r="H2081" t="s">
        <v>5552</v>
      </c>
      <c r="I2081">
        <v>33.299999999999997</v>
      </c>
      <c r="J2081">
        <v>7.1730999999999998</v>
      </c>
      <c r="K2081" t="str">
        <f>"NDUFA12"</f>
        <v>NDUFA12</v>
      </c>
      <c r="L2081" t="str">
        <f>"NDUFA12"</f>
        <v>NDUFA12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0.90008103209297396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</row>
    <row r="2082" spans="1:24">
      <c r="A2082">
        <v>2258</v>
      </c>
      <c r="B2082" t="s">
        <v>5553</v>
      </c>
      <c r="C2082">
        <v>2</v>
      </c>
      <c r="D2082" t="s">
        <v>5554</v>
      </c>
      <c r="E2082">
        <v>3</v>
      </c>
      <c r="F2082">
        <v>3</v>
      </c>
      <c r="G2082">
        <v>3</v>
      </c>
      <c r="H2082" t="s">
        <v>5555</v>
      </c>
      <c r="I2082">
        <v>9.6999999999999993</v>
      </c>
      <c r="J2082">
        <v>54.151000000000003</v>
      </c>
      <c r="K2082" t="str">
        <f>"ATP6V1H"</f>
        <v>ATP6V1H</v>
      </c>
      <c r="L2082" t="str">
        <f>"ATP6V1H"</f>
        <v>ATP6V1H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</row>
    <row r="2083" spans="1:24">
      <c r="A2083">
        <v>2301</v>
      </c>
      <c r="B2083" t="s">
        <v>5556</v>
      </c>
      <c r="C2083">
        <v>1</v>
      </c>
      <c r="D2083" t="s">
        <v>5557</v>
      </c>
      <c r="E2083">
        <v>2</v>
      </c>
      <c r="F2083">
        <v>2</v>
      </c>
      <c r="G2083">
        <v>2</v>
      </c>
      <c r="H2083" t="s">
        <v>5556</v>
      </c>
      <c r="I2083">
        <v>2.2000000000000002</v>
      </c>
      <c r="J2083">
        <v>96.722999999999999</v>
      </c>
      <c r="K2083" t="str">
        <f>"PPP6R1"</f>
        <v>PPP6R1</v>
      </c>
      <c r="L2083" t="str">
        <f>"PPP6R1"</f>
        <v>PPP6R1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0.984645710619934</v>
      </c>
    </row>
    <row r="2084" spans="1:24">
      <c r="A2084">
        <v>2384</v>
      </c>
      <c r="B2084" t="s">
        <v>5558</v>
      </c>
      <c r="C2084">
        <v>1</v>
      </c>
      <c r="D2084" t="s">
        <v>5559</v>
      </c>
      <c r="E2084">
        <v>3</v>
      </c>
      <c r="F2084">
        <v>3</v>
      </c>
      <c r="G2084">
        <v>3</v>
      </c>
      <c r="H2084" t="s">
        <v>5558</v>
      </c>
      <c r="I2084">
        <v>12.1</v>
      </c>
      <c r="J2084">
        <v>34.188000000000002</v>
      </c>
      <c r="K2084" t="str">
        <f>"TEX264"</f>
        <v>TEX264</v>
      </c>
      <c r="L2084" t="str">
        <f>"TEX264"</f>
        <v>TEX264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>
      <c r="A2085">
        <v>2386</v>
      </c>
      <c r="B2085" t="s">
        <v>5560</v>
      </c>
      <c r="C2085">
        <v>6</v>
      </c>
      <c r="D2085" t="s">
        <v>5561</v>
      </c>
      <c r="E2085">
        <v>2</v>
      </c>
      <c r="F2085">
        <v>2</v>
      </c>
      <c r="G2085">
        <v>2</v>
      </c>
      <c r="H2085" t="s">
        <v>5562</v>
      </c>
      <c r="I2085">
        <v>4.5</v>
      </c>
      <c r="J2085">
        <v>54.720999999999997</v>
      </c>
      <c r="K2085" t="str">
        <f>"IGF2BP2"</f>
        <v>IGF2BP2</v>
      </c>
      <c r="L2085" t="str">
        <f>"IGF2BP2"</f>
        <v>IGF2BP2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0.90008103209297396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0.984645710619934</v>
      </c>
    </row>
    <row r="2086" spans="1:24">
      <c r="A2086">
        <v>2391</v>
      </c>
      <c r="B2086" t="s">
        <v>5563</v>
      </c>
      <c r="C2086">
        <v>1</v>
      </c>
      <c r="D2086" t="s">
        <v>5564</v>
      </c>
      <c r="E2086">
        <v>3</v>
      </c>
      <c r="F2086">
        <v>3</v>
      </c>
      <c r="G2086">
        <v>3</v>
      </c>
      <c r="H2086" t="s">
        <v>5563</v>
      </c>
      <c r="I2086">
        <v>7.1</v>
      </c>
      <c r="J2086">
        <v>51.640999999999998</v>
      </c>
      <c r="K2086" t="str">
        <f>"ENPP4"</f>
        <v>ENPP4</v>
      </c>
      <c r="L2086" t="str">
        <f>"ENPP4"</f>
        <v>ENPP4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</row>
    <row r="2087" spans="1:24">
      <c r="A2087">
        <v>2</v>
      </c>
      <c r="B2087" t="s">
        <v>5565</v>
      </c>
      <c r="C2087">
        <v>1</v>
      </c>
      <c r="D2087" t="s">
        <v>5566</v>
      </c>
      <c r="E2087">
        <v>5</v>
      </c>
      <c r="F2087">
        <v>1</v>
      </c>
      <c r="G2087">
        <v>1</v>
      </c>
      <c r="H2087" t="s">
        <v>5565</v>
      </c>
      <c r="I2087">
        <v>49.1</v>
      </c>
      <c r="J2087">
        <v>11.303000000000001</v>
      </c>
      <c r="K2087" t="str">
        <f>"IGLC7"</f>
        <v>IGLC7</v>
      </c>
      <c r="L2087" t="str">
        <f>"IGLC7"</f>
        <v>IGLC7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</row>
    <row r="2088" spans="1:24">
      <c r="A2088">
        <v>54</v>
      </c>
      <c r="B2088" t="s">
        <v>5567</v>
      </c>
      <c r="C2088">
        <v>1</v>
      </c>
      <c r="D2088" t="s">
        <v>5568</v>
      </c>
      <c r="E2088">
        <v>1</v>
      </c>
      <c r="F2088">
        <v>1</v>
      </c>
      <c r="G2088">
        <v>1</v>
      </c>
      <c r="H2088" t="s">
        <v>5567</v>
      </c>
      <c r="I2088">
        <v>1.8</v>
      </c>
      <c r="J2088">
        <v>72.453000000000003</v>
      </c>
      <c r="K2088" t="str">
        <f>"GTPBP1"</f>
        <v>GTPBP1</v>
      </c>
      <c r="L2088" t="str">
        <f>"GTPBP1"</f>
        <v>GTPBP1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1.10235831809872</v>
      </c>
      <c r="V2088">
        <v>0</v>
      </c>
      <c r="W2088">
        <v>0</v>
      </c>
      <c r="X2088">
        <v>0</v>
      </c>
    </row>
    <row r="2089" spans="1:24">
      <c r="A2089">
        <v>90</v>
      </c>
      <c r="B2089" t="s">
        <v>5569</v>
      </c>
      <c r="C2089">
        <v>2</v>
      </c>
      <c r="D2089" t="s">
        <v>5570</v>
      </c>
      <c r="E2089">
        <v>1</v>
      </c>
      <c r="F2089">
        <v>1</v>
      </c>
      <c r="G2089">
        <v>1</v>
      </c>
      <c r="H2089" t="s">
        <v>5571</v>
      </c>
      <c r="I2089">
        <v>7.7</v>
      </c>
      <c r="J2089">
        <v>18.623999999999999</v>
      </c>
      <c r="K2089" t="str">
        <f>"CDIPT"</f>
        <v>CDIPT</v>
      </c>
      <c r="L2089" t="str">
        <f>"CDIPT"</f>
        <v>CDIPT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0.984645710619934</v>
      </c>
    </row>
    <row r="2090" spans="1:24">
      <c r="A2090">
        <v>101</v>
      </c>
      <c r="B2090" t="s">
        <v>5572</v>
      </c>
      <c r="C2090">
        <v>3</v>
      </c>
      <c r="D2090" t="s">
        <v>5573</v>
      </c>
      <c r="E2090">
        <v>2</v>
      </c>
      <c r="F2090">
        <v>2</v>
      </c>
      <c r="G2090">
        <v>2</v>
      </c>
      <c r="H2090" t="s">
        <v>5574</v>
      </c>
      <c r="I2090">
        <v>2.4</v>
      </c>
      <c r="J2090">
        <v>79.507999999999996</v>
      </c>
      <c r="K2090" t="str">
        <f>"IKBKB"</f>
        <v>IKBKB</v>
      </c>
      <c r="L2090" t="str">
        <f>"IKBKB"</f>
        <v>IKBKB</v>
      </c>
      <c r="M2090">
        <v>0</v>
      </c>
      <c r="N2090">
        <v>0.89450172185430499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</row>
    <row r="2091" spans="1:24">
      <c r="A2091">
        <v>106</v>
      </c>
      <c r="B2091" t="s">
        <v>5575</v>
      </c>
      <c r="C2091">
        <v>2</v>
      </c>
      <c r="D2091" t="s">
        <v>5576</v>
      </c>
      <c r="E2091">
        <v>2</v>
      </c>
      <c r="F2091">
        <v>2</v>
      </c>
      <c r="G2091">
        <v>2</v>
      </c>
      <c r="H2091" t="s">
        <v>5577</v>
      </c>
      <c r="I2091">
        <v>2.1</v>
      </c>
      <c r="J2091">
        <v>134.46</v>
      </c>
      <c r="K2091" t="str">
        <f>"GAK"</f>
        <v>GAK</v>
      </c>
      <c r="L2091" t="str">
        <f>"GAK"</f>
        <v>GAK</v>
      </c>
      <c r="M2091">
        <v>0</v>
      </c>
      <c r="N2091">
        <v>0.89450172185430499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</row>
    <row r="2092" spans="1:24">
      <c r="A2092">
        <v>112</v>
      </c>
      <c r="B2092" t="s">
        <v>5578</v>
      </c>
      <c r="C2092">
        <v>4</v>
      </c>
      <c r="D2092" t="s">
        <v>5579</v>
      </c>
      <c r="E2092">
        <v>3</v>
      </c>
      <c r="F2092">
        <v>3</v>
      </c>
      <c r="G2092">
        <v>3</v>
      </c>
      <c r="H2092" t="s">
        <v>5580</v>
      </c>
      <c r="I2092">
        <v>5.3</v>
      </c>
      <c r="J2092">
        <v>96.16</v>
      </c>
      <c r="K2092" t="str">
        <f>"ANKRD28"</f>
        <v>ANKRD28</v>
      </c>
      <c r="L2092" t="str">
        <f>"ANKRD28"</f>
        <v>ANKRD28</v>
      </c>
      <c r="M2092">
        <v>0</v>
      </c>
      <c r="N2092">
        <v>0.89450172185430499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</row>
    <row r="2093" spans="1:24">
      <c r="A2093">
        <v>146</v>
      </c>
      <c r="B2093" t="s">
        <v>5581</v>
      </c>
      <c r="C2093">
        <v>4</v>
      </c>
      <c r="D2093" t="s">
        <v>5582</v>
      </c>
      <c r="E2093">
        <v>2</v>
      </c>
      <c r="F2093">
        <v>2</v>
      </c>
      <c r="G2093">
        <v>2</v>
      </c>
      <c r="H2093" t="s">
        <v>5583</v>
      </c>
      <c r="I2093">
        <v>5.3</v>
      </c>
      <c r="J2093">
        <v>53.738999999999997</v>
      </c>
      <c r="K2093" t="str">
        <f>"MAP3K7"</f>
        <v>MAP3K7</v>
      </c>
      <c r="L2093" t="str">
        <f>"MAP3K7"</f>
        <v>MAP3K7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>
      <c r="A2094">
        <v>151</v>
      </c>
      <c r="B2094" t="s">
        <v>5584</v>
      </c>
      <c r="C2094">
        <v>4</v>
      </c>
      <c r="D2094" t="s">
        <v>5585</v>
      </c>
      <c r="E2094">
        <v>1</v>
      </c>
      <c r="F2094">
        <v>1</v>
      </c>
      <c r="G2094">
        <v>1</v>
      </c>
      <c r="H2094" t="s">
        <v>5586</v>
      </c>
      <c r="I2094">
        <v>5.3</v>
      </c>
      <c r="J2094">
        <v>38.493000000000002</v>
      </c>
      <c r="K2094" t="str">
        <f>"HTRA2"</f>
        <v>HTRA2</v>
      </c>
      <c r="L2094" t="str">
        <f>"HTRA2"</f>
        <v>HTRA2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>
      <c r="A2095">
        <v>165</v>
      </c>
      <c r="B2095" t="s">
        <v>5587</v>
      </c>
      <c r="C2095">
        <v>1</v>
      </c>
      <c r="D2095" t="s">
        <v>5588</v>
      </c>
      <c r="E2095">
        <v>1</v>
      </c>
      <c r="F2095">
        <v>1</v>
      </c>
      <c r="G2095">
        <v>1</v>
      </c>
      <c r="H2095" t="s">
        <v>5587</v>
      </c>
      <c r="I2095">
        <v>4.3</v>
      </c>
      <c r="J2095">
        <v>29.175999999999998</v>
      </c>
      <c r="K2095" t="str">
        <f>"STX6"</f>
        <v>STX6</v>
      </c>
      <c r="L2095" t="str">
        <f>"STX6"</f>
        <v>STX6</v>
      </c>
      <c r="M2095">
        <v>0</v>
      </c>
      <c r="N2095">
        <v>0.89450172185430499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</row>
    <row r="2096" spans="1:24">
      <c r="A2096">
        <v>197</v>
      </c>
      <c r="B2096" t="s">
        <v>5589</v>
      </c>
      <c r="C2096">
        <v>1</v>
      </c>
      <c r="D2096" t="s">
        <v>5590</v>
      </c>
      <c r="E2096">
        <v>1</v>
      </c>
      <c r="F2096">
        <v>1</v>
      </c>
      <c r="G2096">
        <v>1</v>
      </c>
      <c r="H2096" t="s">
        <v>5589</v>
      </c>
      <c r="I2096">
        <v>3.5</v>
      </c>
      <c r="J2096">
        <v>70.754999999999995</v>
      </c>
      <c r="K2096" t="str">
        <f>"CCDC22"</f>
        <v>CCDC22</v>
      </c>
      <c r="L2096" t="str">
        <f>"CCDC22"</f>
        <v>CCDC22</v>
      </c>
      <c r="M2096">
        <v>0</v>
      </c>
      <c r="N2096">
        <v>0</v>
      </c>
      <c r="O2096">
        <v>0.91194339418818204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>
      <c r="A2097">
        <v>215</v>
      </c>
      <c r="B2097" t="s">
        <v>5591</v>
      </c>
      <c r="C2097">
        <v>9</v>
      </c>
      <c r="D2097" t="s">
        <v>5592</v>
      </c>
      <c r="E2097">
        <v>14</v>
      </c>
      <c r="F2097">
        <v>1</v>
      </c>
      <c r="G2097">
        <v>1</v>
      </c>
      <c r="H2097" t="s">
        <v>5593</v>
      </c>
      <c r="I2097">
        <v>4.2</v>
      </c>
      <c r="J2097">
        <v>271.41000000000003</v>
      </c>
      <c r="K2097" t="str">
        <f>"FLNB"</f>
        <v>FLNB</v>
      </c>
      <c r="L2097" t="str">
        <f>"FLNB"</f>
        <v>FLNB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</row>
    <row r="2098" spans="1:24">
      <c r="A2098">
        <v>251</v>
      </c>
      <c r="B2098" t="s">
        <v>5594</v>
      </c>
      <c r="C2098">
        <v>1</v>
      </c>
      <c r="D2098" t="s">
        <v>5595</v>
      </c>
      <c r="E2098">
        <v>1</v>
      </c>
      <c r="F2098">
        <v>1</v>
      </c>
      <c r="G2098">
        <v>1</v>
      </c>
      <c r="H2098" t="s">
        <v>5594</v>
      </c>
      <c r="I2098">
        <v>0.4</v>
      </c>
      <c r="J2098">
        <v>339.59</v>
      </c>
      <c r="K2098" t="str">
        <f>"FRYL"</f>
        <v>FRYL</v>
      </c>
      <c r="L2098" t="str">
        <f>"FRYL"</f>
        <v>FRYL</v>
      </c>
      <c r="M2098">
        <v>0</v>
      </c>
      <c r="N2098">
        <v>0.89450172185430499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</row>
    <row r="2099" spans="1:24">
      <c r="A2099">
        <v>270</v>
      </c>
      <c r="B2099" t="s">
        <v>5596</v>
      </c>
      <c r="C2099">
        <v>3</v>
      </c>
      <c r="D2099" t="s">
        <v>5597</v>
      </c>
      <c r="E2099">
        <v>2</v>
      </c>
      <c r="F2099">
        <v>2</v>
      </c>
      <c r="G2099">
        <v>2</v>
      </c>
      <c r="H2099" t="s">
        <v>5598</v>
      </c>
      <c r="I2099">
        <v>1.1000000000000001</v>
      </c>
      <c r="J2099">
        <v>133.63</v>
      </c>
      <c r="K2099" t="str">
        <f>"SEC24B"</f>
        <v>SEC24B</v>
      </c>
      <c r="L2099" t="str">
        <f>"SEC24B"</f>
        <v>SEC24B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</row>
    <row r="2100" spans="1:24">
      <c r="A2100">
        <v>327</v>
      </c>
      <c r="B2100" t="s">
        <v>5599</v>
      </c>
      <c r="C2100">
        <v>1</v>
      </c>
      <c r="D2100" t="s">
        <v>5600</v>
      </c>
      <c r="E2100">
        <v>2</v>
      </c>
      <c r="F2100">
        <v>2</v>
      </c>
      <c r="G2100">
        <v>2</v>
      </c>
      <c r="H2100" t="s">
        <v>5599</v>
      </c>
      <c r="I2100">
        <v>35.700000000000003</v>
      </c>
      <c r="J2100">
        <v>11.006</v>
      </c>
      <c r="K2100" t="str">
        <f>"CSTA"</f>
        <v>CSTA</v>
      </c>
      <c r="L2100" t="str">
        <f>"CSTA"</f>
        <v>CSTA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1.96929142123987</v>
      </c>
    </row>
    <row r="2101" spans="1:24">
      <c r="A2101">
        <v>370</v>
      </c>
      <c r="B2101" t="s">
        <v>5601</v>
      </c>
      <c r="C2101">
        <v>1</v>
      </c>
      <c r="D2101" t="s">
        <v>5602</v>
      </c>
      <c r="E2101">
        <v>2</v>
      </c>
      <c r="F2101">
        <v>1</v>
      </c>
      <c r="G2101">
        <v>1</v>
      </c>
      <c r="H2101" t="s">
        <v>5601</v>
      </c>
      <c r="I2101">
        <v>21.3</v>
      </c>
      <c r="J2101">
        <v>12.622</v>
      </c>
      <c r="K2101" t="s">
        <v>3712</v>
      </c>
      <c r="L2101" t="s">
        <v>3712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1.1331355704698001</v>
      </c>
      <c r="T2101">
        <v>0</v>
      </c>
      <c r="U2101">
        <v>1.10235831809872</v>
      </c>
      <c r="V2101">
        <v>0</v>
      </c>
      <c r="W2101">
        <v>0</v>
      </c>
      <c r="X2101">
        <v>0</v>
      </c>
    </row>
    <row r="2102" spans="1:24">
      <c r="A2102">
        <v>434</v>
      </c>
      <c r="B2102" t="s">
        <v>5603</v>
      </c>
      <c r="C2102">
        <v>1</v>
      </c>
      <c r="D2102" t="s">
        <v>5604</v>
      </c>
      <c r="E2102">
        <v>2</v>
      </c>
      <c r="F2102">
        <v>2</v>
      </c>
      <c r="G2102">
        <v>2</v>
      </c>
      <c r="H2102" t="s">
        <v>5603</v>
      </c>
      <c r="I2102">
        <v>4.0999999999999996</v>
      </c>
      <c r="J2102">
        <v>54.006</v>
      </c>
      <c r="K2102" t="str">
        <f>"MMP1"</f>
        <v>MMP1</v>
      </c>
      <c r="L2102" t="str">
        <f>"MMP1"</f>
        <v>MMP1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</row>
    <row r="2103" spans="1:24">
      <c r="A2103">
        <v>471</v>
      </c>
      <c r="B2103" t="s">
        <v>5605</v>
      </c>
      <c r="C2103">
        <v>3</v>
      </c>
      <c r="D2103" t="s">
        <v>5606</v>
      </c>
      <c r="E2103">
        <v>4</v>
      </c>
      <c r="F2103">
        <v>1</v>
      </c>
      <c r="G2103">
        <v>1</v>
      </c>
      <c r="H2103" t="s">
        <v>5607</v>
      </c>
      <c r="I2103">
        <v>43.1</v>
      </c>
      <c r="J2103">
        <v>14.105</v>
      </c>
      <c r="K2103" t="str">
        <f>"HIST1H2AC;HIST3H2A;HIST1H2AB"</f>
        <v>HIST1H2AC;HIST3H2A;HIST1H2AB</v>
      </c>
      <c r="L2103" t="str">
        <f>"HIST1H2AC;HIST3H2A;HIST1H2AB"</f>
        <v>HIST1H2AC;HIST3H2A;HIST1H2AB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0.90008103209297396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</row>
    <row r="2104" spans="1:24">
      <c r="A2104">
        <v>484</v>
      </c>
      <c r="B2104" t="s">
        <v>5608</v>
      </c>
      <c r="C2104">
        <v>3</v>
      </c>
      <c r="D2104" t="s">
        <v>5609</v>
      </c>
      <c r="E2104">
        <v>2</v>
      </c>
      <c r="F2104">
        <v>2</v>
      </c>
      <c r="G2104">
        <v>2</v>
      </c>
      <c r="H2104" t="s">
        <v>5610</v>
      </c>
      <c r="I2104">
        <v>3.4</v>
      </c>
      <c r="J2104">
        <v>75.001000000000005</v>
      </c>
      <c r="K2104" t="str">
        <f>"PCCA"</f>
        <v>PCCA</v>
      </c>
      <c r="L2104" t="str">
        <f>"PCCA"</f>
        <v>PCCA</v>
      </c>
      <c r="M2104">
        <v>0</v>
      </c>
      <c r="N2104">
        <v>0</v>
      </c>
      <c r="O2104">
        <v>0.91194339418818204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0.984645710619934</v>
      </c>
    </row>
    <row r="2105" spans="1:24">
      <c r="A2105">
        <v>499</v>
      </c>
      <c r="B2105" t="s">
        <v>5611</v>
      </c>
      <c r="C2105">
        <v>1</v>
      </c>
      <c r="D2105" t="s">
        <v>5612</v>
      </c>
      <c r="E2105">
        <v>1</v>
      </c>
      <c r="F2105">
        <v>1</v>
      </c>
      <c r="G2105">
        <v>1</v>
      </c>
      <c r="H2105" t="s">
        <v>5611</v>
      </c>
      <c r="I2105">
        <v>11.7</v>
      </c>
      <c r="J2105">
        <v>14.07</v>
      </c>
      <c r="K2105" t="s">
        <v>476</v>
      </c>
      <c r="L2105" t="s">
        <v>476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</row>
    <row r="2106" spans="1:24">
      <c r="A2106">
        <v>524</v>
      </c>
      <c r="B2106" t="s">
        <v>5613</v>
      </c>
      <c r="C2106">
        <v>2</v>
      </c>
      <c r="D2106" t="s">
        <v>5614</v>
      </c>
      <c r="E2106">
        <v>1</v>
      </c>
      <c r="F2106">
        <v>1</v>
      </c>
      <c r="G2106">
        <v>1</v>
      </c>
      <c r="H2106" t="s">
        <v>5615</v>
      </c>
      <c r="I2106">
        <v>2.1</v>
      </c>
      <c r="J2106">
        <v>86.662000000000006</v>
      </c>
      <c r="K2106" t="str">
        <f>"FES"</f>
        <v>FES</v>
      </c>
      <c r="L2106" t="str">
        <f>"FES"</f>
        <v>FES</v>
      </c>
      <c r="M2106">
        <v>0</v>
      </c>
      <c r="N2106">
        <v>0</v>
      </c>
      <c r="O2106">
        <v>0.91194339418818204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>
      <c r="A2107">
        <v>536</v>
      </c>
      <c r="B2107" t="s">
        <v>5616</v>
      </c>
      <c r="C2107">
        <v>1</v>
      </c>
      <c r="D2107" t="s">
        <v>5617</v>
      </c>
      <c r="E2107">
        <v>1</v>
      </c>
      <c r="F2107">
        <v>1</v>
      </c>
      <c r="G2107">
        <v>1</v>
      </c>
      <c r="H2107" t="s">
        <v>5616</v>
      </c>
      <c r="I2107">
        <v>7.3</v>
      </c>
      <c r="J2107">
        <v>30.004999999999999</v>
      </c>
      <c r="K2107" t="str">
        <f>"BPGM"</f>
        <v>BPGM</v>
      </c>
      <c r="L2107" t="str">
        <f>"BPGM"</f>
        <v>BPGM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0.90008103209297396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>
      <c r="A2108">
        <v>553</v>
      </c>
      <c r="B2108" t="s">
        <v>5618</v>
      </c>
      <c r="C2108">
        <v>1</v>
      </c>
      <c r="D2108" t="s">
        <v>5619</v>
      </c>
      <c r="E2108">
        <v>1</v>
      </c>
      <c r="F2108">
        <v>1</v>
      </c>
      <c r="G2108">
        <v>1</v>
      </c>
      <c r="H2108" t="s">
        <v>5618</v>
      </c>
      <c r="I2108">
        <v>5.6</v>
      </c>
      <c r="J2108">
        <v>28.518000000000001</v>
      </c>
      <c r="K2108" t="str">
        <f>"ELANE"</f>
        <v>ELANE</v>
      </c>
      <c r="L2108" t="str">
        <f>"ELANE"</f>
        <v>ELANE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>
      <c r="A2109">
        <v>567</v>
      </c>
      <c r="B2109" t="s">
        <v>5620</v>
      </c>
      <c r="C2109">
        <v>1</v>
      </c>
      <c r="D2109" t="s">
        <v>5621</v>
      </c>
      <c r="E2109">
        <v>8</v>
      </c>
      <c r="F2109">
        <v>2</v>
      </c>
      <c r="G2109">
        <v>2</v>
      </c>
      <c r="H2109" t="s">
        <v>5620</v>
      </c>
      <c r="I2109">
        <v>22.6</v>
      </c>
      <c r="J2109">
        <v>40.531999999999996</v>
      </c>
      <c r="K2109" t="str">
        <f>"GNAI3"</f>
        <v>GNAI3</v>
      </c>
      <c r="L2109" t="str">
        <f>"GNAI3"</f>
        <v>GNAI3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0.90008103209297396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</row>
    <row r="2110" spans="1:24">
      <c r="A2110">
        <v>573</v>
      </c>
      <c r="B2110" t="s">
        <v>5622</v>
      </c>
      <c r="C2110">
        <v>1</v>
      </c>
      <c r="D2110" t="s">
        <v>5623</v>
      </c>
      <c r="E2110">
        <v>1</v>
      </c>
      <c r="F2110">
        <v>1</v>
      </c>
      <c r="G2110">
        <v>1</v>
      </c>
      <c r="H2110" t="s">
        <v>5622</v>
      </c>
      <c r="I2110">
        <v>2.9</v>
      </c>
      <c r="J2110">
        <v>69.063999999999993</v>
      </c>
      <c r="K2110" t="str">
        <f>"DBH"</f>
        <v>DBH</v>
      </c>
      <c r="L2110" t="str">
        <f>"DBH"</f>
        <v>DBH</v>
      </c>
      <c r="M2110">
        <v>1.2103892752168599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</row>
    <row r="2111" spans="1:24">
      <c r="A2111">
        <v>604</v>
      </c>
      <c r="B2111" t="s">
        <v>5624</v>
      </c>
      <c r="C2111">
        <v>1</v>
      </c>
      <c r="D2111" t="s">
        <v>5625</v>
      </c>
      <c r="E2111">
        <v>3</v>
      </c>
      <c r="F2111">
        <v>2</v>
      </c>
      <c r="G2111">
        <v>2</v>
      </c>
      <c r="H2111" t="s">
        <v>5624</v>
      </c>
      <c r="I2111">
        <v>24.6</v>
      </c>
      <c r="J2111">
        <v>13.526999999999999</v>
      </c>
      <c r="K2111" t="str">
        <f>"SAA2"</f>
        <v>SAA2</v>
      </c>
      <c r="L2111" t="str">
        <f>"SAA2"</f>
        <v>SAA2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2.2662711409396001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>
      <c r="A2112">
        <v>669</v>
      </c>
      <c r="B2112" t="s">
        <v>5626</v>
      </c>
      <c r="C2112">
        <v>2</v>
      </c>
      <c r="D2112" t="s">
        <v>5627</v>
      </c>
      <c r="E2112">
        <v>1</v>
      </c>
      <c r="F2112">
        <v>1</v>
      </c>
      <c r="G2112">
        <v>1</v>
      </c>
      <c r="H2112" t="s">
        <v>5628</v>
      </c>
      <c r="I2112">
        <v>6.6</v>
      </c>
      <c r="J2112">
        <v>23.901</v>
      </c>
      <c r="K2112" t="str">
        <f>"PRG2"</f>
        <v>PRG2</v>
      </c>
      <c r="L2112" t="str">
        <f>"PRG2"</f>
        <v>PRG2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>
      <c r="A2113">
        <v>690</v>
      </c>
      <c r="B2113" t="s">
        <v>5629</v>
      </c>
      <c r="C2113">
        <v>1</v>
      </c>
      <c r="D2113" t="s">
        <v>5630</v>
      </c>
      <c r="E2113">
        <v>3</v>
      </c>
      <c r="F2113">
        <v>1</v>
      </c>
      <c r="G2113">
        <v>1</v>
      </c>
      <c r="H2113" t="s">
        <v>5629</v>
      </c>
      <c r="I2113">
        <v>15.4</v>
      </c>
      <c r="J2113">
        <v>22.763999999999999</v>
      </c>
      <c r="K2113" t="str">
        <f>"MYL6B"</f>
        <v>MYL6B</v>
      </c>
      <c r="L2113" t="str">
        <f>"MYL6B"</f>
        <v>MYL6B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1.1331355704698001</v>
      </c>
      <c r="T2113">
        <v>0</v>
      </c>
      <c r="U2113">
        <v>0</v>
      </c>
      <c r="V2113">
        <v>0</v>
      </c>
      <c r="W2113">
        <v>0</v>
      </c>
      <c r="X2113">
        <v>0.984645710619934</v>
      </c>
    </row>
    <row r="2114" spans="1:24">
      <c r="A2114">
        <v>695</v>
      </c>
      <c r="B2114" t="s">
        <v>5631</v>
      </c>
      <c r="C2114">
        <v>2</v>
      </c>
      <c r="D2114" t="s">
        <v>5632</v>
      </c>
      <c r="E2114">
        <v>2</v>
      </c>
      <c r="F2114">
        <v>2</v>
      </c>
      <c r="G2114">
        <v>2</v>
      </c>
      <c r="H2114" t="s">
        <v>5633</v>
      </c>
      <c r="I2114">
        <v>25.2</v>
      </c>
      <c r="J2114">
        <v>13.53</v>
      </c>
      <c r="K2114" t="str">
        <f>"UQCRB"</f>
        <v>UQCRB</v>
      </c>
      <c r="L2114" t="str">
        <f>"UQCRB"</f>
        <v>UQCRB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2.2662711409396001</v>
      </c>
      <c r="T2114">
        <v>0</v>
      </c>
      <c r="U2114">
        <v>0</v>
      </c>
      <c r="V2114">
        <v>0</v>
      </c>
      <c r="W2114">
        <v>0</v>
      </c>
      <c r="X2114">
        <v>0</v>
      </c>
    </row>
    <row r="2115" spans="1:24">
      <c r="A2115">
        <v>701</v>
      </c>
      <c r="B2115" t="s">
        <v>5634</v>
      </c>
      <c r="C2115">
        <v>2</v>
      </c>
      <c r="D2115" t="s">
        <v>5635</v>
      </c>
      <c r="E2115">
        <v>1</v>
      </c>
      <c r="F2115">
        <v>1</v>
      </c>
      <c r="G2115">
        <v>1</v>
      </c>
      <c r="H2115" t="s">
        <v>5636</v>
      </c>
      <c r="I2115">
        <v>3.1</v>
      </c>
      <c r="J2115">
        <v>42.536999999999999</v>
      </c>
      <c r="K2115" t="str">
        <f>"B4GALT1"</f>
        <v>B4GALT1</v>
      </c>
      <c r="L2115" t="str">
        <f>"B4GALT1"</f>
        <v>B4GALT1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</row>
    <row r="2116" spans="1:24">
      <c r="A2116">
        <v>707</v>
      </c>
      <c r="B2116" t="s">
        <v>5637</v>
      </c>
      <c r="C2116">
        <v>1</v>
      </c>
      <c r="D2116" t="s">
        <v>5638</v>
      </c>
      <c r="E2116">
        <v>2</v>
      </c>
      <c r="F2116">
        <v>2</v>
      </c>
      <c r="G2116">
        <v>2</v>
      </c>
      <c r="H2116" t="s">
        <v>5637</v>
      </c>
      <c r="I2116">
        <v>6.5</v>
      </c>
      <c r="J2116">
        <v>31.324000000000002</v>
      </c>
      <c r="K2116" t="str">
        <f>"RPS2"</f>
        <v>RPS2</v>
      </c>
      <c r="L2116" t="str">
        <f>"RPS2"</f>
        <v>RPS2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</row>
    <row r="2117" spans="1:24">
      <c r="A2117">
        <v>745</v>
      </c>
      <c r="B2117" t="s">
        <v>5639</v>
      </c>
      <c r="C2117">
        <v>1</v>
      </c>
      <c r="D2117" t="s">
        <v>5640</v>
      </c>
      <c r="E2117">
        <v>2</v>
      </c>
      <c r="F2117">
        <v>2</v>
      </c>
      <c r="G2117">
        <v>2</v>
      </c>
      <c r="H2117" t="s">
        <v>5639</v>
      </c>
      <c r="I2117">
        <v>2.7</v>
      </c>
      <c r="J2117">
        <v>76.613</v>
      </c>
      <c r="K2117" t="str">
        <f>"NCL"</f>
        <v>NCL</v>
      </c>
      <c r="L2117" t="str">
        <f>"NCL"</f>
        <v>NCL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0.90008103209297396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</row>
    <row r="2118" spans="1:24">
      <c r="A2118">
        <v>790</v>
      </c>
      <c r="B2118" t="s">
        <v>5641</v>
      </c>
      <c r="C2118">
        <v>9</v>
      </c>
      <c r="D2118" t="s">
        <v>5642</v>
      </c>
      <c r="E2118">
        <v>17</v>
      </c>
      <c r="F2118">
        <v>1</v>
      </c>
      <c r="G2118">
        <v>1</v>
      </c>
      <c r="H2118" t="s">
        <v>5643</v>
      </c>
      <c r="I2118">
        <v>35</v>
      </c>
      <c r="J2118">
        <v>40.622</v>
      </c>
      <c r="K2118" t="str">
        <f>"PRKACB"</f>
        <v>PRKACB</v>
      </c>
      <c r="L2118" t="str">
        <f>"PRKACB"</f>
        <v>PRKACB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>
      <c r="A2119">
        <v>811</v>
      </c>
      <c r="B2119" t="s">
        <v>5644</v>
      </c>
      <c r="C2119">
        <v>1</v>
      </c>
      <c r="D2119" t="s">
        <v>5645</v>
      </c>
      <c r="E2119">
        <v>2</v>
      </c>
      <c r="F2119">
        <v>2</v>
      </c>
      <c r="G2119">
        <v>2</v>
      </c>
      <c r="H2119" t="s">
        <v>5644</v>
      </c>
      <c r="I2119">
        <v>3.9</v>
      </c>
      <c r="J2119">
        <v>82.629000000000005</v>
      </c>
      <c r="K2119" t="str">
        <f>"DGKA"</f>
        <v>DGKA</v>
      </c>
      <c r="L2119" t="str">
        <f>"DGKA"</f>
        <v>DGKA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</row>
    <row r="2120" spans="1:24">
      <c r="A2120">
        <v>836</v>
      </c>
      <c r="B2120" t="s">
        <v>5646</v>
      </c>
      <c r="C2120">
        <v>1</v>
      </c>
      <c r="D2120" t="s">
        <v>5647</v>
      </c>
      <c r="E2120">
        <v>3</v>
      </c>
      <c r="F2120">
        <v>2</v>
      </c>
      <c r="G2120">
        <v>2</v>
      </c>
      <c r="H2120" t="s">
        <v>5646</v>
      </c>
      <c r="I2120">
        <v>17.2</v>
      </c>
      <c r="J2120">
        <v>24.033000000000001</v>
      </c>
      <c r="K2120" t="str">
        <f>"HMGB2"</f>
        <v>HMGB2</v>
      </c>
      <c r="L2120" t="str">
        <f>"HMGB2"</f>
        <v>HMGB2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0.90008103209297396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>
      <c r="A2121">
        <v>848</v>
      </c>
      <c r="B2121" t="s">
        <v>5648</v>
      </c>
      <c r="C2121">
        <v>1</v>
      </c>
      <c r="D2121" t="s">
        <v>5649</v>
      </c>
      <c r="E2121">
        <v>1</v>
      </c>
      <c r="F2121">
        <v>1</v>
      </c>
      <c r="G2121">
        <v>1</v>
      </c>
      <c r="H2121" t="s">
        <v>5648</v>
      </c>
      <c r="I2121">
        <v>6</v>
      </c>
      <c r="J2121">
        <v>35.554000000000002</v>
      </c>
      <c r="K2121" t="str">
        <f>"APEX1"</f>
        <v>APEX1</v>
      </c>
      <c r="L2121" t="str">
        <f>"APEX1"</f>
        <v>APEX1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>
      <c r="A2122">
        <v>862</v>
      </c>
      <c r="B2122" t="s">
        <v>5650</v>
      </c>
      <c r="C2122">
        <v>2</v>
      </c>
      <c r="D2122" t="s">
        <v>5651</v>
      </c>
      <c r="E2122">
        <v>4</v>
      </c>
      <c r="F2122">
        <v>4</v>
      </c>
      <c r="G2122">
        <v>4</v>
      </c>
      <c r="H2122" t="s">
        <v>5652</v>
      </c>
      <c r="I2122">
        <v>7.7</v>
      </c>
      <c r="J2122">
        <v>75.474999999999994</v>
      </c>
      <c r="K2122" t="str">
        <f>"ABCD3"</f>
        <v>ABCD3</v>
      </c>
      <c r="L2122" t="str">
        <f>"ABCD3"</f>
        <v>ABCD3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>
      <c r="A2123">
        <v>875</v>
      </c>
      <c r="B2123" t="s">
        <v>5653</v>
      </c>
      <c r="C2123">
        <v>1</v>
      </c>
      <c r="D2123" t="s">
        <v>5654</v>
      </c>
      <c r="E2123">
        <v>2</v>
      </c>
      <c r="F2123">
        <v>2</v>
      </c>
      <c r="G2123">
        <v>2</v>
      </c>
      <c r="H2123" t="s">
        <v>5653</v>
      </c>
      <c r="I2123">
        <v>7.3</v>
      </c>
      <c r="J2123">
        <v>29.273</v>
      </c>
      <c r="K2123" t="str">
        <f>"CD40LG"</f>
        <v>CD40LG</v>
      </c>
      <c r="L2123" t="str">
        <f>"CD40LG"</f>
        <v>CD40LG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>
      <c r="A2124">
        <v>898</v>
      </c>
      <c r="B2124" t="s">
        <v>5655</v>
      </c>
      <c r="C2124">
        <v>1</v>
      </c>
      <c r="D2124" t="s">
        <v>5656</v>
      </c>
      <c r="E2124">
        <v>19</v>
      </c>
      <c r="F2124">
        <v>2</v>
      </c>
      <c r="G2124">
        <v>2</v>
      </c>
      <c r="H2124" t="s">
        <v>5655</v>
      </c>
      <c r="I2124">
        <v>53</v>
      </c>
      <c r="J2124">
        <v>40.33</v>
      </c>
      <c r="K2124" t="str">
        <f>"HLA-B"</f>
        <v>HLA-B</v>
      </c>
      <c r="L2124" t="str">
        <f>"HLA-B"</f>
        <v>HLA-B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>
      <c r="A2125">
        <v>921</v>
      </c>
      <c r="B2125" t="s">
        <v>5657</v>
      </c>
      <c r="C2125">
        <v>1</v>
      </c>
      <c r="D2125" t="s">
        <v>5658</v>
      </c>
      <c r="E2125">
        <v>7</v>
      </c>
      <c r="F2125">
        <v>2</v>
      </c>
      <c r="G2125">
        <v>2</v>
      </c>
      <c r="H2125" t="s">
        <v>5657</v>
      </c>
      <c r="I2125">
        <v>14.7</v>
      </c>
      <c r="J2125">
        <v>43.072000000000003</v>
      </c>
      <c r="K2125" t="str">
        <f>"PRKAR1B"</f>
        <v>PRKAR1B</v>
      </c>
      <c r="L2125" t="str">
        <f>"PRKAR1B"</f>
        <v>PRKAR1B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>
      <c r="A2126">
        <v>935</v>
      </c>
      <c r="B2126" t="s">
        <v>5659</v>
      </c>
      <c r="C2126">
        <v>1</v>
      </c>
      <c r="D2126" t="s">
        <v>5660</v>
      </c>
      <c r="E2126">
        <v>1</v>
      </c>
      <c r="F2126">
        <v>1</v>
      </c>
      <c r="G2126">
        <v>1</v>
      </c>
      <c r="H2126" t="s">
        <v>5659</v>
      </c>
      <c r="I2126">
        <v>8.6</v>
      </c>
      <c r="J2126">
        <v>11.74</v>
      </c>
      <c r="K2126" t="str">
        <f>"S100A11"</f>
        <v>S100A11</v>
      </c>
      <c r="L2126" t="str">
        <f>"S100A11"</f>
        <v>S100A11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1.27539809638918</v>
      </c>
      <c r="X2126">
        <v>0</v>
      </c>
    </row>
    <row r="2127" spans="1:24">
      <c r="A2127">
        <v>1016</v>
      </c>
      <c r="B2127" t="s">
        <v>5661</v>
      </c>
      <c r="C2127">
        <v>4</v>
      </c>
      <c r="D2127" t="s">
        <v>5662</v>
      </c>
      <c r="E2127">
        <v>2</v>
      </c>
      <c r="F2127">
        <v>2</v>
      </c>
      <c r="G2127">
        <v>2</v>
      </c>
      <c r="H2127" t="s">
        <v>5663</v>
      </c>
      <c r="I2127">
        <v>11.3</v>
      </c>
      <c r="J2127">
        <v>38.737000000000002</v>
      </c>
      <c r="K2127" t="str">
        <f>"TMPO"</f>
        <v>TMPO</v>
      </c>
      <c r="L2127" t="str">
        <f>"TMPO"</f>
        <v>TMPO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0.90008103209297396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>
      <c r="A2128">
        <v>1020</v>
      </c>
      <c r="B2128" t="s">
        <v>5664</v>
      </c>
      <c r="C2128">
        <v>4</v>
      </c>
      <c r="D2128" t="s">
        <v>5665</v>
      </c>
      <c r="E2128">
        <v>2</v>
      </c>
      <c r="F2128">
        <v>2</v>
      </c>
      <c r="G2128">
        <v>2</v>
      </c>
      <c r="H2128" t="s">
        <v>5666</v>
      </c>
      <c r="I2128">
        <v>3</v>
      </c>
      <c r="J2128">
        <v>93.774000000000001</v>
      </c>
      <c r="K2128" t="str">
        <f>"GRIA2"</f>
        <v>GRIA2</v>
      </c>
      <c r="L2128" t="str">
        <f>"GRIA2"</f>
        <v>GRIA2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</row>
    <row r="2129" spans="1:24">
      <c r="A2129">
        <v>1045</v>
      </c>
      <c r="B2129" t="s">
        <v>5667</v>
      </c>
      <c r="C2129">
        <v>2</v>
      </c>
      <c r="D2129" t="s">
        <v>5668</v>
      </c>
      <c r="E2129">
        <v>2</v>
      </c>
      <c r="F2129">
        <v>2</v>
      </c>
      <c r="G2129">
        <v>2</v>
      </c>
      <c r="H2129" t="s">
        <v>5669</v>
      </c>
      <c r="I2129">
        <v>5</v>
      </c>
      <c r="J2129">
        <v>44.286999999999999</v>
      </c>
      <c r="K2129" t="str">
        <f>"MAP2K4"</f>
        <v>MAP2K4</v>
      </c>
      <c r="L2129" t="str">
        <f>"MAP2K4"</f>
        <v>MAP2K4</v>
      </c>
      <c r="M2129">
        <v>0</v>
      </c>
      <c r="N2129">
        <v>0</v>
      </c>
      <c r="O2129">
        <v>0.91194339418818204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</row>
    <row r="2130" spans="1:24">
      <c r="A2130">
        <v>1053</v>
      </c>
      <c r="B2130" t="s">
        <v>5670</v>
      </c>
      <c r="C2130">
        <v>1</v>
      </c>
      <c r="D2130" t="s">
        <v>5671</v>
      </c>
      <c r="E2130">
        <v>5</v>
      </c>
      <c r="F2130">
        <v>3</v>
      </c>
      <c r="G2130">
        <v>3</v>
      </c>
      <c r="H2130" t="s">
        <v>5670</v>
      </c>
      <c r="I2130">
        <v>4.5999999999999996</v>
      </c>
      <c r="J2130">
        <v>189.25</v>
      </c>
      <c r="K2130" t="str">
        <f>"IQGAP1"</f>
        <v>IQGAP1</v>
      </c>
      <c r="L2130" t="str">
        <f>"IQGAP1"</f>
        <v>IQGAP1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0.90008103209297396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</row>
    <row r="2131" spans="1:24">
      <c r="A2131">
        <v>1094</v>
      </c>
      <c r="B2131" t="s">
        <v>5672</v>
      </c>
      <c r="C2131">
        <v>3</v>
      </c>
      <c r="D2131" t="s">
        <v>5673</v>
      </c>
      <c r="E2131">
        <v>1</v>
      </c>
      <c r="F2131">
        <v>1</v>
      </c>
      <c r="G2131">
        <v>1</v>
      </c>
      <c r="H2131" t="s">
        <v>5674</v>
      </c>
      <c r="I2131">
        <v>2.4</v>
      </c>
      <c r="J2131">
        <v>91.058000000000007</v>
      </c>
      <c r="K2131" t="str">
        <f>"MAN2A2"</f>
        <v>MAN2A2</v>
      </c>
      <c r="L2131" t="str">
        <f>"MAN2A2"</f>
        <v>MAN2A2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>
      <c r="A2132">
        <v>1107</v>
      </c>
      <c r="B2132" t="s">
        <v>5675</v>
      </c>
      <c r="C2132">
        <v>2</v>
      </c>
      <c r="D2132" t="s">
        <v>5676</v>
      </c>
      <c r="E2132">
        <v>1</v>
      </c>
      <c r="F2132">
        <v>1</v>
      </c>
      <c r="G2132">
        <v>1</v>
      </c>
      <c r="H2132" t="s">
        <v>5677</v>
      </c>
      <c r="I2132">
        <v>3.4</v>
      </c>
      <c r="J2132">
        <v>65.927999999999997</v>
      </c>
      <c r="K2132" t="str">
        <f>"GMPS"</f>
        <v>GMPS</v>
      </c>
      <c r="L2132" t="str">
        <f>"GMPS"</f>
        <v>GMPS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1.1331355704698001</v>
      </c>
      <c r="T2132">
        <v>0</v>
      </c>
      <c r="U2132">
        <v>0</v>
      </c>
      <c r="V2132">
        <v>1.05063596764157</v>
      </c>
      <c r="W2132">
        <v>0</v>
      </c>
      <c r="X2132">
        <v>0</v>
      </c>
    </row>
    <row r="2133" spans="1:24">
      <c r="A2133">
        <v>1145</v>
      </c>
      <c r="B2133" t="s">
        <v>5678</v>
      </c>
      <c r="C2133">
        <v>1</v>
      </c>
      <c r="D2133" t="s">
        <v>5679</v>
      </c>
      <c r="E2133">
        <v>2</v>
      </c>
      <c r="F2133">
        <v>2</v>
      </c>
      <c r="G2133">
        <v>2</v>
      </c>
      <c r="H2133" t="s">
        <v>5678</v>
      </c>
      <c r="I2133">
        <v>14.5</v>
      </c>
      <c r="J2133">
        <v>20.105</v>
      </c>
      <c r="K2133" t="str">
        <f>"NDUFA8"</f>
        <v>NDUFA8</v>
      </c>
      <c r="L2133" t="str">
        <f>"NDUFA8"</f>
        <v>NDUFA8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>
      <c r="A2134">
        <v>1148</v>
      </c>
      <c r="B2134" t="s">
        <v>5680</v>
      </c>
      <c r="C2134">
        <v>2</v>
      </c>
      <c r="D2134" t="s">
        <v>5681</v>
      </c>
      <c r="E2134">
        <v>2</v>
      </c>
      <c r="F2134">
        <v>2</v>
      </c>
      <c r="G2134">
        <v>2</v>
      </c>
      <c r="H2134" t="s">
        <v>5682</v>
      </c>
      <c r="I2134">
        <v>4.2</v>
      </c>
      <c r="J2134">
        <v>73.62</v>
      </c>
      <c r="K2134" t="str">
        <f>"HNRNPM"</f>
        <v>HNRNPM</v>
      </c>
      <c r="L2134" t="str">
        <f>"HNRNPM"</f>
        <v>HNRNPM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1.8001620641859499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</row>
    <row r="2135" spans="1:24">
      <c r="A2135">
        <v>1170</v>
      </c>
      <c r="B2135" t="s">
        <v>5683</v>
      </c>
      <c r="C2135">
        <v>4</v>
      </c>
      <c r="D2135" t="s">
        <v>5684</v>
      </c>
      <c r="E2135">
        <v>4</v>
      </c>
      <c r="F2135">
        <v>4</v>
      </c>
      <c r="G2135">
        <v>4</v>
      </c>
      <c r="H2135" t="s">
        <v>5685</v>
      </c>
      <c r="I2135">
        <v>5.0999999999999996</v>
      </c>
      <c r="J2135">
        <v>98.918000000000006</v>
      </c>
      <c r="K2135" t="str">
        <f>"SMTN"</f>
        <v>SMTN</v>
      </c>
      <c r="L2135" t="str">
        <f>"SMTN"</f>
        <v>SMTN</v>
      </c>
      <c r="M2135">
        <v>0</v>
      </c>
      <c r="N2135">
        <v>0</v>
      </c>
      <c r="O2135">
        <v>0.91194339418818204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>
      <c r="A2136">
        <v>1181</v>
      </c>
      <c r="B2136" t="s">
        <v>5686</v>
      </c>
      <c r="C2136">
        <v>1</v>
      </c>
      <c r="D2136" t="s">
        <v>5687</v>
      </c>
      <c r="E2136">
        <v>3</v>
      </c>
      <c r="F2136">
        <v>3</v>
      </c>
      <c r="G2136">
        <v>3</v>
      </c>
      <c r="H2136" t="s">
        <v>5686</v>
      </c>
      <c r="I2136">
        <v>8.1</v>
      </c>
      <c r="J2136">
        <v>39.506</v>
      </c>
      <c r="K2136" t="str">
        <f>"ADPRH"</f>
        <v>ADPRH</v>
      </c>
      <c r="L2136" t="str">
        <f>"ADPRH"</f>
        <v>ADPRH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>
      <c r="A2137">
        <v>1196</v>
      </c>
      <c r="B2137" t="s">
        <v>5688</v>
      </c>
      <c r="C2137">
        <v>4</v>
      </c>
      <c r="D2137" t="s">
        <v>5689</v>
      </c>
      <c r="E2137">
        <v>2</v>
      </c>
      <c r="F2137">
        <v>2</v>
      </c>
      <c r="G2137">
        <v>2</v>
      </c>
      <c r="H2137" t="s">
        <v>5690</v>
      </c>
      <c r="I2137">
        <v>6.2</v>
      </c>
      <c r="J2137">
        <v>34.084000000000003</v>
      </c>
      <c r="K2137" t="str">
        <f>"ADK"</f>
        <v>ADK</v>
      </c>
      <c r="L2137" t="str">
        <f>"ADK"</f>
        <v>ADK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>
      <c r="A2138">
        <v>1206</v>
      </c>
      <c r="B2138" t="s">
        <v>5691</v>
      </c>
      <c r="C2138">
        <v>1</v>
      </c>
      <c r="D2138" t="s">
        <v>5692</v>
      </c>
      <c r="E2138">
        <v>2</v>
      </c>
      <c r="F2138">
        <v>2</v>
      </c>
      <c r="G2138">
        <v>2</v>
      </c>
      <c r="H2138" t="s">
        <v>5691</v>
      </c>
      <c r="I2138">
        <v>5.3</v>
      </c>
      <c r="J2138">
        <v>57.646999999999998</v>
      </c>
      <c r="K2138" t="str">
        <f>"SLC37A1"</f>
        <v>SLC37A1</v>
      </c>
      <c r="L2138" t="str">
        <f>"SLC37A1"</f>
        <v>SLC37A1</v>
      </c>
      <c r="M2138">
        <v>0</v>
      </c>
      <c r="N2138">
        <v>0</v>
      </c>
      <c r="O2138">
        <v>0.91194339418818204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1.10235831809872</v>
      </c>
      <c r="V2138">
        <v>0</v>
      </c>
      <c r="W2138">
        <v>0</v>
      </c>
      <c r="X2138">
        <v>0</v>
      </c>
    </row>
    <row r="2139" spans="1:24">
      <c r="A2139">
        <v>1208</v>
      </c>
      <c r="B2139" t="s">
        <v>5693</v>
      </c>
      <c r="C2139">
        <v>4</v>
      </c>
      <c r="D2139" t="s">
        <v>5694</v>
      </c>
      <c r="E2139">
        <v>2</v>
      </c>
      <c r="F2139">
        <v>2</v>
      </c>
      <c r="G2139">
        <v>2</v>
      </c>
      <c r="H2139" t="s">
        <v>5695</v>
      </c>
      <c r="I2139">
        <v>3.6</v>
      </c>
      <c r="J2139">
        <v>91.653999999999996</v>
      </c>
      <c r="K2139" t="str">
        <f>"CORO7"</f>
        <v>CORO7</v>
      </c>
      <c r="L2139" t="str">
        <f>"CORO7"</f>
        <v>CORO7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</row>
    <row r="2140" spans="1:24">
      <c r="A2140">
        <v>1247</v>
      </c>
      <c r="B2140" t="s">
        <v>5696</v>
      </c>
      <c r="C2140">
        <v>1</v>
      </c>
      <c r="D2140" t="s">
        <v>5697</v>
      </c>
      <c r="E2140">
        <v>1</v>
      </c>
      <c r="F2140">
        <v>1</v>
      </c>
      <c r="G2140">
        <v>1</v>
      </c>
      <c r="H2140" t="s">
        <v>5696</v>
      </c>
      <c r="I2140">
        <v>4.2</v>
      </c>
      <c r="J2140">
        <v>52.264000000000003</v>
      </c>
      <c r="K2140" t="str">
        <f>"SEC61A1"</f>
        <v>SEC61A1</v>
      </c>
      <c r="L2140" t="str">
        <f>"SEC61A1"</f>
        <v>SEC61A1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>
      <c r="A2141">
        <v>1294</v>
      </c>
      <c r="B2141" t="s">
        <v>5698</v>
      </c>
      <c r="C2141">
        <v>2</v>
      </c>
      <c r="D2141" t="s">
        <v>5699</v>
      </c>
      <c r="E2141">
        <v>11</v>
      </c>
      <c r="F2141">
        <v>1</v>
      </c>
      <c r="G2141">
        <v>1</v>
      </c>
      <c r="H2141" t="s">
        <v>5700</v>
      </c>
      <c r="I2141">
        <v>49.2</v>
      </c>
      <c r="J2141">
        <v>35.594000000000001</v>
      </c>
      <c r="K2141" t="str">
        <f>"PPP2CA"</f>
        <v>PPP2CA</v>
      </c>
      <c r="L2141" t="str">
        <f>"PPP2CA"</f>
        <v>PPP2CA</v>
      </c>
      <c r="M2141">
        <v>0</v>
      </c>
      <c r="N2141">
        <v>0</v>
      </c>
      <c r="O2141">
        <v>0.91194339418818204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>
      <c r="A2142">
        <v>1320</v>
      </c>
      <c r="B2142" t="s">
        <v>5701</v>
      </c>
      <c r="C2142">
        <v>1</v>
      </c>
      <c r="D2142" t="s">
        <v>5702</v>
      </c>
      <c r="E2142">
        <v>1</v>
      </c>
      <c r="F2142">
        <v>1</v>
      </c>
      <c r="G2142">
        <v>1</v>
      </c>
      <c r="H2142" t="s">
        <v>5701</v>
      </c>
      <c r="I2142">
        <v>9.3000000000000007</v>
      </c>
      <c r="J2142">
        <v>13.087</v>
      </c>
      <c r="K2142" t="s">
        <v>890</v>
      </c>
      <c r="L2142" t="s">
        <v>890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</row>
    <row r="2143" spans="1:24">
      <c r="A2143">
        <v>1327</v>
      </c>
      <c r="B2143" t="s">
        <v>5703</v>
      </c>
      <c r="C2143">
        <v>2</v>
      </c>
      <c r="D2143" t="s">
        <v>5704</v>
      </c>
      <c r="E2143">
        <v>2</v>
      </c>
      <c r="F2143">
        <v>2</v>
      </c>
      <c r="G2143">
        <v>2</v>
      </c>
      <c r="H2143" t="s">
        <v>5705</v>
      </c>
      <c r="I2143">
        <v>2.5</v>
      </c>
      <c r="J2143">
        <v>105.02</v>
      </c>
      <c r="K2143" t="str">
        <f>"ARHGAP4"</f>
        <v>ARHGAP4</v>
      </c>
      <c r="L2143" t="str">
        <f>"ARHGAP4"</f>
        <v>ARHGAP4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</row>
    <row r="2144" spans="1:24">
      <c r="A2144">
        <v>1397</v>
      </c>
      <c r="B2144" t="s">
        <v>5706</v>
      </c>
      <c r="C2144">
        <v>1</v>
      </c>
      <c r="D2144" t="s">
        <v>5707</v>
      </c>
      <c r="E2144">
        <v>2</v>
      </c>
      <c r="F2144">
        <v>2</v>
      </c>
      <c r="G2144">
        <v>2</v>
      </c>
      <c r="H2144" t="s">
        <v>5706</v>
      </c>
      <c r="I2144">
        <v>5.4</v>
      </c>
      <c r="J2144">
        <v>36.378999999999998</v>
      </c>
      <c r="K2144" t="str">
        <f>"FGL1"</f>
        <v>FGL1</v>
      </c>
      <c r="L2144" t="str">
        <f>"FGL1"</f>
        <v>FGL1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0.90008103209297396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</row>
    <row r="2145" spans="1:24">
      <c r="A2145">
        <v>1398</v>
      </c>
      <c r="B2145" t="s">
        <v>5708</v>
      </c>
      <c r="C2145">
        <v>2</v>
      </c>
      <c r="D2145" t="s">
        <v>5709</v>
      </c>
      <c r="E2145">
        <v>2</v>
      </c>
      <c r="F2145">
        <v>2</v>
      </c>
      <c r="G2145">
        <v>2</v>
      </c>
      <c r="H2145" t="s">
        <v>5710</v>
      </c>
      <c r="I2145">
        <v>4.2</v>
      </c>
      <c r="J2145">
        <v>87.971999999999994</v>
      </c>
      <c r="K2145" t="str">
        <f>"VAC14"</f>
        <v>VAC14</v>
      </c>
      <c r="L2145" t="str">
        <f>"VAC14"</f>
        <v>VAC14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0.984645710619934</v>
      </c>
    </row>
    <row r="2146" spans="1:24">
      <c r="A2146">
        <v>1402</v>
      </c>
      <c r="B2146" t="s">
        <v>5711</v>
      </c>
      <c r="C2146">
        <v>1</v>
      </c>
      <c r="D2146" t="s">
        <v>5712</v>
      </c>
      <c r="E2146">
        <v>30</v>
      </c>
      <c r="F2146">
        <v>1</v>
      </c>
      <c r="G2146">
        <v>1</v>
      </c>
      <c r="H2146" t="s">
        <v>5711</v>
      </c>
      <c r="I2146">
        <v>38.200000000000003</v>
      </c>
      <c r="J2146">
        <v>79.361000000000004</v>
      </c>
      <c r="K2146" t="str">
        <f>"NEXN"</f>
        <v>NEXN</v>
      </c>
      <c r="L2146" t="str">
        <f>"NEXN"</f>
        <v>NEXN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</row>
    <row r="2147" spans="1:24">
      <c r="A2147">
        <v>1429</v>
      </c>
      <c r="B2147" t="s">
        <v>5713</v>
      </c>
      <c r="C2147">
        <v>2</v>
      </c>
      <c r="D2147" t="s">
        <v>5714</v>
      </c>
      <c r="E2147">
        <v>3</v>
      </c>
      <c r="F2147">
        <v>3</v>
      </c>
      <c r="G2147">
        <v>3</v>
      </c>
      <c r="H2147" t="s">
        <v>5715</v>
      </c>
      <c r="I2147">
        <v>9.4</v>
      </c>
      <c r="J2147">
        <v>44.738999999999997</v>
      </c>
      <c r="K2147" t="str">
        <f>"TARDBP"</f>
        <v>TARDBP</v>
      </c>
      <c r="L2147" t="str">
        <f>"TARDBP"</f>
        <v>TARDBP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0.984645710619934</v>
      </c>
    </row>
    <row r="2148" spans="1:24">
      <c r="A2148">
        <v>1480</v>
      </c>
      <c r="B2148" t="s">
        <v>5716</v>
      </c>
      <c r="C2148">
        <v>1</v>
      </c>
      <c r="D2148" t="s">
        <v>5717</v>
      </c>
      <c r="E2148">
        <v>1</v>
      </c>
      <c r="F2148">
        <v>1</v>
      </c>
      <c r="G2148">
        <v>1</v>
      </c>
      <c r="H2148" t="s">
        <v>5716</v>
      </c>
      <c r="I2148">
        <v>1.7</v>
      </c>
      <c r="J2148">
        <v>97.44</v>
      </c>
      <c r="K2148" t="str">
        <f>"DAG1"</f>
        <v>DAG1</v>
      </c>
      <c r="L2148" t="str">
        <f>"DAG1"</f>
        <v>DAG1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0.90008103209297396</v>
      </c>
      <c r="S2148">
        <v>0</v>
      </c>
      <c r="T2148">
        <v>0</v>
      </c>
      <c r="U2148">
        <v>0</v>
      </c>
      <c r="V2148">
        <v>1.05063596764157</v>
      </c>
      <c r="W2148">
        <v>0</v>
      </c>
      <c r="X2148">
        <v>0</v>
      </c>
    </row>
    <row r="2149" spans="1:24">
      <c r="A2149">
        <v>1484</v>
      </c>
      <c r="B2149" t="s">
        <v>5718</v>
      </c>
      <c r="C2149">
        <v>3</v>
      </c>
      <c r="D2149" t="s">
        <v>5719</v>
      </c>
      <c r="E2149">
        <v>2</v>
      </c>
      <c r="F2149">
        <v>2</v>
      </c>
      <c r="G2149">
        <v>2</v>
      </c>
      <c r="H2149" t="s">
        <v>5720</v>
      </c>
      <c r="I2149">
        <v>4.5999999999999996</v>
      </c>
      <c r="J2149">
        <v>87.578999999999994</v>
      </c>
      <c r="K2149" t="str">
        <f>"EFR3A"</f>
        <v>EFR3A</v>
      </c>
      <c r="L2149" t="str">
        <f>"EFR3A"</f>
        <v>EFR3A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0.984645710619934</v>
      </c>
    </row>
    <row r="2150" spans="1:24">
      <c r="A2150">
        <v>1532</v>
      </c>
      <c r="B2150" t="s">
        <v>5721</v>
      </c>
      <c r="C2150">
        <v>2</v>
      </c>
      <c r="D2150" t="s">
        <v>5722</v>
      </c>
      <c r="E2150">
        <v>2</v>
      </c>
      <c r="F2150">
        <v>2</v>
      </c>
      <c r="G2150">
        <v>2</v>
      </c>
      <c r="H2150" t="s">
        <v>5723</v>
      </c>
      <c r="I2150">
        <v>3.5</v>
      </c>
      <c r="J2150">
        <v>68.046999999999997</v>
      </c>
      <c r="K2150" t="str">
        <f>"KARS"</f>
        <v>KARS</v>
      </c>
      <c r="L2150" t="str">
        <f>"KARS"</f>
        <v>KARS</v>
      </c>
      <c r="M2150">
        <v>0</v>
      </c>
      <c r="N2150">
        <v>0</v>
      </c>
      <c r="O2150">
        <v>0.91194339418818204</v>
      </c>
      <c r="P2150">
        <v>0</v>
      </c>
      <c r="Q2150">
        <v>0</v>
      </c>
      <c r="R2150">
        <v>0.90008103209297396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</row>
    <row r="2151" spans="1:24">
      <c r="A2151">
        <v>1574</v>
      </c>
      <c r="B2151" t="s">
        <v>5724</v>
      </c>
      <c r="C2151">
        <v>1</v>
      </c>
      <c r="D2151" t="s">
        <v>5725</v>
      </c>
      <c r="E2151">
        <v>6</v>
      </c>
      <c r="F2151">
        <v>2</v>
      </c>
      <c r="G2151">
        <v>2</v>
      </c>
      <c r="H2151" t="s">
        <v>5724</v>
      </c>
      <c r="I2151">
        <v>46.2</v>
      </c>
      <c r="J2151">
        <v>16.363</v>
      </c>
      <c r="K2151" t="str">
        <f>"UBE2V2"</f>
        <v>UBE2V2</v>
      </c>
      <c r="L2151" t="str">
        <f>"UBE2V2"</f>
        <v>UBE2V2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1.18448996772836</v>
      </c>
      <c r="U2151">
        <v>0</v>
      </c>
      <c r="V2151">
        <v>0</v>
      </c>
      <c r="W2151">
        <v>0</v>
      </c>
      <c r="X2151">
        <v>0</v>
      </c>
    </row>
    <row r="2152" spans="1:24">
      <c r="A2152">
        <v>1582</v>
      </c>
      <c r="B2152" t="s">
        <v>5726</v>
      </c>
      <c r="C2152">
        <v>1</v>
      </c>
      <c r="D2152" t="s">
        <v>5727</v>
      </c>
      <c r="E2152">
        <v>3</v>
      </c>
      <c r="F2152">
        <v>3</v>
      </c>
      <c r="G2152">
        <v>3</v>
      </c>
      <c r="H2152" t="s">
        <v>5726</v>
      </c>
      <c r="I2152">
        <v>7.6</v>
      </c>
      <c r="J2152">
        <v>53.29</v>
      </c>
      <c r="K2152" t="str">
        <f>"CCDC6"</f>
        <v>CCDC6</v>
      </c>
      <c r="L2152" t="str">
        <f>"CCDC6"</f>
        <v>CCDC6</v>
      </c>
      <c r="M2152">
        <v>0</v>
      </c>
      <c r="N2152">
        <v>0.89450172185430499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>
      <c r="A2153">
        <v>1607</v>
      </c>
      <c r="B2153" t="s">
        <v>5728</v>
      </c>
      <c r="C2153">
        <v>1</v>
      </c>
      <c r="D2153" t="s">
        <v>5729</v>
      </c>
      <c r="E2153">
        <v>2</v>
      </c>
      <c r="F2153">
        <v>2</v>
      </c>
      <c r="G2153">
        <v>2</v>
      </c>
      <c r="H2153" t="s">
        <v>5728</v>
      </c>
      <c r="I2153">
        <v>2.1</v>
      </c>
      <c r="J2153">
        <v>79.894999999999996</v>
      </c>
      <c r="K2153" t="str">
        <f>"EXOC3L4"</f>
        <v>EXOC3L4</v>
      </c>
      <c r="L2153" t="str">
        <f>"EXOC3L4"</f>
        <v>EXOC3L4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</row>
    <row r="2154" spans="1:24">
      <c r="A2154">
        <v>1618</v>
      </c>
      <c r="B2154" t="s">
        <v>5730</v>
      </c>
      <c r="C2154">
        <v>1</v>
      </c>
      <c r="D2154" t="s">
        <v>5731</v>
      </c>
      <c r="E2154">
        <v>1</v>
      </c>
      <c r="F2154">
        <v>1</v>
      </c>
      <c r="G2154">
        <v>1</v>
      </c>
      <c r="H2154" t="s">
        <v>5730</v>
      </c>
      <c r="I2154">
        <v>11.9</v>
      </c>
      <c r="J2154">
        <v>11.353999999999999</v>
      </c>
      <c r="K2154" t="str">
        <f>"VMA21"</f>
        <v>VMA21</v>
      </c>
      <c r="L2154" t="str">
        <f>"VMA21"</f>
        <v>VMA21</v>
      </c>
      <c r="M2154">
        <v>0</v>
      </c>
      <c r="N2154">
        <v>0</v>
      </c>
      <c r="O2154">
        <v>0</v>
      </c>
      <c r="P2154">
        <v>1.0652189274447901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</row>
    <row r="2155" spans="1:24">
      <c r="A2155">
        <v>1642</v>
      </c>
      <c r="B2155" t="s">
        <v>5732</v>
      </c>
      <c r="C2155">
        <v>4</v>
      </c>
      <c r="D2155" t="s">
        <v>5733</v>
      </c>
      <c r="E2155">
        <v>1</v>
      </c>
      <c r="F2155">
        <v>1</v>
      </c>
      <c r="G2155">
        <v>1</v>
      </c>
      <c r="H2155" t="s">
        <v>5734</v>
      </c>
      <c r="I2155">
        <v>9.8000000000000007</v>
      </c>
      <c r="J2155">
        <v>19.084</v>
      </c>
      <c r="K2155" t="str">
        <f>"HYI"</f>
        <v>HYI</v>
      </c>
      <c r="L2155" t="str">
        <f>"HYI"</f>
        <v>HYI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</row>
    <row r="2156" spans="1:24">
      <c r="A2156">
        <v>1650</v>
      </c>
      <c r="B2156" t="s">
        <v>5735</v>
      </c>
      <c r="C2156">
        <v>1</v>
      </c>
      <c r="D2156" t="s">
        <v>5736</v>
      </c>
      <c r="E2156">
        <v>2</v>
      </c>
      <c r="F2156">
        <v>2</v>
      </c>
      <c r="G2156">
        <v>2</v>
      </c>
      <c r="H2156" t="s">
        <v>5735</v>
      </c>
      <c r="I2156">
        <v>4.2</v>
      </c>
      <c r="J2156">
        <v>84.257000000000005</v>
      </c>
      <c r="K2156" t="str">
        <f>"PIK3R6"</f>
        <v>PIK3R6</v>
      </c>
      <c r="L2156" t="str">
        <f>"PIK3R6"</f>
        <v>PIK3R6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</row>
    <row r="2157" spans="1:24">
      <c r="A2157">
        <v>1661</v>
      </c>
      <c r="B2157" t="s">
        <v>5737</v>
      </c>
      <c r="C2157">
        <v>8</v>
      </c>
      <c r="D2157" t="s">
        <v>5738</v>
      </c>
      <c r="E2157">
        <v>2</v>
      </c>
      <c r="F2157">
        <v>2</v>
      </c>
      <c r="G2157">
        <v>2</v>
      </c>
      <c r="H2157" t="s">
        <v>5739</v>
      </c>
      <c r="I2157">
        <v>2.2000000000000002</v>
      </c>
      <c r="J2157">
        <v>136.54</v>
      </c>
      <c r="K2157" t="str">
        <f>"FAM21C;FAM21A"</f>
        <v>FAM21C;FAM21A</v>
      </c>
      <c r="L2157" t="str">
        <f>"FAM21C;FAM21A"</f>
        <v>FAM21C;FAM21A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</row>
    <row r="2158" spans="1:24">
      <c r="A2158">
        <v>1667</v>
      </c>
      <c r="B2158" t="s">
        <v>5740</v>
      </c>
      <c r="C2158">
        <v>2</v>
      </c>
      <c r="D2158" t="s">
        <v>5741</v>
      </c>
      <c r="E2158">
        <v>1</v>
      </c>
      <c r="F2158">
        <v>1</v>
      </c>
      <c r="G2158">
        <v>1</v>
      </c>
      <c r="H2158" t="s">
        <v>5742</v>
      </c>
      <c r="I2158">
        <v>6</v>
      </c>
      <c r="J2158">
        <v>32.212000000000003</v>
      </c>
      <c r="K2158" t="str">
        <f>"CIAPIN1"</f>
        <v>CIAPIN1</v>
      </c>
      <c r="L2158" t="str">
        <f>"CIAPIN1"</f>
        <v>CIAPIN1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</row>
    <row r="2159" spans="1:24">
      <c r="A2159">
        <v>1674</v>
      </c>
      <c r="B2159" t="s">
        <v>5743</v>
      </c>
      <c r="C2159">
        <v>2</v>
      </c>
      <c r="D2159" t="s">
        <v>5744</v>
      </c>
      <c r="E2159">
        <v>2</v>
      </c>
      <c r="F2159">
        <v>2</v>
      </c>
      <c r="G2159">
        <v>2</v>
      </c>
      <c r="H2159" t="s">
        <v>5745</v>
      </c>
      <c r="I2159">
        <v>16</v>
      </c>
      <c r="J2159">
        <v>11.298999999999999</v>
      </c>
      <c r="K2159" t="str">
        <f>"RCSD1"</f>
        <v>RCSD1</v>
      </c>
      <c r="L2159" t="str">
        <f>"RCSD1"</f>
        <v>RCSD1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</row>
    <row r="2160" spans="1:24">
      <c r="A2160">
        <v>1678</v>
      </c>
      <c r="B2160" t="s">
        <v>5746</v>
      </c>
      <c r="C2160">
        <v>2</v>
      </c>
      <c r="D2160" t="s">
        <v>5747</v>
      </c>
      <c r="E2160">
        <v>1</v>
      </c>
      <c r="F2160">
        <v>1</v>
      </c>
      <c r="G2160">
        <v>1</v>
      </c>
      <c r="H2160" t="s">
        <v>5748</v>
      </c>
      <c r="I2160">
        <v>2</v>
      </c>
      <c r="J2160">
        <v>109.73</v>
      </c>
      <c r="K2160" t="str">
        <f>"EDC4"</f>
        <v>EDC4</v>
      </c>
      <c r="L2160" t="str">
        <f>"EDC4"</f>
        <v>EDC4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</row>
    <row r="2161" spans="1:24">
      <c r="A2161">
        <v>1682</v>
      </c>
      <c r="B2161" t="s">
        <v>5749</v>
      </c>
      <c r="C2161">
        <v>5</v>
      </c>
      <c r="D2161" t="s">
        <v>5750</v>
      </c>
      <c r="E2161">
        <v>1</v>
      </c>
      <c r="F2161">
        <v>1</v>
      </c>
      <c r="G2161">
        <v>1</v>
      </c>
      <c r="H2161" t="s">
        <v>5751</v>
      </c>
      <c r="I2161">
        <v>2.6</v>
      </c>
      <c r="J2161">
        <v>47.73</v>
      </c>
      <c r="K2161" t="str">
        <f>"PDXDC1;PDXDC2P"</f>
        <v>PDXDC1;PDXDC2P</v>
      </c>
      <c r="L2161" t="str">
        <f>"PDXDC1;PDXDC2P"</f>
        <v>PDXDC1;PDXDC2P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0.90008103209297396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</row>
    <row r="2162" spans="1:24">
      <c r="A2162">
        <v>1701</v>
      </c>
      <c r="B2162" t="s">
        <v>5752</v>
      </c>
      <c r="C2162">
        <v>2</v>
      </c>
      <c r="D2162" t="s">
        <v>5753</v>
      </c>
      <c r="E2162">
        <v>2</v>
      </c>
      <c r="F2162">
        <v>2</v>
      </c>
      <c r="G2162">
        <v>2</v>
      </c>
      <c r="H2162" t="s">
        <v>5754</v>
      </c>
      <c r="I2162">
        <v>5.5</v>
      </c>
      <c r="J2162">
        <v>49.451999999999998</v>
      </c>
      <c r="K2162" t="str">
        <f>"TMPPE"</f>
        <v>TMPPE</v>
      </c>
      <c r="L2162" t="str">
        <f>"TMPPE"</f>
        <v>TMPPE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</row>
    <row r="2163" spans="1:24">
      <c r="A2163">
        <v>1702</v>
      </c>
      <c r="B2163" t="s">
        <v>5755</v>
      </c>
      <c r="C2163">
        <v>1</v>
      </c>
      <c r="D2163" t="s">
        <v>5756</v>
      </c>
      <c r="E2163">
        <v>2</v>
      </c>
      <c r="F2163">
        <v>2</v>
      </c>
      <c r="G2163">
        <v>2</v>
      </c>
      <c r="H2163" t="s">
        <v>5755</v>
      </c>
      <c r="I2163">
        <v>3.2</v>
      </c>
      <c r="J2163">
        <v>136.76</v>
      </c>
      <c r="K2163" t="str">
        <f>"KIAA1211"</f>
        <v>KIAA1211</v>
      </c>
      <c r="L2163" t="str">
        <f>"KIAA1211"</f>
        <v>KIAA1211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</row>
    <row r="2164" spans="1:24">
      <c r="A2164">
        <v>1715</v>
      </c>
      <c r="B2164" t="s">
        <v>5757</v>
      </c>
      <c r="C2164">
        <v>2</v>
      </c>
      <c r="D2164" t="s">
        <v>5758</v>
      </c>
      <c r="E2164">
        <v>1</v>
      </c>
      <c r="F2164">
        <v>1</v>
      </c>
      <c r="G2164">
        <v>1</v>
      </c>
      <c r="H2164" t="s">
        <v>5759</v>
      </c>
      <c r="I2164">
        <v>5.6</v>
      </c>
      <c r="J2164">
        <v>18.98</v>
      </c>
      <c r="K2164" t="str">
        <f>"ASRGL1"</f>
        <v>ASRGL1</v>
      </c>
      <c r="L2164" t="str">
        <f>"ASRGL1"</f>
        <v>ASRGL1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0.90008103209297396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</row>
    <row r="2165" spans="1:24">
      <c r="A2165">
        <v>1726</v>
      </c>
      <c r="B2165" t="s">
        <v>5760</v>
      </c>
      <c r="C2165">
        <v>5</v>
      </c>
      <c r="D2165" t="s">
        <v>5761</v>
      </c>
      <c r="E2165">
        <v>3</v>
      </c>
      <c r="F2165">
        <v>3</v>
      </c>
      <c r="G2165">
        <v>3</v>
      </c>
      <c r="H2165" t="s">
        <v>5762</v>
      </c>
      <c r="I2165">
        <v>5.9</v>
      </c>
      <c r="J2165">
        <v>61.058</v>
      </c>
      <c r="K2165" t="str">
        <f>"C14orf159"</f>
        <v>C14orf159</v>
      </c>
      <c r="L2165" t="str">
        <f>"C14orf159"</f>
        <v>C14orf159</v>
      </c>
      <c r="M2165">
        <v>0</v>
      </c>
      <c r="N2165">
        <v>0</v>
      </c>
      <c r="O2165">
        <v>0.91194339418818204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</row>
    <row r="2166" spans="1:24">
      <c r="A2166">
        <v>1735</v>
      </c>
      <c r="B2166" t="s">
        <v>5763</v>
      </c>
      <c r="C2166">
        <v>3</v>
      </c>
      <c r="D2166" t="s">
        <v>5764</v>
      </c>
      <c r="E2166">
        <v>2</v>
      </c>
      <c r="F2166">
        <v>2</v>
      </c>
      <c r="G2166">
        <v>2</v>
      </c>
      <c r="H2166" t="s">
        <v>5765</v>
      </c>
      <c r="I2166">
        <v>2.8</v>
      </c>
      <c r="J2166">
        <v>98.262</v>
      </c>
      <c r="K2166" t="str">
        <f>"DPP9"</f>
        <v>DPP9</v>
      </c>
      <c r="L2166" t="str">
        <f>"DPP9"</f>
        <v>DPP9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0.90008103209297396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>
      <c r="A2167">
        <v>1750</v>
      </c>
      <c r="B2167" t="s">
        <v>5766</v>
      </c>
      <c r="C2167">
        <v>3</v>
      </c>
      <c r="D2167" t="s">
        <v>5767</v>
      </c>
      <c r="E2167">
        <v>1</v>
      </c>
      <c r="F2167">
        <v>1</v>
      </c>
      <c r="G2167">
        <v>1</v>
      </c>
      <c r="H2167" t="s">
        <v>5768</v>
      </c>
      <c r="I2167">
        <v>1.3</v>
      </c>
      <c r="J2167">
        <v>141.86000000000001</v>
      </c>
      <c r="K2167" t="str">
        <f>"RALGAPB"</f>
        <v>RALGAPB</v>
      </c>
      <c r="L2167" t="str">
        <f>"RALGAPB"</f>
        <v>RALGAPB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>
      <c r="A2168">
        <v>1751</v>
      </c>
      <c r="B2168" t="s">
        <v>5769</v>
      </c>
      <c r="C2168">
        <v>5</v>
      </c>
      <c r="D2168" t="s">
        <v>5770</v>
      </c>
      <c r="E2168">
        <v>2</v>
      </c>
      <c r="F2168">
        <v>2</v>
      </c>
      <c r="G2168">
        <v>2</v>
      </c>
      <c r="H2168" t="s">
        <v>5771</v>
      </c>
      <c r="I2168">
        <v>5.8</v>
      </c>
      <c r="J2168">
        <v>31.858000000000001</v>
      </c>
      <c r="K2168" t="str">
        <f>"NIT1"</f>
        <v>NIT1</v>
      </c>
      <c r="L2168" t="str">
        <f>"NIT1"</f>
        <v>NIT1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</row>
    <row r="2169" spans="1:24">
      <c r="A2169">
        <v>1755</v>
      </c>
      <c r="B2169" t="s">
        <v>5772</v>
      </c>
      <c r="C2169">
        <v>3</v>
      </c>
      <c r="D2169" t="s">
        <v>5773</v>
      </c>
      <c r="E2169">
        <v>2</v>
      </c>
      <c r="F2169">
        <v>2</v>
      </c>
      <c r="G2169">
        <v>2</v>
      </c>
      <c r="H2169" t="s">
        <v>5774</v>
      </c>
      <c r="I2169">
        <v>2.8</v>
      </c>
      <c r="J2169">
        <v>63.335000000000001</v>
      </c>
      <c r="K2169" t="str">
        <f>"ZGRF1"</f>
        <v>ZGRF1</v>
      </c>
      <c r="L2169" t="str">
        <f>"ZGRF1"</f>
        <v>ZGRF1</v>
      </c>
      <c r="M2169">
        <v>1.2103892752168599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>
      <c r="A2170">
        <v>1773</v>
      </c>
      <c r="B2170" t="s">
        <v>5775</v>
      </c>
      <c r="C2170">
        <v>2</v>
      </c>
      <c r="D2170" t="s">
        <v>5776</v>
      </c>
      <c r="E2170">
        <v>1</v>
      </c>
      <c r="F2170">
        <v>1</v>
      </c>
      <c r="G2170">
        <v>1</v>
      </c>
      <c r="H2170" t="s">
        <v>5777</v>
      </c>
      <c r="I2170">
        <v>1.9</v>
      </c>
      <c r="J2170">
        <v>69.156000000000006</v>
      </c>
      <c r="K2170" t="str">
        <f>"KIAA2013"</f>
        <v>KIAA2013</v>
      </c>
      <c r="L2170" t="str">
        <f>"KIAA2013"</f>
        <v>KIAA2013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</row>
    <row r="2171" spans="1:24">
      <c r="A2171">
        <v>1780</v>
      </c>
      <c r="B2171" t="s">
        <v>5778</v>
      </c>
      <c r="C2171">
        <v>2</v>
      </c>
      <c r="D2171" t="s">
        <v>5779</v>
      </c>
      <c r="E2171">
        <v>3</v>
      </c>
      <c r="F2171">
        <v>3</v>
      </c>
      <c r="G2171">
        <v>3</v>
      </c>
      <c r="H2171" t="s">
        <v>5780</v>
      </c>
      <c r="I2171">
        <v>15.5</v>
      </c>
      <c r="J2171">
        <v>23.757000000000001</v>
      </c>
      <c r="K2171" t="str">
        <f>"FAM177A1"</f>
        <v>FAM177A1</v>
      </c>
      <c r="L2171" t="str">
        <f>"FAM177A1"</f>
        <v>FAM177A1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</row>
    <row r="2172" spans="1:24">
      <c r="A2172">
        <v>1805</v>
      </c>
      <c r="B2172" t="s">
        <v>5781</v>
      </c>
      <c r="C2172">
        <v>4</v>
      </c>
      <c r="D2172" t="s">
        <v>5782</v>
      </c>
      <c r="E2172">
        <v>2</v>
      </c>
      <c r="F2172">
        <v>2</v>
      </c>
      <c r="G2172">
        <v>2</v>
      </c>
      <c r="H2172" t="s">
        <v>5783</v>
      </c>
      <c r="I2172">
        <v>3.4</v>
      </c>
      <c r="J2172">
        <v>73.730999999999995</v>
      </c>
      <c r="K2172" t="str">
        <f>"DAGLB"</f>
        <v>DAGLB</v>
      </c>
      <c r="L2172" t="str">
        <f>"DAGLB"</f>
        <v>DAGLB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</row>
    <row r="2173" spans="1:24">
      <c r="A2173">
        <v>1825</v>
      </c>
      <c r="B2173" t="s">
        <v>5784</v>
      </c>
      <c r="C2173">
        <v>1</v>
      </c>
      <c r="D2173" t="s">
        <v>5785</v>
      </c>
      <c r="E2173">
        <v>1</v>
      </c>
      <c r="F2173">
        <v>1</v>
      </c>
      <c r="G2173">
        <v>1</v>
      </c>
      <c r="H2173" t="s">
        <v>5784</v>
      </c>
      <c r="I2173">
        <v>9.6999999999999993</v>
      </c>
      <c r="J2173">
        <v>31.468</v>
      </c>
      <c r="K2173" t="str">
        <f>"TMEM163"</f>
        <v>TMEM163</v>
      </c>
      <c r="L2173" t="str">
        <f>"TMEM163"</f>
        <v>TMEM163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1.05063596764157</v>
      </c>
      <c r="W2173">
        <v>0</v>
      </c>
      <c r="X2173">
        <v>0</v>
      </c>
    </row>
    <row r="2174" spans="1:24">
      <c r="A2174">
        <v>1829</v>
      </c>
      <c r="B2174" t="s">
        <v>5786</v>
      </c>
      <c r="C2174">
        <v>4</v>
      </c>
      <c r="D2174" t="s">
        <v>5787</v>
      </c>
      <c r="E2174">
        <v>2</v>
      </c>
      <c r="F2174">
        <v>2</v>
      </c>
      <c r="G2174">
        <v>2</v>
      </c>
      <c r="H2174" t="s">
        <v>5788</v>
      </c>
      <c r="I2174">
        <v>10.1</v>
      </c>
      <c r="J2174">
        <v>36.813000000000002</v>
      </c>
      <c r="K2174" t="str">
        <f>"HM13"</f>
        <v>HM13</v>
      </c>
      <c r="L2174" t="str">
        <f>"HM13"</f>
        <v>HM13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</row>
    <row r="2175" spans="1:24">
      <c r="A2175">
        <v>1838</v>
      </c>
      <c r="B2175" t="s">
        <v>5789</v>
      </c>
      <c r="C2175">
        <v>1</v>
      </c>
      <c r="D2175" t="s">
        <v>5790</v>
      </c>
      <c r="E2175">
        <v>2</v>
      </c>
      <c r="F2175">
        <v>2</v>
      </c>
      <c r="G2175">
        <v>2</v>
      </c>
      <c r="H2175" t="s">
        <v>5789</v>
      </c>
      <c r="I2175">
        <v>13.5</v>
      </c>
      <c r="J2175">
        <v>33.981000000000002</v>
      </c>
      <c r="K2175" t="str">
        <f>"GIPC3"</f>
        <v>GIPC3</v>
      </c>
      <c r="L2175" t="str">
        <f>"GIPC3"</f>
        <v>GIPC3</v>
      </c>
      <c r="M2175">
        <v>0</v>
      </c>
      <c r="N2175">
        <v>0.89450172185430499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>
      <c r="A2176">
        <v>1845</v>
      </c>
      <c r="B2176" t="s">
        <v>5791</v>
      </c>
      <c r="C2176">
        <v>1</v>
      </c>
      <c r="D2176" t="s">
        <v>5792</v>
      </c>
      <c r="E2176">
        <v>1</v>
      </c>
      <c r="F2176">
        <v>1</v>
      </c>
      <c r="G2176">
        <v>1</v>
      </c>
      <c r="H2176" t="s">
        <v>5791</v>
      </c>
      <c r="I2176">
        <v>1.6</v>
      </c>
      <c r="J2176">
        <v>65.263999999999996</v>
      </c>
      <c r="K2176" t="str">
        <f>"SNX33"</f>
        <v>SNX33</v>
      </c>
      <c r="L2176" t="str">
        <f>"SNX33"</f>
        <v>SNX33</v>
      </c>
      <c r="M2176">
        <v>0</v>
      </c>
      <c r="N2176">
        <v>0</v>
      </c>
      <c r="O2176">
        <v>0.91194339418818204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</row>
    <row r="2177" spans="1:24">
      <c r="A2177">
        <v>1849</v>
      </c>
      <c r="B2177" t="s">
        <v>5793</v>
      </c>
      <c r="C2177">
        <v>2</v>
      </c>
      <c r="D2177" t="s">
        <v>5794</v>
      </c>
      <c r="E2177">
        <v>2</v>
      </c>
      <c r="F2177">
        <v>2</v>
      </c>
      <c r="G2177">
        <v>2</v>
      </c>
      <c r="H2177" t="s">
        <v>5795</v>
      </c>
      <c r="I2177">
        <v>1.7</v>
      </c>
      <c r="J2177">
        <v>126.78</v>
      </c>
      <c r="K2177" t="str">
        <f>"CASKIN2"</f>
        <v>CASKIN2</v>
      </c>
      <c r="L2177" t="str">
        <f>"CASKIN2"</f>
        <v>CASKIN2</v>
      </c>
      <c r="M2177">
        <v>0</v>
      </c>
      <c r="N2177">
        <v>0</v>
      </c>
      <c r="O2177">
        <v>0</v>
      </c>
      <c r="P2177">
        <v>1.0652189274447901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</row>
    <row r="2178" spans="1:24">
      <c r="A2178">
        <v>1857</v>
      </c>
      <c r="B2178" t="s">
        <v>5796</v>
      </c>
      <c r="C2178">
        <v>1</v>
      </c>
      <c r="D2178" t="s">
        <v>5797</v>
      </c>
      <c r="E2178">
        <v>1</v>
      </c>
      <c r="F2178">
        <v>1</v>
      </c>
      <c r="G2178">
        <v>1</v>
      </c>
      <c r="H2178" t="s">
        <v>5796</v>
      </c>
      <c r="I2178">
        <v>3</v>
      </c>
      <c r="J2178">
        <v>50.116999999999997</v>
      </c>
      <c r="K2178" t="str">
        <f>"SLC39A7"</f>
        <v>SLC39A7</v>
      </c>
      <c r="L2178" t="str">
        <f>"SLC39A7"</f>
        <v>SLC39A7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>
      <c r="A2179">
        <v>1863</v>
      </c>
      <c r="B2179" t="s">
        <v>5798</v>
      </c>
      <c r="C2179">
        <v>1</v>
      </c>
      <c r="D2179" t="s">
        <v>5799</v>
      </c>
      <c r="E2179">
        <v>1</v>
      </c>
      <c r="F2179">
        <v>1</v>
      </c>
      <c r="G2179">
        <v>1</v>
      </c>
      <c r="H2179" t="s">
        <v>5798</v>
      </c>
      <c r="I2179">
        <v>3.1</v>
      </c>
      <c r="J2179">
        <v>56.777000000000001</v>
      </c>
      <c r="K2179" t="str">
        <f>"UBXN4"</f>
        <v>UBXN4</v>
      </c>
      <c r="L2179" t="str">
        <f>"UBXN4"</f>
        <v>UBXN4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>
      <c r="A2180">
        <v>1916</v>
      </c>
      <c r="B2180" t="s">
        <v>5800</v>
      </c>
      <c r="C2180">
        <v>3</v>
      </c>
      <c r="D2180" t="s">
        <v>5801</v>
      </c>
      <c r="E2180">
        <v>2</v>
      </c>
      <c r="F2180">
        <v>2</v>
      </c>
      <c r="G2180">
        <v>2</v>
      </c>
      <c r="H2180" t="s">
        <v>5802</v>
      </c>
      <c r="I2180">
        <v>8.3000000000000007</v>
      </c>
      <c r="J2180">
        <v>26.696999999999999</v>
      </c>
      <c r="K2180" t="str">
        <f>"EFHD2;EFHD1"</f>
        <v>EFHD2;EFHD1</v>
      </c>
      <c r="L2180" t="str">
        <f>"EFHD2;EFHD1"</f>
        <v>EFHD2;EFHD1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0.90008103209297396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</row>
    <row r="2181" spans="1:24">
      <c r="A2181">
        <v>1926</v>
      </c>
      <c r="B2181" t="s">
        <v>5803</v>
      </c>
      <c r="C2181">
        <v>3</v>
      </c>
      <c r="D2181" t="s">
        <v>5804</v>
      </c>
      <c r="E2181">
        <v>2</v>
      </c>
      <c r="F2181">
        <v>2</v>
      </c>
      <c r="G2181">
        <v>2</v>
      </c>
      <c r="H2181" t="s">
        <v>5805</v>
      </c>
      <c r="I2181">
        <v>3</v>
      </c>
      <c r="J2181">
        <v>103.78</v>
      </c>
      <c r="K2181" t="str">
        <f>"FAM120B"</f>
        <v>FAM120B</v>
      </c>
      <c r="L2181" t="str">
        <f>"FAM120B"</f>
        <v>FAM120B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0.90008103209297396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0.984645710619934</v>
      </c>
    </row>
    <row r="2182" spans="1:24">
      <c r="A2182">
        <v>1938</v>
      </c>
      <c r="B2182" t="s">
        <v>5806</v>
      </c>
      <c r="C2182">
        <v>2</v>
      </c>
      <c r="D2182" t="s">
        <v>5807</v>
      </c>
      <c r="E2182">
        <v>4</v>
      </c>
      <c r="F2182">
        <v>4</v>
      </c>
      <c r="G2182">
        <v>4</v>
      </c>
      <c r="H2182" t="s">
        <v>5808</v>
      </c>
      <c r="I2182">
        <v>16.3</v>
      </c>
      <c r="J2182">
        <v>32.003999999999998</v>
      </c>
      <c r="K2182" t="str">
        <f>"PGAM5"</f>
        <v>PGAM5</v>
      </c>
      <c r="L2182" t="str">
        <f>"PGAM5"</f>
        <v>PGAM5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</row>
    <row r="2183" spans="1:24">
      <c r="A2183">
        <v>1939</v>
      </c>
      <c r="B2183" t="s">
        <v>5809</v>
      </c>
      <c r="C2183">
        <v>2</v>
      </c>
      <c r="D2183" t="s">
        <v>5810</v>
      </c>
      <c r="E2183">
        <v>1</v>
      </c>
      <c r="F2183">
        <v>1</v>
      </c>
      <c r="G2183">
        <v>1</v>
      </c>
      <c r="H2183" t="s">
        <v>5811</v>
      </c>
      <c r="I2183">
        <v>4.5</v>
      </c>
      <c r="J2183">
        <v>35.475000000000001</v>
      </c>
      <c r="K2183" t="str">
        <f>"DDRGK1"</f>
        <v>DDRGK1</v>
      </c>
      <c r="L2183" t="str">
        <f>"DDRGK1"</f>
        <v>DDRGK1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</row>
    <row r="2184" spans="1:24">
      <c r="A2184">
        <v>1943</v>
      </c>
      <c r="B2184" t="s">
        <v>5812</v>
      </c>
      <c r="C2184">
        <v>3</v>
      </c>
      <c r="D2184" t="s">
        <v>5813</v>
      </c>
      <c r="E2184">
        <v>1</v>
      </c>
      <c r="F2184">
        <v>1</v>
      </c>
      <c r="G2184">
        <v>1</v>
      </c>
      <c r="H2184" t="s">
        <v>5814</v>
      </c>
      <c r="I2184">
        <v>2</v>
      </c>
      <c r="J2184">
        <v>86.497</v>
      </c>
      <c r="K2184" t="str">
        <f>"ITCH"</f>
        <v>ITCH</v>
      </c>
      <c r="L2184" t="str">
        <f>"ITCH"</f>
        <v>ITCH</v>
      </c>
      <c r="M2184">
        <v>0</v>
      </c>
      <c r="N2184">
        <v>0.89450172185430499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0.984645710619934</v>
      </c>
    </row>
    <row r="2185" spans="1:24">
      <c r="A2185">
        <v>1945</v>
      </c>
      <c r="B2185" t="s">
        <v>5815</v>
      </c>
      <c r="C2185">
        <v>2</v>
      </c>
      <c r="D2185" t="s">
        <v>5816</v>
      </c>
      <c r="E2185">
        <v>2</v>
      </c>
      <c r="F2185">
        <v>2</v>
      </c>
      <c r="G2185">
        <v>2</v>
      </c>
      <c r="H2185" t="s">
        <v>5817</v>
      </c>
      <c r="I2185">
        <v>2.9</v>
      </c>
      <c r="J2185">
        <v>100.77</v>
      </c>
      <c r="K2185" t="str">
        <f>"VPS39"</f>
        <v>VPS39</v>
      </c>
      <c r="L2185" t="str">
        <f>"VPS39"</f>
        <v>VPS39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</row>
    <row r="2186" spans="1:24">
      <c r="A2186">
        <v>1946</v>
      </c>
      <c r="B2186" t="s">
        <v>5818</v>
      </c>
      <c r="C2186">
        <v>1</v>
      </c>
      <c r="D2186" t="s">
        <v>5819</v>
      </c>
      <c r="E2186">
        <v>1</v>
      </c>
      <c r="F2186">
        <v>1</v>
      </c>
      <c r="G2186">
        <v>1</v>
      </c>
      <c r="H2186" t="s">
        <v>5818</v>
      </c>
      <c r="I2186">
        <v>1.3</v>
      </c>
      <c r="J2186">
        <v>134.32</v>
      </c>
      <c r="K2186" t="str">
        <f>"VCPIP1"</f>
        <v>VCPIP1</v>
      </c>
      <c r="L2186" t="str">
        <f>"VCPIP1"</f>
        <v>VCPIP1</v>
      </c>
      <c r="M2186">
        <v>0</v>
      </c>
      <c r="N2186">
        <v>0.89450172185430499</v>
      </c>
      <c r="O2186">
        <v>0.91194339418818204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</row>
    <row r="2187" spans="1:24">
      <c r="A2187">
        <v>1963</v>
      </c>
      <c r="B2187" t="s">
        <v>5820</v>
      </c>
      <c r="C2187">
        <v>3</v>
      </c>
      <c r="D2187" t="s">
        <v>5821</v>
      </c>
      <c r="E2187">
        <v>2</v>
      </c>
      <c r="F2187">
        <v>2</v>
      </c>
      <c r="G2187">
        <v>2</v>
      </c>
      <c r="H2187" t="s">
        <v>5822</v>
      </c>
      <c r="I2187">
        <v>2.4</v>
      </c>
      <c r="J2187">
        <v>127.61</v>
      </c>
      <c r="K2187" t="str">
        <f>"TRAPPC9"</f>
        <v>TRAPPC9</v>
      </c>
      <c r="L2187" t="str">
        <f>"TRAPPC9"</f>
        <v>TRAPPC9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</row>
    <row r="2188" spans="1:24">
      <c r="A2188">
        <v>1973</v>
      </c>
      <c r="B2188" t="s">
        <v>5823</v>
      </c>
      <c r="C2188">
        <v>2</v>
      </c>
      <c r="D2188" t="s">
        <v>5824</v>
      </c>
      <c r="E2188">
        <v>2</v>
      </c>
      <c r="F2188">
        <v>2</v>
      </c>
      <c r="G2188">
        <v>2</v>
      </c>
      <c r="H2188" t="s">
        <v>5825</v>
      </c>
      <c r="I2188">
        <v>4.8</v>
      </c>
      <c r="J2188">
        <v>50.473999999999997</v>
      </c>
      <c r="K2188" t="str">
        <f>"CRBN"</f>
        <v>CRBN</v>
      </c>
      <c r="L2188" t="str">
        <f>"CRBN"</f>
        <v>CRBN</v>
      </c>
      <c r="M2188">
        <v>0</v>
      </c>
      <c r="N2188">
        <v>0.89450172185430499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</row>
    <row r="2189" spans="1:24">
      <c r="A2189">
        <v>2005</v>
      </c>
      <c r="B2189" t="s">
        <v>5826</v>
      </c>
      <c r="C2189">
        <v>2</v>
      </c>
      <c r="D2189" t="s">
        <v>5827</v>
      </c>
      <c r="E2189">
        <v>2</v>
      </c>
      <c r="F2189">
        <v>2</v>
      </c>
      <c r="G2189">
        <v>2</v>
      </c>
      <c r="H2189" t="s">
        <v>5828</v>
      </c>
      <c r="I2189">
        <v>8.8000000000000007</v>
      </c>
      <c r="J2189">
        <v>38.475000000000001</v>
      </c>
      <c r="K2189" t="str">
        <f>"PTPN18"</f>
        <v>PTPN18</v>
      </c>
      <c r="L2189" t="str">
        <f>"PTPN18"</f>
        <v>PTPN18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>
      <c r="A2190">
        <v>2014</v>
      </c>
      <c r="B2190" t="s">
        <v>5829</v>
      </c>
      <c r="C2190">
        <v>1</v>
      </c>
      <c r="D2190" t="s">
        <v>5830</v>
      </c>
      <c r="E2190">
        <v>2</v>
      </c>
      <c r="F2190">
        <v>2</v>
      </c>
      <c r="G2190">
        <v>2</v>
      </c>
      <c r="H2190" t="s">
        <v>5829</v>
      </c>
      <c r="I2190">
        <v>8.6</v>
      </c>
      <c r="J2190">
        <v>35.548000000000002</v>
      </c>
      <c r="K2190" t="str">
        <f>"CPPED1"</f>
        <v>CPPED1</v>
      </c>
      <c r="L2190" t="str">
        <f>"CPPED1"</f>
        <v>CPPED1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>
      <c r="A2191">
        <v>2023</v>
      </c>
      <c r="B2191" t="s">
        <v>5831</v>
      </c>
      <c r="C2191">
        <v>1</v>
      </c>
      <c r="D2191" t="s">
        <v>5832</v>
      </c>
      <c r="E2191">
        <v>1</v>
      </c>
      <c r="F2191">
        <v>1</v>
      </c>
      <c r="G2191">
        <v>1</v>
      </c>
      <c r="H2191" t="s">
        <v>5831</v>
      </c>
      <c r="I2191">
        <v>4.7</v>
      </c>
      <c r="J2191">
        <v>47.524000000000001</v>
      </c>
      <c r="K2191" t="str">
        <f>"C16orf70"</f>
        <v>C16orf70</v>
      </c>
      <c r="L2191" t="str">
        <f>"C16orf70"</f>
        <v>C16orf70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</row>
    <row r="2192" spans="1:24">
      <c r="A2192">
        <v>2034</v>
      </c>
      <c r="B2192" t="s">
        <v>5833</v>
      </c>
      <c r="C2192">
        <v>1</v>
      </c>
      <c r="D2192" t="s">
        <v>5834</v>
      </c>
      <c r="E2192">
        <v>24</v>
      </c>
      <c r="F2192">
        <v>2</v>
      </c>
      <c r="G2192">
        <v>0</v>
      </c>
      <c r="H2192" t="s">
        <v>5833</v>
      </c>
      <c r="I2192">
        <v>60</v>
      </c>
      <c r="J2192">
        <v>49.953000000000003</v>
      </c>
      <c r="K2192" t="str">
        <f>"TUBB2B"</f>
        <v>TUBB2B</v>
      </c>
      <c r="L2192" t="str">
        <f>"TUBB2B"</f>
        <v>TUBB2B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1.27539809638918</v>
      </c>
      <c r="X2192">
        <v>0.984645710619934</v>
      </c>
    </row>
    <row r="2193" spans="1:24">
      <c r="A2193">
        <v>2058</v>
      </c>
      <c r="B2193" t="s">
        <v>5835</v>
      </c>
      <c r="C2193">
        <v>11</v>
      </c>
      <c r="D2193" t="s">
        <v>5836</v>
      </c>
      <c r="E2193">
        <v>3</v>
      </c>
      <c r="F2193">
        <v>3</v>
      </c>
      <c r="G2193">
        <v>2</v>
      </c>
      <c r="H2193" t="s">
        <v>5837</v>
      </c>
      <c r="I2193">
        <v>3.8</v>
      </c>
      <c r="J2193">
        <v>96.748999999999995</v>
      </c>
      <c r="K2193" t="str">
        <f>"PRKD2;CDKL1;CDKL3;CDKL2;PRKD3;PRKD1;CDKL5;STK36"</f>
        <v>PRKD2;CDKL1;CDKL3;CDKL2;PRKD3;PRKD1;CDKL5;STK36</v>
      </c>
      <c r="L2193" t="str">
        <f>"PRKD2;CDKL1;CDKL3;CDKL2;PRKD3;PRKD1;CDKL5;STK36"</f>
        <v>PRKD2;CDKL1;CDKL3;CDKL2;PRKD3;PRKD1;CDKL5;STK36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</row>
    <row r="2194" spans="1:24">
      <c r="A2194">
        <v>2092</v>
      </c>
      <c r="B2194" t="s">
        <v>5838</v>
      </c>
      <c r="C2194">
        <v>3</v>
      </c>
      <c r="D2194" t="s">
        <v>5839</v>
      </c>
      <c r="E2194">
        <v>2</v>
      </c>
      <c r="F2194">
        <v>2</v>
      </c>
      <c r="G2194">
        <v>2</v>
      </c>
      <c r="H2194" t="s">
        <v>5840</v>
      </c>
      <c r="I2194">
        <v>8.4</v>
      </c>
      <c r="J2194">
        <v>27.353999999999999</v>
      </c>
      <c r="K2194" t="str">
        <f>"C11orf68"</f>
        <v>C11orf68</v>
      </c>
      <c r="L2194" t="str">
        <f>"C11orf68"</f>
        <v>C11orf68</v>
      </c>
      <c r="M2194">
        <v>0</v>
      </c>
      <c r="N2194">
        <v>0</v>
      </c>
      <c r="O2194">
        <v>0.91194339418818204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</row>
    <row r="2195" spans="1:24">
      <c r="A2195">
        <v>2117</v>
      </c>
      <c r="B2195" t="s">
        <v>5841</v>
      </c>
      <c r="C2195">
        <v>3</v>
      </c>
      <c r="D2195" t="s">
        <v>5842</v>
      </c>
      <c r="E2195">
        <v>2</v>
      </c>
      <c r="F2195">
        <v>2</v>
      </c>
      <c r="G2195">
        <v>2</v>
      </c>
      <c r="H2195" t="s">
        <v>5843</v>
      </c>
      <c r="I2195">
        <v>7.1</v>
      </c>
      <c r="J2195">
        <v>38.244</v>
      </c>
      <c r="K2195" t="str">
        <f>"COG4"</f>
        <v>COG4</v>
      </c>
      <c r="L2195" t="str">
        <f>"COG4"</f>
        <v>COG4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</row>
    <row r="2196" spans="1:24">
      <c r="A2196">
        <v>2125</v>
      </c>
      <c r="B2196" t="s">
        <v>5844</v>
      </c>
      <c r="C2196">
        <v>2</v>
      </c>
      <c r="D2196" t="s">
        <v>5845</v>
      </c>
      <c r="E2196">
        <v>1</v>
      </c>
      <c r="F2196">
        <v>1</v>
      </c>
      <c r="G2196">
        <v>1</v>
      </c>
      <c r="H2196" t="s">
        <v>5846</v>
      </c>
      <c r="I2196">
        <v>7.7</v>
      </c>
      <c r="J2196">
        <v>28.431999999999999</v>
      </c>
      <c r="K2196" t="str">
        <f>"TMEM165"</f>
        <v>TMEM165</v>
      </c>
      <c r="L2196" t="str">
        <f>"TMEM165"</f>
        <v>TMEM165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</row>
    <row r="2197" spans="1:24">
      <c r="A2197">
        <v>2132</v>
      </c>
      <c r="B2197" t="s">
        <v>5847</v>
      </c>
      <c r="C2197">
        <v>2</v>
      </c>
      <c r="D2197" t="s">
        <v>5848</v>
      </c>
      <c r="E2197">
        <v>3</v>
      </c>
      <c r="F2197">
        <v>3</v>
      </c>
      <c r="G2197">
        <v>3</v>
      </c>
      <c r="H2197" t="s">
        <v>5849</v>
      </c>
      <c r="I2197">
        <v>2.7</v>
      </c>
      <c r="J2197">
        <v>121.11</v>
      </c>
      <c r="K2197" t="str">
        <f>"ATP13A1"</f>
        <v>ATP13A1</v>
      </c>
      <c r="L2197" t="str">
        <f>"ATP13A1"</f>
        <v>ATP13A1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</row>
    <row r="2198" spans="1:24">
      <c r="A2198">
        <v>2163</v>
      </c>
      <c r="B2198" t="s">
        <v>5850</v>
      </c>
      <c r="C2198">
        <v>2</v>
      </c>
      <c r="D2198" t="s">
        <v>5851</v>
      </c>
      <c r="E2198">
        <v>2</v>
      </c>
      <c r="F2198">
        <v>2</v>
      </c>
      <c r="G2198">
        <v>2</v>
      </c>
      <c r="H2198" t="s">
        <v>5852</v>
      </c>
      <c r="I2198">
        <v>13.6</v>
      </c>
      <c r="J2198">
        <v>20.91</v>
      </c>
      <c r="K2198" t="str">
        <f>"DUSP22"</f>
        <v>DUSP22</v>
      </c>
      <c r="L2198" t="str">
        <f>"DUSP22"</f>
        <v>DUSP22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1.1331355704698001</v>
      </c>
      <c r="T2198">
        <v>0</v>
      </c>
      <c r="U2198">
        <v>1.10235831809872</v>
      </c>
      <c r="V2198">
        <v>0</v>
      </c>
      <c r="W2198">
        <v>0</v>
      </c>
      <c r="X2198">
        <v>0</v>
      </c>
    </row>
    <row r="2199" spans="1:24">
      <c r="A2199">
        <v>2205</v>
      </c>
      <c r="B2199" t="s">
        <v>5853</v>
      </c>
      <c r="C2199">
        <v>2</v>
      </c>
      <c r="D2199" t="s">
        <v>5854</v>
      </c>
      <c r="E2199">
        <v>2</v>
      </c>
      <c r="F2199">
        <v>2</v>
      </c>
      <c r="G2199">
        <v>1</v>
      </c>
      <c r="H2199" t="s">
        <v>5855</v>
      </c>
      <c r="I2199">
        <v>7.1</v>
      </c>
      <c r="J2199">
        <v>56.451999999999998</v>
      </c>
      <c r="K2199" t="str">
        <f>"UBP1"</f>
        <v>UBP1</v>
      </c>
      <c r="L2199" t="str">
        <f>"UBP1"</f>
        <v>UBP1</v>
      </c>
      <c r="M2199">
        <v>0</v>
      </c>
      <c r="N2199">
        <v>0.89450172185430499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1.10235831809872</v>
      </c>
      <c r="V2199">
        <v>0</v>
      </c>
      <c r="W2199">
        <v>0</v>
      </c>
      <c r="X2199">
        <v>0</v>
      </c>
    </row>
    <row r="2200" spans="1:24">
      <c r="A2200">
        <v>2237</v>
      </c>
      <c r="B2200" t="s">
        <v>5856</v>
      </c>
      <c r="C2200">
        <v>2</v>
      </c>
      <c r="D2200" t="s">
        <v>5857</v>
      </c>
      <c r="E2200">
        <v>3</v>
      </c>
      <c r="F2200">
        <v>3</v>
      </c>
      <c r="G2200">
        <v>3</v>
      </c>
      <c r="H2200" t="s">
        <v>5858</v>
      </c>
      <c r="I2200">
        <v>21.6</v>
      </c>
      <c r="J2200">
        <v>19.809999999999999</v>
      </c>
      <c r="K2200" t="str">
        <f>"VTI1B"</f>
        <v>VTI1B</v>
      </c>
      <c r="L2200" t="str">
        <f>"VTI1B"</f>
        <v>VTI1B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1.1331355704698001</v>
      </c>
      <c r="T2200">
        <v>0</v>
      </c>
      <c r="U2200">
        <v>0</v>
      </c>
      <c r="V2200">
        <v>0</v>
      </c>
      <c r="W2200">
        <v>0</v>
      </c>
      <c r="X2200">
        <v>0</v>
      </c>
    </row>
    <row r="2201" spans="1:24">
      <c r="A2201">
        <v>2238</v>
      </c>
      <c r="B2201" t="s">
        <v>5859</v>
      </c>
      <c r="C2201">
        <v>2</v>
      </c>
      <c r="D2201" t="s">
        <v>5860</v>
      </c>
      <c r="E2201">
        <v>6</v>
      </c>
      <c r="F2201">
        <v>2</v>
      </c>
      <c r="G2201">
        <v>2</v>
      </c>
      <c r="H2201" t="s">
        <v>5861</v>
      </c>
      <c r="I2201">
        <v>11.8</v>
      </c>
      <c r="J2201">
        <v>57.936999999999998</v>
      </c>
      <c r="K2201" t="str">
        <f>"STK39"</f>
        <v>STK39</v>
      </c>
      <c r="L2201" t="str">
        <f>"STK39"</f>
        <v>STK39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0.984645710619934</v>
      </c>
    </row>
    <row r="2202" spans="1:24">
      <c r="A2202">
        <v>2250</v>
      </c>
      <c r="B2202" t="s">
        <v>5862</v>
      </c>
      <c r="C2202">
        <v>1</v>
      </c>
      <c r="D2202" t="s">
        <v>5863</v>
      </c>
      <c r="E2202">
        <v>2</v>
      </c>
      <c r="F2202">
        <v>2</v>
      </c>
      <c r="G2202">
        <v>2</v>
      </c>
      <c r="H2202" t="s">
        <v>5862</v>
      </c>
      <c r="I2202">
        <v>6.9</v>
      </c>
      <c r="J2202">
        <v>51.49</v>
      </c>
      <c r="K2202" t="str">
        <f>"SHPK"</f>
        <v>SHPK</v>
      </c>
      <c r="L2202" t="str">
        <f>"SHPK"</f>
        <v>SHPK</v>
      </c>
      <c r="M2202">
        <v>0</v>
      </c>
      <c r="N2202">
        <v>0</v>
      </c>
      <c r="O2202">
        <v>0.91194339418818204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</row>
    <row r="2203" spans="1:24">
      <c r="A2203">
        <v>2261</v>
      </c>
      <c r="B2203" t="s">
        <v>5864</v>
      </c>
      <c r="C2203">
        <v>3</v>
      </c>
      <c r="D2203" t="s">
        <v>5865</v>
      </c>
      <c r="E2203">
        <v>2</v>
      </c>
      <c r="F2203">
        <v>2</v>
      </c>
      <c r="G2203">
        <v>2</v>
      </c>
      <c r="H2203" t="s">
        <v>5866</v>
      </c>
      <c r="I2203">
        <v>5.0999999999999996</v>
      </c>
      <c r="J2203">
        <v>38.378999999999998</v>
      </c>
      <c r="K2203" t="str">
        <f>"LCMT1"</f>
        <v>LCMT1</v>
      </c>
      <c r="L2203" t="str">
        <f>"LCMT1"</f>
        <v>LCMT1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</row>
    <row r="2204" spans="1:24">
      <c r="A2204">
        <v>2277</v>
      </c>
      <c r="B2204" t="s">
        <v>5867</v>
      </c>
      <c r="C2204">
        <v>4</v>
      </c>
      <c r="D2204" t="s">
        <v>5868</v>
      </c>
      <c r="E2204">
        <v>3</v>
      </c>
      <c r="F2204">
        <v>1</v>
      </c>
      <c r="G2204">
        <v>1</v>
      </c>
      <c r="H2204" t="s">
        <v>5869</v>
      </c>
      <c r="I2204">
        <v>3.2</v>
      </c>
      <c r="J2204">
        <v>86.694999999999993</v>
      </c>
      <c r="K2204" t="str">
        <f>"VAV3"</f>
        <v>VAV3</v>
      </c>
      <c r="L2204" t="str">
        <f>"VAV3"</f>
        <v>VAV3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</row>
    <row r="2205" spans="1:24">
      <c r="A2205">
        <v>2282</v>
      </c>
      <c r="B2205" t="s">
        <v>5870</v>
      </c>
      <c r="C2205">
        <v>1</v>
      </c>
      <c r="D2205" t="s">
        <v>5871</v>
      </c>
      <c r="E2205">
        <v>3</v>
      </c>
      <c r="F2205">
        <v>3</v>
      </c>
      <c r="G2205">
        <v>3</v>
      </c>
      <c r="H2205" t="s">
        <v>5870</v>
      </c>
      <c r="I2205">
        <v>9.5</v>
      </c>
      <c r="J2205">
        <v>52.427999999999997</v>
      </c>
      <c r="K2205" t="str">
        <f>"DNPEP"</f>
        <v>DNPEP</v>
      </c>
      <c r="L2205" t="str">
        <f>"DNPEP"</f>
        <v>DNPEP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</row>
    <row r="2206" spans="1:24">
      <c r="A2206">
        <v>2304</v>
      </c>
      <c r="B2206" t="s">
        <v>5872</v>
      </c>
      <c r="C2206">
        <v>2</v>
      </c>
      <c r="D2206" t="s">
        <v>5873</v>
      </c>
      <c r="E2206">
        <v>2</v>
      </c>
      <c r="F2206">
        <v>2</v>
      </c>
      <c r="G2206">
        <v>2</v>
      </c>
      <c r="H2206" t="s">
        <v>5874</v>
      </c>
      <c r="I2206">
        <v>4.4000000000000004</v>
      </c>
      <c r="J2206">
        <v>55.006</v>
      </c>
      <c r="K2206" t="str">
        <f>"WASF3"</f>
        <v>WASF3</v>
      </c>
      <c r="L2206" t="str">
        <f>"WASF3"</f>
        <v>WASF3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</row>
    <row r="2207" spans="1:24">
      <c r="A2207">
        <v>2312</v>
      </c>
      <c r="B2207" t="s">
        <v>5875</v>
      </c>
      <c r="C2207">
        <v>2</v>
      </c>
      <c r="D2207" t="s">
        <v>5876</v>
      </c>
      <c r="E2207">
        <v>2</v>
      </c>
      <c r="F2207">
        <v>2</v>
      </c>
      <c r="G2207">
        <v>2</v>
      </c>
      <c r="H2207" t="s">
        <v>5877</v>
      </c>
      <c r="I2207">
        <v>6.3</v>
      </c>
      <c r="J2207">
        <v>45.271000000000001</v>
      </c>
      <c r="K2207" t="str">
        <f>"CHKB"</f>
        <v>CHKB</v>
      </c>
      <c r="L2207" t="str">
        <f>"CHKB"</f>
        <v>CHKB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1.10235831809872</v>
      </c>
      <c r="V2207">
        <v>0</v>
      </c>
      <c r="W2207">
        <v>0</v>
      </c>
      <c r="X2207">
        <v>0</v>
      </c>
    </row>
    <row r="2208" spans="1:24">
      <c r="A2208">
        <v>2316</v>
      </c>
      <c r="B2208" t="s">
        <v>5878</v>
      </c>
      <c r="C2208">
        <v>1</v>
      </c>
      <c r="D2208" t="s">
        <v>5879</v>
      </c>
      <c r="E2208">
        <v>3</v>
      </c>
      <c r="F2208">
        <v>3</v>
      </c>
      <c r="G2208">
        <v>3</v>
      </c>
      <c r="H2208" t="s">
        <v>5878</v>
      </c>
      <c r="I2208">
        <v>10.6</v>
      </c>
      <c r="J2208">
        <v>38.241999999999997</v>
      </c>
      <c r="K2208" t="str">
        <f>"NUDC"</f>
        <v>NUDC</v>
      </c>
      <c r="L2208" t="str">
        <f>"NUDC"</f>
        <v>NUDC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</row>
    <row r="2209" spans="1:24">
      <c r="A2209">
        <v>2385</v>
      </c>
      <c r="B2209" t="s">
        <v>5880</v>
      </c>
      <c r="C2209">
        <v>3</v>
      </c>
      <c r="D2209" t="s">
        <v>5881</v>
      </c>
      <c r="E2209">
        <v>2</v>
      </c>
      <c r="F2209">
        <v>2</v>
      </c>
      <c r="G2209">
        <v>2</v>
      </c>
      <c r="H2209" t="s">
        <v>5882</v>
      </c>
      <c r="I2209">
        <v>11.2</v>
      </c>
      <c r="J2209">
        <v>36.953000000000003</v>
      </c>
      <c r="K2209" t="str">
        <f>"IKBKG"</f>
        <v>IKBKG</v>
      </c>
      <c r="L2209" t="str">
        <f>"IKBKG"</f>
        <v>IKBKG</v>
      </c>
      <c r="M2209">
        <v>0</v>
      </c>
      <c r="N2209">
        <v>0</v>
      </c>
      <c r="O2209">
        <v>0.91194339418818204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</row>
    <row r="2210" spans="1:24">
      <c r="A2210">
        <v>2389</v>
      </c>
      <c r="B2210" t="s">
        <v>5883</v>
      </c>
      <c r="C2210">
        <v>1</v>
      </c>
      <c r="D2210" t="s">
        <v>5884</v>
      </c>
      <c r="E2210">
        <v>3</v>
      </c>
      <c r="F2210">
        <v>3</v>
      </c>
      <c r="G2210">
        <v>3</v>
      </c>
      <c r="H2210" t="s">
        <v>5883</v>
      </c>
      <c r="I2210">
        <v>2</v>
      </c>
      <c r="J2210">
        <v>572.01</v>
      </c>
      <c r="K2210" t="str">
        <f>"FCGBP"</f>
        <v>FCGBP</v>
      </c>
      <c r="L2210" t="str">
        <f>"FCGBP"</f>
        <v>FCGBP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</row>
    <row r="2211" spans="1:24">
      <c r="A2211">
        <v>6</v>
      </c>
      <c r="B2211" t="s">
        <v>5885</v>
      </c>
      <c r="C2211">
        <v>2</v>
      </c>
      <c r="D2211" t="s">
        <v>5886</v>
      </c>
      <c r="E2211">
        <v>2</v>
      </c>
      <c r="F2211">
        <v>1</v>
      </c>
      <c r="G2211">
        <v>1</v>
      </c>
      <c r="H2211" t="s">
        <v>5887</v>
      </c>
      <c r="I2211">
        <v>2.4</v>
      </c>
      <c r="J2211">
        <v>81.56</v>
      </c>
      <c r="K2211" t="str">
        <f>"TARSL2"</f>
        <v>TARSL2</v>
      </c>
      <c r="L2211" t="str">
        <f>"TARSL2"</f>
        <v>TARSL2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</row>
    <row r="2212" spans="1:24">
      <c r="A2212">
        <v>9</v>
      </c>
      <c r="B2212" t="s">
        <v>5888</v>
      </c>
      <c r="C2212">
        <v>2</v>
      </c>
      <c r="D2212" t="s">
        <v>5889</v>
      </c>
      <c r="E2212">
        <v>1</v>
      </c>
      <c r="F2212">
        <v>1</v>
      </c>
      <c r="G2212">
        <v>1</v>
      </c>
      <c r="H2212" t="s">
        <v>5890</v>
      </c>
      <c r="I2212">
        <v>3.4</v>
      </c>
      <c r="J2212">
        <v>33.783999999999999</v>
      </c>
      <c r="K2212" t="str">
        <f>"FBL;FBLL1"</f>
        <v>FBL;FBLL1</v>
      </c>
      <c r="L2212" t="str">
        <f>"FBL;FBLL1"</f>
        <v>FBL;FBLL1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</row>
    <row r="2213" spans="1:24">
      <c r="A2213">
        <v>15</v>
      </c>
      <c r="B2213" t="s">
        <v>5891</v>
      </c>
      <c r="C2213">
        <v>3</v>
      </c>
      <c r="D2213" t="s">
        <v>5892</v>
      </c>
      <c r="E2213">
        <v>1</v>
      </c>
      <c r="F2213">
        <v>1</v>
      </c>
      <c r="G2213">
        <v>1</v>
      </c>
      <c r="H2213" t="s">
        <v>5893</v>
      </c>
      <c r="I2213">
        <v>3.1</v>
      </c>
      <c r="J2213">
        <v>47.988999999999997</v>
      </c>
      <c r="K2213" t="str">
        <f>"WASH6P;WASH3P;WASH2P"</f>
        <v>WASH6P;WASH3P;WASH2P</v>
      </c>
      <c r="L2213" t="str">
        <f>"WASH6P;WASH3P;WASH2P"</f>
        <v>WASH6P;WASH3P;WASH2P</v>
      </c>
      <c r="M2213">
        <v>0</v>
      </c>
      <c r="N2213">
        <v>0</v>
      </c>
      <c r="O2213">
        <v>0.91194339418818204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</row>
    <row r="2214" spans="1:24">
      <c r="A2214">
        <v>46</v>
      </c>
      <c r="B2214" t="s">
        <v>5894</v>
      </c>
      <c r="C2214">
        <v>2</v>
      </c>
      <c r="D2214" t="s">
        <v>5895</v>
      </c>
      <c r="E2214">
        <v>25</v>
      </c>
      <c r="F2214">
        <v>1</v>
      </c>
      <c r="G2214">
        <v>1</v>
      </c>
      <c r="H2214" t="s">
        <v>5896</v>
      </c>
      <c r="I2214">
        <v>38</v>
      </c>
      <c r="J2214">
        <v>79.953999999999994</v>
      </c>
      <c r="K2214" t="str">
        <f>"KIF2A"</f>
        <v>KIF2A</v>
      </c>
      <c r="L2214" t="str">
        <f>"KIF2A"</f>
        <v>KIF2A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0.90008103209297396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</row>
    <row r="2215" spans="1:24">
      <c r="A2215">
        <v>60</v>
      </c>
      <c r="B2215" t="s">
        <v>5897</v>
      </c>
      <c r="C2215">
        <v>1</v>
      </c>
      <c r="D2215" t="s">
        <v>5898</v>
      </c>
      <c r="E2215">
        <v>2</v>
      </c>
      <c r="F2215">
        <v>2</v>
      </c>
      <c r="G2215">
        <v>2</v>
      </c>
      <c r="H2215" t="s">
        <v>5897</v>
      </c>
      <c r="I2215">
        <v>9.5</v>
      </c>
      <c r="J2215">
        <v>23.704999999999998</v>
      </c>
      <c r="K2215" t="str">
        <f>"NDUFS8"</f>
        <v>NDUFS8</v>
      </c>
      <c r="L2215" t="str">
        <f>"NDUFS8"</f>
        <v>NDUFS8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0.90008103209297396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</row>
    <row r="2216" spans="1:24">
      <c r="A2216">
        <v>99</v>
      </c>
      <c r="B2216" t="s">
        <v>5899</v>
      </c>
      <c r="C2216">
        <v>1</v>
      </c>
      <c r="D2216" t="s">
        <v>5900</v>
      </c>
      <c r="E2216">
        <v>1</v>
      </c>
      <c r="F2216">
        <v>1</v>
      </c>
      <c r="G2216">
        <v>1</v>
      </c>
      <c r="H2216" t="s">
        <v>5899</v>
      </c>
      <c r="I2216">
        <v>1.3</v>
      </c>
      <c r="J2216">
        <v>137.46</v>
      </c>
      <c r="K2216" t="str">
        <f>"OPLAH"</f>
        <v>OPLAH</v>
      </c>
      <c r="L2216" t="str">
        <f>"OPLAH"</f>
        <v>OPLAH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1.1331355704698001</v>
      </c>
      <c r="T2216">
        <v>0</v>
      </c>
      <c r="U2216">
        <v>0</v>
      </c>
      <c r="V2216">
        <v>0</v>
      </c>
      <c r="W2216">
        <v>0</v>
      </c>
      <c r="X2216">
        <v>0</v>
      </c>
    </row>
    <row r="2217" spans="1:24">
      <c r="A2217">
        <v>108</v>
      </c>
      <c r="B2217" t="s">
        <v>5901</v>
      </c>
      <c r="C2217">
        <v>5</v>
      </c>
      <c r="D2217" t="s">
        <v>5902</v>
      </c>
      <c r="E2217">
        <v>1</v>
      </c>
      <c r="F2217">
        <v>1</v>
      </c>
      <c r="G2217">
        <v>1</v>
      </c>
      <c r="H2217" t="s">
        <v>5903</v>
      </c>
      <c r="I2217">
        <v>0.7</v>
      </c>
      <c r="J2217">
        <v>228.87</v>
      </c>
      <c r="K2217" t="str">
        <f>"SEC16A"</f>
        <v>SEC16A</v>
      </c>
      <c r="L2217" t="str">
        <f>"SEC16A"</f>
        <v>SEC16A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1.27539809638918</v>
      </c>
      <c r="X2217">
        <v>0</v>
      </c>
    </row>
    <row r="2218" spans="1:24">
      <c r="A2218">
        <v>109</v>
      </c>
      <c r="B2218" t="s">
        <v>5904</v>
      </c>
      <c r="C2218">
        <v>1</v>
      </c>
      <c r="D2218" t="s">
        <v>5905</v>
      </c>
      <c r="E2218">
        <v>4</v>
      </c>
      <c r="F2218">
        <v>4</v>
      </c>
      <c r="G2218">
        <v>4</v>
      </c>
      <c r="H2218" t="s">
        <v>5904</v>
      </c>
      <c r="I2218">
        <v>3</v>
      </c>
      <c r="J2218">
        <v>205.12</v>
      </c>
      <c r="K2218" t="str">
        <f>"PLXNB2"</f>
        <v>PLXNB2</v>
      </c>
      <c r="L2218" t="str">
        <f>"PLXNB2"</f>
        <v>PLXNB2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0.984645710619934</v>
      </c>
    </row>
    <row r="2219" spans="1:24">
      <c r="A2219">
        <v>150</v>
      </c>
      <c r="B2219" t="s">
        <v>5906</v>
      </c>
      <c r="C2219">
        <v>3</v>
      </c>
      <c r="D2219" t="s">
        <v>5907</v>
      </c>
      <c r="E2219">
        <v>5</v>
      </c>
      <c r="F2219">
        <v>1</v>
      </c>
      <c r="G2219">
        <v>1</v>
      </c>
      <c r="H2219" t="s">
        <v>5908</v>
      </c>
      <c r="I2219">
        <v>3.4</v>
      </c>
      <c r="J2219">
        <v>146.87</v>
      </c>
      <c r="K2219" t="str">
        <f>"EIF4G3"</f>
        <v>EIF4G3</v>
      </c>
      <c r="L2219" t="str">
        <f>"EIF4G3"</f>
        <v>EIF4G3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</row>
    <row r="2220" spans="1:24">
      <c r="A2220">
        <v>226</v>
      </c>
      <c r="B2220" t="s">
        <v>5909</v>
      </c>
      <c r="C2220">
        <v>5</v>
      </c>
      <c r="D2220" t="s">
        <v>5910</v>
      </c>
      <c r="E2220">
        <v>4</v>
      </c>
      <c r="F2220">
        <v>3</v>
      </c>
      <c r="G2220">
        <v>3</v>
      </c>
      <c r="H2220" t="s">
        <v>5911</v>
      </c>
      <c r="I2220">
        <v>14.5</v>
      </c>
      <c r="J2220">
        <v>42.085999999999999</v>
      </c>
      <c r="K2220" t="str">
        <f>"PPM1B"</f>
        <v>PPM1B</v>
      </c>
      <c r="L2220" t="str">
        <f>"PPM1B"</f>
        <v>PPM1B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</row>
    <row r="2221" spans="1:24">
      <c r="A2221">
        <v>338</v>
      </c>
      <c r="B2221" t="s">
        <v>5912</v>
      </c>
      <c r="C2221">
        <v>1</v>
      </c>
      <c r="D2221" t="s">
        <v>5913</v>
      </c>
      <c r="E2221">
        <v>2</v>
      </c>
      <c r="F2221">
        <v>1</v>
      </c>
      <c r="G2221">
        <v>1</v>
      </c>
      <c r="H2221" t="s">
        <v>5912</v>
      </c>
      <c r="I2221">
        <v>31.5</v>
      </c>
      <c r="J2221">
        <v>11.814</v>
      </c>
      <c r="K2221" t="s">
        <v>1194</v>
      </c>
      <c r="L2221" t="s">
        <v>1194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</row>
    <row r="2222" spans="1:24">
      <c r="A2222">
        <v>342</v>
      </c>
      <c r="B2222" t="s">
        <v>5914</v>
      </c>
      <c r="C2222">
        <v>1</v>
      </c>
      <c r="D2222" t="s">
        <v>5915</v>
      </c>
      <c r="E2222">
        <v>2</v>
      </c>
      <c r="F2222">
        <v>1</v>
      </c>
      <c r="G2222">
        <v>1</v>
      </c>
      <c r="H2222" t="s">
        <v>5914</v>
      </c>
      <c r="I2222">
        <v>25</v>
      </c>
      <c r="J2222">
        <v>11.834</v>
      </c>
      <c r="K2222" t="s">
        <v>3876</v>
      </c>
      <c r="L2222" t="s">
        <v>3876</v>
      </c>
      <c r="M2222">
        <v>0</v>
      </c>
      <c r="N2222">
        <v>0</v>
      </c>
      <c r="O2222">
        <v>0</v>
      </c>
      <c r="P2222">
        <v>1.0652189274447901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</row>
    <row r="2223" spans="1:24">
      <c r="A2223">
        <v>375</v>
      </c>
      <c r="B2223" t="s">
        <v>5916</v>
      </c>
      <c r="C2223">
        <v>1</v>
      </c>
      <c r="D2223" t="s">
        <v>5917</v>
      </c>
      <c r="E2223">
        <v>1</v>
      </c>
      <c r="F2223">
        <v>1</v>
      </c>
      <c r="G2223">
        <v>1</v>
      </c>
      <c r="H2223" t="s">
        <v>5916</v>
      </c>
      <c r="I2223">
        <v>16.399999999999999</v>
      </c>
      <c r="J2223">
        <v>12.339</v>
      </c>
      <c r="K2223" t="s">
        <v>1307</v>
      </c>
      <c r="L2223" t="s">
        <v>1307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</row>
    <row r="2224" spans="1:24">
      <c r="A2224">
        <v>394</v>
      </c>
      <c r="B2224" t="s">
        <v>5918</v>
      </c>
      <c r="C2224">
        <v>8</v>
      </c>
      <c r="D2224" t="s">
        <v>5919</v>
      </c>
      <c r="E2224">
        <v>1</v>
      </c>
      <c r="F2224">
        <v>1</v>
      </c>
      <c r="G2224">
        <v>1</v>
      </c>
      <c r="H2224" t="s">
        <v>5920</v>
      </c>
      <c r="I2224">
        <v>6.4</v>
      </c>
      <c r="J2224">
        <v>30.007999999999999</v>
      </c>
      <c r="K2224" t="str">
        <f>"HLA-DRB1;HLA-DRB5"</f>
        <v>HLA-DRB1;HLA-DRB5</v>
      </c>
      <c r="L2224" t="str">
        <f>"HLA-DRB1;HLA-DRB5"</f>
        <v>HLA-DRB1;HLA-DRB5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</row>
    <row r="2225" spans="1:24">
      <c r="A2225">
        <v>492</v>
      </c>
      <c r="B2225" t="s">
        <v>5921</v>
      </c>
      <c r="C2225">
        <v>1</v>
      </c>
      <c r="D2225" t="s">
        <v>5922</v>
      </c>
      <c r="E2225">
        <v>26</v>
      </c>
      <c r="F2225">
        <v>1</v>
      </c>
      <c r="G2225">
        <v>1</v>
      </c>
      <c r="H2225" t="s">
        <v>5921</v>
      </c>
      <c r="I2225">
        <v>45.6</v>
      </c>
      <c r="J2225">
        <v>76.867999999999995</v>
      </c>
      <c r="K2225" t="str">
        <f>"PRKCB"</f>
        <v>PRKCB</v>
      </c>
      <c r="L2225" t="str">
        <f>"PRKCB"</f>
        <v>PRKCB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</row>
    <row r="2226" spans="1:24">
      <c r="A2226">
        <v>514</v>
      </c>
      <c r="B2226" t="s">
        <v>5923</v>
      </c>
      <c r="C2226">
        <v>1</v>
      </c>
      <c r="D2226" t="s">
        <v>5924</v>
      </c>
      <c r="E2226">
        <v>25</v>
      </c>
      <c r="F2226">
        <v>1</v>
      </c>
      <c r="G2226">
        <v>1</v>
      </c>
      <c r="H2226" t="s">
        <v>5923</v>
      </c>
      <c r="I2226">
        <v>46</v>
      </c>
      <c r="J2226">
        <v>32.950000000000003</v>
      </c>
      <c r="K2226" t="str">
        <f>"TPM3"</f>
        <v>TPM3</v>
      </c>
      <c r="L2226" t="str">
        <f>"TPM3"</f>
        <v>TPM3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1.27539809638918</v>
      </c>
      <c r="X2226">
        <v>0</v>
      </c>
    </row>
    <row r="2227" spans="1:24">
      <c r="A2227">
        <v>518</v>
      </c>
      <c r="B2227" t="s">
        <v>5925</v>
      </c>
      <c r="C2227">
        <v>6</v>
      </c>
      <c r="D2227" t="s">
        <v>5926</v>
      </c>
      <c r="E2227">
        <v>7</v>
      </c>
      <c r="F2227">
        <v>1</v>
      </c>
      <c r="G2227">
        <v>1</v>
      </c>
      <c r="H2227" t="s">
        <v>5927</v>
      </c>
      <c r="I2227">
        <v>53.2</v>
      </c>
      <c r="J2227">
        <v>13.92</v>
      </c>
      <c r="K2227" t="str">
        <f>"HIST2H2BE;HIST1H2BB;HIST1H2BO;HIST1H2BJ;HIST2H2BD;HIST2H2BC"</f>
        <v>HIST2H2BE;HIST1H2BB;HIST1H2BO;HIST1H2BJ;HIST2H2BD;HIST2H2BC</v>
      </c>
      <c r="L2227" t="str">
        <f>"HIST2H2BE;HIST1H2BB;HIST1H2BO;HIST1H2BJ;HIST2H2BD;HIST2H2BC"</f>
        <v>HIST2H2BE;HIST1H2BB;HIST1H2BO;HIST1H2BJ;HIST2H2BD;HIST2H2BC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0.90008103209297396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</row>
    <row r="2228" spans="1:24">
      <c r="A2228">
        <v>541</v>
      </c>
      <c r="B2228" t="s">
        <v>5928</v>
      </c>
      <c r="C2228">
        <v>1</v>
      </c>
      <c r="D2228" t="s">
        <v>5929</v>
      </c>
      <c r="E2228">
        <v>24</v>
      </c>
      <c r="F2228">
        <v>1</v>
      </c>
      <c r="G2228">
        <v>1</v>
      </c>
      <c r="H2228" t="s">
        <v>5928</v>
      </c>
      <c r="I2228">
        <v>53.5</v>
      </c>
      <c r="J2228">
        <v>58.573</v>
      </c>
      <c r="K2228" t="str">
        <f>"LYN"</f>
        <v>LYN</v>
      </c>
      <c r="L2228" t="str">
        <f>"LYN"</f>
        <v>LYN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</row>
    <row r="2229" spans="1:24">
      <c r="A2229">
        <v>640</v>
      </c>
      <c r="B2229" t="s">
        <v>5930</v>
      </c>
      <c r="C2229">
        <v>5</v>
      </c>
      <c r="D2229" t="s">
        <v>5931</v>
      </c>
      <c r="E2229">
        <v>1</v>
      </c>
      <c r="F2229">
        <v>1</v>
      </c>
      <c r="G2229">
        <v>1</v>
      </c>
      <c r="H2229" t="s">
        <v>5932</v>
      </c>
      <c r="I2229">
        <v>4.8</v>
      </c>
      <c r="J2229">
        <v>37.216000000000001</v>
      </c>
      <c r="K2229" t="str">
        <f>"PSG2;PSG1"</f>
        <v>PSG2;PSG1</v>
      </c>
      <c r="L2229" t="str">
        <f>"PSG2;PSG1"</f>
        <v>PSG2;PSG1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</row>
    <row r="2230" spans="1:24">
      <c r="A2230">
        <v>680</v>
      </c>
      <c r="B2230" t="s">
        <v>5933</v>
      </c>
      <c r="C2230">
        <v>1</v>
      </c>
      <c r="D2230" t="s">
        <v>5934</v>
      </c>
      <c r="E2230">
        <v>2</v>
      </c>
      <c r="F2230">
        <v>2</v>
      </c>
      <c r="G2230">
        <v>2</v>
      </c>
      <c r="H2230" t="s">
        <v>5933</v>
      </c>
      <c r="I2230">
        <v>3.6</v>
      </c>
      <c r="J2230">
        <v>61.377000000000002</v>
      </c>
      <c r="K2230" t="str">
        <f>"PRF1"</f>
        <v>PRF1</v>
      </c>
      <c r="L2230" t="str">
        <f>"PRF1"</f>
        <v>PRF1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0.90008103209297396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</row>
    <row r="2231" spans="1:24">
      <c r="A2231">
        <v>705</v>
      </c>
      <c r="B2231" t="s">
        <v>5935</v>
      </c>
      <c r="C2231">
        <v>2</v>
      </c>
      <c r="D2231" t="s">
        <v>5936</v>
      </c>
      <c r="E2231">
        <v>11</v>
      </c>
      <c r="F2231">
        <v>1</v>
      </c>
      <c r="G2231">
        <v>1</v>
      </c>
      <c r="H2231" t="s">
        <v>5937</v>
      </c>
      <c r="I2231">
        <v>70.400000000000006</v>
      </c>
      <c r="J2231">
        <v>17.149000000000001</v>
      </c>
      <c r="K2231" t="str">
        <f>"NME1"</f>
        <v>NME1</v>
      </c>
      <c r="L2231" t="str">
        <f>"NME1"</f>
        <v>NME1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</row>
    <row r="2232" spans="1:24">
      <c r="A2232">
        <v>714</v>
      </c>
      <c r="B2232" t="s">
        <v>5938</v>
      </c>
      <c r="C2232">
        <v>1</v>
      </c>
      <c r="D2232" t="s">
        <v>5939</v>
      </c>
      <c r="E2232">
        <v>17</v>
      </c>
      <c r="F2232">
        <v>1</v>
      </c>
      <c r="G2232">
        <v>0</v>
      </c>
      <c r="H2232" t="s">
        <v>5938</v>
      </c>
      <c r="I2232">
        <v>50.1</v>
      </c>
      <c r="J2232">
        <v>40.890999999999998</v>
      </c>
      <c r="K2232" t="str">
        <f>"HLA-A"</f>
        <v>HLA-A</v>
      </c>
      <c r="L2232" t="str">
        <f>"HLA-A"</f>
        <v>HLA-A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0.90008103209297396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</row>
    <row r="2233" spans="1:24">
      <c r="A2233">
        <v>718</v>
      </c>
      <c r="B2233" t="s">
        <v>5940</v>
      </c>
      <c r="C2233">
        <v>2</v>
      </c>
      <c r="D2233" t="s">
        <v>5941</v>
      </c>
      <c r="E2233">
        <v>1</v>
      </c>
      <c r="F2233">
        <v>1</v>
      </c>
      <c r="G2233">
        <v>1</v>
      </c>
      <c r="H2233" t="s">
        <v>5942</v>
      </c>
      <c r="I2233">
        <v>4.2</v>
      </c>
      <c r="J2233">
        <v>40.965000000000003</v>
      </c>
      <c r="K2233" t="str">
        <f>"KCNA2"</f>
        <v>KCNA2</v>
      </c>
      <c r="L2233" t="str">
        <f>"KCNA2"</f>
        <v>KCNA2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</row>
    <row r="2234" spans="1:24">
      <c r="A2234">
        <v>794</v>
      </c>
      <c r="B2234" t="s">
        <v>5943</v>
      </c>
      <c r="C2234">
        <v>2</v>
      </c>
      <c r="D2234" t="s">
        <v>5944</v>
      </c>
      <c r="E2234">
        <v>1</v>
      </c>
      <c r="F2234">
        <v>1</v>
      </c>
      <c r="G2234">
        <v>1</v>
      </c>
      <c r="H2234" t="s">
        <v>5945</v>
      </c>
      <c r="I2234">
        <v>1.9</v>
      </c>
      <c r="J2234">
        <v>47.862000000000002</v>
      </c>
      <c r="K2234" t="str">
        <f>"FECH"</f>
        <v>FECH</v>
      </c>
      <c r="L2234" t="str">
        <f>"FECH"</f>
        <v>FECH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</row>
    <row r="2235" spans="1:24">
      <c r="A2235">
        <v>801</v>
      </c>
      <c r="B2235" t="s">
        <v>5946</v>
      </c>
      <c r="C2235">
        <v>2</v>
      </c>
      <c r="D2235" t="s">
        <v>5947</v>
      </c>
      <c r="E2235">
        <v>1</v>
      </c>
      <c r="F2235">
        <v>1</v>
      </c>
      <c r="G2235">
        <v>1</v>
      </c>
      <c r="H2235" t="s">
        <v>5948</v>
      </c>
      <c r="I2235">
        <v>2.5</v>
      </c>
      <c r="J2235">
        <v>72.262</v>
      </c>
      <c r="K2235" t="str">
        <f>"SFPQ"</f>
        <v>SFPQ</v>
      </c>
      <c r="L2235" t="str">
        <f>"SFPQ"</f>
        <v>SFPQ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0.90008103209297396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</row>
    <row r="2236" spans="1:24">
      <c r="A2236">
        <v>809</v>
      </c>
      <c r="B2236" t="s">
        <v>5949</v>
      </c>
      <c r="C2236">
        <v>5</v>
      </c>
      <c r="D2236" t="s">
        <v>5950</v>
      </c>
      <c r="E2236">
        <v>1</v>
      </c>
      <c r="F2236">
        <v>1</v>
      </c>
      <c r="G2236">
        <v>1</v>
      </c>
      <c r="H2236" t="s">
        <v>5951</v>
      </c>
      <c r="I2236">
        <v>8.1</v>
      </c>
      <c r="J2236">
        <v>27.818000000000001</v>
      </c>
      <c r="K2236" t="str">
        <f>"BDNF"</f>
        <v>BDNF</v>
      </c>
      <c r="L2236" t="str">
        <f>"BDNF"</f>
        <v>BDNF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</row>
    <row r="2237" spans="1:24">
      <c r="A2237">
        <v>830</v>
      </c>
      <c r="B2237" t="s">
        <v>5952</v>
      </c>
      <c r="C2237">
        <v>1</v>
      </c>
      <c r="D2237" t="s">
        <v>5953</v>
      </c>
      <c r="E2237">
        <v>1</v>
      </c>
      <c r="F2237">
        <v>1</v>
      </c>
      <c r="G2237">
        <v>1</v>
      </c>
      <c r="H2237" t="s">
        <v>5952</v>
      </c>
      <c r="I2237">
        <v>13.7</v>
      </c>
      <c r="J2237">
        <v>10.4</v>
      </c>
      <c r="K2237" t="str">
        <f>"S100P"</f>
        <v>S100P</v>
      </c>
      <c r="L2237" t="str">
        <f>"S100P"</f>
        <v>S100P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</row>
    <row r="2238" spans="1:24">
      <c r="A2238">
        <v>877</v>
      </c>
      <c r="B2238" t="s">
        <v>5954</v>
      </c>
      <c r="C2238">
        <v>2</v>
      </c>
      <c r="D2238" t="s">
        <v>5955</v>
      </c>
      <c r="E2238">
        <v>1</v>
      </c>
      <c r="F2238">
        <v>1</v>
      </c>
      <c r="G2238">
        <v>1</v>
      </c>
      <c r="H2238" t="s">
        <v>5956</v>
      </c>
      <c r="I2238">
        <v>5</v>
      </c>
      <c r="J2238">
        <v>31.408999999999999</v>
      </c>
      <c r="K2238" t="str">
        <f>"PBLD"</f>
        <v>PBLD</v>
      </c>
      <c r="L2238" t="str">
        <f>"PBLD"</f>
        <v>PBLD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</row>
    <row r="2239" spans="1:24">
      <c r="A2239">
        <v>885</v>
      </c>
      <c r="B2239" t="s">
        <v>5957</v>
      </c>
      <c r="C2239">
        <v>2</v>
      </c>
      <c r="D2239" t="s">
        <v>5958</v>
      </c>
      <c r="E2239">
        <v>2</v>
      </c>
      <c r="F2239">
        <v>2</v>
      </c>
      <c r="G2239">
        <v>2</v>
      </c>
      <c r="H2239" t="s">
        <v>5959</v>
      </c>
      <c r="I2239">
        <v>14.5</v>
      </c>
      <c r="J2239">
        <v>17.818000000000001</v>
      </c>
      <c r="K2239" t="str">
        <f>"RPL12"</f>
        <v>RPL12</v>
      </c>
      <c r="L2239" t="str">
        <f>"RPL12"</f>
        <v>RPL12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0.90008103209297396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</row>
    <row r="2240" spans="1:24">
      <c r="A2240">
        <v>909</v>
      </c>
      <c r="B2240" t="s">
        <v>5960</v>
      </c>
      <c r="C2240">
        <v>1</v>
      </c>
      <c r="D2240" t="s">
        <v>5961</v>
      </c>
      <c r="E2240">
        <v>14</v>
      </c>
      <c r="F2240">
        <v>1</v>
      </c>
      <c r="G2240">
        <v>0</v>
      </c>
      <c r="H2240" t="s">
        <v>5960</v>
      </c>
      <c r="I2240">
        <v>37.4</v>
      </c>
      <c r="J2240">
        <v>40.963999999999999</v>
      </c>
      <c r="K2240" t="str">
        <f>"HLA-C"</f>
        <v>HLA-C</v>
      </c>
      <c r="L2240" t="str">
        <f>"HLA-C"</f>
        <v>HLA-C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</row>
    <row r="2241" spans="1:24">
      <c r="A2241">
        <v>920</v>
      </c>
      <c r="B2241" t="s">
        <v>5962</v>
      </c>
      <c r="C2241">
        <v>3</v>
      </c>
      <c r="D2241" t="s">
        <v>5963</v>
      </c>
      <c r="E2241">
        <v>3</v>
      </c>
      <c r="F2241">
        <v>3</v>
      </c>
      <c r="G2241">
        <v>3</v>
      </c>
      <c r="H2241" t="s">
        <v>5964</v>
      </c>
      <c r="I2241">
        <v>13.7</v>
      </c>
      <c r="J2241">
        <v>32.963999999999999</v>
      </c>
      <c r="K2241" t="str">
        <f>"MAT2A;MAT1A"</f>
        <v>MAT2A;MAT1A</v>
      </c>
      <c r="L2241" t="str">
        <f>"MAT2A;MAT1A"</f>
        <v>MAT2A;MAT1A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</row>
    <row r="2242" spans="1:24">
      <c r="A2242">
        <v>956</v>
      </c>
      <c r="B2242" t="s">
        <v>5965</v>
      </c>
      <c r="C2242">
        <v>1</v>
      </c>
      <c r="D2242" t="s">
        <v>5966</v>
      </c>
      <c r="E2242">
        <v>1</v>
      </c>
      <c r="F2242">
        <v>1</v>
      </c>
      <c r="G2242">
        <v>1</v>
      </c>
      <c r="H2242" t="s">
        <v>5965</v>
      </c>
      <c r="I2242">
        <v>15.7</v>
      </c>
      <c r="J2242">
        <v>13.569000000000001</v>
      </c>
      <c r="K2242" t="str">
        <f>"RPA3"</f>
        <v>RPA3</v>
      </c>
      <c r="L2242" t="str">
        <f>"RPA3"</f>
        <v>RPA3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0.90008103209297396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</row>
    <row r="2243" spans="1:24">
      <c r="A2243">
        <v>963</v>
      </c>
      <c r="B2243" t="s">
        <v>5967</v>
      </c>
      <c r="C2243">
        <v>1</v>
      </c>
      <c r="D2243" t="s">
        <v>5968</v>
      </c>
      <c r="E2243">
        <v>160</v>
      </c>
      <c r="F2243">
        <v>1</v>
      </c>
      <c r="G2243">
        <v>1</v>
      </c>
      <c r="H2243" t="s">
        <v>5967</v>
      </c>
      <c r="I2243">
        <v>77.599999999999994</v>
      </c>
      <c r="J2243">
        <v>159.86000000000001</v>
      </c>
      <c r="K2243" t="str">
        <f>"MYH9"</f>
        <v>MYH9</v>
      </c>
      <c r="L2243" t="str">
        <f>"MYH9"</f>
        <v>MYH9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0.984645710619934</v>
      </c>
    </row>
    <row r="2244" spans="1:24">
      <c r="A2244">
        <v>1033</v>
      </c>
      <c r="B2244" t="s">
        <v>5969</v>
      </c>
      <c r="C2244">
        <v>2</v>
      </c>
      <c r="D2244" t="s">
        <v>5970</v>
      </c>
      <c r="E2244">
        <v>1</v>
      </c>
      <c r="F2244">
        <v>1</v>
      </c>
      <c r="G2244">
        <v>1</v>
      </c>
      <c r="H2244" t="s">
        <v>5971</v>
      </c>
      <c r="I2244">
        <v>3.4</v>
      </c>
      <c r="J2244">
        <v>62.575000000000003</v>
      </c>
      <c r="K2244" t="str">
        <f>"MATR3"</f>
        <v>MATR3</v>
      </c>
      <c r="L2244" t="str">
        <f>"MATR3"</f>
        <v>MATR3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0.90008103209297396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</row>
    <row r="2245" spans="1:24">
      <c r="A2245">
        <v>1034</v>
      </c>
      <c r="B2245" t="s">
        <v>5972</v>
      </c>
      <c r="C2245">
        <v>4</v>
      </c>
      <c r="D2245" t="s">
        <v>5973</v>
      </c>
      <c r="E2245">
        <v>2</v>
      </c>
      <c r="F2245">
        <v>2</v>
      </c>
      <c r="G2245">
        <v>2</v>
      </c>
      <c r="H2245" t="s">
        <v>5974</v>
      </c>
      <c r="I2245">
        <v>4.4000000000000004</v>
      </c>
      <c r="J2245">
        <v>58.912999999999997</v>
      </c>
      <c r="K2245" t="str">
        <f>"BTD"</f>
        <v>BTD</v>
      </c>
      <c r="L2245" t="str">
        <f>"BTD"</f>
        <v>BTD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</row>
    <row r="2246" spans="1:24">
      <c r="A2246">
        <v>1083</v>
      </c>
      <c r="B2246" t="s">
        <v>5975</v>
      </c>
      <c r="C2246">
        <v>1</v>
      </c>
      <c r="D2246" t="s">
        <v>5976</v>
      </c>
      <c r="E2246">
        <v>1</v>
      </c>
      <c r="F2246">
        <v>1</v>
      </c>
      <c r="G2246">
        <v>1</v>
      </c>
      <c r="H2246" t="s">
        <v>5975</v>
      </c>
      <c r="I2246">
        <v>3</v>
      </c>
      <c r="J2246">
        <v>60.22</v>
      </c>
      <c r="K2246" t="str">
        <f>"FMO5"</f>
        <v>FMO5</v>
      </c>
      <c r="L2246" t="str">
        <f>"FMO5"</f>
        <v>FMO5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</row>
    <row r="2247" spans="1:24">
      <c r="A2247">
        <v>1127</v>
      </c>
      <c r="B2247" t="s">
        <v>5977</v>
      </c>
      <c r="C2247">
        <v>1</v>
      </c>
      <c r="D2247" t="s">
        <v>5978</v>
      </c>
      <c r="E2247">
        <v>5</v>
      </c>
      <c r="F2247">
        <v>2</v>
      </c>
      <c r="G2247">
        <v>2</v>
      </c>
      <c r="H2247" t="s">
        <v>5977</v>
      </c>
      <c r="I2247">
        <v>23.2</v>
      </c>
      <c r="J2247">
        <v>22.774000000000001</v>
      </c>
      <c r="K2247" t="str">
        <f>"RAB13"</f>
        <v>RAB13</v>
      </c>
      <c r="L2247" t="str">
        <f>"RAB13"</f>
        <v>RAB13</v>
      </c>
      <c r="M2247">
        <v>0</v>
      </c>
      <c r="N2247">
        <v>0</v>
      </c>
      <c r="O2247">
        <v>0.91194339418818204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</row>
    <row r="2248" spans="1:24">
      <c r="A2248">
        <v>1144</v>
      </c>
      <c r="B2248" t="s">
        <v>5979</v>
      </c>
      <c r="C2248">
        <v>2</v>
      </c>
      <c r="D2248" t="s">
        <v>5980</v>
      </c>
      <c r="E2248">
        <v>1</v>
      </c>
      <c r="F2248">
        <v>1</v>
      </c>
      <c r="G2248">
        <v>1</v>
      </c>
      <c r="H2248" t="s">
        <v>5981</v>
      </c>
      <c r="I2248">
        <v>6.9</v>
      </c>
      <c r="J2248">
        <v>31.055</v>
      </c>
      <c r="K2248" t="str">
        <f>"CNN1"</f>
        <v>CNN1</v>
      </c>
      <c r="L2248" t="str">
        <f>"CNN1"</f>
        <v>CNN1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</row>
    <row r="2249" spans="1:24">
      <c r="A2249">
        <v>1156</v>
      </c>
      <c r="B2249" t="s">
        <v>5982</v>
      </c>
      <c r="C2249">
        <v>1</v>
      </c>
      <c r="D2249" t="s">
        <v>5983</v>
      </c>
      <c r="E2249">
        <v>1</v>
      </c>
      <c r="F2249">
        <v>1</v>
      </c>
      <c r="G2249">
        <v>1</v>
      </c>
      <c r="H2249" t="s">
        <v>5982</v>
      </c>
      <c r="I2249">
        <v>6.1</v>
      </c>
      <c r="J2249">
        <v>21.347999999999999</v>
      </c>
      <c r="K2249" t="str">
        <f>"MRPL12"</f>
        <v>MRPL12</v>
      </c>
      <c r="L2249" t="str">
        <f>"MRPL12"</f>
        <v>MRPL12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</row>
    <row r="2250" spans="1:24">
      <c r="A2250">
        <v>1164</v>
      </c>
      <c r="B2250" t="s">
        <v>5984</v>
      </c>
      <c r="C2250">
        <v>1</v>
      </c>
      <c r="D2250" t="s">
        <v>5985</v>
      </c>
      <c r="E2250">
        <v>2</v>
      </c>
      <c r="F2250">
        <v>2</v>
      </c>
      <c r="G2250">
        <v>2</v>
      </c>
      <c r="H2250" t="s">
        <v>5984</v>
      </c>
      <c r="I2250">
        <v>6.6</v>
      </c>
      <c r="J2250">
        <v>36.923999999999999</v>
      </c>
      <c r="K2250" t="str">
        <f>"RABGGTB"</f>
        <v>RABGGTB</v>
      </c>
      <c r="L2250" t="str">
        <f>"RABGGTB"</f>
        <v>RABGGTB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0.90008103209297396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</row>
    <row r="2251" spans="1:24">
      <c r="A2251">
        <v>1189</v>
      </c>
      <c r="B2251" t="s">
        <v>5986</v>
      </c>
      <c r="C2251">
        <v>1</v>
      </c>
      <c r="D2251" t="s">
        <v>5987</v>
      </c>
      <c r="E2251">
        <v>1</v>
      </c>
      <c r="F2251">
        <v>1</v>
      </c>
      <c r="G2251">
        <v>1</v>
      </c>
      <c r="H2251" t="s">
        <v>5986</v>
      </c>
      <c r="I2251">
        <v>2.6</v>
      </c>
      <c r="J2251">
        <v>38.237000000000002</v>
      </c>
      <c r="K2251" t="str">
        <f>"INHBC"</f>
        <v>INHBC</v>
      </c>
      <c r="L2251" t="str">
        <f>"INHBC"</f>
        <v>INHBC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</row>
    <row r="2252" spans="1:24">
      <c r="A2252">
        <v>1220</v>
      </c>
      <c r="B2252" t="s">
        <v>5988</v>
      </c>
      <c r="C2252">
        <v>2</v>
      </c>
      <c r="D2252" t="s">
        <v>5989</v>
      </c>
      <c r="E2252">
        <v>1</v>
      </c>
      <c r="F2252">
        <v>1</v>
      </c>
      <c r="G2252">
        <v>1</v>
      </c>
      <c r="H2252" t="s">
        <v>5990</v>
      </c>
      <c r="I2252">
        <v>10.1</v>
      </c>
      <c r="J2252">
        <v>13.372999999999999</v>
      </c>
      <c r="K2252" t="str">
        <f>"RPS20"</f>
        <v>RPS20</v>
      </c>
      <c r="L2252" t="str">
        <f>"RPS20"</f>
        <v>RPS20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</row>
    <row r="2253" spans="1:24">
      <c r="A2253">
        <v>1251</v>
      </c>
      <c r="B2253" t="s">
        <v>5991</v>
      </c>
      <c r="C2253">
        <v>1</v>
      </c>
      <c r="D2253" t="s">
        <v>5992</v>
      </c>
      <c r="E2253">
        <v>1</v>
      </c>
      <c r="F2253">
        <v>1</v>
      </c>
      <c r="G2253">
        <v>1</v>
      </c>
      <c r="H2253" t="s">
        <v>5991</v>
      </c>
      <c r="I2253">
        <v>3.9</v>
      </c>
      <c r="J2253">
        <v>36.588000000000001</v>
      </c>
      <c r="K2253" t="str">
        <f>"WDR5"</f>
        <v>WDR5</v>
      </c>
      <c r="L2253" t="str">
        <f>"WDR5"</f>
        <v>WDR5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</row>
    <row r="2254" spans="1:24">
      <c r="A2254">
        <v>1278</v>
      </c>
      <c r="B2254" t="s">
        <v>5993</v>
      </c>
      <c r="C2254">
        <v>1</v>
      </c>
      <c r="D2254" t="s">
        <v>5994</v>
      </c>
      <c r="E2254">
        <v>10</v>
      </c>
      <c r="F2254">
        <v>1</v>
      </c>
      <c r="G2254">
        <v>1</v>
      </c>
      <c r="H2254" t="s">
        <v>5993</v>
      </c>
      <c r="I2254">
        <v>83.8</v>
      </c>
      <c r="J2254">
        <v>11.417999999999999</v>
      </c>
      <c r="K2254" t="str">
        <f>"PPIA"</f>
        <v>PPIA</v>
      </c>
      <c r="L2254" t="str">
        <f>"PPIA"</f>
        <v>PPIA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</row>
    <row r="2255" spans="1:24">
      <c r="A2255">
        <v>1284</v>
      </c>
      <c r="B2255" t="s">
        <v>5995</v>
      </c>
      <c r="C2255">
        <v>2</v>
      </c>
      <c r="D2255" t="s">
        <v>5996</v>
      </c>
      <c r="E2255">
        <v>8</v>
      </c>
      <c r="F2255">
        <v>1</v>
      </c>
      <c r="G2255">
        <v>1</v>
      </c>
      <c r="H2255" t="s">
        <v>5997</v>
      </c>
      <c r="I2255">
        <v>22.3</v>
      </c>
      <c r="J2255">
        <v>40.360999999999997</v>
      </c>
      <c r="K2255" t="str">
        <f>"GNAI1"</f>
        <v>GNAI1</v>
      </c>
      <c r="L2255" t="str">
        <f>"GNAI1"</f>
        <v>GNAI1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0.984645710619934</v>
      </c>
    </row>
    <row r="2256" spans="1:24">
      <c r="A2256">
        <v>1285</v>
      </c>
      <c r="B2256" t="s">
        <v>5998</v>
      </c>
      <c r="C2256">
        <v>1</v>
      </c>
      <c r="D2256" t="s">
        <v>5999</v>
      </c>
      <c r="E2256">
        <v>1</v>
      </c>
      <c r="F2256">
        <v>1</v>
      </c>
      <c r="G2256">
        <v>1</v>
      </c>
      <c r="H2256" t="s">
        <v>5998</v>
      </c>
      <c r="I2256">
        <v>10.6</v>
      </c>
      <c r="J2256">
        <v>19.3</v>
      </c>
      <c r="K2256" t="str">
        <f>"PPP3R1"</f>
        <v>PPP3R1</v>
      </c>
      <c r="L2256" t="str">
        <f>"PPP3R1"</f>
        <v>PPP3R1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</row>
    <row r="2257" spans="1:24">
      <c r="A2257">
        <v>1295</v>
      </c>
      <c r="B2257" t="s">
        <v>6000</v>
      </c>
      <c r="C2257">
        <v>1</v>
      </c>
      <c r="D2257" t="s">
        <v>6001</v>
      </c>
      <c r="E2257">
        <v>1</v>
      </c>
      <c r="F2257">
        <v>1</v>
      </c>
      <c r="G2257">
        <v>1</v>
      </c>
      <c r="H2257" t="s">
        <v>6000</v>
      </c>
      <c r="I2257">
        <v>7.4</v>
      </c>
      <c r="J2257">
        <v>35.923999999999999</v>
      </c>
      <c r="K2257" t="str">
        <f>"YBX1"</f>
        <v>YBX1</v>
      </c>
      <c r="L2257" t="str">
        <f>"YBX1"</f>
        <v>YBX1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</row>
    <row r="2258" spans="1:24">
      <c r="A2258">
        <v>1303</v>
      </c>
      <c r="B2258" t="s">
        <v>6002</v>
      </c>
      <c r="C2258">
        <v>1</v>
      </c>
      <c r="D2258" t="s">
        <v>6003</v>
      </c>
      <c r="E2258">
        <v>33</v>
      </c>
      <c r="F2258">
        <v>1</v>
      </c>
      <c r="G2258">
        <v>1</v>
      </c>
      <c r="H2258" t="s">
        <v>6002</v>
      </c>
      <c r="I2258">
        <v>49.3</v>
      </c>
      <c r="J2258">
        <v>42.051000000000002</v>
      </c>
      <c r="K2258" t="str">
        <f>"ACTA1"</f>
        <v>ACTA1</v>
      </c>
      <c r="L2258" t="str">
        <f>"ACTA1"</f>
        <v>ACTA1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</row>
    <row r="2259" spans="1:24">
      <c r="A2259">
        <v>1321</v>
      </c>
      <c r="B2259" t="s">
        <v>6004</v>
      </c>
      <c r="C2259">
        <v>2</v>
      </c>
      <c r="D2259" t="s">
        <v>6005</v>
      </c>
      <c r="E2259">
        <v>1</v>
      </c>
      <c r="F2259">
        <v>1</v>
      </c>
      <c r="G2259">
        <v>1</v>
      </c>
      <c r="H2259" t="s">
        <v>6006</v>
      </c>
      <c r="I2259">
        <v>12.1</v>
      </c>
      <c r="J2259">
        <v>17.664000000000001</v>
      </c>
      <c r="K2259" t="str">
        <f>"BASP1"</f>
        <v>BASP1</v>
      </c>
      <c r="L2259" t="str">
        <f>"BASP1"</f>
        <v>BASP1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</row>
    <row r="2260" spans="1:24">
      <c r="A2260">
        <v>1354</v>
      </c>
      <c r="B2260" t="s">
        <v>6007</v>
      </c>
      <c r="C2260">
        <v>1</v>
      </c>
      <c r="D2260" t="s">
        <v>6008</v>
      </c>
      <c r="E2260">
        <v>2</v>
      </c>
      <c r="F2260">
        <v>2</v>
      </c>
      <c r="G2260">
        <v>2</v>
      </c>
      <c r="H2260" t="s">
        <v>6007</v>
      </c>
      <c r="I2260">
        <v>3.3</v>
      </c>
      <c r="J2260">
        <v>113.75</v>
      </c>
      <c r="K2260" t="str">
        <f>"DSG1"</f>
        <v>DSG1</v>
      </c>
      <c r="L2260" t="str">
        <f>"DSG1"</f>
        <v>DSG1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0.984645710619934</v>
      </c>
    </row>
    <row r="2261" spans="1:24">
      <c r="A2261">
        <v>1358</v>
      </c>
      <c r="B2261" t="s">
        <v>6009</v>
      </c>
      <c r="C2261">
        <v>2</v>
      </c>
      <c r="D2261" t="s">
        <v>6010</v>
      </c>
      <c r="E2261">
        <v>4</v>
      </c>
      <c r="F2261">
        <v>1</v>
      </c>
      <c r="G2261">
        <v>1</v>
      </c>
      <c r="H2261" t="s">
        <v>6011</v>
      </c>
      <c r="I2261">
        <v>21</v>
      </c>
      <c r="J2261">
        <v>22.829000000000001</v>
      </c>
      <c r="K2261" t="str">
        <f>"GSTM4"</f>
        <v>GSTM4</v>
      </c>
      <c r="L2261" t="str">
        <f>"GSTM4"</f>
        <v>GSTM4</v>
      </c>
      <c r="M2261">
        <v>0</v>
      </c>
      <c r="N2261">
        <v>0.89450172185430499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</row>
    <row r="2262" spans="1:24">
      <c r="A2262">
        <v>1391</v>
      </c>
      <c r="B2262" t="s">
        <v>6012</v>
      </c>
      <c r="C2262">
        <v>3</v>
      </c>
      <c r="D2262" t="s">
        <v>6013</v>
      </c>
      <c r="E2262">
        <v>2</v>
      </c>
      <c r="F2262">
        <v>2</v>
      </c>
      <c r="G2262">
        <v>2</v>
      </c>
      <c r="H2262" t="s">
        <v>6014</v>
      </c>
      <c r="I2262">
        <v>10.5</v>
      </c>
      <c r="J2262">
        <v>31.527999999999999</v>
      </c>
      <c r="K2262" t="str">
        <f>"CRYZ"</f>
        <v>CRYZ</v>
      </c>
      <c r="L2262" t="str">
        <f>"CRYZ"</f>
        <v>CRYZ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0.90008103209297396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</row>
    <row r="2263" spans="1:24">
      <c r="A2263">
        <v>1394</v>
      </c>
      <c r="B2263" t="s">
        <v>6015</v>
      </c>
      <c r="C2263">
        <v>4</v>
      </c>
      <c r="D2263" t="s">
        <v>6016</v>
      </c>
      <c r="E2263">
        <v>1</v>
      </c>
      <c r="F2263">
        <v>1</v>
      </c>
      <c r="G2263">
        <v>1</v>
      </c>
      <c r="H2263" t="s">
        <v>6017</v>
      </c>
      <c r="I2263">
        <v>6.5</v>
      </c>
      <c r="J2263">
        <v>20.527999999999999</v>
      </c>
      <c r="K2263" t="str">
        <f>"HDHD1"</f>
        <v>HDHD1</v>
      </c>
      <c r="L2263" t="str">
        <f>"PUDP"</f>
        <v>PUDP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</row>
    <row r="2264" spans="1:24">
      <c r="A2264">
        <v>1400</v>
      </c>
      <c r="B2264" t="s">
        <v>6018</v>
      </c>
      <c r="C2264">
        <v>4</v>
      </c>
      <c r="D2264" t="s">
        <v>6019</v>
      </c>
      <c r="E2264">
        <v>1</v>
      </c>
      <c r="F2264">
        <v>1</v>
      </c>
      <c r="G2264">
        <v>1</v>
      </c>
      <c r="H2264" t="s">
        <v>6020</v>
      </c>
      <c r="I2264">
        <v>2.2000000000000002</v>
      </c>
      <c r="J2264">
        <v>66.334999999999994</v>
      </c>
      <c r="K2264" t="str">
        <f>"APOBR"</f>
        <v>APOBR</v>
      </c>
      <c r="L2264" t="str">
        <f>"APOBR"</f>
        <v>APOBR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</row>
    <row r="2265" spans="1:24">
      <c r="A2265">
        <v>1405</v>
      </c>
      <c r="B2265" t="s">
        <v>6021</v>
      </c>
      <c r="C2265">
        <v>2</v>
      </c>
      <c r="D2265" t="s">
        <v>6022</v>
      </c>
      <c r="E2265">
        <v>29</v>
      </c>
      <c r="F2265">
        <v>1</v>
      </c>
      <c r="G2265">
        <v>1</v>
      </c>
      <c r="H2265" t="s">
        <v>6023</v>
      </c>
      <c r="I2265">
        <v>31.8</v>
      </c>
      <c r="J2265">
        <v>103.56</v>
      </c>
      <c r="K2265" t="str">
        <f>"AP1B1"</f>
        <v>AP1B1</v>
      </c>
      <c r="L2265" t="str">
        <f>"AP1B1"</f>
        <v>AP1B1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</row>
    <row r="2266" spans="1:24">
      <c r="A2266">
        <v>1439</v>
      </c>
      <c r="B2266" t="s">
        <v>6024</v>
      </c>
      <c r="C2266">
        <v>2</v>
      </c>
      <c r="D2266" t="s">
        <v>6025</v>
      </c>
      <c r="E2266">
        <v>1</v>
      </c>
      <c r="F2266">
        <v>1</v>
      </c>
      <c r="G2266">
        <v>1</v>
      </c>
      <c r="H2266" t="s">
        <v>6026</v>
      </c>
      <c r="I2266">
        <v>3.5</v>
      </c>
      <c r="J2266">
        <v>50.518999999999998</v>
      </c>
      <c r="K2266" t="str">
        <f>"IFIT5"</f>
        <v>IFIT5</v>
      </c>
      <c r="L2266" t="str">
        <f>"IFIT5"</f>
        <v>IFIT5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</row>
    <row r="2267" spans="1:24">
      <c r="A2267">
        <v>1451</v>
      </c>
      <c r="B2267" t="s">
        <v>6027</v>
      </c>
      <c r="C2267">
        <v>2</v>
      </c>
      <c r="D2267" t="s">
        <v>6028</v>
      </c>
      <c r="E2267">
        <v>15</v>
      </c>
      <c r="F2267">
        <v>1</v>
      </c>
      <c r="G2267">
        <v>0</v>
      </c>
      <c r="H2267" t="s">
        <v>6029</v>
      </c>
      <c r="I2267">
        <v>29.8</v>
      </c>
      <c r="J2267">
        <v>50.432000000000002</v>
      </c>
      <c r="K2267" t="str">
        <f>"TUBB3"</f>
        <v>TUBB3</v>
      </c>
      <c r="L2267" t="str">
        <f>"TUBB3"</f>
        <v>TUBB3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1.10235831809872</v>
      </c>
      <c r="V2267">
        <v>0</v>
      </c>
      <c r="W2267">
        <v>0</v>
      </c>
      <c r="X2267">
        <v>0</v>
      </c>
    </row>
    <row r="2268" spans="1:24">
      <c r="A2268">
        <v>1452</v>
      </c>
      <c r="B2268" t="s">
        <v>6030</v>
      </c>
      <c r="C2268">
        <v>3</v>
      </c>
      <c r="D2268" t="s">
        <v>6031</v>
      </c>
      <c r="E2268">
        <v>1</v>
      </c>
      <c r="F2268">
        <v>1</v>
      </c>
      <c r="G2268">
        <v>1</v>
      </c>
      <c r="H2268" t="s">
        <v>6032</v>
      </c>
      <c r="I2268">
        <v>2.6</v>
      </c>
      <c r="J2268">
        <v>44.045000000000002</v>
      </c>
      <c r="K2268" t="str">
        <f>"ASAH1"</f>
        <v>ASAH1</v>
      </c>
      <c r="L2268" t="str">
        <f>"ASAH1"</f>
        <v>ASAH1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</row>
    <row r="2269" spans="1:24">
      <c r="A2269">
        <v>1471</v>
      </c>
      <c r="B2269" t="s">
        <v>6033</v>
      </c>
      <c r="C2269">
        <v>1</v>
      </c>
      <c r="D2269" t="s">
        <v>6034</v>
      </c>
      <c r="E2269">
        <v>24</v>
      </c>
      <c r="F2269">
        <v>1</v>
      </c>
      <c r="G2269">
        <v>1</v>
      </c>
      <c r="H2269" t="s">
        <v>6033</v>
      </c>
      <c r="I2269">
        <v>53.9</v>
      </c>
      <c r="J2269">
        <v>49.905999999999999</v>
      </c>
      <c r="K2269" t="str">
        <f>"TUBB2A"</f>
        <v>TUBB2A</v>
      </c>
      <c r="L2269" t="str">
        <f>"TUBB2A"</f>
        <v>TUBB2A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0.984645710619934</v>
      </c>
    </row>
    <row r="2270" spans="1:24">
      <c r="A2270">
        <v>1472</v>
      </c>
      <c r="B2270" t="s">
        <v>6035</v>
      </c>
      <c r="C2270">
        <v>2</v>
      </c>
      <c r="D2270" t="s">
        <v>6036</v>
      </c>
      <c r="E2270">
        <v>1</v>
      </c>
      <c r="F2270">
        <v>1</v>
      </c>
      <c r="G2270">
        <v>1</v>
      </c>
      <c r="H2270" t="s">
        <v>6037</v>
      </c>
      <c r="I2270">
        <v>5.3</v>
      </c>
      <c r="J2270">
        <v>26.318999999999999</v>
      </c>
      <c r="K2270" t="str">
        <f>"IDI1"</f>
        <v>IDI1</v>
      </c>
      <c r="L2270" t="str">
        <f>"IDI1"</f>
        <v>IDI1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</row>
    <row r="2271" spans="1:24">
      <c r="A2271">
        <v>1500</v>
      </c>
      <c r="B2271" t="s">
        <v>6038</v>
      </c>
      <c r="C2271">
        <v>2</v>
      </c>
      <c r="D2271" t="s">
        <v>6039</v>
      </c>
      <c r="E2271">
        <v>1</v>
      </c>
      <c r="F2271">
        <v>1</v>
      </c>
      <c r="G2271">
        <v>1</v>
      </c>
      <c r="H2271" t="s">
        <v>6040</v>
      </c>
      <c r="I2271">
        <v>8.9</v>
      </c>
      <c r="J2271">
        <v>26.318000000000001</v>
      </c>
      <c r="K2271" t="str">
        <f>"GAMT"</f>
        <v>GAMT</v>
      </c>
      <c r="L2271" t="str">
        <f>"GAMT"</f>
        <v>GAMT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1.27539809638918</v>
      </c>
      <c r="X2271">
        <v>0</v>
      </c>
    </row>
    <row r="2272" spans="1:24">
      <c r="A2272">
        <v>1514</v>
      </c>
      <c r="B2272" t="s">
        <v>6041</v>
      </c>
      <c r="C2272">
        <v>1</v>
      </c>
      <c r="D2272" t="s">
        <v>6042</v>
      </c>
      <c r="E2272">
        <v>1</v>
      </c>
      <c r="F2272">
        <v>1</v>
      </c>
      <c r="G2272">
        <v>1</v>
      </c>
      <c r="H2272" t="s">
        <v>6041</v>
      </c>
      <c r="I2272">
        <v>1.9</v>
      </c>
      <c r="J2272">
        <v>63.145000000000003</v>
      </c>
      <c r="K2272" t="str">
        <f>"RFTN1"</f>
        <v>RFTN1</v>
      </c>
      <c r="L2272" t="str">
        <f>"RFTN1"</f>
        <v>RFTN1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</row>
    <row r="2273" spans="1:24">
      <c r="A2273">
        <v>1522</v>
      </c>
      <c r="B2273" t="s">
        <v>6043</v>
      </c>
      <c r="C2273">
        <v>4</v>
      </c>
      <c r="D2273" t="s">
        <v>6044</v>
      </c>
      <c r="E2273">
        <v>1</v>
      </c>
      <c r="F2273">
        <v>1</v>
      </c>
      <c r="G2273">
        <v>1</v>
      </c>
      <c r="H2273" t="s">
        <v>6045</v>
      </c>
      <c r="I2273">
        <v>0.7</v>
      </c>
      <c r="J2273">
        <v>200.09</v>
      </c>
      <c r="K2273" t="str">
        <f>"NUMA1"</f>
        <v>NUMA1</v>
      </c>
      <c r="L2273" t="str">
        <f>"NUMA1"</f>
        <v>NUMA1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</row>
    <row r="2274" spans="1:24">
      <c r="A2274">
        <v>1538</v>
      </c>
      <c r="B2274" t="s">
        <v>6046</v>
      </c>
      <c r="C2274">
        <v>2</v>
      </c>
      <c r="D2274" t="s">
        <v>6047</v>
      </c>
      <c r="E2274">
        <v>1</v>
      </c>
      <c r="F2274">
        <v>1</v>
      </c>
      <c r="G2274">
        <v>1</v>
      </c>
      <c r="H2274" t="s">
        <v>6048</v>
      </c>
      <c r="I2274">
        <v>13.1</v>
      </c>
      <c r="J2274">
        <v>15.04</v>
      </c>
      <c r="K2274" t="str">
        <f>"PEA15"</f>
        <v>PEA15</v>
      </c>
      <c r="L2274" t="str">
        <f>"PEA15"</f>
        <v>PEA15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</row>
    <row r="2275" spans="1:24">
      <c r="A2275">
        <v>1547</v>
      </c>
      <c r="B2275" t="s">
        <v>6049</v>
      </c>
      <c r="C2275">
        <v>2</v>
      </c>
      <c r="D2275" t="s">
        <v>6050</v>
      </c>
      <c r="E2275">
        <v>2</v>
      </c>
      <c r="F2275">
        <v>2</v>
      </c>
      <c r="G2275">
        <v>2</v>
      </c>
      <c r="H2275" t="s">
        <v>6051</v>
      </c>
      <c r="I2275">
        <v>3</v>
      </c>
      <c r="J2275">
        <v>95.477999999999994</v>
      </c>
      <c r="K2275" t="str">
        <f>"RABEP1"</f>
        <v>RABEP1</v>
      </c>
      <c r="L2275" t="str">
        <f>"RABEP1"</f>
        <v>RABEP1</v>
      </c>
      <c r="M2275">
        <v>0</v>
      </c>
      <c r="N2275">
        <v>0.89450172185430499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</row>
    <row r="2276" spans="1:24">
      <c r="A2276">
        <v>1552</v>
      </c>
      <c r="B2276" t="s">
        <v>6052</v>
      </c>
      <c r="C2276">
        <v>2</v>
      </c>
      <c r="D2276" t="s">
        <v>6053</v>
      </c>
      <c r="E2276">
        <v>1</v>
      </c>
      <c r="F2276">
        <v>1</v>
      </c>
      <c r="G2276">
        <v>1</v>
      </c>
      <c r="H2276" t="s">
        <v>6054</v>
      </c>
      <c r="I2276">
        <v>12.5</v>
      </c>
      <c r="J2276">
        <v>10.832000000000001</v>
      </c>
      <c r="K2276" t="str">
        <f>"TCEB1"</f>
        <v>TCEB1</v>
      </c>
      <c r="L2276" t="str">
        <f>"TCEB1"</f>
        <v>TCEB1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</row>
    <row r="2277" spans="1:24">
      <c r="A2277">
        <v>1561</v>
      </c>
      <c r="B2277" t="s">
        <v>6055</v>
      </c>
      <c r="C2277">
        <v>1</v>
      </c>
      <c r="D2277" t="s">
        <v>6056</v>
      </c>
      <c r="E2277">
        <v>1</v>
      </c>
      <c r="F2277">
        <v>1</v>
      </c>
      <c r="G2277">
        <v>1</v>
      </c>
      <c r="H2277" t="s">
        <v>6055</v>
      </c>
      <c r="I2277">
        <v>0.7</v>
      </c>
      <c r="J2277">
        <v>137.75</v>
      </c>
      <c r="K2277" t="str">
        <f>"SKIV2L"</f>
        <v>SKIV2L</v>
      </c>
      <c r="L2277" t="str">
        <f>"SKIV2L"</f>
        <v>SKIV2L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</row>
    <row r="2278" spans="1:24">
      <c r="A2278">
        <v>1587</v>
      </c>
      <c r="B2278" t="s">
        <v>6057</v>
      </c>
      <c r="C2278">
        <v>1</v>
      </c>
      <c r="D2278" t="s">
        <v>6058</v>
      </c>
      <c r="E2278">
        <v>12</v>
      </c>
      <c r="F2278">
        <v>1</v>
      </c>
      <c r="G2278">
        <v>1</v>
      </c>
      <c r="H2278" t="s">
        <v>6057</v>
      </c>
      <c r="I2278">
        <v>43.3</v>
      </c>
      <c r="J2278">
        <v>41.493000000000002</v>
      </c>
      <c r="K2278" t="str">
        <f>"MAPK14"</f>
        <v>MAPK14</v>
      </c>
      <c r="L2278" t="str">
        <f>"MAPK14"</f>
        <v>MAPK14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</row>
    <row r="2279" spans="1:24">
      <c r="A2279">
        <v>1599</v>
      </c>
      <c r="B2279" t="s">
        <v>6059</v>
      </c>
      <c r="C2279">
        <v>2</v>
      </c>
      <c r="D2279" t="s">
        <v>6060</v>
      </c>
      <c r="E2279">
        <v>5</v>
      </c>
      <c r="F2279">
        <v>1</v>
      </c>
      <c r="G2279">
        <v>1</v>
      </c>
      <c r="H2279" t="s">
        <v>6061</v>
      </c>
      <c r="I2279">
        <v>43.4</v>
      </c>
      <c r="J2279">
        <v>13.988</v>
      </c>
      <c r="K2279" t="str">
        <f>"HIST2H2AC;HIST2H2AA3"</f>
        <v>HIST2H2AC;HIST2H2AA3</v>
      </c>
      <c r="L2279" t="str">
        <f>"HIST2H2AC;HIST2H2AA3"</f>
        <v>HIST2H2AC;HIST2H2AA3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0.90008103209297396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</row>
    <row r="2280" spans="1:24">
      <c r="A2280">
        <v>1609</v>
      </c>
      <c r="B2280" t="s">
        <v>6062</v>
      </c>
      <c r="C2280">
        <v>1</v>
      </c>
      <c r="D2280" t="s">
        <v>6063</v>
      </c>
      <c r="E2280">
        <v>2</v>
      </c>
      <c r="F2280">
        <v>2</v>
      </c>
      <c r="G2280">
        <v>2</v>
      </c>
      <c r="H2280" t="s">
        <v>6062</v>
      </c>
      <c r="I2280">
        <v>5.0999999999999996</v>
      </c>
      <c r="J2280">
        <v>45.857999999999997</v>
      </c>
      <c r="K2280" t="str">
        <f>"EXOC3L2"</f>
        <v>EXOC3L2</v>
      </c>
      <c r="L2280" t="str">
        <f>"EXOC3L2"</f>
        <v>EXOC3L2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</row>
    <row r="2281" spans="1:24">
      <c r="A2281">
        <v>1611</v>
      </c>
      <c r="B2281" t="s">
        <v>6064</v>
      </c>
      <c r="C2281">
        <v>1</v>
      </c>
      <c r="D2281" t="s">
        <v>6065</v>
      </c>
      <c r="E2281">
        <v>5</v>
      </c>
      <c r="F2281">
        <v>1</v>
      </c>
      <c r="G2281">
        <v>1</v>
      </c>
      <c r="H2281" t="s">
        <v>6064</v>
      </c>
      <c r="I2281">
        <v>3.5</v>
      </c>
      <c r="J2281">
        <v>102.54</v>
      </c>
      <c r="K2281" t="str">
        <f>"HKDC1"</f>
        <v>HKDC1</v>
      </c>
      <c r="L2281" t="str">
        <f>"HKDC1"</f>
        <v>HKDC1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</row>
    <row r="2282" spans="1:24">
      <c r="A2282">
        <v>1613</v>
      </c>
      <c r="B2282" t="s">
        <v>6066</v>
      </c>
      <c r="C2282">
        <v>3</v>
      </c>
      <c r="D2282" t="s">
        <v>6067</v>
      </c>
      <c r="E2282">
        <v>1</v>
      </c>
      <c r="F2282">
        <v>1</v>
      </c>
      <c r="G2282">
        <v>1</v>
      </c>
      <c r="H2282" t="s">
        <v>6068</v>
      </c>
      <c r="I2282">
        <v>2.2000000000000002</v>
      </c>
      <c r="J2282">
        <v>78.921000000000006</v>
      </c>
      <c r="K2282" t="str">
        <f>"LEPRE1"</f>
        <v>LEPRE1</v>
      </c>
      <c r="L2282" t="str">
        <f>"P3H1"</f>
        <v>P3H1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>
      <c r="A2283">
        <v>1635</v>
      </c>
      <c r="B2283" t="s">
        <v>6069</v>
      </c>
      <c r="C2283">
        <v>2</v>
      </c>
      <c r="D2283" t="s">
        <v>6070</v>
      </c>
      <c r="E2283">
        <v>1</v>
      </c>
      <c r="F2283">
        <v>1</v>
      </c>
      <c r="G2283">
        <v>1</v>
      </c>
      <c r="H2283" t="s">
        <v>6071</v>
      </c>
      <c r="I2283">
        <v>2.2000000000000002</v>
      </c>
      <c r="J2283">
        <v>66.248000000000005</v>
      </c>
      <c r="K2283" t="str">
        <f>"TOR1AIP1"</f>
        <v>TOR1AIP1</v>
      </c>
      <c r="L2283" t="str">
        <f>"TOR1AIP1"</f>
        <v>TOR1AIP1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</row>
    <row r="2284" spans="1:24">
      <c r="A2284">
        <v>1641</v>
      </c>
      <c r="B2284" t="s">
        <v>6072</v>
      </c>
      <c r="C2284">
        <v>1</v>
      </c>
      <c r="D2284" t="s">
        <v>6073</v>
      </c>
      <c r="E2284">
        <v>1</v>
      </c>
      <c r="F2284">
        <v>1</v>
      </c>
      <c r="G2284">
        <v>1</v>
      </c>
      <c r="H2284" t="s">
        <v>6072</v>
      </c>
      <c r="I2284">
        <v>3.2</v>
      </c>
      <c r="J2284">
        <v>33.884999999999998</v>
      </c>
      <c r="K2284" t="str">
        <f>"LDLRAP1"</f>
        <v>LDLRAP1</v>
      </c>
      <c r="L2284" t="str">
        <f>"LDLRAP1"</f>
        <v>LDLRAP1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</row>
    <row r="2285" spans="1:24">
      <c r="A2285">
        <v>1643</v>
      </c>
      <c r="B2285" t="s">
        <v>6074</v>
      </c>
      <c r="C2285">
        <v>4</v>
      </c>
      <c r="D2285" t="s">
        <v>6075</v>
      </c>
      <c r="E2285">
        <v>1</v>
      </c>
      <c r="F2285">
        <v>1</v>
      </c>
      <c r="G2285">
        <v>1</v>
      </c>
      <c r="H2285" t="s">
        <v>6076</v>
      </c>
      <c r="I2285">
        <v>4.2</v>
      </c>
      <c r="J2285">
        <v>24.968</v>
      </c>
      <c r="K2285" t="str">
        <f>"CC2D1B"</f>
        <v>CC2D1B</v>
      </c>
      <c r="L2285" t="str">
        <f>"CC2D1B"</f>
        <v>CC2D1B</v>
      </c>
      <c r="M2285">
        <v>0</v>
      </c>
      <c r="N2285">
        <v>0.89450172185430499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</row>
    <row r="2286" spans="1:24">
      <c r="A2286">
        <v>1644</v>
      </c>
      <c r="B2286" t="s">
        <v>6077</v>
      </c>
      <c r="C2286">
        <v>5</v>
      </c>
      <c r="D2286" t="s">
        <v>6078</v>
      </c>
      <c r="E2286">
        <v>3</v>
      </c>
      <c r="F2286">
        <v>3</v>
      </c>
      <c r="G2286">
        <v>3</v>
      </c>
      <c r="H2286" t="s">
        <v>6079</v>
      </c>
      <c r="I2286">
        <v>5.7</v>
      </c>
      <c r="J2286">
        <v>63.570999999999998</v>
      </c>
      <c r="K2286" t="str">
        <f>"FNBP1L"</f>
        <v>FNBP1L</v>
      </c>
      <c r="L2286" t="str">
        <f>"FNBP1L"</f>
        <v>FNBP1L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</row>
    <row r="2287" spans="1:24">
      <c r="A2287">
        <v>1665</v>
      </c>
      <c r="B2287" t="s">
        <v>6080</v>
      </c>
      <c r="C2287">
        <v>5</v>
      </c>
      <c r="D2287" t="s">
        <v>6081</v>
      </c>
      <c r="E2287">
        <v>3</v>
      </c>
      <c r="F2287">
        <v>3</v>
      </c>
      <c r="G2287">
        <v>3</v>
      </c>
      <c r="H2287" t="s">
        <v>6082</v>
      </c>
      <c r="I2287">
        <v>5.7</v>
      </c>
      <c r="J2287">
        <v>87.608000000000004</v>
      </c>
      <c r="K2287" t="str">
        <f>"ARHGAP17"</f>
        <v>ARHGAP17</v>
      </c>
      <c r="L2287" t="str">
        <f>"ARHGAP17"</f>
        <v>ARHGAP17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</row>
    <row r="2288" spans="1:24">
      <c r="A2288">
        <v>1668</v>
      </c>
      <c r="B2288" t="s">
        <v>6083</v>
      </c>
      <c r="C2288">
        <v>1</v>
      </c>
      <c r="D2288" t="s">
        <v>6084</v>
      </c>
      <c r="E2288">
        <v>1</v>
      </c>
      <c r="F2288">
        <v>1</v>
      </c>
      <c r="G2288">
        <v>1</v>
      </c>
      <c r="H2288" t="s">
        <v>6083</v>
      </c>
      <c r="I2288">
        <v>10</v>
      </c>
      <c r="J2288">
        <v>15.805</v>
      </c>
      <c r="K2288" t="str">
        <f>"PTRHD1"</f>
        <v>PTRHD1</v>
      </c>
      <c r="L2288" t="str">
        <f>"PTRHD1"</f>
        <v>PTRHD1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0.90008103209297396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>
      <c r="A2289">
        <v>1669</v>
      </c>
      <c r="B2289" t="s">
        <v>6085</v>
      </c>
      <c r="C2289">
        <v>2</v>
      </c>
      <c r="D2289" t="s">
        <v>6086</v>
      </c>
      <c r="E2289">
        <v>2</v>
      </c>
      <c r="F2289">
        <v>2</v>
      </c>
      <c r="G2289">
        <v>2</v>
      </c>
      <c r="H2289" t="s">
        <v>6087</v>
      </c>
      <c r="I2289">
        <v>2.8</v>
      </c>
      <c r="J2289">
        <v>79.284000000000006</v>
      </c>
      <c r="K2289" t="str">
        <f>"NADSYN1"</f>
        <v>NADSYN1</v>
      </c>
      <c r="L2289" t="str">
        <f>"NADSYN1"</f>
        <v>NADSYN1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1.05063596764157</v>
      </c>
      <c r="W2289">
        <v>0</v>
      </c>
      <c r="X2289">
        <v>0</v>
      </c>
    </row>
    <row r="2290" spans="1:24">
      <c r="A2290">
        <v>1693</v>
      </c>
      <c r="B2290" t="s">
        <v>6088</v>
      </c>
      <c r="C2290">
        <v>1</v>
      </c>
      <c r="D2290" t="s">
        <v>6089</v>
      </c>
      <c r="E2290">
        <v>1</v>
      </c>
      <c r="F2290">
        <v>1</v>
      </c>
      <c r="G2290">
        <v>1</v>
      </c>
      <c r="H2290" t="s">
        <v>6088</v>
      </c>
      <c r="I2290">
        <v>2.9</v>
      </c>
      <c r="J2290">
        <v>34.863999999999997</v>
      </c>
      <c r="K2290" t="str">
        <f>"SERPINA13P"</f>
        <v>SERPINA13P</v>
      </c>
      <c r="L2290" t="str">
        <f>"SERPINA13P"</f>
        <v>SERPINA13P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</row>
    <row r="2291" spans="1:24">
      <c r="A2291">
        <v>1698</v>
      </c>
      <c r="B2291" t="s">
        <v>6090</v>
      </c>
      <c r="C2291">
        <v>4</v>
      </c>
      <c r="D2291" t="s">
        <v>6091</v>
      </c>
      <c r="E2291">
        <v>1</v>
      </c>
      <c r="F2291">
        <v>1</v>
      </c>
      <c r="G2291">
        <v>1</v>
      </c>
      <c r="H2291" t="s">
        <v>6092</v>
      </c>
      <c r="I2291">
        <v>3.8</v>
      </c>
      <c r="J2291">
        <v>65.350999999999999</v>
      </c>
      <c r="K2291" t="str">
        <f>"PPP1R21"</f>
        <v>PPP1R21</v>
      </c>
      <c r="L2291" t="str">
        <f>"PPP1R21"</f>
        <v>PPP1R21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>
      <c r="A2292">
        <v>1710</v>
      </c>
      <c r="B2292" t="s">
        <v>6093</v>
      </c>
      <c r="C2292">
        <v>2</v>
      </c>
      <c r="D2292" t="s">
        <v>6094</v>
      </c>
      <c r="E2292">
        <v>1</v>
      </c>
      <c r="F2292">
        <v>1</v>
      </c>
      <c r="G2292">
        <v>1</v>
      </c>
      <c r="H2292" t="s">
        <v>6095</v>
      </c>
      <c r="I2292">
        <v>3.4</v>
      </c>
      <c r="J2292">
        <v>39.308999999999997</v>
      </c>
      <c r="K2292" t="str">
        <f>"IKBIP"</f>
        <v>IKBIP</v>
      </c>
      <c r="L2292" t="str">
        <f>"IKBIP"</f>
        <v>IKBIP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>
      <c r="A2293">
        <v>1719</v>
      </c>
      <c r="B2293" t="s">
        <v>6096</v>
      </c>
      <c r="C2293">
        <v>3</v>
      </c>
      <c r="D2293" t="s">
        <v>6097</v>
      </c>
      <c r="E2293">
        <v>8</v>
      </c>
      <c r="F2293">
        <v>1</v>
      </c>
      <c r="G2293">
        <v>1</v>
      </c>
      <c r="H2293" t="s">
        <v>6098</v>
      </c>
      <c r="I2293">
        <v>38.5</v>
      </c>
      <c r="J2293">
        <v>35.734000000000002</v>
      </c>
      <c r="K2293" t="str">
        <f>"DOK3"</f>
        <v>DOK3</v>
      </c>
      <c r="L2293" t="str">
        <f>"DOK3"</f>
        <v>DOK3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>
      <c r="A2294">
        <v>1727</v>
      </c>
      <c r="B2294" t="s">
        <v>6099</v>
      </c>
      <c r="C2294">
        <v>1</v>
      </c>
      <c r="D2294" t="s">
        <v>6100</v>
      </c>
      <c r="E2294">
        <v>1</v>
      </c>
      <c r="F2294">
        <v>1</v>
      </c>
      <c r="G2294">
        <v>1</v>
      </c>
      <c r="H2294" t="s">
        <v>6099</v>
      </c>
      <c r="I2294">
        <v>4.0999999999999996</v>
      </c>
      <c r="J2294">
        <v>22.704000000000001</v>
      </c>
      <c r="K2294" t="str">
        <f>"RD3"</f>
        <v>RD3</v>
      </c>
      <c r="L2294" t="str">
        <f>"RD3"</f>
        <v>RD3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</row>
    <row r="2295" spans="1:24">
      <c r="A2295">
        <v>1732</v>
      </c>
      <c r="B2295" t="s">
        <v>6101</v>
      </c>
      <c r="C2295">
        <v>4</v>
      </c>
      <c r="D2295" t="s">
        <v>6102</v>
      </c>
      <c r="E2295">
        <v>1</v>
      </c>
      <c r="F2295">
        <v>1</v>
      </c>
      <c r="G2295">
        <v>1</v>
      </c>
      <c r="H2295" t="s">
        <v>6103</v>
      </c>
      <c r="I2295">
        <v>2.1</v>
      </c>
      <c r="J2295">
        <v>86.695999999999998</v>
      </c>
      <c r="K2295" t="str">
        <f>"TECPR1"</f>
        <v>TECPR1</v>
      </c>
      <c r="L2295" t="str">
        <f>"TECPR1"</f>
        <v>TECPR1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</row>
    <row r="2296" spans="1:24">
      <c r="A2296">
        <v>1743</v>
      </c>
      <c r="B2296" t="s">
        <v>6104</v>
      </c>
      <c r="C2296">
        <v>1</v>
      </c>
      <c r="D2296" t="s">
        <v>6105</v>
      </c>
      <c r="E2296">
        <v>2</v>
      </c>
      <c r="F2296">
        <v>1</v>
      </c>
      <c r="G2296">
        <v>1</v>
      </c>
      <c r="H2296" t="s">
        <v>6104</v>
      </c>
      <c r="I2296">
        <v>1.2</v>
      </c>
      <c r="J2296">
        <v>184.7</v>
      </c>
      <c r="K2296" t="str">
        <f>"IQGAP3"</f>
        <v>IQGAP3</v>
      </c>
      <c r="L2296" t="str">
        <f>"IQGAP3"</f>
        <v>IQGAP3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0.90008103209297396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</row>
    <row r="2297" spans="1:24">
      <c r="A2297">
        <v>1749</v>
      </c>
      <c r="B2297" t="s">
        <v>6106</v>
      </c>
      <c r="C2297">
        <v>1</v>
      </c>
      <c r="D2297" t="s">
        <v>6107</v>
      </c>
      <c r="E2297">
        <v>2</v>
      </c>
      <c r="F2297">
        <v>2</v>
      </c>
      <c r="G2297">
        <v>2</v>
      </c>
      <c r="H2297" t="s">
        <v>6106</v>
      </c>
      <c r="I2297">
        <v>5.3</v>
      </c>
      <c r="J2297">
        <v>42.192</v>
      </c>
      <c r="K2297" t="str">
        <f>"TMEM173"</f>
        <v>TMEM173</v>
      </c>
      <c r="L2297" t="str">
        <f>"TMEM173"</f>
        <v>TMEM173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</row>
    <row r="2298" spans="1:24">
      <c r="A2298">
        <v>1767</v>
      </c>
      <c r="B2298" t="s">
        <v>6108</v>
      </c>
      <c r="C2298">
        <v>9</v>
      </c>
      <c r="D2298" t="s">
        <v>6109</v>
      </c>
      <c r="E2298">
        <v>2</v>
      </c>
      <c r="F2298">
        <v>2</v>
      </c>
      <c r="G2298">
        <v>2</v>
      </c>
      <c r="H2298" t="s">
        <v>6110</v>
      </c>
      <c r="I2298">
        <v>12.2</v>
      </c>
      <c r="J2298">
        <v>23.077000000000002</v>
      </c>
      <c r="K2298" t="str">
        <f>"RHOT2;RHOT1"</f>
        <v>RHOT2;RHOT1</v>
      </c>
      <c r="L2298" t="str">
        <f>"RHOT2;RHOT1"</f>
        <v>RHOT2;RHOT1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</row>
    <row r="2299" spans="1:24">
      <c r="A2299">
        <v>1787</v>
      </c>
      <c r="B2299" t="s">
        <v>6111</v>
      </c>
      <c r="C2299">
        <v>5</v>
      </c>
      <c r="D2299" t="s">
        <v>6112</v>
      </c>
      <c r="E2299">
        <v>9</v>
      </c>
      <c r="F2299">
        <v>2</v>
      </c>
      <c r="G2299">
        <v>2</v>
      </c>
      <c r="H2299" t="s">
        <v>6113</v>
      </c>
      <c r="I2299">
        <v>7</v>
      </c>
      <c r="J2299">
        <v>143.63999999999999</v>
      </c>
      <c r="K2299" t="str">
        <f>"MINK1"</f>
        <v>MINK1</v>
      </c>
      <c r="L2299" t="str">
        <f>"MINK1"</f>
        <v>MINK1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</row>
    <row r="2300" spans="1:24">
      <c r="A2300">
        <v>1804</v>
      </c>
      <c r="B2300" t="s">
        <v>6114</v>
      </c>
      <c r="C2300">
        <v>3</v>
      </c>
      <c r="D2300" t="s">
        <v>6115</v>
      </c>
      <c r="E2300">
        <v>2</v>
      </c>
      <c r="F2300">
        <v>2</v>
      </c>
      <c r="G2300">
        <v>2</v>
      </c>
      <c r="H2300" t="s">
        <v>6116</v>
      </c>
      <c r="I2300">
        <v>4</v>
      </c>
      <c r="J2300">
        <v>66.653000000000006</v>
      </c>
      <c r="K2300" t="str">
        <f>"MTMR14"</f>
        <v>MTMR14</v>
      </c>
      <c r="L2300" t="str">
        <f>"MTMR14"</f>
        <v>MTMR14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1.27539809638918</v>
      </c>
      <c r="X2300">
        <v>0</v>
      </c>
    </row>
    <row r="2301" spans="1:24">
      <c r="A2301">
        <v>1812</v>
      </c>
      <c r="B2301" t="s">
        <v>6117</v>
      </c>
      <c r="C2301">
        <v>1</v>
      </c>
      <c r="D2301" t="s">
        <v>6118</v>
      </c>
      <c r="E2301">
        <v>1</v>
      </c>
      <c r="F2301">
        <v>1</v>
      </c>
      <c r="G2301">
        <v>1</v>
      </c>
      <c r="H2301" t="s">
        <v>6117</v>
      </c>
      <c r="I2301">
        <v>4.3</v>
      </c>
      <c r="J2301">
        <v>59.151000000000003</v>
      </c>
      <c r="K2301" t="str">
        <f>"LPCAT1"</f>
        <v>LPCAT1</v>
      </c>
      <c r="L2301" t="str">
        <f>"LPCAT1"</f>
        <v>LPCAT1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</row>
    <row r="2302" spans="1:24">
      <c r="A2302">
        <v>1830</v>
      </c>
      <c r="B2302" t="s">
        <v>6119</v>
      </c>
      <c r="C2302">
        <v>2</v>
      </c>
      <c r="D2302" t="s">
        <v>6120</v>
      </c>
      <c r="E2302">
        <v>4</v>
      </c>
      <c r="F2302">
        <v>4</v>
      </c>
      <c r="G2302">
        <v>4</v>
      </c>
      <c r="H2302" t="s">
        <v>6121</v>
      </c>
      <c r="I2302">
        <v>6.8</v>
      </c>
      <c r="J2302">
        <v>93.531999999999996</v>
      </c>
      <c r="K2302" t="str">
        <f>"BICD2"</f>
        <v>BICD2</v>
      </c>
      <c r="L2302" t="str">
        <f>"BICD2"</f>
        <v>BICD2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</row>
    <row r="2303" spans="1:24">
      <c r="A2303">
        <v>1839</v>
      </c>
      <c r="B2303" t="s">
        <v>6122</v>
      </c>
      <c r="C2303">
        <v>1</v>
      </c>
      <c r="D2303" t="s">
        <v>6123</v>
      </c>
      <c r="E2303">
        <v>1</v>
      </c>
      <c r="F2303">
        <v>1</v>
      </c>
      <c r="G2303">
        <v>1</v>
      </c>
      <c r="H2303" t="s">
        <v>6122</v>
      </c>
      <c r="I2303">
        <v>4.5999999999999996</v>
      </c>
      <c r="J2303">
        <v>39.094999999999999</v>
      </c>
      <c r="K2303" t="str">
        <f>"ABHD5"</f>
        <v>ABHD5</v>
      </c>
      <c r="L2303" t="str">
        <f>"ABHD5"</f>
        <v>ABHD5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</row>
    <row r="2304" spans="1:24">
      <c r="A2304">
        <v>1841</v>
      </c>
      <c r="B2304" t="s">
        <v>6124</v>
      </c>
      <c r="C2304">
        <v>1</v>
      </c>
      <c r="D2304" t="s">
        <v>6125</v>
      </c>
      <c r="E2304">
        <v>1</v>
      </c>
      <c r="F2304">
        <v>1</v>
      </c>
      <c r="G2304">
        <v>1</v>
      </c>
      <c r="H2304" t="s">
        <v>6124</v>
      </c>
      <c r="I2304">
        <v>5</v>
      </c>
      <c r="J2304">
        <v>59.12</v>
      </c>
      <c r="K2304" t="str">
        <f>"TBC1D22A"</f>
        <v>TBC1D22A</v>
      </c>
      <c r="L2304" t="str">
        <f>"TBC1D22A"</f>
        <v>TBC1D22A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</row>
    <row r="2305" spans="1:24">
      <c r="A2305">
        <v>1843</v>
      </c>
      <c r="B2305" t="s">
        <v>6126</v>
      </c>
      <c r="C2305">
        <v>1</v>
      </c>
      <c r="D2305" t="s">
        <v>6127</v>
      </c>
      <c r="E2305">
        <v>1</v>
      </c>
      <c r="F2305">
        <v>1</v>
      </c>
      <c r="G2305">
        <v>1</v>
      </c>
      <c r="H2305" t="s">
        <v>6126</v>
      </c>
      <c r="I2305">
        <v>7.7</v>
      </c>
      <c r="J2305">
        <v>23.864999999999998</v>
      </c>
      <c r="K2305" t="str">
        <f>"THEM6"</f>
        <v>THEM6</v>
      </c>
      <c r="L2305" t="str">
        <f>"THEM6"</f>
        <v>THEM6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</row>
    <row r="2306" spans="1:24">
      <c r="A2306">
        <v>1844</v>
      </c>
      <c r="B2306" t="s">
        <v>6128</v>
      </c>
      <c r="C2306">
        <v>5</v>
      </c>
      <c r="D2306" t="s">
        <v>6129</v>
      </c>
      <c r="E2306">
        <v>1</v>
      </c>
      <c r="F2306">
        <v>1</v>
      </c>
      <c r="G2306">
        <v>1</v>
      </c>
      <c r="H2306" t="s">
        <v>6130</v>
      </c>
      <c r="I2306">
        <v>3.4</v>
      </c>
      <c r="J2306">
        <v>40.091999999999999</v>
      </c>
      <c r="K2306" t="str">
        <f>"PRUNE2"</f>
        <v>PRUNE2</v>
      </c>
      <c r="L2306" t="str">
        <f>"PRUNE2"</f>
        <v>PRUNE2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>
      <c r="A2307">
        <v>1854</v>
      </c>
      <c r="B2307" t="s">
        <v>6131</v>
      </c>
      <c r="C2307">
        <v>1</v>
      </c>
      <c r="D2307" t="s">
        <v>6132</v>
      </c>
      <c r="E2307">
        <v>1</v>
      </c>
      <c r="F2307">
        <v>1</v>
      </c>
      <c r="G2307">
        <v>1</v>
      </c>
      <c r="H2307" t="s">
        <v>6131</v>
      </c>
      <c r="I2307">
        <v>3</v>
      </c>
      <c r="J2307">
        <v>41.97</v>
      </c>
      <c r="K2307" t="str">
        <f>"SEPT1"</f>
        <v>SEPT1</v>
      </c>
      <c r="L2307" t="str">
        <f>"SEPT1"</f>
        <v>SEPT1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0.90008103209297396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>
      <c r="A2308">
        <v>1884</v>
      </c>
      <c r="B2308" t="s">
        <v>6133</v>
      </c>
      <c r="C2308">
        <v>1</v>
      </c>
      <c r="D2308" t="s">
        <v>6134</v>
      </c>
      <c r="E2308">
        <v>1</v>
      </c>
      <c r="F2308">
        <v>1</v>
      </c>
      <c r="G2308">
        <v>1</v>
      </c>
      <c r="H2308" t="s">
        <v>6133</v>
      </c>
      <c r="I2308">
        <v>1.4</v>
      </c>
      <c r="J2308">
        <v>73.114000000000004</v>
      </c>
      <c r="K2308" t="str">
        <f>"KHSRP"</f>
        <v>KHSRP</v>
      </c>
      <c r="L2308" t="str">
        <f>"KHSRP"</f>
        <v>KHSRP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</row>
    <row r="2309" spans="1:24">
      <c r="A2309">
        <v>1907</v>
      </c>
      <c r="B2309" t="s">
        <v>6135</v>
      </c>
      <c r="C2309">
        <v>3</v>
      </c>
      <c r="D2309" t="s">
        <v>6136</v>
      </c>
      <c r="E2309">
        <v>1</v>
      </c>
      <c r="F2309">
        <v>1</v>
      </c>
      <c r="G2309">
        <v>1</v>
      </c>
      <c r="H2309" t="s">
        <v>6137</v>
      </c>
      <c r="I2309">
        <v>17</v>
      </c>
      <c r="J2309">
        <v>14.765000000000001</v>
      </c>
      <c r="K2309" t="str">
        <f>"ISOC2"</f>
        <v>ISOC2</v>
      </c>
      <c r="L2309" t="str">
        <f>"ISOC2"</f>
        <v>ISOC2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</row>
    <row r="2310" spans="1:24">
      <c r="A2310">
        <v>1915</v>
      </c>
      <c r="B2310" t="s">
        <v>6138</v>
      </c>
      <c r="C2310">
        <v>1</v>
      </c>
      <c r="D2310" t="s">
        <v>6139</v>
      </c>
      <c r="E2310">
        <v>1</v>
      </c>
      <c r="F2310">
        <v>1</v>
      </c>
      <c r="G2310">
        <v>1</v>
      </c>
      <c r="H2310" t="s">
        <v>6138</v>
      </c>
      <c r="I2310">
        <v>13</v>
      </c>
      <c r="J2310">
        <v>15.641</v>
      </c>
      <c r="K2310" t="str">
        <f>"FAM136A"</f>
        <v>FAM136A</v>
      </c>
      <c r="L2310" t="str">
        <f>"FAM136A"</f>
        <v>FAM136A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0.90008103209297396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</row>
    <row r="2311" spans="1:24">
      <c r="A2311">
        <v>1921</v>
      </c>
      <c r="B2311" t="s">
        <v>6140</v>
      </c>
      <c r="C2311">
        <v>3</v>
      </c>
      <c r="D2311" t="s">
        <v>6141</v>
      </c>
      <c r="E2311">
        <v>1</v>
      </c>
      <c r="F2311">
        <v>1</v>
      </c>
      <c r="G2311">
        <v>1</v>
      </c>
      <c r="H2311" t="s">
        <v>6142</v>
      </c>
      <c r="I2311">
        <v>2.7</v>
      </c>
      <c r="J2311">
        <v>59.558</v>
      </c>
      <c r="K2311" t="str">
        <f>"OPTN"</f>
        <v>OPTN</v>
      </c>
      <c r="L2311" t="str">
        <f>"OPTN"</f>
        <v>OPTN</v>
      </c>
      <c r="M2311">
        <v>0</v>
      </c>
      <c r="N2311">
        <v>0.89450172185430499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</row>
    <row r="2312" spans="1:24">
      <c r="A2312">
        <v>1923</v>
      </c>
      <c r="B2312" t="s">
        <v>6143</v>
      </c>
      <c r="C2312">
        <v>2</v>
      </c>
      <c r="D2312" t="s">
        <v>6144</v>
      </c>
      <c r="E2312">
        <v>1</v>
      </c>
      <c r="F2312">
        <v>1</v>
      </c>
      <c r="G2312">
        <v>1</v>
      </c>
      <c r="H2312" t="s">
        <v>6145</v>
      </c>
      <c r="I2312">
        <v>4.2</v>
      </c>
      <c r="J2312">
        <v>51.91</v>
      </c>
      <c r="K2312" t="str">
        <f>"ERLEC1"</f>
        <v>ERLEC1</v>
      </c>
      <c r="L2312" t="str">
        <f>"ERLEC1"</f>
        <v>ERLEC1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>
      <c r="A2313">
        <v>1929</v>
      </c>
      <c r="B2313" t="s">
        <v>6146</v>
      </c>
      <c r="C2313">
        <v>13</v>
      </c>
      <c r="D2313" t="s">
        <v>6147</v>
      </c>
      <c r="E2313">
        <v>2</v>
      </c>
      <c r="F2313">
        <v>1</v>
      </c>
      <c r="G2313">
        <v>1</v>
      </c>
      <c r="H2313" t="s">
        <v>6148</v>
      </c>
      <c r="I2313">
        <v>5.6</v>
      </c>
      <c r="J2313">
        <v>49.89</v>
      </c>
      <c r="K2313" t="str">
        <f>"CPNE2;CPNE8;CPNE5;CPNE9;CPNE4;CPNE6;CPNE7"</f>
        <v>CPNE2;CPNE8;CPNE5;CPNE9;CPNE4;CPNE6;CPNE7</v>
      </c>
      <c r="L2313" t="str">
        <f>"CPNE2;CPNE8;CPNE5;CPNE9;CPNE4;CPNE6;CPNE7"</f>
        <v>CPNE2;CPNE8;CPNE5;CPNE9;CPNE4;CPNE6;CPNE7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</row>
    <row r="2314" spans="1:24">
      <c r="A2314">
        <v>1937</v>
      </c>
      <c r="B2314" t="s">
        <v>6149</v>
      </c>
      <c r="C2314">
        <v>4</v>
      </c>
      <c r="D2314" t="s">
        <v>6150</v>
      </c>
      <c r="E2314">
        <v>1</v>
      </c>
      <c r="F2314">
        <v>1</v>
      </c>
      <c r="G2314">
        <v>1</v>
      </c>
      <c r="H2314" t="s">
        <v>6151</v>
      </c>
      <c r="I2314">
        <v>2</v>
      </c>
      <c r="J2314">
        <v>54.222999999999999</v>
      </c>
      <c r="K2314" t="str">
        <f>"C7orf55;LUC7L2"</f>
        <v>C7orf55;LUC7L2</v>
      </c>
      <c r="L2314" t="str">
        <f>"C7orf55;LUC7L2"</f>
        <v>C7orf55;LUC7L2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0.90008103209297396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</row>
    <row r="2315" spans="1:24">
      <c r="A2315">
        <v>1959</v>
      </c>
      <c r="B2315" t="s">
        <v>6152</v>
      </c>
      <c r="C2315">
        <v>5</v>
      </c>
      <c r="D2315" t="s">
        <v>6153</v>
      </c>
      <c r="E2315">
        <v>2</v>
      </c>
      <c r="F2315">
        <v>1</v>
      </c>
      <c r="G2315">
        <v>1</v>
      </c>
      <c r="H2315" t="s">
        <v>6154</v>
      </c>
      <c r="I2315">
        <v>12.7</v>
      </c>
      <c r="J2315">
        <v>22.83</v>
      </c>
      <c r="K2315" t="str">
        <f>"CLIC5;CLIC6"</f>
        <v>CLIC5;CLIC6</v>
      </c>
      <c r="L2315" t="str">
        <f>"CLIC5;CLIC6"</f>
        <v>CLIC5;CLIC6</v>
      </c>
      <c r="M2315">
        <v>0</v>
      </c>
      <c r="N2315">
        <v>0</v>
      </c>
      <c r="O2315">
        <v>0.91194339418818204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</row>
    <row r="2316" spans="1:24">
      <c r="A2316">
        <v>2008</v>
      </c>
      <c r="B2316" t="s">
        <v>6155</v>
      </c>
      <c r="C2316">
        <v>1</v>
      </c>
      <c r="D2316" t="s">
        <v>6156</v>
      </c>
      <c r="E2316">
        <v>1</v>
      </c>
      <c r="F2316">
        <v>1</v>
      </c>
      <c r="G2316">
        <v>1</v>
      </c>
      <c r="H2316" t="s">
        <v>6155</v>
      </c>
      <c r="I2316">
        <v>5.3</v>
      </c>
      <c r="J2316">
        <v>33.31</v>
      </c>
      <c r="K2316" t="str">
        <f>"NIPSNAP1"</f>
        <v>NIPSNAP1</v>
      </c>
      <c r="L2316" t="str">
        <f>"NIPSNAP1"</f>
        <v>NIPSNAP1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</row>
    <row r="2317" spans="1:24">
      <c r="A2317">
        <v>2015</v>
      </c>
      <c r="B2317" t="s">
        <v>6157</v>
      </c>
      <c r="C2317">
        <v>4</v>
      </c>
      <c r="D2317" t="s">
        <v>6158</v>
      </c>
      <c r="E2317">
        <v>1</v>
      </c>
      <c r="F2317">
        <v>1</v>
      </c>
      <c r="G2317">
        <v>1</v>
      </c>
      <c r="H2317" t="s">
        <v>6159</v>
      </c>
      <c r="I2317">
        <v>6.3</v>
      </c>
      <c r="J2317">
        <v>24.13</v>
      </c>
      <c r="K2317" t="str">
        <f>"ADPGK"</f>
        <v>ADPGK</v>
      </c>
      <c r="L2317" t="str">
        <f>"ADPGK"</f>
        <v>ADPGK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</row>
    <row r="2318" spans="1:24">
      <c r="A2318">
        <v>2016</v>
      </c>
      <c r="B2318" t="s">
        <v>6160</v>
      </c>
      <c r="C2318">
        <v>1</v>
      </c>
      <c r="D2318" t="s">
        <v>6161</v>
      </c>
      <c r="E2318">
        <v>1</v>
      </c>
      <c r="F2318">
        <v>1</v>
      </c>
      <c r="G2318">
        <v>1</v>
      </c>
      <c r="H2318" t="s">
        <v>6160</v>
      </c>
      <c r="I2318">
        <v>2.4</v>
      </c>
      <c r="J2318">
        <v>81.486999999999995</v>
      </c>
      <c r="K2318" t="str">
        <f>"TRIM56"</f>
        <v>TRIM56</v>
      </c>
      <c r="L2318" t="str">
        <f>"TRIM56"</f>
        <v>TRIM56</v>
      </c>
      <c r="M2318">
        <v>0</v>
      </c>
      <c r="N2318">
        <v>0.89450172185430499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</row>
    <row r="2319" spans="1:24">
      <c r="A2319">
        <v>2020</v>
      </c>
      <c r="B2319" t="s">
        <v>6162</v>
      </c>
      <c r="C2319">
        <v>1</v>
      </c>
      <c r="D2319" t="s">
        <v>6163</v>
      </c>
      <c r="E2319">
        <v>2</v>
      </c>
      <c r="F2319">
        <v>2</v>
      </c>
      <c r="G2319">
        <v>2</v>
      </c>
      <c r="H2319" t="s">
        <v>6162</v>
      </c>
      <c r="I2319">
        <v>15.1</v>
      </c>
      <c r="J2319">
        <v>28</v>
      </c>
      <c r="K2319" t="str">
        <f>"HDHD3"</f>
        <v>HDHD3</v>
      </c>
      <c r="L2319" t="str">
        <f>"HDHD3"</f>
        <v>HDHD3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</row>
    <row r="2320" spans="1:24">
      <c r="A2320">
        <v>2052</v>
      </c>
      <c r="B2320" t="s">
        <v>6164</v>
      </c>
      <c r="C2320">
        <v>1</v>
      </c>
      <c r="D2320" t="s">
        <v>6165</v>
      </c>
      <c r="E2320">
        <v>1</v>
      </c>
      <c r="F2320">
        <v>1</v>
      </c>
      <c r="G2320">
        <v>1</v>
      </c>
      <c r="H2320" t="s">
        <v>6164</v>
      </c>
      <c r="I2320">
        <v>2.1</v>
      </c>
      <c r="J2320">
        <v>57.625</v>
      </c>
      <c r="K2320" t="str">
        <f>"FAM126A"</f>
        <v>FAM126A</v>
      </c>
      <c r="L2320" t="str">
        <f>"FAM126A"</f>
        <v>FAM126A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</row>
    <row r="2321" spans="1:24">
      <c r="A2321">
        <v>2053</v>
      </c>
      <c r="B2321" t="s">
        <v>6166</v>
      </c>
      <c r="C2321">
        <v>1</v>
      </c>
      <c r="D2321" t="s">
        <v>6167</v>
      </c>
      <c r="E2321">
        <v>8</v>
      </c>
      <c r="F2321">
        <v>1</v>
      </c>
      <c r="G2321">
        <v>1</v>
      </c>
      <c r="H2321" t="s">
        <v>6166</v>
      </c>
      <c r="I2321">
        <v>21.3</v>
      </c>
      <c r="J2321">
        <v>42.015999999999998</v>
      </c>
      <c r="K2321" t="str">
        <f>"POTEKP"</f>
        <v>POTEKP</v>
      </c>
      <c r="L2321" t="str">
        <f>"POTEKP"</f>
        <v>POTEKP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1.10235831809872</v>
      </c>
      <c r="V2321">
        <v>0</v>
      </c>
      <c r="W2321">
        <v>0</v>
      </c>
      <c r="X2321">
        <v>0</v>
      </c>
    </row>
    <row r="2322" spans="1:24">
      <c r="A2322">
        <v>2063</v>
      </c>
      <c r="B2322" t="s">
        <v>6168</v>
      </c>
      <c r="C2322">
        <v>4</v>
      </c>
      <c r="D2322" t="s">
        <v>6169</v>
      </c>
      <c r="E2322">
        <v>2</v>
      </c>
      <c r="F2322">
        <v>2</v>
      </c>
      <c r="G2322">
        <v>2</v>
      </c>
      <c r="H2322" t="s">
        <v>6170</v>
      </c>
      <c r="I2322">
        <v>7.2</v>
      </c>
      <c r="J2322">
        <v>33</v>
      </c>
      <c r="K2322" t="str">
        <f>"LNP"</f>
        <v>LNP</v>
      </c>
      <c r="L2322" t="str">
        <f>"KIAA1715"</f>
        <v>KIAA1715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</row>
    <row r="2323" spans="1:24">
      <c r="A2323">
        <v>2082</v>
      </c>
      <c r="B2323" t="s">
        <v>6171</v>
      </c>
      <c r="C2323">
        <v>2</v>
      </c>
      <c r="D2323" t="s">
        <v>6172</v>
      </c>
      <c r="E2323">
        <v>1</v>
      </c>
      <c r="F2323">
        <v>1</v>
      </c>
      <c r="G2323">
        <v>1</v>
      </c>
      <c r="H2323" t="s">
        <v>6173</v>
      </c>
      <c r="I2323">
        <v>3.6</v>
      </c>
      <c r="J2323">
        <v>53.97</v>
      </c>
      <c r="K2323" t="str">
        <f>"OSBPL2"</f>
        <v>OSBPL2</v>
      </c>
      <c r="L2323" t="str">
        <f>"OSBPL2"</f>
        <v>OSBPL2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0.90008103209297396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</row>
    <row r="2324" spans="1:24">
      <c r="A2324">
        <v>2110</v>
      </c>
      <c r="B2324" t="s">
        <v>6174</v>
      </c>
      <c r="C2324">
        <v>1</v>
      </c>
      <c r="D2324" t="s">
        <v>6175</v>
      </c>
      <c r="E2324">
        <v>2</v>
      </c>
      <c r="F2324">
        <v>2</v>
      </c>
      <c r="G2324">
        <v>2</v>
      </c>
      <c r="H2324" t="s">
        <v>6174</v>
      </c>
      <c r="I2324">
        <v>3.7</v>
      </c>
      <c r="J2324">
        <v>68.760000000000005</v>
      </c>
      <c r="K2324" t="str">
        <f>"ACAD9"</f>
        <v>ACAD9</v>
      </c>
      <c r="L2324" t="str">
        <f>"ACAD9"</f>
        <v>ACAD9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</row>
    <row r="2325" spans="1:24">
      <c r="A2325">
        <v>2124</v>
      </c>
      <c r="B2325" t="s">
        <v>6176</v>
      </c>
      <c r="C2325">
        <v>2</v>
      </c>
      <c r="D2325" t="s">
        <v>6177</v>
      </c>
      <c r="E2325">
        <v>2</v>
      </c>
      <c r="F2325">
        <v>2</v>
      </c>
      <c r="G2325">
        <v>2</v>
      </c>
      <c r="H2325" t="s">
        <v>6178</v>
      </c>
      <c r="I2325">
        <v>2.1</v>
      </c>
      <c r="J2325">
        <v>185.7</v>
      </c>
      <c r="K2325" t="str">
        <f>"TNS1"</f>
        <v>TNS1</v>
      </c>
      <c r="L2325" t="str">
        <f>"TNS1"</f>
        <v>TNS1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0.984645710619934</v>
      </c>
    </row>
    <row r="2326" spans="1:24">
      <c r="A2326">
        <v>2127</v>
      </c>
      <c r="B2326" t="s">
        <v>6179</v>
      </c>
      <c r="C2326">
        <v>3</v>
      </c>
      <c r="D2326" t="s">
        <v>6180</v>
      </c>
      <c r="E2326">
        <v>2</v>
      </c>
      <c r="F2326">
        <v>2</v>
      </c>
      <c r="G2326">
        <v>2</v>
      </c>
      <c r="H2326" t="s">
        <v>6181</v>
      </c>
      <c r="I2326">
        <v>5.2</v>
      </c>
      <c r="J2326">
        <v>72.11</v>
      </c>
      <c r="K2326" t="str">
        <f>"GBA2"</f>
        <v>GBA2</v>
      </c>
      <c r="L2326" t="str">
        <f>"GBA2"</f>
        <v>GBA2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</row>
    <row r="2327" spans="1:24">
      <c r="A2327">
        <v>2144</v>
      </c>
      <c r="B2327" t="s">
        <v>6182</v>
      </c>
      <c r="C2327">
        <v>1</v>
      </c>
      <c r="D2327" t="s">
        <v>6183</v>
      </c>
      <c r="E2327">
        <v>5</v>
      </c>
      <c r="F2327">
        <v>5</v>
      </c>
      <c r="G2327">
        <v>5</v>
      </c>
      <c r="H2327" t="s">
        <v>6182</v>
      </c>
      <c r="I2327">
        <v>3.6</v>
      </c>
      <c r="J2327">
        <v>202.79</v>
      </c>
      <c r="K2327" t="str">
        <f>"KIF13B"</f>
        <v>KIF13B</v>
      </c>
      <c r="L2327" t="str">
        <f>"KIF13B"</f>
        <v>KIF13B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</row>
    <row r="2328" spans="1:24">
      <c r="A2328">
        <v>2147</v>
      </c>
      <c r="B2328" t="s">
        <v>6184</v>
      </c>
      <c r="C2328">
        <v>1</v>
      </c>
      <c r="D2328" t="s">
        <v>6185</v>
      </c>
      <c r="E2328">
        <v>23</v>
      </c>
      <c r="F2328">
        <v>1</v>
      </c>
      <c r="G2328">
        <v>1</v>
      </c>
      <c r="H2328" t="s">
        <v>6184</v>
      </c>
      <c r="I2328">
        <v>67.400000000000006</v>
      </c>
      <c r="J2328">
        <v>46.51</v>
      </c>
      <c r="K2328" t="str">
        <f>"PDLIM7"</f>
        <v>PDLIM7</v>
      </c>
      <c r="L2328" t="str">
        <f>"PDLIM7"</f>
        <v>PDLIM7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</row>
    <row r="2329" spans="1:24">
      <c r="A2329">
        <v>2153</v>
      </c>
      <c r="B2329" t="s">
        <v>6186</v>
      </c>
      <c r="C2329">
        <v>2</v>
      </c>
      <c r="D2329" t="s">
        <v>6187</v>
      </c>
      <c r="E2329">
        <v>1</v>
      </c>
      <c r="F2329">
        <v>1</v>
      </c>
      <c r="G2329">
        <v>1</v>
      </c>
      <c r="H2329" t="s">
        <v>6188</v>
      </c>
      <c r="I2329">
        <v>0.3</v>
      </c>
      <c r="J2329">
        <v>332.21</v>
      </c>
      <c r="K2329" t="str">
        <f>"ASH1L"</f>
        <v>ASH1L</v>
      </c>
      <c r="L2329" t="str">
        <f>"ASH1L"</f>
        <v>ASH1L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1.27539809638918</v>
      </c>
      <c r="X2329">
        <v>0</v>
      </c>
    </row>
    <row r="2330" spans="1:24">
      <c r="A2330">
        <v>2176</v>
      </c>
      <c r="B2330" t="s">
        <v>6189</v>
      </c>
      <c r="C2330">
        <v>6</v>
      </c>
      <c r="D2330" t="s">
        <v>6190</v>
      </c>
      <c r="E2330">
        <v>3</v>
      </c>
      <c r="F2330">
        <v>3</v>
      </c>
      <c r="G2330">
        <v>3</v>
      </c>
      <c r="H2330" t="s">
        <v>6191</v>
      </c>
      <c r="I2330">
        <v>8.6</v>
      </c>
      <c r="J2330">
        <v>53.973999999999997</v>
      </c>
      <c r="K2330" t="str">
        <f>"DDX19A;DDX19B"</f>
        <v>DDX19A;DDX19B</v>
      </c>
      <c r="L2330" t="str">
        <f>"DDX19A;DDX19B"</f>
        <v>DDX19A;DDX19B</v>
      </c>
      <c r="M2330">
        <v>1.2103892752168599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</row>
    <row r="2331" spans="1:24">
      <c r="A2331">
        <v>2186</v>
      </c>
      <c r="B2331" t="s">
        <v>6192</v>
      </c>
      <c r="C2331">
        <v>5</v>
      </c>
      <c r="D2331" t="s">
        <v>6193</v>
      </c>
      <c r="E2331">
        <v>1</v>
      </c>
      <c r="F2331">
        <v>1</v>
      </c>
      <c r="G2331">
        <v>1</v>
      </c>
      <c r="H2331" t="s">
        <v>6194</v>
      </c>
      <c r="I2331">
        <v>4.5</v>
      </c>
      <c r="J2331">
        <v>53.841999999999999</v>
      </c>
      <c r="K2331" t="str">
        <f>"ANO10"</f>
        <v>ANO10</v>
      </c>
      <c r="L2331" t="str">
        <f>"ANO10"</f>
        <v>ANO10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>
      <c r="A2332">
        <v>2190</v>
      </c>
      <c r="B2332" t="s">
        <v>6195</v>
      </c>
      <c r="C2332">
        <v>2</v>
      </c>
      <c r="D2332" t="s">
        <v>6196</v>
      </c>
      <c r="E2332">
        <v>1</v>
      </c>
      <c r="F2332">
        <v>1</v>
      </c>
      <c r="G2332">
        <v>1</v>
      </c>
      <c r="H2332" t="s">
        <v>6197</v>
      </c>
      <c r="I2332">
        <v>15</v>
      </c>
      <c r="J2332">
        <v>17.315999999999999</v>
      </c>
      <c r="K2332" t="str">
        <f>"NDUFB11"</f>
        <v>NDUFB11</v>
      </c>
      <c r="L2332" t="str">
        <f>"NDUFB11"</f>
        <v>NDUFB11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1.1331355704698001</v>
      </c>
      <c r="T2332">
        <v>0</v>
      </c>
      <c r="U2332">
        <v>0</v>
      </c>
      <c r="V2332">
        <v>0</v>
      </c>
      <c r="W2332">
        <v>0</v>
      </c>
      <c r="X2332">
        <v>0</v>
      </c>
    </row>
    <row r="2333" spans="1:24">
      <c r="A2333">
        <v>2194</v>
      </c>
      <c r="B2333" t="s">
        <v>6198</v>
      </c>
      <c r="C2333">
        <v>4</v>
      </c>
      <c r="D2333" t="s">
        <v>6199</v>
      </c>
      <c r="E2333">
        <v>2</v>
      </c>
      <c r="F2333">
        <v>2</v>
      </c>
      <c r="G2333">
        <v>2</v>
      </c>
      <c r="H2333" t="s">
        <v>6200</v>
      </c>
      <c r="I2333">
        <v>5.4</v>
      </c>
      <c r="J2333">
        <v>43.156999999999996</v>
      </c>
      <c r="K2333" t="str">
        <f>"GFOD1;GFOD2"</f>
        <v>GFOD1;GFOD2</v>
      </c>
      <c r="L2333" t="str">
        <f>"GFOD1;GFOD2"</f>
        <v>GFOD1;GFOD2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0.984645710619934</v>
      </c>
    </row>
    <row r="2334" spans="1:24">
      <c r="A2334">
        <v>2201</v>
      </c>
      <c r="B2334" t="s">
        <v>6201</v>
      </c>
      <c r="C2334">
        <v>1</v>
      </c>
      <c r="D2334" t="s">
        <v>6202</v>
      </c>
      <c r="E2334">
        <v>1</v>
      </c>
      <c r="F2334">
        <v>1</v>
      </c>
      <c r="G2334">
        <v>1</v>
      </c>
      <c r="H2334" t="s">
        <v>6201</v>
      </c>
      <c r="I2334">
        <v>5.5</v>
      </c>
      <c r="J2334">
        <v>36.033999999999999</v>
      </c>
      <c r="K2334" t="str">
        <f>"TECR"</f>
        <v>TECR</v>
      </c>
      <c r="L2334" t="str">
        <f>"TECR"</f>
        <v>TECR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</row>
    <row r="2335" spans="1:24">
      <c r="A2335">
        <v>2214</v>
      </c>
      <c r="B2335" t="s">
        <v>6203</v>
      </c>
      <c r="C2335">
        <v>1</v>
      </c>
      <c r="D2335" t="s">
        <v>6204</v>
      </c>
      <c r="E2335">
        <v>1</v>
      </c>
      <c r="F2335">
        <v>1</v>
      </c>
      <c r="G2335">
        <v>1</v>
      </c>
      <c r="H2335" t="s">
        <v>6203</v>
      </c>
      <c r="I2335">
        <v>10.4</v>
      </c>
      <c r="J2335">
        <v>20.574000000000002</v>
      </c>
      <c r="K2335" t="str">
        <f>"TMEM9"</f>
        <v>TMEM9</v>
      </c>
      <c r="L2335" t="str">
        <f>"TMEM9"</f>
        <v>TMEM9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</row>
    <row r="2336" spans="1:24">
      <c r="A2336">
        <v>2218</v>
      </c>
      <c r="B2336" t="s">
        <v>6205</v>
      </c>
      <c r="C2336">
        <v>1</v>
      </c>
      <c r="D2336" t="s">
        <v>6206</v>
      </c>
      <c r="E2336">
        <v>2</v>
      </c>
      <c r="F2336">
        <v>2</v>
      </c>
      <c r="G2336">
        <v>2</v>
      </c>
      <c r="H2336" t="s">
        <v>6205</v>
      </c>
      <c r="I2336">
        <v>2.7</v>
      </c>
      <c r="J2336">
        <v>110.18</v>
      </c>
      <c r="K2336" t="str">
        <f>"VPS18"</f>
        <v>VPS18</v>
      </c>
      <c r="L2336" t="str">
        <f>"VPS18"</f>
        <v>VPS18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</row>
    <row r="2337" spans="1:24">
      <c r="A2337">
        <v>2222</v>
      </c>
      <c r="B2337" t="s">
        <v>6207</v>
      </c>
      <c r="C2337">
        <v>2</v>
      </c>
      <c r="D2337" t="s">
        <v>6208</v>
      </c>
      <c r="E2337">
        <v>1</v>
      </c>
      <c r="F2337">
        <v>1</v>
      </c>
      <c r="G2337">
        <v>1</v>
      </c>
      <c r="H2337" t="s">
        <v>6209</v>
      </c>
      <c r="I2337">
        <v>0.9</v>
      </c>
      <c r="J2337">
        <v>214.99</v>
      </c>
      <c r="K2337" t="str">
        <f>"HEATR5B"</f>
        <v>HEATR5B</v>
      </c>
      <c r="L2337" t="str">
        <f>"HEATR5B"</f>
        <v>HEATR5B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</row>
    <row r="2338" spans="1:24">
      <c r="A2338">
        <v>2243</v>
      </c>
      <c r="B2338" t="s">
        <v>6210</v>
      </c>
      <c r="C2338">
        <v>1</v>
      </c>
      <c r="D2338" t="s">
        <v>6211</v>
      </c>
      <c r="E2338">
        <v>1</v>
      </c>
      <c r="F2338">
        <v>1</v>
      </c>
      <c r="G2338">
        <v>1</v>
      </c>
      <c r="H2338" t="s">
        <v>6210</v>
      </c>
      <c r="I2338">
        <v>2.7</v>
      </c>
      <c r="J2338">
        <v>72.188999999999993</v>
      </c>
      <c r="K2338" t="str">
        <f>"LIMD1"</f>
        <v>LIMD1</v>
      </c>
      <c r="L2338" t="str">
        <f>"LIMD1"</f>
        <v>LIMD1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</row>
    <row r="2339" spans="1:24">
      <c r="A2339">
        <v>2256</v>
      </c>
      <c r="B2339" t="s">
        <v>6212</v>
      </c>
      <c r="C2339">
        <v>3</v>
      </c>
      <c r="D2339" t="s">
        <v>6213</v>
      </c>
      <c r="E2339">
        <v>1</v>
      </c>
      <c r="F2339">
        <v>1</v>
      </c>
      <c r="G2339">
        <v>1</v>
      </c>
      <c r="H2339" t="s">
        <v>6214</v>
      </c>
      <c r="I2339">
        <v>4.5999999999999996</v>
      </c>
      <c r="J2339">
        <v>41.576999999999998</v>
      </c>
      <c r="K2339" t="str">
        <f>"EVL"</f>
        <v>EVL</v>
      </c>
      <c r="L2339" t="str">
        <f>"EVL"</f>
        <v>EVL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</row>
    <row r="2340" spans="1:24">
      <c r="A2340">
        <v>2276</v>
      </c>
      <c r="B2340" t="s">
        <v>6215</v>
      </c>
      <c r="C2340">
        <v>9</v>
      </c>
      <c r="D2340" t="s">
        <v>6216</v>
      </c>
      <c r="E2340">
        <v>2</v>
      </c>
      <c r="F2340">
        <v>2</v>
      </c>
      <c r="G2340">
        <v>2</v>
      </c>
      <c r="H2340" t="s">
        <v>6217</v>
      </c>
      <c r="I2340">
        <v>4.8</v>
      </c>
      <c r="J2340">
        <v>69.221000000000004</v>
      </c>
      <c r="K2340" t="str">
        <f>"ACSL6"</f>
        <v>ACSL6</v>
      </c>
      <c r="L2340" t="str">
        <f>"ACSL6"</f>
        <v>ACSL6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</row>
    <row r="2341" spans="1:24">
      <c r="A2341">
        <v>2278</v>
      </c>
      <c r="B2341" t="s">
        <v>6218</v>
      </c>
      <c r="C2341">
        <v>2</v>
      </c>
      <c r="D2341" t="s">
        <v>6219</v>
      </c>
      <c r="E2341">
        <v>1</v>
      </c>
      <c r="F2341">
        <v>1</v>
      </c>
      <c r="G2341">
        <v>1</v>
      </c>
      <c r="H2341" t="s">
        <v>6220</v>
      </c>
      <c r="I2341">
        <v>2.5</v>
      </c>
      <c r="J2341">
        <v>46.862000000000002</v>
      </c>
      <c r="K2341" t="str">
        <f>"NUP50"</f>
        <v>NUP50</v>
      </c>
      <c r="L2341" t="str">
        <f>"NUP50"</f>
        <v>NUP50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</row>
    <row r="2342" spans="1:24">
      <c r="A2342">
        <v>2298</v>
      </c>
      <c r="B2342" t="s">
        <v>6221</v>
      </c>
      <c r="C2342">
        <v>2</v>
      </c>
      <c r="D2342" t="s">
        <v>6222</v>
      </c>
      <c r="E2342">
        <v>1</v>
      </c>
      <c r="F2342">
        <v>1</v>
      </c>
      <c r="G2342">
        <v>1</v>
      </c>
      <c r="H2342" t="s">
        <v>6223</v>
      </c>
      <c r="I2342">
        <v>5.2</v>
      </c>
      <c r="J2342">
        <v>33.1</v>
      </c>
      <c r="K2342" t="str">
        <f>"MINPP1"</f>
        <v>MINPP1</v>
      </c>
      <c r="L2342" t="str">
        <f>"MINPP1"</f>
        <v>MINPP1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</row>
    <row r="2343" spans="1:24">
      <c r="A2343">
        <v>2365</v>
      </c>
      <c r="B2343" t="s">
        <v>6224</v>
      </c>
      <c r="C2343">
        <v>4</v>
      </c>
      <c r="D2343" t="s">
        <v>6225</v>
      </c>
      <c r="E2343">
        <v>1</v>
      </c>
      <c r="F2343">
        <v>1</v>
      </c>
      <c r="G2343">
        <v>1</v>
      </c>
      <c r="H2343" t="s">
        <v>6226</v>
      </c>
      <c r="I2343">
        <v>1.7</v>
      </c>
      <c r="J2343">
        <v>97.370999999999995</v>
      </c>
      <c r="K2343" t="str">
        <f>"TNPO3"</f>
        <v>TNPO3</v>
      </c>
      <c r="L2343" t="str">
        <f>"TNPO3"</f>
        <v>TNPO3</v>
      </c>
      <c r="M2343">
        <v>0</v>
      </c>
      <c r="N2343">
        <v>0</v>
      </c>
      <c r="O2343">
        <v>0.91194339418818204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</row>
    <row r="2344" spans="1:24">
      <c r="A2344">
        <v>2371</v>
      </c>
      <c r="B2344" t="s">
        <v>6227</v>
      </c>
      <c r="C2344">
        <v>1</v>
      </c>
      <c r="D2344" t="s">
        <v>6228</v>
      </c>
      <c r="E2344">
        <v>1</v>
      </c>
      <c r="F2344">
        <v>1</v>
      </c>
      <c r="G2344">
        <v>1</v>
      </c>
      <c r="H2344" t="s">
        <v>6227</v>
      </c>
      <c r="I2344">
        <v>7.3</v>
      </c>
      <c r="J2344">
        <v>22.875</v>
      </c>
      <c r="K2344" t="str">
        <f>"HEBP2"</f>
        <v>HEBP2</v>
      </c>
      <c r="L2344" t="str">
        <f>"HEBP2"</f>
        <v>HEBP2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D56A-A584-E84A-87C9-6AC05337F64F}">
  <dimension ref="A1:X2344"/>
  <sheetViews>
    <sheetView workbookViewId="0">
      <selection activeCell="H29" sqref="H29"/>
    </sheetView>
  </sheetViews>
  <sheetFormatPr baseColWidth="10" defaultRowHeight="16"/>
  <sheetData>
    <row r="1" spans="1:24" s="4" customFormat="1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12931</v>
      </c>
      <c r="N1" s="4" t="s">
        <v>12932</v>
      </c>
      <c r="O1" s="4" t="s">
        <v>12933</v>
      </c>
      <c r="P1" s="4" t="s">
        <v>12934</v>
      </c>
      <c r="Q1" s="4" t="s">
        <v>12935</v>
      </c>
      <c r="R1" s="4" t="s">
        <v>12936</v>
      </c>
      <c r="S1" s="4" t="s">
        <v>12937</v>
      </c>
      <c r="T1" s="4" t="s">
        <v>12938</v>
      </c>
      <c r="U1" s="4" t="s">
        <v>12939</v>
      </c>
      <c r="V1" s="4" t="s">
        <v>12940</v>
      </c>
      <c r="W1" s="4" t="s">
        <v>12941</v>
      </c>
      <c r="X1" s="4" t="s">
        <v>12942</v>
      </c>
    </row>
    <row r="2" spans="1:24">
      <c r="A2">
        <v>962</v>
      </c>
      <c r="B2" t="s">
        <v>24</v>
      </c>
      <c r="C2">
        <v>12</v>
      </c>
      <c r="D2" t="s">
        <v>25</v>
      </c>
      <c r="E2">
        <v>246</v>
      </c>
      <c r="F2">
        <v>246</v>
      </c>
      <c r="G2">
        <v>85</v>
      </c>
      <c r="H2" t="s">
        <v>26</v>
      </c>
      <c r="I2">
        <v>78.7</v>
      </c>
      <c r="J2">
        <v>226.53</v>
      </c>
      <c r="K2" t="str">
        <f>"MYH9;MYH10;MYH11"</f>
        <v>MYH9;MYH10;MYH11</v>
      </c>
      <c r="L2" t="str">
        <f>"MYH9;MYH10;MYH11"</f>
        <v>MYH9;MYH10;MYH11</v>
      </c>
      <c r="M2" s="8">
        <v>95991000000</v>
      </c>
      <c r="N2" s="8">
        <v>142050000000</v>
      </c>
      <c r="O2" s="8">
        <v>137560000000</v>
      </c>
      <c r="P2" s="8">
        <v>134960000000</v>
      </c>
      <c r="Q2" s="8">
        <v>100030000000</v>
      </c>
      <c r="R2" s="8">
        <v>145570000000</v>
      </c>
      <c r="S2" s="8">
        <v>98363000000</v>
      </c>
      <c r="T2" s="8">
        <v>107400000000</v>
      </c>
      <c r="U2" s="8">
        <v>129830000000</v>
      </c>
      <c r="V2" s="8">
        <v>125560000000</v>
      </c>
      <c r="W2" s="8">
        <v>107960000000</v>
      </c>
      <c r="X2" s="8">
        <v>120510000000</v>
      </c>
    </row>
    <row r="3" spans="1:24">
      <c r="A3">
        <v>2351</v>
      </c>
      <c r="B3" t="s">
        <v>27</v>
      </c>
      <c r="C3">
        <v>1</v>
      </c>
      <c r="D3" t="s">
        <v>28</v>
      </c>
      <c r="E3">
        <v>240</v>
      </c>
      <c r="F3">
        <v>240</v>
      </c>
      <c r="G3">
        <v>212</v>
      </c>
      <c r="H3" t="s">
        <v>27</v>
      </c>
      <c r="I3">
        <v>83.3</v>
      </c>
      <c r="J3">
        <v>269.76</v>
      </c>
      <c r="K3" t="str">
        <f>"TLN1"</f>
        <v>TLN1</v>
      </c>
      <c r="L3" t="str">
        <f>"TLN1"</f>
        <v>TLN1</v>
      </c>
      <c r="M3" s="8">
        <v>117250000000</v>
      </c>
      <c r="N3" s="8">
        <v>168990000000</v>
      </c>
      <c r="O3" s="8">
        <v>164510000000</v>
      </c>
      <c r="P3" s="8">
        <v>140090000000</v>
      </c>
      <c r="Q3" s="8">
        <v>120820000000</v>
      </c>
      <c r="R3" s="8">
        <v>147610000000</v>
      </c>
      <c r="S3" s="8">
        <v>145000000000</v>
      </c>
      <c r="T3" s="8">
        <v>134630000000</v>
      </c>
      <c r="U3" s="8">
        <v>170330000000</v>
      </c>
      <c r="V3" s="8">
        <v>143100000000</v>
      </c>
      <c r="W3" s="8">
        <v>149830000000</v>
      </c>
      <c r="X3" s="8">
        <v>161740000000</v>
      </c>
    </row>
    <row r="4" spans="1:24">
      <c r="A4">
        <v>1218</v>
      </c>
      <c r="B4" t="s">
        <v>29</v>
      </c>
      <c r="C4">
        <v>1</v>
      </c>
      <c r="D4" t="s">
        <v>30</v>
      </c>
      <c r="E4">
        <v>54</v>
      </c>
      <c r="F4">
        <v>54</v>
      </c>
      <c r="G4">
        <v>2</v>
      </c>
      <c r="H4" t="s">
        <v>29</v>
      </c>
      <c r="I4">
        <v>99.7</v>
      </c>
      <c r="J4">
        <v>41.735999999999997</v>
      </c>
      <c r="K4" t="str">
        <f>"ACTB"</f>
        <v>ACTB</v>
      </c>
      <c r="L4" t="str">
        <f>"ACTB"</f>
        <v>ACTB</v>
      </c>
      <c r="M4" s="8">
        <v>186050000000</v>
      </c>
      <c r="N4" s="8">
        <v>213470000000</v>
      </c>
      <c r="O4" s="8">
        <v>227040000000</v>
      </c>
      <c r="P4" s="8">
        <v>207310000000</v>
      </c>
      <c r="Q4" s="8">
        <v>206530000000</v>
      </c>
      <c r="R4" s="8">
        <v>199280000000</v>
      </c>
      <c r="S4" s="8">
        <v>210050000000</v>
      </c>
      <c r="T4" s="8">
        <v>210380000000</v>
      </c>
      <c r="U4" s="8">
        <v>279580000000</v>
      </c>
      <c r="V4" s="8">
        <v>204960000000</v>
      </c>
      <c r="W4" s="8">
        <v>215910000000</v>
      </c>
      <c r="X4" s="8">
        <v>192780000000</v>
      </c>
    </row>
    <row r="5" spans="1:24">
      <c r="A5">
        <v>773</v>
      </c>
      <c r="B5" t="s">
        <v>31</v>
      </c>
      <c r="C5">
        <v>2</v>
      </c>
      <c r="D5" t="s">
        <v>32</v>
      </c>
      <c r="E5">
        <v>204</v>
      </c>
      <c r="F5">
        <v>204</v>
      </c>
      <c r="G5">
        <v>186</v>
      </c>
      <c r="H5" t="s">
        <v>33</v>
      </c>
      <c r="I5">
        <v>74.5</v>
      </c>
      <c r="J5">
        <v>280.01</v>
      </c>
      <c r="K5" t="str">
        <f>"FLNA"</f>
        <v>FLNA</v>
      </c>
      <c r="L5" t="str">
        <f>"FLNA"</f>
        <v>FLNA</v>
      </c>
      <c r="M5" s="8">
        <v>99577000000</v>
      </c>
      <c r="N5" s="8">
        <v>147260000000</v>
      </c>
      <c r="O5" s="8">
        <v>155410000000</v>
      </c>
      <c r="P5" s="8">
        <v>136030000000</v>
      </c>
      <c r="Q5" s="8">
        <v>114370000000</v>
      </c>
      <c r="R5" s="8">
        <v>142810000000</v>
      </c>
      <c r="S5" s="8">
        <v>123990000000</v>
      </c>
      <c r="T5" s="8">
        <v>127080000000</v>
      </c>
      <c r="U5" s="8">
        <v>172360000000</v>
      </c>
      <c r="V5" s="8">
        <v>132610000000</v>
      </c>
      <c r="W5" s="8">
        <v>125980000000</v>
      </c>
      <c r="X5" s="8">
        <v>138640000000</v>
      </c>
    </row>
    <row r="6" spans="1:24">
      <c r="A6">
        <v>323</v>
      </c>
      <c r="B6" t="s">
        <v>34</v>
      </c>
      <c r="C6">
        <v>3</v>
      </c>
      <c r="D6" t="s">
        <v>35</v>
      </c>
      <c r="E6">
        <v>160</v>
      </c>
      <c r="F6">
        <v>160</v>
      </c>
      <c r="G6">
        <v>159</v>
      </c>
      <c r="H6" t="s">
        <v>36</v>
      </c>
      <c r="I6">
        <v>82.4</v>
      </c>
      <c r="J6">
        <v>187.15</v>
      </c>
      <c r="K6" t="str">
        <f>"C3;METTL18"</f>
        <v>C3;METTL18</v>
      </c>
      <c r="L6" t="str">
        <f>"C3;METTL18"</f>
        <v>C3;METTL18</v>
      </c>
      <c r="M6" s="8">
        <v>123720000000</v>
      </c>
      <c r="N6" s="8">
        <v>108170000000</v>
      </c>
      <c r="O6" s="8">
        <v>112140000000</v>
      </c>
      <c r="P6" s="8">
        <v>104320000000</v>
      </c>
      <c r="Q6" s="8">
        <v>153630000000</v>
      </c>
      <c r="R6" s="8">
        <v>72617000000</v>
      </c>
      <c r="S6" s="8">
        <v>153030000000</v>
      </c>
      <c r="T6" s="8">
        <v>105400000000</v>
      </c>
      <c r="U6" s="8">
        <v>106160000000</v>
      </c>
      <c r="V6" s="8">
        <v>83388000000</v>
      </c>
      <c r="W6" s="8">
        <v>138080000000</v>
      </c>
      <c r="X6" s="8">
        <v>82150000000</v>
      </c>
    </row>
    <row r="7" spans="1:24">
      <c r="A7">
        <v>405</v>
      </c>
      <c r="B7" t="s">
        <v>37</v>
      </c>
      <c r="C7">
        <v>1</v>
      </c>
      <c r="D7" t="s">
        <v>38</v>
      </c>
      <c r="E7">
        <v>65</v>
      </c>
      <c r="F7">
        <v>65</v>
      </c>
      <c r="G7">
        <v>57</v>
      </c>
      <c r="H7" t="s">
        <v>37</v>
      </c>
      <c r="I7">
        <v>83.3</v>
      </c>
      <c r="J7">
        <v>55.927999999999997</v>
      </c>
      <c r="K7" t="str">
        <f>"FGB"</f>
        <v>FGB</v>
      </c>
      <c r="L7" t="str">
        <f>"FGB"</f>
        <v>FGB</v>
      </c>
      <c r="M7" s="8">
        <v>106770000000</v>
      </c>
      <c r="N7" s="8">
        <v>106750000000</v>
      </c>
      <c r="O7" s="8">
        <v>85388000000</v>
      </c>
      <c r="P7" s="8">
        <v>85027000000</v>
      </c>
      <c r="Q7" s="8">
        <v>122760000000</v>
      </c>
      <c r="R7" s="8">
        <v>87219000000</v>
      </c>
      <c r="S7" s="8">
        <v>135840000000</v>
      </c>
      <c r="T7" s="8">
        <v>91013000000</v>
      </c>
      <c r="U7" s="8">
        <v>89999000000</v>
      </c>
      <c r="V7" s="8">
        <v>78649000000</v>
      </c>
      <c r="W7" s="8">
        <v>76815000000</v>
      </c>
      <c r="X7" s="8">
        <v>95837000000</v>
      </c>
    </row>
    <row r="8" spans="1:24">
      <c r="A8">
        <v>443</v>
      </c>
      <c r="B8" t="s">
        <v>39</v>
      </c>
      <c r="C8">
        <v>1</v>
      </c>
      <c r="D8" t="s">
        <v>40</v>
      </c>
      <c r="E8">
        <v>292</v>
      </c>
      <c r="F8">
        <v>292</v>
      </c>
      <c r="G8">
        <v>289</v>
      </c>
      <c r="H8" t="s">
        <v>39</v>
      </c>
      <c r="I8">
        <v>60.4</v>
      </c>
      <c r="J8">
        <v>515.6</v>
      </c>
      <c r="K8" t="str">
        <f>"APOB"</f>
        <v>APOB</v>
      </c>
      <c r="L8" t="str">
        <f>"APOB"</f>
        <v>APOB</v>
      </c>
      <c r="M8" s="8">
        <v>87178000000</v>
      </c>
      <c r="N8" s="8">
        <v>53100000000</v>
      </c>
      <c r="O8" s="8">
        <v>24837000000</v>
      </c>
      <c r="P8" s="8">
        <v>34106000000</v>
      </c>
      <c r="Q8" s="8">
        <v>58905000000</v>
      </c>
      <c r="R8" s="8">
        <v>18664000000</v>
      </c>
      <c r="S8" s="8">
        <v>46677000000</v>
      </c>
      <c r="T8" s="8">
        <v>49379000000</v>
      </c>
      <c r="U8" s="8">
        <v>57250000000</v>
      </c>
      <c r="V8" s="8">
        <v>49781000000</v>
      </c>
      <c r="W8" s="8">
        <v>47664000000</v>
      </c>
      <c r="X8" s="8">
        <v>28550000000</v>
      </c>
    </row>
    <row r="9" spans="1:24">
      <c r="A9">
        <v>322</v>
      </c>
      <c r="B9" t="s">
        <v>41</v>
      </c>
      <c r="C9">
        <v>1</v>
      </c>
      <c r="D9" t="s">
        <v>42</v>
      </c>
      <c r="E9">
        <v>103</v>
      </c>
      <c r="F9">
        <v>103</v>
      </c>
      <c r="G9">
        <v>87</v>
      </c>
      <c r="H9" t="s">
        <v>41</v>
      </c>
      <c r="I9">
        <v>72.2</v>
      </c>
      <c r="J9">
        <v>163.29</v>
      </c>
      <c r="K9" t="str">
        <f>"A2M"</f>
        <v>A2M</v>
      </c>
      <c r="L9" t="str">
        <f>"A2M"</f>
        <v>A2M</v>
      </c>
      <c r="M9" s="8">
        <v>114120000000</v>
      </c>
      <c r="N9" s="8">
        <v>45953000000</v>
      </c>
      <c r="O9" s="8">
        <v>42593000000</v>
      </c>
      <c r="P9" s="8">
        <v>53435000000</v>
      </c>
      <c r="Q9" s="8">
        <v>107810000000</v>
      </c>
      <c r="R9" s="8">
        <v>75838000000</v>
      </c>
      <c r="S9" s="8">
        <v>85393000000</v>
      </c>
      <c r="T9" s="8">
        <v>59463000000</v>
      </c>
      <c r="U9" s="8">
        <v>40930000000</v>
      </c>
      <c r="V9" s="8">
        <v>61968000000</v>
      </c>
      <c r="W9" s="8">
        <v>52246000000</v>
      </c>
      <c r="X9" s="8">
        <v>32482000000</v>
      </c>
    </row>
    <row r="10" spans="1:24">
      <c r="A10">
        <v>427</v>
      </c>
      <c r="B10" t="s">
        <v>43</v>
      </c>
      <c r="C10">
        <v>2</v>
      </c>
      <c r="D10" t="s">
        <v>44</v>
      </c>
      <c r="E10">
        <v>100</v>
      </c>
      <c r="F10">
        <v>100</v>
      </c>
      <c r="G10">
        <v>96</v>
      </c>
      <c r="H10" t="s">
        <v>45</v>
      </c>
      <c r="I10">
        <v>88</v>
      </c>
      <c r="J10">
        <v>77.063000000000002</v>
      </c>
      <c r="K10" t="str">
        <f>"TF"</f>
        <v>TF</v>
      </c>
      <c r="L10" t="str">
        <f>"TF"</f>
        <v>TF</v>
      </c>
      <c r="M10" s="8">
        <v>208360000000</v>
      </c>
      <c r="N10" s="8">
        <v>92078000000</v>
      </c>
      <c r="O10" s="8">
        <v>116500000000</v>
      </c>
      <c r="P10" s="8">
        <v>172600000000</v>
      </c>
      <c r="Q10" s="8">
        <v>241580000000</v>
      </c>
      <c r="R10" s="8">
        <v>87587000000</v>
      </c>
      <c r="S10" s="8">
        <v>119140000000</v>
      </c>
      <c r="T10" s="8">
        <v>160540000000</v>
      </c>
      <c r="U10" s="8">
        <v>61286000000</v>
      </c>
      <c r="V10" s="8">
        <v>132970000000</v>
      </c>
      <c r="W10" s="8">
        <v>158070000000</v>
      </c>
      <c r="X10" s="8">
        <v>83205000000</v>
      </c>
    </row>
    <row r="11" spans="1:24">
      <c r="A11">
        <v>404</v>
      </c>
      <c r="B11" t="s">
        <v>46</v>
      </c>
      <c r="C11">
        <v>3</v>
      </c>
      <c r="D11" t="s">
        <v>47</v>
      </c>
      <c r="E11">
        <v>80</v>
      </c>
      <c r="F11">
        <v>80</v>
      </c>
      <c r="G11">
        <v>80</v>
      </c>
      <c r="H11" t="s">
        <v>48</v>
      </c>
      <c r="I11">
        <v>69.599999999999994</v>
      </c>
      <c r="J11">
        <v>94.971999999999994</v>
      </c>
      <c r="K11" t="str">
        <f>"FGA"</f>
        <v>FGA</v>
      </c>
      <c r="L11" t="str">
        <f>"FGA"</f>
        <v>FGA</v>
      </c>
      <c r="M11" s="8">
        <v>81791000000</v>
      </c>
      <c r="N11" s="8">
        <v>97200000000</v>
      </c>
      <c r="O11" s="8">
        <v>77346000000</v>
      </c>
      <c r="P11" s="8">
        <v>111160000000</v>
      </c>
      <c r="Q11" s="8">
        <v>106400000000</v>
      </c>
      <c r="R11" s="8">
        <v>87636000000</v>
      </c>
      <c r="S11" s="8">
        <v>95379000000</v>
      </c>
      <c r="T11" s="8">
        <v>76866000000</v>
      </c>
      <c r="U11" s="8">
        <v>57384000000</v>
      </c>
      <c r="V11" s="8">
        <v>81606000000</v>
      </c>
      <c r="W11" s="8">
        <v>60106000000</v>
      </c>
      <c r="X11" s="8">
        <v>81150000000</v>
      </c>
    </row>
    <row r="12" spans="1:24">
      <c r="A12">
        <v>653</v>
      </c>
      <c r="B12" t="s">
        <v>49</v>
      </c>
      <c r="C12">
        <v>1</v>
      </c>
      <c r="D12" t="s">
        <v>50</v>
      </c>
      <c r="E12">
        <v>86</v>
      </c>
      <c r="F12">
        <v>86</v>
      </c>
      <c r="G12">
        <v>1</v>
      </c>
      <c r="H12" t="s">
        <v>49</v>
      </c>
      <c r="I12">
        <v>86.1</v>
      </c>
      <c r="J12">
        <v>103.06</v>
      </c>
      <c r="K12" t="str">
        <f>"ACTN1"</f>
        <v>ACTN1</v>
      </c>
      <c r="L12" t="str">
        <f>"ACTN1"</f>
        <v>ACTN1</v>
      </c>
      <c r="M12" s="8">
        <v>42617000000</v>
      </c>
      <c r="N12" s="8">
        <v>72336000000</v>
      </c>
      <c r="O12" s="8">
        <v>63579000000</v>
      </c>
      <c r="P12" s="8">
        <v>47994000000</v>
      </c>
      <c r="Q12" s="8">
        <v>42852000000</v>
      </c>
      <c r="R12" s="8">
        <v>52641000000</v>
      </c>
      <c r="S12" s="8">
        <v>60330000000</v>
      </c>
      <c r="T12" s="8">
        <v>51206000000</v>
      </c>
      <c r="U12" s="8">
        <v>70125000000</v>
      </c>
      <c r="V12" s="8">
        <v>55498000000</v>
      </c>
      <c r="W12" s="8">
        <v>54320000000</v>
      </c>
      <c r="X12" s="8">
        <v>65973000000</v>
      </c>
    </row>
    <row r="13" spans="1:24">
      <c r="A13">
        <v>319</v>
      </c>
      <c r="B13" t="s">
        <v>51</v>
      </c>
      <c r="C13">
        <v>4</v>
      </c>
      <c r="D13" t="s">
        <v>52</v>
      </c>
      <c r="E13">
        <v>49</v>
      </c>
      <c r="F13">
        <v>49</v>
      </c>
      <c r="G13">
        <v>49</v>
      </c>
      <c r="H13" t="s">
        <v>53</v>
      </c>
      <c r="I13">
        <v>72</v>
      </c>
      <c r="J13">
        <v>46.735999999999997</v>
      </c>
      <c r="K13" t="str">
        <f>"SERPINA1;SERPINA2"</f>
        <v>SERPINA1;SERPINA2</v>
      </c>
      <c r="L13" t="str">
        <f>"SERPINA1;SERPINA2"</f>
        <v>SERPINA1;SERPINA2</v>
      </c>
      <c r="M13" s="8">
        <v>95111000000</v>
      </c>
      <c r="N13" s="8">
        <v>56205000000</v>
      </c>
      <c r="O13" s="8">
        <v>86346000000</v>
      </c>
      <c r="P13" s="8">
        <v>77491000000</v>
      </c>
      <c r="Q13" s="8">
        <v>102290000000</v>
      </c>
      <c r="R13" s="8">
        <v>33938000000</v>
      </c>
      <c r="S13" s="8">
        <v>86689000000</v>
      </c>
      <c r="T13" s="8">
        <v>77962000000</v>
      </c>
      <c r="U13" s="8">
        <v>48433000000</v>
      </c>
      <c r="V13" s="8">
        <v>61817000000</v>
      </c>
      <c r="W13" s="8">
        <v>53891000000</v>
      </c>
      <c r="X13" s="8">
        <v>58727000000</v>
      </c>
    </row>
    <row r="14" spans="1:24">
      <c r="A14">
        <v>382</v>
      </c>
      <c r="B14" t="s">
        <v>54</v>
      </c>
      <c r="C14">
        <v>1</v>
      </c>
      <c r="D14" t="s">
        <v>55</v>
      </c>
      <c r="E14">
        <v>36</v>
      </c>
      <c r="F14">
        <v>36</v>
      </c>
      <c r="G14">
        <v>17</v>
      </c>
      <c r="H14" t="s">
        <v>54</v>
      </c>
      <c r="I14">
        <v>77.3</v>
      </c>
      <c r="J14">
        <v>36.104999999999997</v>
      </c>
      <c r="K14" t="str">
        <f>"IGHG1"</f>
        <v>IGHG1</v>
      </c>
      <c r="L14" t="str">
        <f>"IGHG1"</f>
        <v>IGHG1</v>
      </c>
      <c r="M14" s="8">
        <v>151250000000</v>
      </c>
      <c r="N14" s="8">
        <v>85000000000</v>
      </c>
      <c r="O14" s="8">
        <v>114690000000</v>
      </c>
      <c r="P14" s="8">
        <v>136700000000</v>
      </c>
      <c r="Q14" s="8">
        <v>216220000000</v>
      </c>
      <c r="R14" s="8">
        <v>86164000000</v>
      </c>
      <c r="S14" s="8">
        <v>141990000000</v>
      </c>
      <c r="T14" s="8">
        <v>181060000000</v>
      </c>
      <c r="U14" s="8">
        <v>88171000000</v>
      </c>
      <c r="V14" s="8">
        <v>143960000000</v>
      </c>
      <c r="W14" s="8">
        <v>251230000000</v>
      </c>
      <c r="X14" s="8">
        <v>71702000000</v>
      </c>
    </row>
    <row r="15" spans="1:24">
      <c r="A15">
        <v>739</v>
      </c>
      <c r="B15" t="s">
        <v>56</v>
      </c>
      <c r="C15">
        <v>3</v>
      </c>
      <c r="D15" t="s">
        <v>57</v>
      </c>
      <c r="E15">
        <v>111</v>
      </c>
      <c r="F15">
        <v>111</v>
      </c>
      <c r="G15">
        <v>111</v>
      </c>
      <c r="H15" t="s">
        <v>58</v>
      </c>
      <c r="I15">
        <v>85.7</v>
      </c>
      <c r="J15">
        <v>116.72</v>
      </c>
      <c r="K15" t="str">
        <f>"VCL"</f>
        <v>VCL</v>
      </c>
      <c r="L15" t="str">
        <f>"VCL"</f>
        <v>VCL</v>
      </c>
      <c r="M15" s="8">
        <v>27193000000</v>
      </c>
      <c r="N15" s="8">
        <v>33860000000</v>
      </c>
      <c r="O15" s="8">
        <v>34072000000</v>
      </c>
      <c r="P15" s="8">
        <v>35203000000</v>
      </c>
      <c r="Q15" s="8">
        <v>23951000000</v>
      </c>
      <c r="R15" s="8">
        <v>37290000000</v>
      </c>
      <c r="S15" s="8">
        <v>28682000000</v>
      </c>
      <c r="T15" s="8">
        <v>29396000000</v>
      </c>
      <c r="U15" s="8">
        <v>31640000000</v>
      </c>
      <c r="V15" s="8">
        <v>32926000000</v>
      </c>
      <c r="W15" s="8">
        <v>28008000000</v>
      </c>
      <c r="X15" s="8">
        <v>36266000000</v>
      </c>
    </row>
    <row r="16" spans="1:24">
      <c r="A16">
        <v>406</v>
      </c>
      <c r="B16" t="s">
        <v>59</v>
      </c>
      <c r="C16">
        <v>2</v>
      </c>
      <c r="D16" t="s">
        <v>60</v>
      </c>
      <c r="E16">
        <v>52</v>
      </c>
      <c r="F16">
        <v>52</v>
      </c>
      <c r="G16">
        <v>52</v>
      </c>
      <c r="H16" t="s">
        <v>61</v>
      </c>
      <c r="I16">
        <v>76.2</v>
      </c>
      <c r="J16">
        <v>49.496000000000002</v>
      </c>
      <c r="K16" t="str">
        <f>"FGG"</f>
        <v>FGG</v>
      </c>
      <c r="L16" t="str">
        <f>"FGG"</f>
        <v>FGG</v>
      </c>
      <c r="M16" s="8">
        <v>104970000000</v>
      </c>
      <c r="N16" s="8">
        <v>91470000000</v>
      </c>
      <c r="O16" s="8">
        <v>73970000000</v>
      </c>
      <c r="P16" s="8">
        <v>72225000000</v>
      </c>
      <c r="Q16" s="8">
        <v>97635000000</v>
      </c>
      <c r="R16" s="8">
        <v>76913000000</v>
      </c>
      <c r="S16" s="8">
        <v>118310000000</v>
      </c>
      <c r="T16" s="8">
        <v>87045000000</v>
      </c>
      <c r="U16" s="8">
        <v>68078000000</v>
      </c>
      <c r="V16" s="8">
        <v>81805000000</v>
      </c>
      <c r="W16" s="8">
        <v>77347000000</v>
      </c>
      <c r="X16" s="8">
        <v>82055000000</v>
      </c>
    </row>
    <row r="17" spans="1:24">
      <c r="A17">
        <v>556</v>
      </c>
      <c r="B17" t="s">
        <v>62</v>
      </c>
      <c r="C17">
        <v>3</v>
      </c>
      <c r="D17" t="s">
        <v>63</v>
      </c>
      <c r="E17">
        <v>53</v>
      </c>
      <c r="F17">
        <v>53</v>
      </c>
      <c r="G17">
        <v>53</v>
      </c>
      <c r="H17" t="s">
        <v>64</v>
      </c>
      <c r="I17">
        <v>47</v>
      </c>
      <c r="J17">
        <v>113.38</v>
      </c>
      <c r="K17" t="str">
        <f>"ITGA2B"</f>
        <v>ITGA2B</v>
      </c>
      <c r="L17" t="str">
        <f>"ITGA2B"</f>
        <v>ITGA2B</v>
      </c>
      <c r="M17" s="8">
        <v>28980000000</v>
      </c>
      <c r="N17" s="8">
        <v>45196000000</v>
      </c>
      <c r="O17" s="8">
        <v>35341000000</v>
      </c>
      <c r="P17" s="8">
        <v>34535000000</v>
      </c>
      <c r="Q17" s="8">
        <v>30890000000</v>
      </c>
      <c r="R17" s="8">
        <v>33924000000</v>
      </c>
      <c r="S17" s="8">
        <v>40411000000</v>
      </c>
      <c r="T17" s="8">
        <v>37621000000</v>
      </c>
      <c r="U17" s="8">
        <v>55946000000</v>
      </c>
      <c r="V17" s="8">
        <v>37009000000</v>
      </c>
      <c r="W17" s="8">
        <v>42055000000</v>
      </c>
      <c r="X17" s="8">
        <v>42240000000</v>
      </c>
    </row>
    <row r="18" spans="1:24">
      <c r="A18">
        <v>545</v>
      </c>
      <c r="B18" t="s">
        <v>65</v>
      </c>
      <c r="C18">
        <v>2</v>
      </c>
      <c r="D18" t="s">
        <v>66</v>
      </c>
      <c r="E18">
        <v>75</v>
      </c>
      <c r="F18">
        <v>75</v>
      </c>
      <c r="G18">
        <v>23</v>
      </c>
      <c r="H18" t="s">
        <v>67</v>
      </c>
      <c r="I18">
        <v>60</v>
      </c>
      <c r="J18">
        <v>129.38</v>
      </c>
      <c r="K18" t="str">
        <f>"THBS1"</f>
        <v>THBS1</v>
      </c>
      <c r="L18" t="str">
        <f>"THBS1"</f>
        <v>THBS1</v>
      </c>
      <c r="M18" s="8">
        <v>23741000000</v>
      </c>
      <c r="N18" s="8">
        <v>57037000000</v>
      </c>
      <c r="O18" s="8">
        <v>73341000000</v>
      </c>
      <c r="P18" s="8">
        <v>62211000000</v>
      </c>
      <c r="Q18" s="8">
        <v>50103000000</v>
      </c>
      <c r="R18" s="8">
        <v>64298000000</v>
      </c>
      <c r="S18" s="8">
        <v>37470000000</v>
      </c>
      <c r="T18" s="8">
        <v>46836000000</v>
      </c>
      <c r="U18" s="8">
        <v>60981000000</v>
      </c>
      <c r="V18" s="8">
        <v>62689000000</v>
      </c>
      <c r="W18" s="8">
        <v>37707000000</v>
      </c>
      <c r="X18" s="8">
        <v>54943000000</v>
      </c>
    </row>
    <row r="19" spans="1:24">
      <c r="A19">
        <v>398</v>
      </c>
      <c r="B19" t="s">
        <v>68</v>
      </c>
      <c r="C19">
        <v>2</v>
      </c>
      <c r="D19" t="s">
        <v>69</v>
      </c>
      <c r="E19">
        <v>50</v>
      </c>
      <c r="F19">
        <v>50</v>
      </c>
      <c r="G19">
        <v>50</v>
      </c>
      <c r="H19" t="s">
        <v>70</v>
      </c>
      <c r="I19">
        <v>89.1</v>
      </c>
      <c r="J19">
        <v>30.777000000000001</v>
      </c>
      <c r="K19" t="str">
        <f>"APOA1"</f>
        <v>APOA1</v>
      </c>
      <c r="L19" t="str">
        <f>"APOA1"</f>
        <v>APOA1</v>
      </c>
      <c r="M19" s="8">
        <v>164290000000</v>
      </c>
      <c r="N19" s="8">
        <v>30269000000</v>
      </c>
      <c r="O19" s="8">
        <v>61116000000</v>
      </c>
      <c r="P19" s="8">
        <v>89032000000</v>
      </c>
      <c r="Q19" s="8">
        <v>113000000000</v>
      </c>
      <c r="R19" s="8">
        <v>58554000000</v>
      </c>
      <c r="S19" s="8">
        <v>39906000000</v>
      </c>
      <c r="T19" s="8">
        <v>124790000000</v>
      </c>
      <c r="U19" s="8">
        <v>13952000000</v>
      </c>
      <c r="V19" s="8">
        <v>118460000000</v>
      </c>
      <c r="W19" s="8">
        <v>113810000000</v>
      </c>
      <c r="X19" s="8">
        <v>45228000000</v>
      </c>
    </row>
    <row r="20" spans="1:24">
      <c r="A20">
        <v>2099</v>
      </c>
      <c r="B20" t="s">
        <v>71</v>
      </c>
      <c r="C20">
        <v>1</v>
      </c>
      <c r="D20" t="s">
        <v>72</v>
      </c>
      <c r="E20">
        <v>33</v>
      </c>
      <c r="F20">
        <v>33</v>
      </c>
      <c r="G20">
        <v>20</v>
      </c>
      <c r="H20" t="s">
        <v>71</v>
      </c>
      <c r="I20">
        <v>88.2</v>
      </c>
      <c r="J20">
        <v>50.326000000000001</v>
      </c>
      <c r="K20" t="str">
        <f>"TUBB1"</f>
        <v>TUBB1</v>
      </c>
      <c r="L20" t="str">
        <f>"TUBB1"</f>
        <v>TUBB1</v>
      </c>
      <c r="M20" s="8">
        <v>17158000000</v>
      </c>
      <c r="N20" s="8">
        <v>31552000000</v>
      </c>
      <c r="O20" s="8">
        <v>30001000000</v>
      </c>
      <c r="P20" s="8">
        <v>22395000000</v>
      </c>
      <c r="Q20" s="8">
        <v>19225000000</v>
      </c>
      <c r="R20" s="8">
        <v>25637000000</v>
      </c>
      <c r="S20" s="8">
        <v>30450000000</v>
      </c>
      <c r="T20" s="8">
        <v>18990000000</v>
      </c>
      <c r="U20" s="8">
        <v>30950000000</v>
      </c>
      <c r="V20" s="8">
        <v>27580000000</v>
      </c>
      <c r="W20" s="8">
        <v>13142000000</v>
      </c>
      <c r="X20" s="8">
        <v>30540000000</v>
      </c>
    </row>
    <row r="21" spans="1:24">
      <c r="A21">
        <v>1742</v>
      </c>
      <c r="B21" t="s">
        <v>73</v>
      </c>
      <c r="C21">
        <v>4</v>
      </c>
      <c r="D21" t="s">
        <v>74</v>
      </c>
      <c r="E21">
        <v>65</v>
      </c>
      <c r="F21">
        <v>65</v>
      </c>
      <c r="G21">
        <v>65</v>
      </c>
      <c r="H21" t="s">
        <v>75</v>
      </c>
      <c r="I21">
        <v>82.1</v>
      </c>
      <c r="J21">
        <v>75.429000000000002</v>
      </c>
      <c r="K21" t="str">
        <f>"FERMT3;FERMT1"</f>
        <v>FERMT3;FERMT1</v>
      </c>
      <c r="L21" t="str">
        <f>"FERMT3;FERMT1"</f>
        <v>FERMT3;FERMT1</v>
      </c>
      <c r="M21" s="8">
        <v>38302000000</v>
      </c>
      <c r="N21" s="8">
        <v>50837000000</v>
      </c>
      <c r="O21" s="8">
        <v>53033000000</v>
      </c>
      <c r="P21" s="8">
        <v>36339000000</v>
      </c>
      <c r="Q21" s="8">
        <v>32344000000</v>
      </c>
      <c r="R21" s="8">
        <v>36198000000</v>
      </c>
      <c r="S21" s="8">
        <v>44553000000</v>
      </c>
      <c r="T21" s="8">
        <v>39362000000</v>
      </c>
      <c r="U21" s="8">
        <v>50351000000</v>
      </c>
      <c r="V21" s="8">
        <v>41340000000</v>
      </c>
      <c r="W21" s="8">
        <v>45123000000</v>
      </c>
      <c r="X21" s="8">
        <v>50219000000</v>
      </c>
    </row>
    <row r="22" spans="1:24">
      <c r="A22">
        <v>300</v>
      </c>
      <c r="B22" t="s">
        <v>76</v>
      </c>
      <c r="C22">
        <v>1</v>
      </c>
      <c r="D22" t="s">
        <v>77</v>
      </c>
      <c r="E22">
        <v>60</v>
      </c>
      <c r="F22">
        <v>60</v>
      </c>
      <c r="G22">
        <v>59</v>
      </c>
      <c r="H22" t="s">
        <v>76</v>
      </c>
      <c r="I22">
        <v>74.3</v>
      </c>
      <c r="J22">
        <v>83.266000000000005</v>
      </c>
      <c r="K22" t="str">
        <f>"F13A1"</f>
        <v>F13A1</v>
      </c>
      <c r="L22" t="str">
        <f>"F13A1"</f>
        <v>F13A1</v>
      </c>
      <c r="M22" s="8">
        <v>17439000000</v>
      </c>
      <c r="N22" s="8">
        <v>27298000000</v>
      </c>
      <c r="O22" s="8">
        <v>24774000000</v>
      </c>
      <c r="P22" s="8">
        <v>16768000000</v>
      </c>
      <c r="Q22" s="8">
        <v>16790000000</v>
      </c>
      <c r="R22" s="8">
        <v>17732000000</v>
      </c>
      <c r="S22" s="8">
        <v>29479000000</v>
      </c>
      <c r="T22" s="8">
        <v>16541000000</v>
      </c>
      <c r="U22" s="8">
        <v>29513000000</v>
      </c>
      <c r="V22" s="8">
        <v>17695000000</v>
      </c>
      <c r="W22" s="8">
        <v>21039000000</v>
      </c>
      <c r="X22" s="8">
        <v>23289000000</v>
      </c>
    </row>
    <row r="23" spans="1:24">
      <c r="A23">
        <v>596</v>
      </c>
      <c r="B23" t="s">
        <v>78</v>
      </c>
      <c r="C23">
        <v>2</v>
      </c>
      <c r="D23" t="s">
        <v>79</v>
      </c>
      <c r="E23">
        <v>101</v>
      </c>
      <c r="F23">
        <v>101</v>
      </c>
      <c r="G23">
        <v>6</v>
      </c>
      <c r="H23" t="s">
        <v>80</v>
      </c>
      <c r="I23">
        <v>60</v>
      </c>
      <c r="J23">
        <v>192.75</v>
      </c>
      <c r="K23" t="str">
        <f>"C4B"</f>
        <v>C4B</v>
      </c>
      <c r="L23" t="str">
        <f>"C4B"</f>
        <v>C4B</v>
      </c>
      <c r="M23" s="8">
        <v>33648000000</v>
      </c>
      <c r="N23" s="8">
        <v>23119000000</v>
      </c>
      <c r="O23" s="8">
        <v>20430000000</v>
      </c>
      <c r="P23" s="8">
        <v>20383000000</v>
      </c>
      <c r="Q23" s="8">
        <v>42638000000</v>
      </c>
      <c r="R23" s="8">
        <v>16945000000</v>
      </c>
      <c r="S23" s="8">
        <v>30464000000</v>
      </c>
      <c r="T23" s="8">
        <v>35143000000</v>
      </c>
      <c r="U23" s="8">
        <v>22206000000</v>
      </c>
      <c r="V23" s="8">
        <v>18710000000</v>
      </c>
      <c r="W23" s="8">
        <v>26797000000</v>
      </c>
      <c r="X23" s="8">
        <v>12245000000</v>
      </c>
    </row>
    <row r="24" spans="1:24">
      <c r="A24">
        <v>1304</v>
      </c>
      <c r="B24" t="s">
        <v>81</v>
      </c>
      <c r="C24">
        <v>5</v>
      </c>
      <c r="D24" t="s">
        <v>82</v>
      </c>
      <c r="E24">
        <v>37</v>
      </c>
      <c r="F24">
        <v>37</v>
      </c>
      <c r="G24">
        <v>0</v>
      </c>
      <c r="H24" t="s">
        <v>83</v>
      </c>
      <c r="I24">
        <v>73.599999999999994</v>
      </c>
      <c r="J24">
        <v>50.151000000000003</v>
      </c>
      <c r="K24" t="str">
        <f>"TUBA1B;TUBAL3;TUBA4B"</f>
        <v>TUBA1B;TUBAL3;TUBA4B</v>
      </c>
      <c r="L24" t="str">
        <f>"TUBA1B;TUBAL3;TUBA4B"</f>
        <v>TUBA1B;TUBAL3;TUBA4B</v>
      </c>
      <c r="M24" s="8">
        <v>21140000000</v>
      </c>
      <c r="N24" s="8">
        <v>36139000000</v>
      </c>
      <c r="O24" s="8">
        <v>32583000000</v>
      </c>
      <c r="P24" s="8">
        <v>22355000000</v>
      </c>
      <c r="Q24" s="8">
        <v>22263000000</v>
      </c>
      <c r="R24" s="8">
        <v>27479000000</v>
      </c>
      <c r="S24" s="8">
        <v>36358000000</v>
      </c>
      <c r="T24" s="8">
        <v>22939000000</v>
      </c>
      <c r="U24" s="8">
        <v>44488000000</v>
      </c>
      <c r="V24" s="8">
        <v>27878000000</v>
      </c>
      <c r="W24" s="8">
        <v>24361000000</v>
      </c>
      <c r="X24" s="8">
        <v>36455000000</v>
      </c>
    </row>
    <row r="25" spans="1:24">
      <c r="A25">
        <v>502</v>
      </c>
      <c r="B25" t="s">
        <v>84</v>
      </c>
      <c r="C25">
        <v>1</v>
      </c>
      <c r="D25" t="s">
        <v>85</v>
      </c>
      <c r="E25">
        <v>53</v>
      </c>
      <c r="F25">
        <v>53</v>
      </c>
      <c r="G25">
        <v>3</v>
      </c>
      <c r="H25" t="s">
        <v>84</v>
      </c>
      <c r="I25">
        <v>55.9</v>
      </c>
      <c r="J25">
        <v>85.695999999999998</v>
      </c>
      <c r="K25" t="str">
        <f>"GSN"</f>
        <v>GSN</v>
      </c>
      <c r="L25" t="str">
        <f>"GSN"</f>
        <v>GSN</v>
      </c>
      <c r="M25" s="8">
        <v>23006000000</v>
      </c>
      <c r="N25" s="8">
        <v>31450000000</v>
      </c>
      <c r="O25" s="8">
        <v>31074000000</v>
      </c>
      <c r="P25" s="8">
        <v>28727000000</v>
      </c>
      <c r="Q25" s="8">
        <v>29351000000</v>
      </c>
      <c r="R25" s="8">
        <v>29094000000</v>
      </c>
      <c r="S25" s="8">
        <v>33091000000</v>
      </c>
      <c r="T25" s="8">
        <v>28526000000</v>
      </c>
      <c r="U25" s="8">
        <v>30036000000</v>
      </c>
      <c r="V25" s="8">
        <v>28954000000</v>
      </c>
      <c r="W25" s="8">
        <v>34140000000</v>
      </c>
      <c r="X25" s="8">
        <v>25831000000</v>
      </c>
    </row>
    <row r="26" spans="1:24">
      <c r="A26">
        <v>417</v>
      </c>
      <c r="B26" t="s">
        <v>86</v>
      </c>
      <c r="C26">
        <v>17</v>
      </c>
      <c r="D26" t="s">
        <v>87</v>
      </c>
      <c r="E26">
        <v>95</v>
      </c>
      <c r="F26">
        <v>95</v>
      </c>
      <c r="G26">
        <v>95</v>
      </c>
      <c r="H26" t="s">
        <v>88</v>
      </c>
      <c r="I26">
        <v>50.8</v>
      </c>
      <c r="J26">
        <v>262.62</v>
      </c>
      <c r="K26" t="str">
        <f>"FN1"</f>
        <v>FN1</v>
      </c>
      <c r="L26" t="str">
        <f>"FN1"</f>
        <v>FN1</v>
      </c>
      <c r="M26" s="8">
        <v>23995000000</v>
      </c>
      <c r="N26" s="8">
        <v>12249000000</v>
      </c>
      <c r="O26" s="8">
        <v>12751000000</v>
      </c>
      <c r="P26" s="8">
        <v>15141000000</v>
      </c>
      <c r="Q26" s="8">
        <v>21411000000</v>
      </c>
      <c r="R26" s="8">
        <v>12189000000</v>
      </c>
      <c r="S26" s="8">
        <v>11848000000</v>
      </c>
      <c r="T26" s="8">
        <v>17950000000</v>
      </c>
      <c r="U26">
        <v>8964900000</v>
      </c>
      <c r="V26" s="8">
        <v>17896000000</v>
      </c>
      <c r="W26" s="8">
        <v>18119000000</v>
      </c>
      <c r="X26" s="8">
        <v>7885000000</v>
      </c>
    </row>
    <row r="27" spans="1:24">
      <c r="A27">
        <v>308</v>
      </c>
      <c r="B27" t="s">
        <v>89</v>
      </c>
      <c r="C27">
        <v>2</v>
      </c>
      <c r="D27" t="s">
        <v>90</v>
      </c>
      <c r="E27">
        <v>44</v>
      </c>
      <c r="F27">
        <v>44</v>
      </c>
      <c r="G27">
        <v>24</v>
      </c>
      <c r="H27" t="s">
        <v>91</v>
      </c>
      <c r="I27">
        <v>78.8</v>
      </c>
      <c r="J27">
        <v>45.204999999999998</v>
      </c>
      <c r="K27" t="str">
        <f>"HP"</f>
        <v>HP</v>
      </c>
      <c r="L27" t="str">
        <f>"HP"</f>
        <v>HP</v>
      </c>
      <c r="M27" s="8">
        <v>98112000000</v>
      </c>
      <c r="N27" s="8">
        <v>17626000000</v>
      </c>
      <c r="O27" s="8">
        <v>16454000000</v>
      </c>
      <c r="P27" s="8">
        <v>78242000000</v>
      </c>
      <c r="Q27" s="8">
        <v>87268000000</v>
      </c>
      <c r="R27" s="8">
        <v>65070000000</v>
      </c>
      <c r="S27" s="8">
        <v>83416000000</v>
      </c>
      <c r="T27" s="8">
        <v>98563000000</v>
      </c>
      <c r="U27" s="8">
        <v>28031000000</v>
      </c>
      <c r="V27" s="8">
        <v>40160000000</v>
      </c>
      <c r="W27" s="8">
        <v>18112000000</v>
      </c>
      <c r="X27" s="8">
        <v>48876000000</v>
      </c>
    </row>
    <row r="28" spans="1:24">
      <c r="A28">
        <v>383</v>
      </c>
      <c r="B28" t="s">
        <v>92</v>
      </c>
      <c r="C28">
        <v>1</v>
      </c>
      <c r="D28" t="s">
        <v>93</v>
      </c>
      <c r="E28">
        <v>29</v>
      </c>
      <c r="F28">
        <v>19</v>
      </c>
      <c r="G28">
        <v>12</v>
      </c>
      <c r="H28" t="s">
        <v>92</v>
      </c>
      <c r="I28">
        <v>76.400000000000006</v>
      </c>
      <c r="J28">
        <v>35.9</v>
      </c>
      <c r="K28" t="str">
        <f>"IGHG2"</f>
        <v>IGHG2</v>
      </c>
      <c r="L28" t="str">
        <f>"IGHG2"</f>
        <v>IGHG2</v>
      </c>
      <c r="M28" s="8">
        <v>35089000000</v>
      </c>
      <c r="N28" s="8">
        <v>28370000000</v>
      </c>
      <c r="O28" s="8">
        <v>49099000000</v>
      </c>
      <c r="P28" s="8">
        <v>41865000000</v>
      </c>
      <c r="Q28" s="8">
        <v>74888000000</v>
      </c>
      <c r="R28" s="8">
        <v>28151000000</v>
      </c>
      <c r="S28" s="8">
        <v>24472000000</v>
      </c>
      <c r="T28" s="8">
        <v>34545000000</v>
      </c>
      <c r="U28" s="8">
        <v>27001000000</v>
      </c>
      <c r="V28" s="8">
        <v>36588000000</v>
      </c>
      <c r="W28" s="8">
        <v>41295000000</v>
      </c>
      <c r="X28" s="8">
        <v>33274000000</v>
      </c>
    </row>
    <row r="29" spans="1:24">
      <c r="A29">
        <v>381</v>
      </c>
      <c r="B29" t="s">
        <v>94</v>
      </c>
      <c r="C29">
        <v>1</v>
      </c>
      <c r="D29" t="s">
        <v>95</v>
      </c>
      <c r="E29">
        <v>13</v>
      </c>
      <c r="F29">
        <v>13</v>
      </c>
      <c r="G29">
        <v>13</v>
      </c>
      <c r="H29" t="s">
        <v>94</v>
      </c>
      <c r="I29">
        <v>97.2</v>
      </c>
      <c r="J29">
        <v>11.609</v>
      </c>
      <c r="K29" t="str">
        <f>"IGKC"</f>
        <v>IGKC</v>
      </c>
      <c r="L29" t="str">
        <f>"IGKC"</f>
        <v>IGKC</v>
      </c>
      <c r="M29" s="8">
        <v>23598000000</v>
      </c>
      <c r="N29" s="8">
        <v>13299000000</v>
      </c>
      <c r="O29" s="8">
        <v>22325000000</v>
      </c>
      <c r="P29" s="8">
        <v>30547000000</v>
      </c>
      <c r="Q29" s="8">
        <v>37918000000</v>
      </c>
      <c r="R29" s="8">
        <v>16029000000</v>
      </c>
      <c r="S29" s="8">
        <v>16561000000</v>
      </c>
      <c r="T29" s="8">
        <v>30789000000</v>
      </c>
      <c r="U29" s="8">
        <v>13743000000</v>
      </c>
      <c r="V29" s="8">
        <v>24358000000</v>
      </c>
      <c r="W29" s="8">
        <v>30362000000</v>
      </c>
      <c r="X29" s="8">
        <v>14972000000</v>
      </c>
    </row>
    <row r="30" spans="1:24">
      <c r="A30">
        <v>687</v>
      </c>
      <c r="B30" t="s">
        <v>96</v>
      </c>
      <c r="C30">
        <v>2</v>
      </c>
      <c r="D30" t="s">
        <v>97</v>
      </c>
      <c r="E30">
        <v>47</v>
      </c>
      <c r="F30">
        <v>47</v>
      </c>
      <c r="G30">
        <v>5</v>
      </c>
      <c r="H30" t="s">
        <v>98</v>
      </c>
      <c r="I30">
        <v>85.5</v>
      </c>
      <c r="J30">
        <v>57.936</v>
      </c>
      <c r="K30" t="str">
        <f>"PKM"</f>
        <v>PKM</v>
      </c>
      <c r="L30" t="str">
        <f>"PKM"</f>
        <v>PKM</v>
      </c>
      <c r="M30" s="8">
        <v>18603000000</v>
      </c>
      <c r="N30" s="8">
        <v>23092000000</v>
      </c>
      <c r="O30" s="8">
        <v>21039000000</v>
      </c>
      <c r="P30" s="8">
        <v>22078000000</v>
      </c>
      <c r="Q30" s="8">
        <v>20001000000</v>
      </c>
      <c r="R30" s="8">
        <v>22759000000</v>
      </c>
      <c r="S30" s="8">
        <v>33455000000</v>
      </c>
      <c r="T30" s="8">
        <v>19164000000</v>
      </c>
      <c r="U30" s="8">
        <v>26826000000</v>
      </c>
      <c r="V30" s="8">
        <v>23514000000</v>
      </c>
      <c r="W30" s="8">
        <v>26757000000</v>
      </c>
      <c r="X30" s="8">
        <v>24635000000</v>
      </c>
    </row>
    <row r="31" spans="1:24">
      <c r="A31">
        <v>429</v>
      </c>
      <c r="B31" t="s">
        <v>99</v>
      </c>
      <c r="C31">
        <v>1</v>
      </c>
      <c r="D31" t="s">
        <v>100</v>
      </c>
      <c r="E31">
        <v>37</v>
      </c>
      <c r="F31">
        <v>37</v>
      </c>
      <c r="G31">
        <v>37</v>
      </c>
      <c r="H31" t="s">
        <v>99</v>
      </c>
      <c r="I31">
        <v>73.599999999999994</v>
      </c>
      <c r="J31">
        <v>51.676000000000002</v>
      </c>
      <c r="K31" t="str">
        <f>"HPX"</f>
        <v>HPX</v>
      </c>
      <c r="L31" t="str">
        <f>"HPX"</f>
        <v>HPX</v>
      </c>
      <c r="M31" s="8">
        <v>65003000000</v>
      </c>
      <c r="N31" s="8">
        <v>16567000000</v>
      </c>
      <c r="O31" s="8">
        <v>23544000000</v>
      </c>
      <c r="P31" s="8">
        <v>38175000000</v>
      </c>
      <c r="Q31" s="8">
        <v>75022000000</v>
      </c>
      <c r="R31" s="8">
        <v>24070000000</v>
      </c>
      <c r="S31" s="8">
        <v>23811000000</v>
      </c>
      <c r="T31" s="8">
        <v>54623000000</v>
      </c>
      <c r="U31" s="8">
        <v>10090000000</v>
      </c>
      <c r="V31" s="8">
        <v>41383000000</v>
      </c>
      <c r="W31" s="8">
        <v>46859000000</v>
      </c>
      <c r="X31" s="8">
        <v>21460000000</v>
      </c>
    </row>
    <row r="32" spans="1:24">
      <c r="A32">
        <v>563</v>
      </c>
      <c r="B32" t="s">
        <v>101</v>
      </c>
      <c r="C32">
        <v>4</v>
      </c>
      <c r="D32" t="s">
        <v>102</v>
      </c>
      <c r="E32">
        <v>81</v>
      </c>
      <c r="F32">
        <v>81</v>
      </c>
      <c r="G32">
        <v>74</v>
      </c>
      <c r="H32" t="s">
        <v>103</v>
      </c>
      <c r="I32">
        <v>63.7</v>
      </c>
      <c r="J32">
        <v>139.09</v>
      </c>
      <c r="K32" t="str">
        <f>"CFH;CFHR3"</f>
        <v>CFH;CFHR3</v>
      </c>
      <c r="L32" t="str">
        <f>"CFH;CFHR3"</f>
        <v>CFH;CFHR3</v>
      </c>
      <c r="M32" s="8">
        <v>21388000000</v>
      </c>
      <c r="N32" s="8">
        <v>16020000000</v>
      </c>
      <c r="O32" s="8">
        <v>15017000000</v>
      </c>
      <c r="P32" s="8">
        <v>21702000000</v>
      </c>
      <c r="Q32" s="8">
        <v>28273000000</v>
      </c>
      <c r="R32" s="8">
        <v>12693000000</v>
      </c>
      <c r="S32" s="8">
        <v>19695000000</v>
      </c>
      <c r="T32" s="8">
        <v>19019000000</v>
      </c>
      <c r="U32" s="8">
        <v>13619000000</v>
      </c>
      <c r="V32" s="8">
        <v>11878000000</v>
      </c>
      <c r="W32" s="8">
        <v>21376000000</v>
      </c>
      <c r="X32" s="8">
        <v>12908000000</v>
      </c>
    </row>
    <row r="33" spans="1:24">
      <c r="A33">
        <v>299</v>
      </c>
      <c r="B33" t="s">
        <v>104</v>
      </c>
      <c r="C33">
        <v>1</v>
      </c>
      <c r="D33" t="s">
        <v>105</v>
      </c>
      <c r="E33">
        <v>57</v>
      </c>
      <c r="F33">
        <v>57</v>
      </c>
      <c r="G33">
        <v>49</v>
      </c>
      <c r="H33" t="s">
        <v>104</v>
      </c>
      <c r="I33">
        <v>60.8</v>
      </c>
      <c r="J33">
        <v>122.2</v>
      </c>
      <c r="K33" t="str">
        <f>"CP"</f>
        <v>CP</v>
      </c>
      <c r="L33" t="str">
        <f>"CP"</f>
        <v>CP</v>
      </c>
      <c r="M33" s="8">
        <v>21566000000</v>
      </c>
      <c r="N33" s="8">
        <v>14880000000</v>
      </c>
      <c r="O33" s="8">
        <v>18174000000</v>
      </c>
      <c r="P33" s="8">
        <v>15272000000</v>
      </c>
      <c r="Q33" s="8">
        <v>24281000000</v>
      </c>
      <c r="R33" s="8">
        <v>12690000000</v>
      </c>
      <c r="S33" s="8">
        <v>18144000000</v>
      </c>
      <c r="T33" s="8">
        <v>19017000000</v>
      </c>
      <c r="U33" s="8">
        <v>16172000000</v>
      </c>
      <c r="V33" s="8">
        <v>11291000000</v>
      </c>
      <c r="W33" s="8">
        <v>13843000000</v>
      </c>
      <c r="X33" s="8">
        <v>18157000000</v>
      </c>
    </row>
    <row r="34" spans="1:24">
      <c r="A34">
        <v>459</v>
      </c>
      <c r="B34" t="s">
        <v>106</v>
      </c>
      <c r="C34">
        <v>3</v>
      </c>
      <c r="D34" t="s">
        <v>107</v>
      </c>
      <c r="E34">
        <v>32</v>
      </c>
      <c r="F34">
        <v>32</v>
      </c>
      <c r="G34">
        <v>32</v>
      </c>
      <c r="H34" t="s">
        <v>108</v>
      </c>
      <c r="I34">
        <v>89.3</v>
      </c>
      <c r="J34">
        <v>36.052999999999997</v>
      </c>
      <c r="K34" t="str">
        <f>"GAPDH;GAPDHS"</f>
        <v>GAPDH;GAPDHS</v>
      </c>
      <c r="L34" t="str">
        <f>"GAPDH;GAPDHS"</f>
        <v>GAPDH;GAPDHS</v>
      </c>
      <c r="M34" s="8">
        <v>12795000000</v>
      </c>
      <c r="N34" s="8">
        <v>18030000000</v>
      </c>
      <c r="O34" s="8">
        <v>20019000000</v>
      </c>
      <c r="P34" s="8">
        <v>17827000000</v>
      </c>
      <c r="Q34" s="8">
        <v>15537000000</v>
      </c>
      <c r="R34" s="8">
        <v>20874000000</v>
      </c>
      <c r="S34" s="8">
        <v>26299000000</v>
      </c>
      <c r="T34" s="8">
        <v>20211000000</v>
      </c>
      <c r="U34" s="8">
        <v>25217000000</v>
      </c>
      <c r="V34" s="8">
        <v>19788000000</v>
      </c>
      <c r="W34" s="8">
        <v>27086000000</v>
      </c>
      <c r="X34" s="8">
        <v>22456000000</v>
      </c>
    </row>
    <row r="35" spans="1:24">
      <c r="A35">
        <v>475</v>
      </c>
      <c r="B35" t="s">
        <v>109</v>
      </c>
      <c r="C35">
        <v>3</v>
      </c>
      <c r="D35" t="s">
        <v>110</v>
      </c>
      <c r="E35">
        <v>52</v>
      </c>
      <c r="F35">
        <v>52</v>
      </c>
      <c r="G35">
        <v>52</v>
      </c>
      <c r="H35" t="s">
        <v>111</v>
      </c>
      <c r="I35">
        <v>61.8</v>
      </c>
      <c r="J35">
        <v>87.057000000000002</v>
      </c>
      <c r="K35" t="str">
        <f>"ITGB3"</f>
        <v>ITGB3</v>
      </c>
      <c r="L35" t="str">
        <f>"ITGB3"</f>
        <v>ITGB3</v>
      </c>
      <c r="M35" s="8">
        <v>17419000000</v>
      </c>
      <c r="N35" s="8">
        <v>22560000000</v>
      </c>
      <c r="O35" s="8">
        <v>18375000000</v>
      </c>
      <c r="P35" s="8">
        <v>22563000000</v>
      </c>
      <c r="Q35" s="8">
        <v>14563000000</v>
      </c>
      <c r="R35" s="8">
        <v>24196000000</v>
      </c>
      <c r="S35" s="8">
        <v>16035000000</v>
      </c>
      <c r="T35" s="8">
        <v>20856000000</v>
      </c>
      <c r="U35" s="8">
        <v>20688000000</v>
      </c>
      <c r="V35" s="8">
        <v>24276000000</v>
      </c>
      <c r="W35" s="8">
        <v>20430000000</v>
      </c>
      <c r="X35" s="8">
        <v>18765000000</v>
      </c>
    </row>
    <row r="36" spans="1:24">
      <c r="A36">
        <v>1306</v>
      </c>
      <c r="B36" t="s">
        <v>112</v>
      </c>
      <c r="C36">
        <v>3</v>
      </c>
      <c r="D36" t="s">
        <v>113</v>
      </c>
      <c r="E36">
        <v>31</v>
      </c>
      <c r="F36">
        <v>26</v>
      </c>
      <c r="G36">
        <v>4</v>
      </c>
      <c r="H36" t="s">
        <v>114</v>
      </c>
      <c r="I36">
        <v>76.2</v>
      </c>
      <c r="J36">
        <v>49.83</v>
      </c>
      <c r="K36" t="str">
        <f>"TUBB4B;TUBB4A"</f>
        <v>TUBB4B;TUBB4A</v>
      </c>
      <c r="L36" t="str">
        <f>"TUBB4B;TUBB4A"</f>
        <v>TUBB4B;TUBB4A</v>
      </c>
      <c r="M36" s="8">
        <v>10667000000</v>
      </c>
      <c r="N36" s="8">
        <v>18658000000</v>
      </c>
      <c r="O36" s="8">
        <v>17157000000</v>
      </c>
      <c r="P36" s="8">
        <v>13057000000</v>
      </c>
      <c r="Q36" s="8">
        <v>13364000000</v>
      </c>
      <c r="R36" s="8">
        <v>15600000000</v>
      </c>
      <c r="S36" s="8">
        <v>22836000000</v>
      </c>
      <c r="T36" s="8">
        <v>15184000000</v>
      </c>
      <c r="U36" s="8">
        <v>20993000000</v>
      </c>
      <c r="V36" s="8">
        <v>16547000000</v>
      </c>
      <c r="W36" s="8">
        <v>18442000000</v>
      </c>
      <c r="X36" s="8">
        <v>21680000000</v>
      </c>
    </row>
    <row r="37" spans="1:24">
      <c r="A37">
        <v>387</v>
      </c>
      <c r="B37" t="s">
        <v>115</v>
      </c>
      <c r="C37">
        <v>1</v>
      </c>
      <c r="D37" t="s">
        <v>116</v>
      </c>
      <c r="E37">
        <v>25</v>
      </c>
      <c r="F37">
        <v>25</v>
      </c>
      <c r="G37">
        <v>9</v>
      </c>
      <c r="H37" t="s">
        <v>115</v>
      </c>
      <c r="I37">
        <v>67.099999999999994</v>
      </c>
      <c r="J37">
        <v>37.654000000000003</v>
      </c>
      <c r="K37" t="str">
        <f>"IGHA1"</f>
        <v>IGHA1</v>
      </c>
      <c r="L37" t="str">
        <f>"IGHA1"</f>
        <v>IGHA1</v>
      </c>
      <c r="M37" s="8">
        <v>55439000000</v>
      </c>
      <c r="N37" s="8">
        <v>13596000000</v>
      </c>
      <c r="O37" s="8">
        <v>20540000000</v>
      </c>
      <c r="P37" s="8">
        <v>39457000000</v>
      </c>
      <c r="Q37" s="8">
        <v>39653000000</v>
      </c>
      <c r="R37" s="8">
        <v>27568000000</v>
      </c>
      <c r="S37" s="8">
        <v>18185000000</v>
      </c>
      <c r="T37" s="8">
        <v>75547000000</v>
      </c>
      <c r="U37" s="8">
        <v>18267000000</v>
      </c>
      <c r="V37" s="8">
        <v>43415000000</v>
      </c>
      <c r="W37" s="8">
        <v>18289000000</v>
      </c>
      <c r="X37" s="8">
        <v>12710000000</v>
      </c>
    </row>
    <row r="38" spans="1:24">
      <c r="A38">
        <v>1337</v>
      </c>
      <c r="B38" t="s">
        <v>117</v>
      </c>
      <c r="C38">
        <v>4</v>
      </c>
      <c r="D38" t="s">
        <v>118</v>
      </c>
      <c r="E38">
        <v>87</v>
      </c>
      <c r="F38">
        <v>87</v>
      </c>
      <c r="G38">
        <v>87</v>
      </c>
      <c r="H38" t="s">
        <v>119</v>
      </c>
      <c r="I38">
        <v>56.3</v>
      </c>
      <c r="J38">
        <v>187.89</v>
      </c>
      <c r="K38" t="str">
        <f>"CLTC;CLTCL1"</f>
        <v>CLTC;CLTCL1</v>
      </c>
      <c r="L38" t="str">
        <f>"CLTC;CLTCL1"</f>
        <v>CLTC;CLTCL1</v>
      </c>
      <c r="M38">
        <v>5053100000</v>
      </c>
      <c r="N38" s="8">
        <v>7064000000</v>
      </c>
      <c r="O38">
        <v>7279500000</v>
      </c>
      <c r="P38">
        <v>4518100000</v>
      </c>
      <c r="Q38">
        <v>4804500000</v>
      </c>
      <c r="R38">
        <v>6864700000</v>
      </c>
      <c r="S38">
        <v>6783400000</v>
      </c>
      <c r="T38">
        <v>5060900000</v>
      </c>
      <c r="U38">
        <v>7928600000</v>
      </c>
      <c r="V38" s="8">
        <v>5684000000</v>
      </c>
      <c r="W38">
        <v>6368600000</v>
      </c>
      <c r="X38">
        <v>7425100000</v>
      </c>
    </row>
    <row r="39" spans="1:24">
      <c r="A39">
        <v>1298</v>
      </c>
      <c r="B39" t="s">
        <v>120</v>
      </c>
      <c r="C39">
        <v>1</v>
      </c>
      <c r="D39" t="s">
        <v>121</v>
      </c>
      <c r="E39">
        <v>45</v>
      </c>
      <c r="F39">
        <v>45</v>
      </c>
      <c r="G39">
        <v>12</v>
      </c>
      <c r="H39" t="s">
        <v>120</v>
      </c>
      <c r="I39">
        <v>85.5</v>
      </c>
      <c r="J39">
        <v>28.521000000000001</v>
      </c>
      <c r="K39" t="str">
        <f>"TPM4"</f>
        <v>TPM4</v>
      </c>
      <c r="L39" t="str">
        <f>"TPM4"</f>
        <v>TPM4</v>
      </c>
      <c r="M39" s="8">
        <v>16841000000</v>
      </c>
      <c r="N39" s="8">
        <v>21020000000</v>
      </c>
      <c r="O39" s="8">
        <v>22995000000</v>
      </c>
      <c r="P39" s="8">
        <v>25000000000</v>
      </c>
      <c r="Q39" s="8">
        <v>14356000000</v>
      </c>
      <c r="R39" s="8">
        <v>30378000000</v>
      </c>
      <c r="S39" s="8">
        <v>12737000000</v>
      </c>
      <c r="T39" s="8">
        <v>18594000000</v>
      </c>
      <c r="U39" s="8">
        <v>18750000000</v>
      </c>
      <c r="V39" s="8">
        <v>21018000000</v>
      </c>
      <c r="W39" s="8">
        <v>16743000000</v>
      </c>
      <c r="X39" s="8">
        <v>21219000000</v>
      </c>
    </row>
    <row r="40" spans="1:24">
      <c r="A40">
        <v>1443</v>
      </c>
      <c r="B40" t="s">
        <v>122</v>
      </c>
      <c r="C40">
        <v>3</v>
      </c>
      <c r="D40" t="s">
        <v>123</v>
      </c>
      <c r="E40">
        <v>28</v>
      </c>
      <c r="F40">
        <v>28</v>
      </c>
      <c r="G40">
        <v>28</v>
      </c>
      <c r="H40" t="s">
        <v>124</v>
      </c>
      <c r="I40">
        <v>59.1</v>
      </c>
      <c r="J40">
        <v>51.418999999999997</v>
      </c>
      <c r="K40" t="str">
        <f>"ILK"</f>
        <v>ILK</v>
      </c>
      <c r="L40" t="str">
        <f>"ILK"</f>
        <v>ILK</v>
      </c>
      <c r="M40" s="8">
        <v>10532000000</v>
      </c>
      <c r="N40" s="8">
        <v>13310000000</v>
      </c>
      <c r="O40" s="8">
        <v>14801000000</v>
      </c>
      <c r="P40" s="8">
        <v>14019000000</v>
      </c>
      <c r="Q40">
        <v>9997300000</v>
      </c>
      <c r="R40" s="8">
        <v>16124000000</v>
      </c>
      <c r="S40" s="8">
        <v>14037000000</v>
      </c>
      <c r="T40" s="8">
        <v>12357000000</v>
      </c>
      <c r="U40" s="8">
        <v>13971000000</v>
      </c>
      <c r="V40" s="8">
        <v>13563000000</v>
      </c>
      <c r="W40" s="8">
        <v>11981000000</v>
      </c>
      <c r="X40" s="8">
        <v>11814000000</v>
      </c>
    </row>
    <row r="41" spans="1:24">
      <c r="A41">
        <v>1310</v>
      </c>
      <c r="B41" t="s">
        <v>125</v>
      </c>
      <c r="C41">
        <v>6</v>
      </c>
      <c r="D41" t="s">
        <v>126</v>
      </c>
      <c r="E41">
        <v>20</v>
      </c>
      <c r="F41">
        <v>20</v>
      </c>
      <c r="G41">
        <v>13</v>
      </c>
      <c r="H41" t="s">
        <v>127</v>
      </c>
      <c r="I41">
        <v>96.6</v>
      </c>
      <c r="J41">
        <v>15.997999999999999</v>
      </c>
      <c r="K41" t="str">
        <f>"HBB;HBG2;HBG1;HBE1"</f>
        <v>HBB;HBG2;HBG1;HBE1</v>
      </c>
      <c r="L41" t="str">
        <f>"HBB;HBG2;HBG1;HBE1"</f>
        <v>HBB;HBG2;HBG1;HBE1</v>
      </c>
      <c r="M41" s="8">
        <v>18591000000</v>
      </c>
      <c r="N41" s="8">
        <v>12218000000</v>
      </c>
      <c r="O41" s="8">
        <v>13490000000</v>
      </c>
      <c r="P41" s="8">
        <v>59449000000</v>
      </c>
      <c r="Q41" s="8">
        <v>39525000000</v>
      </c>
      <c r="R41" s="8">
        <v>82905000000</v>
      </c>
      <c r="S41" s="8">
        <v>61010000000</v>
      </c>
      <c r="T41" s="8">
        <v>36275000000</v>
      </c>
      <c r="U41" s="8">
        <v>44743000000</v>
      </c>
      <c r="V41" s="8">
        <v>23415000000</v>
      </c>
      <c r="W41" s="8">
        <v>13052000000</v>
      </c>
      <c r="X41">
        <v>5189300000</v>
      </c>
    </row>
    <row r="42" spans="1:24">
      <c r="A42">
        <v>535</v>
      </c>
      <c r="B42" t="s">
        <v>128</v>
      </c>
      <c r="C42">
        <v>1</v>
      </c>
      <c r="D42" t="s">
        <v>129</v>
      </c>
      <c r="E42">
        <v>19</v>
      </c>
      <c r="F42">
        <v>19</v>
      </c>
      <c r="G42">
        <v>15</v>
      </c>
      <c r="H42" t="s">
        <v>128</v>
      </c>
      <c r="I42">
        <v>78.599999999999994</v>
      </c>
      <c r="J42">
        <v>15.054</v>
      </c>
      <c r="K42" t="str">
        <f>"PFN1"</f>
        <v>PFN1</v>
      </c>
      <c r="L42" t="str">
        <f>"PFN1"</f>
        <v>PFN1</v>
      </c>
      <c r="M42" s="8">
        <v>11696000000</v>
      </c>
      <c r="N42">
        <v>9947200000</v>
      </c>
      <c r="O42" s="8">
        <v>12222000000</v>
      </c>
      <c r="P42" s="8">
        <v>14379000000</v>
      </c>
      <c r="Q42" s="8">
        <v>10343000000</v>
      </c>
      <c r="R42" s="8">
        <v>13489000000</v>
      </c>
      <c r="S42" s="8">
        <v>18476000000</v>
      </c>
      <c r="T42" s="8">
        <v>16126000000</v>
      </c>
      <c r="U42" s="8">
        <v>26442000000</v>
      </c>
      <c r="V42" s="8">
        <v>15621000000</v>
      </c>
      <c r="W42" s="8">
        <v>13419000000</v>
      </c>
      <c r="X42" s="8">
        <v>14926000000</v>
      </c>
    </row>
    <row r="43" spans="1:24">
      <c r="A43">
        <v>626</v>
      </c>
      <c r="B43" t="s">
        <v>130</v>
      </c>
      <c r="C43">
        <v>2</v>
      </c>
      <c r="D43" t="s">
        <v>131</v>
      </c>
      <c r="E43">
        <v>44</v>
      </c>
      <c r="F43">
        <v>43</v>
      </c>
      <c r="G43">
        <v>28</v>
      </c>
      <c r="H43" t="s">
        <v>132</v>
      </c>
      <c r="I43">
        <v>58.2</v>
      </c>
      <c r="J43">
        <v>70.897000000000006</v>
      </c>
      <c r="K43" t="str">
        <f>"HSPA8"</f>
        <v>HSPA8</v>
      </c>
      <c r="L43" t="str">
        <f>"HSPA8"</f>
        <v>HSPA8</v>
      </c>
      <c r="M43">
        <v>8822500000</v>
      </c>
      <c r="N43" s="8">
        <v>14465000000</v>
      </c>
      <c r="O43" s="8">
        <v>12012000000</v>
      </c>
      <c r="P43" s="8">
        <v>10422000000</v>
      </c>
      <c r="Q43">
        <v>8317700000</v>
      </c>
      <c r="R43" s="8">
        <v>13503000000</v>
      </c>
      <c r="S43" s="8">
        <v>15623000000</v>
      </c>
      <c r="T43">
        <v>9317700000</v>
      </c>
      <c r="U43" s="8">
        <v>13901000000</v>
      </c>
      <c r="V43" s="8">
        <v>11327000000</v>
      </c>
      <c r="W43" s="8">
        <v>10850000000</v>
      </c>
      <c r="X43" s="8">
        <v>13724000000</v>
      </c>
    </row>
    <row r="44" spans="1:24">
      <c r="A44">
        <v>423</v>
      </c>
      <c r="B44" t="s">
        <v>133</v>
      </c>
      <c r="C44">
        <v>5</v>
      </c>
      <c r="D44" t="s">
        <v>134</v>
      </c>
      <c r="E44">
        <v>39</v>
      </c>
      <c r="F44">
        <v>39</v>
      </c>
      <c r="G44">
        <v>39</v>
      </c>
      <c r="H44" t="s">
        <v>135</v>
      </c>
      <c r="I44">
        <v>71.900000000000006</v>
      </c>
      <c r="J44">
        <v>52.963000000000001</v>
      </c>
      <c r="K44" t="str">
        <f>"GC"</f>
        <v>GC</v>
      </c>
      <c r="L44" t="str">
        <f>"GC"</f>
        <v>GC</v>
      </c>
      <c r="M44" s="8">
        <v>22227000000</v>
      </c>
      <c r="N44">
        <v>6514500000</v>
      </c>
      <c r="O44">
        <v>8999900000</v>
      </c>
      <c r="P44" s="8">
        <v>12252000000</v>
      </c>
      <c r="Q44" s="8">
        <v>15411000000</v>
      </c>
      <c r="R44">
        <v>7130700000</v>
      </c>
      <c r="S44">
        <v>9634100000</v>
      </c>
      <c r="T44" s="8">
        <v>15625000000</v>
      </c>
      <c r="U44">
        <v>5824500000</v>
      </c>
      <c r="V44" s="8">
        <v>10167000000</v>
      </c>
      <c r="W44" s="8">
        <v>17503000000</v>
      </c>
      <c r="X44" s="8">
        <v>13105000000</v>
      </c>
    </row>
    <row r="45" spans="1:24">
      <c r="A45">
        <v>1311</v>
      </c>
      <c r="B45" t="s">
        <v>136</v>
      </c>
      <c r="C45">
        <v>2</v>
      </c>
      <c r="D45" t="s">
        <v>137</v>
      </c>
      <c r="E45">
        <v>18</v>
      </c>
      <c r="F45">
        <v>18</v>
      </c>
      <c r="G45">
        <v>13</v>
      </c>
      <c r="H45" t="s">
        <v>138</v>
      </c>
      <c r="I45">
        <v>97.9</v>
      </c>
      <c r="J45">
        <v>15.257</v>
      </c>
      <c r="K45" t="str">
        <f>"HBA1;HBZ"</f>
        <v>HBA1;HBZ</v>
      </c>
      <c r="L45" t="str">
        <f>"HBA1;HBZ"</f>
        <v>HBA1;HBZ</v>
      </c>
      <c r="M45" s="8">
        <v>18002000000</v>
      </c>
      <c r="N45" s="8">
        <v>11924000000</v>
      </c>
      <c r="O45" s="8">
        <v>14264000000</v>
      </c>
      <c r="P45" s="8">
        <v>58550000000</v>
      </c>
      <c r="Q45" s="8">
        <v>35000000000</v>
      </c>
      <c r="R45" s="8">
        <v>65347000000</v>
      </c>
      <c r="S45" s="8">
        <v>68169000000</v>
      </c>
      <c r="T45" s="8">
        <v>27915000000</v>
      </c>
      <c r="U45" s="8">
        <v>41479000000</v>
      </c>
      <c r="V45" s="8">
        <v>19131000000</v>
      </c>
      <c r="W45" s="8">
        <v>14018000000</v>
      </c>
      <c r="X45">
        <v>4888900000</v>
      </c>
    </row>
    <row r="46" spans="1:24">
      <c r="A46">
        <v>200</v>
      </c>
      <c r="B46" t="s">
        <v>139</v>
      </c>
      <c r="C46">
        <v>2</v>
      </c>
      <c r="D46" t="s">
        <v>140</v>
      </c>
      <c r="E46">
        <v>41</v>
      </c>
      <c r="F46">
        <v>41</v>
      </c>
      <c r="G46">
        <v>41</v>
      </c>
      <c r="H46" t="s">
        <v>141</v>
      </c>
      <c r="I46">
        <v>76.400000000000006</v>
      </c>
      <c r="J46">
        <v>66.192999999999998</v>
      </c>
      <c r="K46" t="str">
        <f>"WDR1"</f>
        <v>WDR1</v>
      </c>
      <c r="L46" t="str">
        <f>"WDR1"</f>
        <v>WDR1</v>
      </c>
      <c r="M46" s="8">
        <v>11668000000</v>
      </c>
      <c r="N46" s="8">
        <v>19549000000</v>
      </c>
      <c r="O46" s="8">
        <v>18515000000</v>
      </c>
      <c r="P46" s="8">
        <v>12382000000</v>
      </c>
      <c r="Q46" s="8">
        <v>12791000000</v>
      </c>
      <c r="R46" s="8">
        <v>12348000000</v>
      </c>
      <c r="S46" s="8">
        <v>15019000000</v>
      </c>
      <c r="T46" s="8">
        <v>13258000000</v>
      </c>
      <c r="U46" s="8">
        <v>15565000000</v>
      </c>
      <c r="V46" s="8">
        <v>14053000000</v>
      </c>
      <c r="W46" s="8">
        <v>14504000000</v>
      </c>
      <c r="X46" s="8">
        <v>19114000000</v>
      </c>
    </row>
    <row r="47" spans="1:24">
      <c r="A47">
        <v>990</v>
      </c>
      <c r="B47" t="s">
        <v>142</v>
      </c>
      <c r="C47">
        <v>3</v>
      </c>
      <c r="D47" t="s">
        <v>143</v>
      </c>
      <c r="E47">
        <v>22</v>
      </c>
      <c r="F47">
        <v>22</v>
      </c>
      <c r="G47">
        <v>22</v>
      </c>
      <c r="H47" t="s">
        <v>144</v>
      </c>
      <c r="I47">
        <v>81.900000000000006</v>
      </c>
      <c r="J47">
        <v>22.390999999999998</v>
      </c>
      <c r="K47" t="str">
        <f>"TAGLN2;TAGLN3"</f>
        <v>TAGLN2;TAGLN3</v>
      </c>
      <c r="L47" t="str">
        <f>"TAGLN2;TAGLN3"</f>
        <v>TAGLN2;TAGLN3</v>
      </c>
      <c r="M47" s="8">
        <v>10753000000</v>
      </c>
      <c r="N47" s="8">
        <v>11188000000</v>
      </c>
      <c r="O47" s="8">
        <v>14621000000</v>
      </c>
      <c r="P47" s="8">
        <v>15072000000</v>
      </c>
      <c r="Q47" s="8">
        <v>11057000000</v>
      </c>
      <c r="R47" s="8">
        <v>17583000000</v>
      </c>
      <c r="S47" s="8">
        <v>14607000000</v>
      </c>
      <c r="T47" s="8">
        <v>14209000000</v>
      </c>
      <c r="U47" s="8">
        <v>18044000000</v>
      </c>
      <c r="V47" s="8">
        <v>15596000000</v>
      </c>
      <c r="W47" s="8">
        <v>11102000000</v>
      </c>
      <c r="X47" s="8">
        <v>15836000000</v>
      </c>
    </row>
    <row r="48" spans="1:24">
      <c r="A48">
        <v>313</v>
      </c>
      <c r="B48" t="s">
        <v>145</v>
      </c>
      <c r="C48">
        <v>4</v>
      </c>
      <c r="D48" t="s">
        <v>146</v>
      </c>
      <c r="E48">
        <v>61</v>
      </c>
      <c r="F48">
        <v>61</v>
      </c>
      <c r="G48">
        <v>59</v>
      </c>
      <c r="H48" t="s">
        <v>147</v>
      </c>
      <c r="I48">
        <v>73.3</v>
      </c>
      <c r="J48">
        <v>90.567999999999998</v>
      </c>
      <c r="K48" t="str">
        <f>"PLG;PLGLA;PLGLB1"</f>
        <v>PLG;PLGLA;PLGLB1</v>
      </c>
      <c r="L48" t="str">
        <f>"PLG;PLGLA;PLGLB1"</f>
        <v>PLG;PLGLA;PLGLB1</v>
      </c>
      <c r="M48" s="8">
        <v>13766000000</v>
      </c>
      <c r="N48">
        <v>7833100000</v>
      </c>
      <c r="O48">
        <v>8049600000</v>
      </c>
      <c r="P48" s="8">
        <v>10763000000</v>
      </c>
      <c r="Q48" s="8">
        <v>11802000000</v>
      </c>
      <c r="R48">
        <v>5679600000</v>
      </c>
      <c r="S48">
        <v>6831500000</v>
      </c>
      <c r="T48">
        <v>9120200000</v>
      </c>
      <c r="U48">
        <v>4232600000</v>
      </c>
      <c r="V48">
        <v>8757700000</v>
      </c>
      <c r="W48" s="8">
        <v>10894000000</v>
      </c>
      <c r="X48">
        <v>6344400000</v>
      </c>
    </row>
    <row r="49" spans="1:24">
      <c r="A49">
        <v>559</v>
      </c>
      <c r="B49" t="s">
        <v>148</v>
      </c>
      <c r="C49">
        <v>1</v>
      </c>
      <c r="D49" t="s">
        <v>149</v>
      </c>
      <c r="E49">
        <v>31</v>
      </c>
      <c r="F49">
        <v>31</v>
      </c>
      <c r="G49">
        <v>31</v>
      </c>
      <c r="H49" t="s">
        <v>148</v>
      </c>
      <c r="I49">
        <v>72.599999999999994</v>
      </c>
      <c r="J49">
        <v>40.124000000000002</v>
      </c>
      <c r="K49" t="str">
        <f>"PLEK"</f>
        <v>PLEK</v>
      </c>
      <c r="L49" t="str">
        <f>"PLEK"</f>
        <v>PLEK</v>
      </c>
      <c r="M49">
        <v>9928500000</v>
      </c>
      <c r="N49" s="8">
        <v>10740000000</v>
      </c>
      <c r="O49">
        <v>8420300000</v>
      </c>
      <c r="P49">
        <v>5638300000</v>
      </c>
      <c r="Q49">
        <v>6530900000</v>
      </c>
      <c r="R49">
        <v>9080100000</v>
      </c>
      <c r="S49" s="8">
        <v>14581000000</v>
      </c>
      <c r="T49">
        <v>8013900000</v>
      </c>
      <c r="U49" s="8">
        <v>16966000000</v>
      </c>
      <c r="V49">
        <v>9507800000</v>
      </c>
      <c r="W49" s="8">
        <v>11429000000</v>
      </c>
      <c r="X49" s="8">
        <v>10652000000</v>
      </c>
    </row>
    <row r="50" spans="1:24">
      <c r="A50">
        <v>457</v>
      </c>
      <c r="B50" t="s">
        <v>150</v>
      </c>
      <c r="C50">
        <v>2</v>
      </c>
      <c r="D50" t="s">
        <v>151</v>
      </c>
      <c r="E50">
        <v>113</v>
      </c>
      <c r="F50">
        <v>113</v>
      </c>
      <c r="G50">
        <v>113</v>
      </c>
      <c r="H50" t="s">
        <v>152</v>
      </c>
      <c r="I50">
        <v>46</v>
      </c>
      <c r="J50">
        <v>309.26</v>
      </c>
      <c r="K50" t="str">
        <f>"VWF"</f>
        <v>VWF</v>
      </c>
      <c r="L50" t="str">
        <f>"VWF"</f>
        <v>VWF</v>
      </c>
      <c r="M50">
        <v>3626900000</v>
      </c>
      <c r="N50">
        <v>3756300000</v>
      </c>
      <c r="O50">
        <v>4149300000</v>
      </c>
      <c r="P50">
        <v>5194600000</v>
      </c>
      <c r="Q50">
        <v>5672300000</v>
      </c>
      <c r="R50">
        <v>5881900000</v>
      </c>
      <c r="S50">
        <v>4629900000</v>
      </c>
      <c r="T50">
        <v>5231500000</v>
      </c>
      <c r="U50">
        <v>5545900000</v>
      </c>
      <c r="V50">
        <v>6325100000</v>
      </c>
      <c r="W50">
        <v>2691300000</v>
      </c>
      <c r="X50">
        <v>4709200000</v>
      </c>
    </row>
    <row r="51" spans="1:24">
      <c r="A51">
        <v>1300</v>
      </c>
      <c r="B51" t="s">
        <v>153</v>
      </c>
      <c r="C51">
        <v>4</v>
      </c>
      <c r="D51" t="s">
        <v>154</v>
      </c>
      <c r="E51">
        <v>35</v>
      </c>
      <c r="F51">
        <v>7</v>
      </c>
      <c r="G51">
        <v>1</v>
      </c>
      <c r="H51" t="s">
        <v>155</v>
      </c>
      <c r="I51">
        <v>55.7</v>
      </c>
      <c r="J51">
        <v>42.018999999999998</v>
      </c>
      <c r="K51" t="str">
        <f>"ACTC1;ACTG2;ACTA2"</f>
        <v>ACTC1;ACTG2;ACTA2</v>
      </c>
      <c r="L51" t="str">
        <f>"ACTC1;ACTG2;ACTA2"</f>
        <v>ACTC1;ACTG2;ACTA2</v>
      </c>
      <c r="M51" s="8">
        <v>33626000000</v>
      </c>
      <c r="N51" s="8">
        <v>20239000000</v>
      </c>
      <c r="O51" s="8">
        <v>18731000000</v>
      </c>
      <c r="P51" s="8">
        <v>19598000000</v>
      </c>
      <c r="Q51" s="8">
        <v>23415000000</v>
      </c>
      <c r="R51" s="8">
        <v>34031000000</v>
      </c>
      <c r="S51" s="8">
        <v>37683000000</v>
      </c>
      <c r="T51" s="8">
        <v>36739000000</v>
      </c>
      <c r="U51" s="8">
        <v>38018000000</v>
      </c>
      <c r="V51" s="8">
        <v>36613000000</v>
      </c>
      <c r="W51" s="8">
        <v>19705000000</v>
      </c>
      <c r="X51" s="8">
        <v>18810000000</v>
      </c>
    </row>
    <row r="52" spans="1:24">
      <c r="A52">
        <v>831</v>
      </c>
      <c r="B52" t="s">
        <v>156</v>
      </c>
      <c r="C52">
        <v>1</v>
      </c>
      <c r="D52" t="s">
        <v>157</v>
      </c>
      <c r="E52">
        <v>57</v>
      </c>
      <c r="F52">
        <v>57</v>
      </c>
      <c r="G52">
        <v>43</v>
      </c>
      <c r="H52" t="s">
        <v>156</v>
      </c>
      <c r="I52">
        <v>71.2</v>
      </c>
      <c r="J52">
        <v>67.819000000000003</v>
      </c>
      <c r="K52" t="str">
        <f>"MSN"</f>
        <v>MSN</v>
      </c>
      <c r="L52" t="str">
        <f>"MSN"</f>
        <v>MSN</v>
      </c>
      <c r="M52">
        <v>4656100000</v>
      </c>
      <c r="N52">
        <v>8082200000</v>
      </c>
      <c r="O52">
        <v>6674900000</v>
      </c>
      <c r="P52">
        <v>6485300000</v>
      </c>
      <c r="Q52" s="8">
        <v>4881000000</v>
      </c>
      <c r="R52">
        <v>6570700000</v>
      </c>
      <c r="S52">
        <v>7174700000</v>
      </c>
      <c r="T52">
        <v>5636100000</v>
      </c>
      <c r="U52">
        <v>6532600000</v>
      </c>
      <c r="V52">
        <v>5870500000</v>
      </c>
      <c r="W52">
        <v>5763800000</v>
      </c>
      <c r="X52">
        <v>5299900000</v>
      </c>
    </row>
    <row r="53" spans="1:24">
      <c r="A53">
        <v>1286</v>
      </c>
      <c r="B53" t="s">
        <v>158</v>
      </c>
      <c r="C53">
        <v>2</v>
      </c>
      <c r="D53" t="s">
        <v>159</v>
      </c>
      <c r="E53">
        <v>27</v>
      </c>
      <c r="F53">
        <v>27</v>
      </c>
      <c r="G53">
        <v>19</v>
      </c>
      <c r="H53" t="s">
        <v>160</v>
      </c>
      <c r="I53">
        <v>88.6</v>
      </c>
      <c r="J53">
        <v>27.745000000000001</v>
      </c>
      <c r="K53" t="str">
        <f>"YWHAZ"</f>
        <v>YWHAZ</v>
      </c>
      <c r="L53" t="str">
        <f>"YWHAZ"</f>
        <v>YWHAZ</v>
      </c>
      <c r="M53">
        <v>7008800000</v>
      </c>
      <c r="N53">
        <v>7829700000</v>
      </c>
      <c r="O53">
        <v>9136400000</v>
      </c>
      <c r="P53">
        <v>9050300000</v>
      </c>
      <c r="Q53">
        <v>6432300000</v>
      </c>
      <c r="R53" s="8">
        <v>11881000000</v>
      </c>
      <c r="S53" s="8">
        <v>5122000000</v>
      </c>
      <c r="T53">
        <v>9459400000</v>
      </c>
      <c r="U53">
        <v>5075500000</v>
      </c>
      <c r="V53" s="8">
        <v>9043000000</v>
      </c>
      <c r="W53">
        <v>5872600000</v>
      </c>
      <c r="X53">
        <v>5766500000</v>
      </c>
    </row>
    <row r="54" spans="1:24">
      <c r="A54">
        <v>2123</v>
      </c>
      <c r="B54" t="s">
        <v>161</v>
      </c>
      <c r="C54">
        <v>4</v>
      </c>
      <c r="D54" t="s">
        <v>162</v>
      </c>
      <c r="E54">
        <v>30</v>
      </c>
      <c r="F54">
        <v>30</v>
      </c>
      <c r="G54">
        <v>30</v>
      </c>
      <c r="H54" t="s">
        <v>163</v>
      </c>
      <c r="I54">
        <v>71.3</v>
      </c>
      <c r="J54">
        <v>37.537999999999997</v>
      </c>
      <c r="K54" t="str">
        <f>"PARVB;PARVA"</f>
        <v>PARVB;PARVA</v>
      </c>
      <c r="L54" t="str">
        <f>"PARVB;PARVA"</f>
        <v>PARVB;PARVA</v>
      </c>
      <c r="M54">
        <v>6916500000</v>
      </c>
      <c r="N54">
        <v>8137700000</v>
      </c>
      <c r="O54">
        <v>8343200000</v>
      </c>
      <c r="P54" s="8">
        <v>7697000000</v>
      </c>
      <c r="Q54">
        <v>6320900000</v>
      </c>
      <c r="R54">
        <v>9617400000</v>
      </c>
      <c r="S54" s="8">
        <v>12260000000</v>
      </c>
      <c r="T54">
        <v>8436600000</v>
      </c>
      <c r="U54" s="8">
        <v>10024000000</v>
      </c>
      <c r="V54">
        <v>8137200000</v>
      </c>
      <c r="W54" s="8">
        <v>11518000000</v>
      </c>
      <c r="X54" s="8">
        <v>14436000000</v>
      </c>
    </row>
    <row r="55" spans="1:24">
      <c r="A55">
        <v>439</v>
      </c>
      <c r="B55" t="s">
        <v>164</v>
      </c>
      <c r="C55">
        <v>3</v>
      </c>
      <c r="D55" t="s">
        <v>165</v>
      </c>
      <c r="E55">
        <v>35</v>
      </c>
      <c r="F55">
        <v>35</v>
      </c>
      <c r="G55">
        <v>28</v>
      </c>
      <c r="H55" t="s">
        <v>166</v>
      </c>
      <c r="I55">
        <v>91.8</v>
      </c>
      <c r="J55">
        <v>39.42</v>
      </c>
      <c r="K55" t="str">
        <f>"ALDOA;ALDOB"</f>
        <v>ALDOA;ALDOB</v>
      </c>
      <c r="L55" t="str">
        <f>"ALDOA;ALDOB"</f>
        <v>ALDOA;ALDOB</v>
      </c>
      <c r="M55" s="8">
        <v>12245000000</v>
      </c>
      <c r="N55" s="8">
        <v>12865000000</v>
      </c>
      <c r="O55" s="8">
        <v>15820000000</v>
      </c>
      <c r="P55" s="8">
        <v>13494000000</v>
      </c>
      <c r="Q55" s="8">
        <v>12194000000</v>
      </c>
      <c r="R55" s="8">
        <v>16040000000</v>
      </c>
      <c r="S55">
        <v>9816500000</v>
      </c>
      <c r="T55" s="8">
        <v>12867000000</v>
      </c>
      <c r="U55" s="8">
        <v>11332000000</v>
      </c>
      <c r="V55" s="8">
        <v>13979000000</v>
      </c>
      <c r="W55" s="8">
        <v>10483000000</v>
      </c>
      <c r="X55" s="8">
        <v>13082000000</v>
      </c>
    </row>
    <row r="56" spans="1:24">
      <c r="A56">
        <v>318</v>
      </c>
      <c r="B56" t="s">
        <v>167</v>
      </c>
      <c r="C56">
        <v>2</v>
      </c>
      <c r="D56" t="s">
        <v>168</v>
      </c>
      <c r="E56">
        <v>34</v>
      </c>
      <c r="F56">
        <v>34</v>
      </c>
      <c r="G56">
        <v>34</v>
      </c>
      <c r="H56" t="s">
        <v>169</v>
      </c>
      <c r="I56">
        <v>65.5</v>
      </c>
      <c r="J56">
        <v>52.601999999999997</v>
      </c>
      <c r="K56" t="str">
        <f>"SERPINC1"</f>
        <v>SERPINC1</v>
      </c>
      <c r="L56" t="str">
        <f>"SERPINC1"</f>
        <v>SERPINC1</v>
      </c>
      <c r="M56" s="8">
        <v>15165000000</v>
      </c>
      <c r="N56">
        <v>9195600000</v>
      </c>
      <c r="O56" s="8">
        <v>10671000000</v>
      </c>
      <c r="P56" s="8">
        <v>12123000000</v>
      </c>
      <c r="Q56" s="8">
        <v>12379000000</v>
      </c>
      <c r="R56">
        <v>6665500000</v>
      </c>
      <c r="S56">
        <v>9806500000</v>
      </c>
      <c r="T56" s="8">
        <v>15455000000</v>
      </c>
      <c r="U56">
        <v>7532200000</v>
      </c>
      <c r="V56">
        <v>9998900000</v>
      </c>
      <c r="W56" s="8">
        <v>10430000000</v>
      </c>
      <c r="X56">
        <v>6328400000</v>
      </c>
    </row>
    <row r="57" spans="1:24">
      <c r="A57">
        <v>511</v>
      </c>
      <c r="B57" t="s">
        <v>170</v>
      </c>
      <c r="C57">
        <v>2</v>
      </c>
      <c r="D57" t="s">
        <v>171</v>
      </c>
      <c r="E57">
        <v>38</v>
      </c>
      <c r="F57">
        <v>38</v>
      </c>
      <c r="G57">
        <v>35</v>
      </c>
      <c r="H57" t="s">
        <v>172</v>
      </c>
      <c r="I57">
        <v>72.400000000000006</v>
      </c>
      <c r="J57">
        <v>47.167999999999999</v>
      </c>
      <c r="K57" t="str">
        <f>"ENO1"</f>
        <v>ENO1</v>
      </c>
      <c r="L57" t="str">
        <f>"ENO1"</f>
        <v>ENO1</v>
      </c>
      <c r="M57">
        <v>5031300000</v>
      </c>
      <c r="N57" s="8">
        <v>5612000000</v>
      </c>
      <c r="O57">
        <v>5645700000</v>
      </c>
      <c r="P57">
        <v>5591100000</v>
      </c>
      <c r="Q57">
        <v>5120600000</v>
      </c>
      <c r="R57">
        <v>7655400000</v>
      </c>
      <c r="S57">
        <v>6736100000</v>
      </c>
      <c r="T57">
        <v>5188100000</v>
      </c>
      <c r="U57">
        <v>7960300000</v>
      </c>
      <c r="V57">
        <v>5702300000</v>
      </c>
      <c r="W57">
        <v>5558400000</v>
      </c>
      <c r="X57">
        <v>7986800000</v>
      </c>
    </row>
    <row r="58" spans="1:24">
      <c r="A58">
        <v>320</v>
      </c>
      <c r="B58" t="s">
        <v>173</v>
      </c>
      <c r="C58">
        <v>3</v>
      </c>
      <c r="D58" t="s">
        <v>174</v>
      </c>
      <c r="E58">
        <v>28</v>
      </c>
      <c r="F58">
        <v>28</v>
      </c>
      <c r="G58">
        <v>28</v>
      </c>
      <c r="H58" t="s">
        <v>175</v>
      </c>
      <c r="I58">
        <v>56</v>
      </c>
      <c r="J58">
        <v>47.65</v>
      </c>
      <c r="K58" t="str">
        <f>"SERPINA3"</f>
        <v>SERPINA3</v>
      </c>
      <c r="L58" t="str">
        <f>"SERPINA3"</f>
        <v>SERPINA3</v>
      </c>
      <c r="M58" s="8">
        <v>14072000000</v>
      </c>
      <c r="N58">
        <v>6668100000</v>
      </c>
      <c r="O58">
        <v>7235400000</v>
      </c>
      <c r="P58">
        <v>8758500000</v>
      </c>
      <c r="Q58" s="8">
        <v>17031000000</v>
      </c>
      <c r="R58">
        <v>7518400000</v>
      </c>
      <c r="S58" s="8">
        <v>19390000000</v>
      </c>
      <c r="T58" s="8">
        <v>15172000000</v>
      </c>
      <c r="U58">
        <v>6870200000</v>
      </c>
      <c r="V58">
        <v>9251800000</v>
      </c>
      <c r="W58" s="8">
        <v>10043000000</v>
      </c>
      <c r="X58">
        <v>9064200000</v>
      </c>
    </row>
    <row r="59" spans="1:24">
      <c r="A59">
        <v>386</v>
      </c>
      <c r="B59" t="s">
        <v>176</v>
      </c>
      <c r="C59">
        <v>2</v>
      </c>
      <c r="D59" t="s">
        <v>177</v>
      </c>
      <c r="E59">
        <v>27</v>
      </c>
      <c r="F59">
        <v>27</v>
      </c>
      <c r="G59">
        <v>9</v>
      </c>
      <c r="H59" t="s">
        <v>178</v>
      </c>
      <c r="I59">
        <v>60.6</v>
      </c>
      <c r="J59">
        <v>49.305999999999997</v>
      </c>
      <c r="K59" t="str">
        <f>"IGHM"</f>
        <v>IGHM</v>
      </c>
      <c r="L59" t="str">
        <f>"IGHM"</f>
        <v>IGHM</v>
      </c>
      <c r="M59" s="8">
        <v>38235000000</v>
      </c>
      <c r="N59" s="8">
        <v>15049000000</v>
      </c>
      <c r="O59" s="8">
        <v>10914000000</v>
      </c>
      <c r="P59" s="8">
        <v>13642000000</v>
      </c>
      <c r="Q59" s="8">
        <v>15770000000</v>
      </c>
      <c r="R59" s="8">
        <v>12769000000</v>
      </c>
      <c r="S59" s="8">
        <v>8865000000</v>
      </c>
      <c r="T59" s="8">
        <v>20240000000</v>
      </c>
      <c r="U59">
        <v>6483800000</v>
      </c>
      <c r="V59" s="8">
        <v>17687000000</v>
      </c>
      <c r="W59" s="8">
        <v>30041000000</v>
      </c>
      <c r="X59">
        <v>5752500000</v>
      </c>
    </row>
    <row r="60" spans="1:24">
      <c r="A60">
        <v>1580</v>
      </c>
      <c r="B60" t="s">
        <v>179</v>
      </c>
      <c r="C60">
        <v>2</v>
      </c>
      <c r="D60" t="s">
        <v>180</v>
      </c>
      <c r="E60">
        <v>28</v>
      </c>
      <c r="F60">
        <v>28</v>
      </c>
      <c r="G60">
        <v>28</v>
      </c>
      <c r="H60" t="s">
        <v>181</v>
      </c>
      <c r="I60">
        <v>70.099999999999994</v>
      </c>
      <c r="J60">
        <v>61.277000000000001</v>
      </c>
      <c r="K60" t="str">
        <f>"ZYX"</f>
        <v>ZYX</v>
      </c>
      <c r="L60" t="str">
        <f>"ZYX"</f>
        <v>ZYX</v>
      </c>
      <c r="M60">
        <v>8556100000</v>
      </c>
      <c r="N60" s="8">
        <v>10944000000</v>
      </c>
      <c r="O60" s="8">
        <v>13922000000</v>
      </c>
      <c r="P60" s="8">
        <v>10147000000</v>
      </c>
      <c r="Q60">
        <v>5409400000</v>
      </c>
      <c r="R60" s="8">
        <v>11626000000</v>
      </c>
      <c r="S60">
        <v>8802200000</v>
      </c>
      <c r="T60" s="8">
        <v>8886000000</v>
      </c>
      <c r="U60" s="8">
        <v>13953000000</v>
      </c>
      <c r="V60">
        <v>9518800000</v>
      </c>
      <c r="W60" s="8">
        <v>10604000000</v>
      </c>
      <c r="X60" s="8">
        <v>11998000000</v>
      </c>
    </row>
    <row r="61" spans="1:24">
      <c r="A61">
        <v>435</v>
      </c>
      <c r="B61" t="s">
        <v>182</v>
      </c>
      <c r="C61">
        <v>2</v>
      </c>
      <c r="D61" t="s">
        <v>183</v>
      </c>
      <c r="E61">
        <v>36</v>
      </c>
      <c r="F61">
        <v>36</v>
      </c>
      <c r="G61">
        <v>36</v>
      </c>
      <c r="H61" t="s">
        <v>184</v>
      </c>
      <c r="I61">
        <v>61</v>
      </c>
      <c r="J61">
        <v>67.033000000000001</v>
      </c>
      <c r="K61" t="str">
        <f>"C4BPA"</f>
        <v>C4BPA</v>
      </c>
      <c r="L61" t="str">
        <f>"C4BPA"</f>
        <v>C4BPA</v>
      </c>
      <c r="M61" s="8">
        <v>13786000000</v>
      </c>
      <c r="N61">
        <v>6503900000</v>
      </c>
      <c r="O61">
        <v>5692400000</v>
      </c>
      <c r="P61">
        <v>6029400000</v>
      </c>
      <c r="Q61">
        <v>9704200000</v>
      </c>
      <c r="R61">
        <v>4387900000</v>
      </c>
      <c r="S61">
        <v>9871400000</v>
      </c>
      <c r="T61" s="8">
        <v>10358000000</v>
      </c>
      <c r="U61">
        <v>6063800000</v>
      </c>
      <c r="V61">
        <v>6754200000</v>
      </c>
      <c r="W61">
        <v>7970300000</v>
      </c>
      <c r="X61">
        <v>2642800000</v>
      </c>
    </row>
    <row r="62" spans="1:24">
      <c r="A62">
        <v>1346</v>
      </c>
      <c r="B62" t="s">
        <v>185</v>
      </c>
      <c r="C62">
        <v>5</v>
      </c>
      <c r="D62" t="s">
        <v>186</v>
      </c>
      <c r="E62">
        <v>45</v>
      </c>
      <c r="F62">
        <v>45</v>
      </c>
      <c r="G62">
        <v>45</v>
      </c>
      <c r="H62" t="s">
        <v>187</v>
      </c>
      <c r="I62">
        <v>80</v>
      </c>
      <c r="J62">
        <v>51.901000000000003</v>
      </c>
      <c r="K62" t="str">
        <f>"CAP1;CAP2"</f>
        <v>CAP1;CAP2</v>
      </c>
      <c r="L62" t="str">
        <f>"CAP1;CAP2"</f>
        <v>CAP1;CAP2</v>
      </c>
      <c r="M62" s="8">
        <v>4207000000</v>
      </c>
      <c r="N62">
        <v>6349900000</v>
      </c>
      <c r="O62">
        <v>7019500000</v>
      </c>
      <c r="P62">
        <v>6267100000</v>
      </c>
      <c r="Q62">
        <v>3191300000</v>
      </c>
      <c r="R62">
        <v>6145800000</v>
      </c>
      <c r="S62">
        <v>3313600000</v>
      </c>
      <c r="T62">
        <v>3615900000</v>
      </c>
      <c r="U62">
        <v>3934500000</v>
      </c>
      <c r="V62" s="8">
        <v>4870000000</v>
      </c>
      <c r="W62" s="8">
        <v>4185000000</v>
      </c>
      <c r="X62" s="8">
        <v>6363000000</v>
      </c>
    </row>
    <row r="63" spans="1:24">
      <c r="A63">
        <v>315</v>
      </c>
      <c r="B63" t="s">
        <v>188</v>
      </c>
      <c r="C63">
        <v>2</v>
      </c>
      <c r="D63" t="s">
        <v>189</v>
      </c>
      <c r="E63">
        <v>45</v>
      </c>
      <c r="F63">
        <v>45</v>
      </c>
      <c r="G63">
        <v>43</v>
      </c>
      <c r="H63" t="s">
        <v>190</v>
      </c>
      <c r="I63">
        <v>58.1</v>
      </c>
      <c r="J63">
        <v>85.531999999999996</v>
      </c>
      <c r="K63" t="str">
        <f>"CFB"</f>
        <v>CFB</v>
      </c>
      <c r="L63" t="str">
        <f>"CFB"</f>
        <v>CFB</v>
      </c>
      <c r="M63">
        <v>7555500000</v>
      </c>
      <c r="N63">
        <v>7608300000</v>
      </c>
      <c r="O63">
        <v>7872300000</v>
      </c>
      <c r="P63">
        <v>7975900000</v>
      </c>
      <c r="Q63">
        <v>9690500000</v>
      </c>
      <c r="R63">
        <v>4571500000</v>
      </c>
      <c r="S63">
        <v>9139400000</v>
      </c>
      <c r="T63">
        <v>5457600000</v>
      </c>
      <c r="U63">
        <v>6536800000</v>
      </c>
      <c r="V63">
        <v>5104500000</v>
      </c>
      <c r="W63">
        <v>9325400000</v>
      </c>
      <c r="X63">
        <v>5658300000</v>
      </c>
    </row>
    <row r="64" spans="1:24">
      <c r="A64">
        <v>889</v>
      </c>
      <c r="B64" t="s">
        <v>191</v>
      </c>
      <c r="C64">
        <v>1</v>
      </c>
      <c r="D64" t="s">
        <v>192</v>
      </c>
      <c r="E64">
        <v>43</v>
      </c>
      <c r="F64">
        <v>43</v>
      </c>
      <c r="G64">
        <v>43</v>
      </c>
      <c r="H64" t="s">
        <v>191</v>
      </c>
      <c r="I64">
        <v>70.900000000000006</v>
      </c>
      <c r="J64">
        <v>56.781999999999996</v>
      </c>
      <c r="K64" t="str">
        <f>"PDIA3"</f>
        <v>PDIA3</v>
      </c>
      <c r="L64" t="str">
        <f>"PDIA3"</f>
        <v>PDIA3</v>
      </c>
      <c r="M64">
        <v>6426700000</v>
      </c>
      <c r="N64">
        <v>8854700000</v>
      </c>
      <c r="O64" s="8">
        <v>10275000000</v>
      </c>
      <c r="P64">
        <v>8332700000</v>
      </c>
      <c r="Q64">
        <v>6429400000</v>
      </c>
      <c r="R64">
        <v>7852900000</v>
      </c>
      <c r="S64">
        <v>7688700000</v>
      </c>
      <c r="T64">
        <v>6605800000</v>
      </c>
      <c r="U64">
        <v>8770300000</v>
      </c>
      <c r="V64">
        <v>7035400000</v>
      </c>
      <c r="W64">
        <v>7569900000</v>
      </c>
      <c r="X64">
        <v>7502400000</v>
      </c>
    </row>
    <row r="65" spans="1:24">
      <c r="A65">
        <v>1242</v>
      </c>
      <c r="B65" t="s">
        <v>193</v>
      </c>
      <c r="C65">
        <v>5</v>
      </c>
      <c r="D65" t="s">
        <v>194</v>
      </c>
      <c r="E65">
        <v>19</v>
      </c>
      <c r="F65">
        <v>19</v>
      </c>
      <c r="G65">
        <v>6</v>
      </c>
      <c r="H65" t="s">
        <v>195</v>
      </c>
      <c r="I65">
        <v>87</v>
      </c>
      <c r="J65">
        <v>20.824999999999999</v>
      </c>
      <c r="K65" t="str">
        <f>"RAP1B"</f>
        <v>RAP1B</v>
      </c>
      <c r="L65" t="str">
        <f>"RAP1B"</f>
        <v>RAP1B</v>
      </c>
      <c r="M65" s="8">
        <v>12471000000</v>
      </c>
      <c r="N65" s="8">
        <v>13600000000</v>
      </c>
      <c r="O65" s="8">
        <v>13477000000</v>
      </c>
      <c r="P65" s="8">
        <v>10612000000</v>
      </c>
      <c r="Q65" s="8">
        <v>10934000000</v>
      </c>
      <c r="R65" s="8">
        <v>13013000000</v>
      </c>
      <c r="S65" s="8">
        <v>11302000000</v>
      </c>
      <c r="T65" s="8">
        <v>11271000000</v>
      </c>
      <c r="U65">
        <v>8868400000</v>
      </c>
      <c r="V65" s="8">
        <v>13214000000</v>
      </c>
      <c r="W65" s="8">
        <v>14063000000</v>
      </c>
      <c r="X65" s="8">
        <v>15406000000</v>
      </c>
    </row>
    <row r="66" spans="1:24">
      <c r="A66">
        <v>624</v>
      </c>
      <c r="B66" t="s">
        <v>196</v>
      </c>
      <c r="C66">
        <v>1</v>
      </c>
      <c r="D66" t="s">
        <v>197</v>
      </c>
      <c r="E66">
        <v>45</v>
      </c>
      <c r="F66">
        <v>45</v>
      </c>
      <c r="G66">
        <v>44</v>
      </c>
      <c r="H66" t="s">
        <v>196</v>
      </c>
      <c r="I66">
        <v>58.3</v>
      </c>
      <c r="J66">
        <v>72.331999999999994</v>
      </c>
      <c r="K66" t="str">
        <f>"HSPA5"</f>
        <v>HSPA5</v>
      </c>
      <c r="L66" t="str">
        <f>"HSPA5"</f>
        <v>HSPA5</v>
      </c>
      <c r="M66" s="8">
        <v>5206000000</v>
      </c>
      <c r="N66">
        <v>8829100000</v>
      </c>
      <c r="O66" s="8">
        <v>10591000000</v>
      </c>
      <c r="P66" s="8">
        <v>7850000000</v>
      </c>
      <c r="Q66">
        <v>5899500000</v>
      </c>
      <c r="R66">
        <v>9638500000</v>
      </c>
      <c r="S66">
        <v>9198700000</v>
      </c>
      <c r="T66">
        <v>5569500000</v>
      </c>
      <c r="U66" s="8">
        <v>11549000000</v>
      </c>
      <c r="V66">
        <v>8309200000</v>
      </c>
      <c r="W66">
        <v>9348400000</v>
      </c>
      <c r="X66" s="8">
        <v>10811000000</v>
      </c>
    </row>
    <row r="67" spans="1:24">
      <c r="A67">
        <v>1506</v>
      </c>
      <c r="B67" t="s">
        <v>198</v>
      </c>
      <c r="C67">
        <v>4</v>
      </c>
      <c r="D67" t="s">
        <v>199</v>
      </c>
      <c r="E67">
        <v>39</v>
      </c>
      <c r="F67">
        <v>39</v>
      </c>
      <c r="G67">
        <v>37</v>
      </c>
      <c r="H67" t="s">
        <v>200</v>
      </c>
      <c r="I67">
        <v>43.5</v>
      </c>
      <c r="J67">
        <v>103.36</v>
      </c>
      <c r="K67" t="str">
        <f>"ITIH4"</f>
        <v>ITIH4</v>
      </c>
      <c r="L67" t="str">
        <f>"ITIH4"</f>
        <v>ITIH4</v>
      </c>
      <c r="M67" s="8">
        <v>14345000000</v>
      </c>
      <c r="N67">
        <v>8462200000</v>
      </c>
      <c r="O67" s="8">
        <v>10163000000</v>
      </c>
      <c r="P67">
        <v>7554600000</v>
      </c>
      <c r="Q67" s="8">
        <v>13657000000</v>
      </c>
      <c r="R67">
        <v>5895200000</v>
      </c>
      <c r="S67" s="8">
        <v>11738000000</v>
      </c>
      <c r="T67" s="8">
        <v>10101000000</v>
      </c>
      <c r="U67">
        <v>7939700000</v>
      </c>
      <c r="V67">
        <v>7050800000</v>
      </c>
      <c r="W67" s="8">
        <v>11117000000</v>
      </c>
      <c r="X67">
        <v>7246500000</v>
      </c>
    </row>
    <row r="68" spans="1:24">
      <c r="A68">
        <v>2207</v>
      </c>
      <c r="B68" t="s">
        <v>201</v>
      </c>
      <c r="C68">
        <v>2</v>
      </c>
      <c r="D68" t="s">
        <v>202</v>
      </c>
      <c r="E68">
        <v>43</v>
      </c>
      <c r="F68">
        <v>43</v>
      </c>
      <c r="G68">
        <v>25</v>
      </c>
      <c r="H68" t="s">
        <v>203</v>
      </c>
      <c r="I68">
        <v>73.3</v>
      </c>
      <c r="J68">
        <v>60.886000000000003</v>
      </c>
      <c r="K68" t="str">
        <f>"EHD3"</f>
        <v>EHD3</v>
      </c>
      <c r="L68" t="str">
        <f>"EHD3"</f>
        <v>EHD3</v>
      </c>
      <c r="M68" s="8">
        <v>2599000000</v>
      </c>
      <c r="N68">
        <v>5496700000</v>
      </c>
      <c r="O68">
        <v>5232600000</v>
      </c>
      <c r="P68">
        <v>3623200000</v>
      </c>
      <c r="Q68">
        <v>3528800000</v>
      </c>
      <c r="R68">
        <v>4483500000</v>
      </c>
      <c r="S68">
        <v>4361300000</v>
      </c>
      <c r="T68">
        <v>3620900000</v>
      </c>
      <c r="U68">
        <v>5955200000</v>
      </c>
      <c r="V68">
        <v>4044900000</v>
      </c>
      <c r="W68">
        <v>4489100000</v>
      </c>
      <c r="X68">
        <v>5859200000</v>
      </c>
    </row>
    <row r="69" spans="1:24">
      <c r="A69">
        <v>689</v>
      </c>
      <c r="B69" t="s">
        <v>204</v>
      </c>
      <c r="C69">
        <v>2</v>
      </c>
      <c r="D69" t="s">
        <v>205</v>
      </c>
      <c r="E69">
        <v>55</v>
      </c>
      <c r="F69">
        <v>55</v>
      </c>
      <c r="G69">
        <v>53</v>
      </c>
      <c r="H69" t="s">
        <v>206</v>
      </c>
      <c r="I69">
        <v>64</v>
      </c>
      <c r="J69">
        <v>92.468000000000004</v>
      </c>
      <c r="K69" t="str">
        <f>"HSP90B1;HSP90B2P"</f>
        <v>HSP90B1;HSP90B2P</v>
      </c>
      <c r="L69" t="str">
        <f>"HSP90B1;HSP90B2P"</f>
        <v>HSP90B1;HSP90B2P</v>
      </c>
      <c r="M69">
        <v>3724500000</v>
      </c>
      <c r="N69">
        <v>5523600000</v>
      </c>
      <c r="O69">
        <v>6468100000</v>
      </c>
      <c r="P69">
        <v>4161300000</v>
      </c>
      <c r="Q69" s="8">
        <v>3062000000</v>
      </c>
      <c r="R69">
        <v>5680700000</v>
      </c>
      <c r="S69">
        <v>6202200000</v>
      </c>
      <c r="T69">
        <v>5108900000</v>
      </c>
      <c r="U69">
        <v>5895700000</v>
      </c>
      <c r="V69">
        <v>4982100000</v>
      </c>
      <c r="W69">
        <v>5639300000</v>
      </c>
      <c r="X69">
        <v>5745200000</v>
      </c>
    </row>
    <row r="70" spans="1:24">
      <c r="A70">
        <v>1435</v>
      </c>
      <c r="B70" t="s">
        <v>207</v>
      </c>
      <c r="C70">
        <v>2</v>
      </c>
      <c r="D70" t="s">
        <v>208</v>
      </c>
      <c r="E70">
        <v>61</v>
      </c>
      <c r="F70">
        <v>61</v>
      </c>
      <c r="G70">
        <v>61</v>
      </c>
      <c r="H70" t="s">
        <v>209</v>
      </c>
      <c r="I70">
        <v>46.8</v>
      </c>
      <c r="J70">
        <v>138.11000000000001</v>
      </c>
      <c r="K70" t="str">
        <f>"MMRN1"</f>
        <v>MMRN1</v>
      </c>
      <c r="L70" t="str">
        <f>"MMRN1"</f>
        <v>MMRN1</v>
      </c>
      <c r="M70">
        <v>4104200000</v>
      </c>
      <c r="N70">
        <v>4336500000</v>
      </c>
      <c r="O70" s="8">
        <v>3303000000</v>
      </c>
      <c r="P70">
        <v>9718500000</v>
      </c>
      <c r="Q70">
        <v>9603300000</v>
      </c>
      <c r="R70" s="8">
        <v>11680000000</v>
      </c>
      <c r="S70">
        <v>7586400000</v>
      </c>
      <c r="T70" s="8">
        <v>11421000000</v>
      </c>
      <c r="U70" s="8">
        <v>12613000000</v>
      </c>
      <c r="V70" s="8">
        <v>11967000000</v>
      </c>
      <c r="W70">
        <v>2692900000</v>
      </c>
      <c r="X70">
        <v>6452200000</v>
      </c>
    </row>
    <row r="71" spans="1:24">
      <c r="A71">
        <v>509</v>
      </c>
      <c r="B71" t="s">
        <v>210</v>
      </c>
      <c r="C71">
        <v>2</v>
      </c>
      <c r="D71" t="s">
        <v>211</v>
      </c>
      <c r="E71">
        <v>42</v>
      </c>
      <c r="F71">
        <v>42</v>
      </c>
      <c r="G71">
        <v>42</v>
      </c>
      <c r="H71" t="s">
        <v>212</v>
      </c>
      <c r="I71">
        <v>77.8</v>
      </c>
      <c r="J71">
        <v>45.398000000000003</v>
      </c>
      <c r="K71" t="str">
        <f>"APOA4"</f>
        <v>APOA4</v>
      </c>
      <c r="L71" t="str">
        <f>"APOA4"</f>
        <v>APOA4</v>
      </c>
      <c r="M71" s="8">
        <v>22847000000</v>
      </c>
      <c r="N71">
        <v>5099900000</v>
      </c>
      <c r="O71">
        <v>8436100000</v>
      </c>
      <c r="P71">
        <v>7985600000</v>
      </c>
      <c r="Q71" s="8">
        <v>12431000000</v>
      </c>
      <c r="R71" s="8">
        <v>10057000000</v>
      </c>
      <c r="S71" s="8">
        <v>15094000000</v>
      </c>
      <c r="T71" s="8">
        <v>11872000000</v>
      </c>
      <c r="U71">
        <v>2090300000</v>
      </c>
      <c r="V71" s="8">
        <v>20859000000</v>
      </c>
      <c r="W71" s="8">
        <v>13502000000</v>
      </c>
      <c r="X71">
        <v>4597100000</v>
      </c>
    </row>
    <row r="72" spans="1:24">
      <c r="A72">
        <v>49</v>
      </c>
      <c r="B72" t="s">
        <v>213</v>
      </c>
      <c r="C72">
        <v>1</v>
      </c>
      <c r="D72" t="s">
        <v>214</v>
      </c>
      <c r="E72">
        <v>28</v>
      </c>
      <c r="F72">
        <v>28</v>
      </c>
      <c r="G72">
        <v>28</v>
      </c>
      <c r="H72" t="s">
        <v>213</v>
      </c>
      <c r="I72">
        <v>91.2</v>
      </c>
      <c r="J72">
        <v>36.070999999999998</v>
      </c>
      <c r="K72" t="str">
        <f>"PDLIM1"</f>
        <v>PDLIM1</v>
      </c>
      <c r="L72" t="str">
        <f>"PDLIM1"</f>
        <v>PDLIM1</v>
      </c>
      <c r="M72" s="8">
        <v>10692000000</v>
      </c>
      <c r="N72" s="8">
        <v>14345000000</v>
      </c>
      <c r="O72" s="8">
        <v>16760000000</v>
      </c>
      <c r="P72" s="8">
        <v>14016000000</v>
      </c>
      <c r="Q72" s="8">
        <v>11667000000</v>
      </c>
      <c r="R72" s="8">
        <v>13035000000</v>
      </c>
      <c r="S72" s="8">
        <v>11819000000</v>
      </c>
      <c r="T72" s="8">
        <v>14273000000</v>
      </c>
      <c r="U72" s="8">
        <v>18432000000</v>
      </c>
      <c r="V72" s="8">
        <v>12656000000</v>
      </c>
      <c r="W72" s="8">
        <v>11899000000</v>
      </c>
      <c r="X72" s="8">
        <v>15819000000</v>
      </c>
    </row>
    <row r="73" spans="1:24">
      <c r="A73">
        <v>752</v>
      </c>
      <c r="B73" t="s">
        <v>215</v>
      </c>
      <c r="C73">
        <v>2</v>
      </c>
      <c r="D73" t="s">
        <v>216</v>
      </c>
      <c r="E73">
        <v>36</v>
      </c>
      <c r="F73">
        <v>36</v>
      </c>
      <c r="G73">
        <v>36</v>
      </c>
      <c r="H73" t="s">
        <v>217</v>
      </c>
      <c r="I73">
        <v>38.299999999999997</v>
      </c>
      <c r="J73">
        <v>106.46</v>
      </c>
      <c r="K73" t="str">
        <f>"ITIH2"</f>
        <v>ITIH2</v>
      </c>
      <c r="L73" t="str">
        <f>"ITIH2"</f>
        <v>ITIH2</v>
      </c>
      <c r="M73" s="8">
        <v>20879000000</v>
      </c>
      <c r="N73">
        <v>5210700000</v>
      </c>
      <c r="O73">
        <v>8032100000</v>
      </c>
      <c r="P73" s="8">
        <v>11979000000</v>
      </c>
      <c r="Q73" s="8">
        <v>17864000000</v>
      </c>
      <c r="R73">
        <v>5724500000</v>
      </c>
      <c r="S73">
        <v>8622200000</v>
      </c>
      <c r="T73" s="8">
        <v>13977000000</v>
      </c>
      <c r="U73">
        <v>5759400000</v>
      </c>
      <c r="V73" s="8">
        <v>10654000000</v>
      </c>
      <c r="W73">
        <v>9163600000</v>
      </c>
      <c r="X73">
        <v>4691200000</v>
      </c>
    </row>
    <row r="74" spans="1:24">
      <c r="A74">
        <v>306</v>
      </c>
      <c r="B74" t="s">
        <v>218</v>
      </c>
      <c r="C74">
        <v>2</v>
      </c>
      <c r="D74" t="s">
        <v>219</v>
      </c>
      <c r="E74">
        <v>40</v>
      </c>
      <c r="F74">
        <v>40</v>
      </c>
      <c r="G74">
        <v>40</v>
      </c>
      <c r="H74" t="s">
        <v>220</v>
      </c>
      <c r="I74">
        <v>62.4</v>
      </c>
      <c r="J74">
        <v>70.036000000000001</v>
      </c>
      <c r="K74" t="str">
        <f>"F2"</f>
        <v>F2</v>
      </c>
      <c r="L74" t="str">
        <f>"F2"</f>
        <v>F2</v>
      </c>
      <c r="M74" s="8">
        <v>15515000000</v>
      </c>
      <c r="N74">
        <v>7527900000</v>
      </c>
      <c r="O74">
        <v>6585500000</v>
      </c>
      <c r="P74" s="8">
        <v>11226000000</v>
      </c>
      <c r="Q74" s="8">
        <v>12064000000</v>
      </c>
      <c r="R74">
        <v>4265900000</v>
      </c>
      <c r="S74" s="8">
        <v>19305000000</v>
      </c>
      <c r="T74" s="8">
        <v>11810000000</v>
      </c>
      <c r="U74">
        <v>6840100000</v>
      </c>
      <c r="V74">
        <v>8613800000</v>
      </c>
      <c r="W74" s="8">
        <v>18549000000</v>
      </c>
      <c r="X74">
        <v>8108300000</v>
      </c>
    </row>
    <row r="75" spans="1:24">
      <c r="A75">
        <v>539</v>
      </c>
      <c r="B75" t="s">
        <v>221</v>
      </c>
      <c r="C75">
        <v>5</v>
      </c>
      <c r="D75" t="s">
        <v>222</v>
      </c>
      <c r="E75">
        <v>52</v>
      </c>
      <c r="F75">
        <v>52</v>
      </c>
      <c r="G75">
        <v>31</v>
      </c>
      <c r="H75" t="s">
        <v>223</v>
      </c>
      <c r="I75">
        <v>51.9</v>
      </c>
      <c r="J75">
        <v>84.659000000000006</v>
      </c>
      <c r="K75" t="str">
        <f>"HSP90AA1;HSP90AA2P;HSP90AB4P;HSP90AA4P"</f>
        <v>HSP90AA1;HSP90AA2P;HSP90AB4P;HSP90AA4P</v>
      </c>
      <c r="L75" t="str">
        <f>"HSP90AA1;HSP90AA2P;HSP90AB4P;HSP90AA4P"</f>
        <v>HSP90AA1;HSP90AA2P;HSP90AB4P;HSP90AA4P</v>
      </c>
      <c r="M75">
        <v>3772200000</v>
      </c>
      <c r="N75">
        <v>6164500000</v>
      </c>
      <c r="O75">
        <v>5406500000</v>
      </c>
      <c r="P75">
        <v>4920500000</v>
      </c>
      <c r="Q75">
        <v>3874100000</v>
      </c>
      <c r="R75">
        <v>4771500000</v>
      </c>
      <c r="S75">
        <v>5343500000</v>
      </c>
      <c r="T75" s="8">
        <v>3437000000</v>
      </c>
      <c r="U75">
        <v>5534300000</v>
      </c>
      <c r="V75">
        <v>4239900000</v>
      </c>
      <c r="W75">
        <v>5380500000</v>
      </c>
      <c r="X75">
        <v>6665700000</v>
      </c>
    </row>
    <row r="76" spans="1:24">
      <c r="A76">
        <v>808</v>
      </c>
      <c r="B76" t="s">
        <v>224</v>
      </c>
      <c r="C76">
        <v>1</v>
      </c>
      <c r="D76" t="s">
        <v>225</v>
      </c>
      <c r="E76">
        <v>24</v>
      </c>
      <c r="F76">
        <v>24</v>
      </c>
      <c r="G76">
        <v>20</v>
      </c>
      <c r="H76" t="s">
        <v>224</v>
      </c>
      <c r="I76">
        <v>92.8</v>
      </c>
      <c r="J76">
        <v>18.501999999999999</v>
      </c>
      <c r="K76" t="str">
        <f>"CFL1"</f>
        <v>CFL1</v>
      </c>
      <c r="L76" t="str">
        <f>"CFL1"</f>
        <v>CFL1</v>
      </c>
      <c r="M76">
        <v>9007200000</v>
      </c>
      <c r="N76">
        <v>8025100000</v>
      </c>
      <c r="O76" s="8">
        <v>10858000000</v>
      </c>
      <c r="P76" s="8">
        <v>11382000000</v>
      </c>
      <c r="Q76">
        <v>7928300000</v>
      </c>
      <c r="R76" s="8">
        <v>10606000000</v>
      </c>
      <c r="S76" s="8">
        <v>11886000000</v>
      </c>
      <c r="T76">
        <v>9714300000</v>
      </c>
      <c r="U76">
        <v>9230200000</v>
      </c>
      <c r="V76" s="8">
        <v>10834000000</v>
      </c>
      <c r="W76" s="8">
        <v>14345000000</v>
      </c>
      <c r="X76" s="8">
        <v>15853000000</v>
      </c>
    </row>
    <row r="77" spans="1:24">
      <c r="A77">
        <v>600</v>
      </c>
      <c r="B77" t="s">
        <v>226</v>
      </c>
      <c r="C77">
        <v>2</v>
      </c>
      <c r="D77" t="s">
        <v>227</v>
      </c>
      <c r="E77">
        <v>15</v>
      </c>
      <c r="F77">
        <v>15</v>
      </c>
      <c r="G77">
        <v>2</v>
      </c>
      <c r="H77" t="s">
        <v>228</v>
      </c>
      <c r="I77">
        <v>96.2</v>
      </c>
      <c r="J77">
        <v>11.292999999999999</v>
      </c>
      <c r="K77" t="str">
        <f>"IGLC2;IGLC6"</f>
        <v>IGLC2;IGLC6</v>
      </c>
      <c r="L77" t="str">
        <f>"IGLC2;IGLC6"</f>
        <v>IGLC2;IGLC6</v>
      </c>
      <c r="M77" s="8">
        <v>14686000000</v>
      </c>
      <c r="N77">
        <v>6501300000</v>
      </c>
      <c r="O77">
        <v>7983700000</v>
      </c>
      <c r="P77" s="8">
        <v>15105000000</v>
      </c>
      <c r="Q77" s="8">
        <v>15173000000</v>
      </c>
      <c r="R77">
        <v>9104300000</v>
      </c>
      <c r="S77">
        <v>8903400000</v>
      </c>
      <c r="T77" s="8">
        <v>15045000000</v>
      </c>
      <c r="U77">
        <v>4610900000</v>
      </c>
      <c r="V77" s="8">
        <v>13497000000</v>
      </c>
      <c r="W77" s="8">
        <v>11085000000</v>
      </c>
      <c r="X77">
        <v>4730900000</v>
      </c>
    </row>
    <row r="78" spans="1:24">
      <c r="A78">
        <v>515</v>
      </c>
      <c r="B78" t="s">
        <v>229</v>
      </c>
      <c r="C78">
        <v>3</v>
      </c>
      <c r="D78" t="s">
        <v>230</v>
      </c>
      <c r="E78">
        <v>44</v>
      </c>
      <c r="F78">
        <v>30</v>
      </c>
      <c r="G78">
        <v>6</v>
      </c>
      <c r="H78" t="s">
        <v>231</v>
      </c>
      <c r="I78">
        <v>87.1</v>
      </c>
      <c r="J78">
        <v>29.032</v>
      </c>
      <c r="K78" t="str">
        <f>"TPM3"</f>
        <v>TPM3</v>
      </c>
      <c r="L78" t="str">
        <f>"TPM3"</f>
        <v>TPM3</v>
      </c>
      <c r="M78">
        <v>4144900000</v>
      </c>
      <c r="N78">
        <v>6250900000</v>
      </c>
      <c r="O78">
        <v>5823200000</v>
      </c>
      <c r="P78">
        <v>7647800000</v>
      </c>
      <c r="Q78">
        <v>4703400000</v>
      </c>
      <c r="R78">
        <v>9126600000</v>
      </c>
      <c r="S78">
        <v>2581500000</v>
      </c>
      <c r="T78">
        <v>4675400000</v>
      </c>
      <c r="U78">
        <v>3602700000</v>
      </c>
      <c r="V78">
        <v>5714600000</v>
      </c>
      <c r="W78">
        <v>3729300000</v>
      </c>
      <c r="X78">
        <v>5506500000</v>
      </c>
    </row>
    <row r="79" spans="1:24">
      <c r="A79">
        <v>1062</v>
      </c>
      <c r="B79" t="s">
        <v>232</v>
      </c>
      <c r="C79">
        <v>11</v>
      </c>
      <c r="D79" t="s">
        <v>233</v>
      </c>
      <c r="E79">
        <v>29</v>
      </c>
      <c r="F79">
        <v>29</v>
      </c>
      <c r="G79">
        <v>29</v>
      </c>
      <c r="H79" t="s">
        <v>234</v>
      </c>
      <c r="I79">
        <v>72.900000000000006</v>
      </c>
      <c r="J79">
        <v>37.250999999999998</v>
      </c>
      <c r="K79" t="str">
        <f>"LIMS1;LIMS2;LIMS3"</f>
        <v>LIMS1;LIMS2;LIMS3</v>
      </c>
      <c r="L79" t="str">
        <f>"LIMS1;LIMS2;LIMS3"</f>
        <v>LIMS1;LIMS2;LIMS3</v>
      </c>
      <c r="M79">
        <v>4253300000</v>
      </c>
      <c r="N79">
        <v>5998400000</v>
      </c>
      <c r="O79">
        <v>7427900000</v>
      </c>
      <c r="P79">
        <v>4976800000</v>
      </c>
      <c r="Q79">
        <v>3865600000</v>
      </c>
      <c r="R79" s="8">
        <v>7259000000</v>
      </c>
      <c r="S79">
        <v>4678500000</v>
      </c>
      <c r="T79">
        <v>5224100000</v>
      </c>
      <c r="U79">
        <v>5094800000</v>
      </c>
      <c r="V79">
        <v>6297900000</v>
      </c>
      <c r="W79">
        <v>5248200000</v>
      </c>
      <c r="X79">
        <v>6151700000</v>
      </c>
    </row>
    <row r="80" spans="1:24">
      <c r="A80">
        <v>329</v>
      </c>
      <c r="B80" t="s">
        <v>235</v>
      </c>
      <c r="C80">
        <v>5</v>
      </c>
      <c r="D80" t="s">
        <v>236</v>
      </c>
      <c r="E80">
        <v>34</v>
      </c>
      <c r="F80">
        <v>34</v>
      </c>
      <c r="G80">
        <v>3</v>
      </c>
      <c r="H80" t="s">
        <v>237</v>
      </c>
      <c r="I80">
        <v>57.8</v>
      </c>
      <c r="J80">
        <v>47.883000000000003</v>
      </c>
      <c r="K80" t="str">
        <f>"KNG1"</f>
        <v>KNG1</v>
      </c>
      <c r="L80" t="str">
        <f>"KNG1"</f>
        <v>KNG1</v>
      </c>
      <c r="M80" s="8">
        <v>15875000000</v>
      </c>
      <c r="N80" s="8">
        <v>10660000000</v>
      </c>
      <c r="O80">
        <v>9268900000</v>
      </c>
      <c r="P80">
        <v>8365600000</v>
      </c>
      <c r="Q80" s="8">
        <v>15383000000</v>
      </c>
      <c r="R80">
        <v>5230600000</v>
      </c>
      <c r="S80" s="8">
        <v>12725000000</v>
      </c>
      <c r="T80" s="8">
        <v>10504000000</v>
      </c>
      <c r="U80" s="8">
        <v>9174000000</v>
      </c>
      <c r="V80">
        <v>8756100000</v>
      </c>
      <c r="W80" s="8">
        <v>12594000000</v>
      </c>
      <c r="X80">
        <v>6259800000</v>
      </c>
    </row>
    <row r="81" spans="1:24">
      <c r="A81">
        <v>304</v>
      </c>
      <c r="B81" t="s">
        <v>238</v>
      </c>
      <c r="C81">
        <v>3</v>
      </c>
      <c r="D81" t="s">
        <v>239</v>
      </c>
      <c r="E81">
        <v>38</v>
      </c>
      <c r="F81">
        <v>38</v>
      </c>
      <c r="G81">
        <v>38</v>
      </c>
      <c r="H81" t="s">
        <v>240</v>
      </c>
      <c r="I81">
        <v>80.8</v>
      </c>
      <c r="J81">
        <v>44.613999999999997</v>
      </c>
      <c r="K81" t="str">
        <f>"PGK1;PGK2"</f>
        <v>PGK1;PGK2</v>
      </c>
      <c r="L81" t="str">
        <f>"PGK1;PGK2"</f>
        <v>PGK1;PGK2</v>
      </c>
      <c r="M81">
        <v>5594500000</v>
      </c>
      <c r="N81">
        <v>6027700000</v>
      </c>
      <c r="O81">
        <v>5796700000</v>
      </c>
      <c r="P81">
        <v>4906700000</v>
      </c>
      <c r="Q81">
        <v>4803500000</v>
      </c>
      <c r="R81">
        <v>7483700000</v>
      </c>
      <c r="S81">
        <v>8815500000</v>
      </c>
      <c r="T81">
        <v>5635700000</v>
      </c>
      <c r="U81">
        <v>9482200000</v>
      </c>
      <c r="V81">
        <v>6468600000</v>
      </c>
      <c r="W81">
        <v>9537300000</v>
      </c>
      <c r="X81">
        <v>7282900000</v>
      </c>
    </row>
    <row r="82" spans="1:24">
      <c r="A82">
        <v>1187</v>
      </c>
      <c r="B82" t="s">
        <v>241</v>
      </c>
      <c r="C82">
        <v>1</v>
      </c>
      <c r="D82" t="s">
        <v>242</v>
      </c>
      <c r="E82">
        <v>49</v>
      </c>
      <c r="F82">
        <v>49</v>
      </c>
      <c r="G82">
        <v>49</v>
      </c>
      <c r="H82" t="s">
        <v>241</v>
      </c>
      <c r="I82">
        <v>64.099999999999994</v>
      </c>
      <c r="J82">
        <v>89.320999999999998</v>
      </c>
      <c r="K82" t="str">
        <f>"VCP"</f>
        <v>VCP</v>
      </c>
      <c r="L82" t="str">
        <f>"VCP"</f>
        <v>VCP</v>
      </c>
      <c r="M82">
        <v>1934900000</v>
      </c>
      <c r="N82">
        <v>3705800000</v>
      </c>
      <c r="O82">
        <v>3144700000</v>
      </c>
      <c r="P82">
        <v>2374300000</v>
      </c>
      <c r="Q82">
        <v>2227500000</v>
      </c>
      <c r="R82" s="8">
        <v>3290000000</v>
      </c>
      <c r="S82">
        <v>3506700000</v>
      </c>
      <c r="T82">
        <v>2063700000</v>
      </c>
      <c r="U82">
        <v>4472300000</v>
      </c>
      <c r="V82" s="8">
        <v>2346000000</v>
      </c>
      <c r="W82">
        <v>2873600000</v>
      </c>
      <c r="X82">
        <v>3586900000</v>
      </c>
    </row>
    <row r="83" spans="1:24">
      <c r="A83">
        <v>1236</v>
      </c>
      <c r="B83" t="s">
        <v>243</v>
      </c>
      <c r="C83">
        <v>5</v>
      </c>
      <c r="D83" t="s">
        <v>244</v>
      </c>
      <c r="E83">
        <v>30</v>
      </c>
      <c r="F83">
        <v>30</v>
      </c>
      <c r="G83">
        <v>30</v>
      </c>
      <c r="H83" t="s">
        <v>245</v>
      </c>
      <c r="I83">
        <v>72.2</v>
      </c>
      <c r="J83">
        <v>47.371000000000002</v>
      </c>
      <c r="K83" t="str">
        <f>"ACTR3;ACTR3B;ACTR3C"</f>
        <v>ACTR3;ACTR3B;ACTR3C</v>
      </c>
      <c r="L83" t="str">
        <f>"ACTR3;ACTR3B;ACTR3C"</f>
        <v>ACTR3;ACTR3B;ACTR3C</v>
      </c>
      <c r="M83">
        <v>3350900000</v>
      </c>
      <c r="N83">
        <v>4477300000</v>
      </c>
      <c r="O83">
        <v>4796400000</v>
      </c>
      <c r="P83">
        <v>3546800000</v>
      </c>
      <c r="Q83">
        <v>3504900000</v>
      </c>
      <c r="R83">
        <v>4385400000</v>
      </c>
      <c r="S83">
        <v>4264600000</v>
      </c>
      <c r="T83">
        <v>3128800000</v>
      </c>
      <c r="U83">
        <v>5000100000</v>
      </c>
      <c r="V83">
        <v>3868200000</v>
      </c>
      <c r="W83">
        <v>6384400000</v>
      </c>
      <c r="X83">
        <v>4749700000</v>
      </c>
    </row>
    <row r="84" spans="1:24">
      <c r="A84">
        <v>162</v>
      </c>
      <c r="B84" t="s">
        <v>246</v>
      </c>
      <c r="C84">
        <v>4</v>
      </c>
      <c r="D84" t="s">
        <v>247</v>
      </c>
      <c r="E84">
        <v>72</v>
      </c>
      <c r="F84">
        <v>44</v>
      </c>
      <c r="G84">
        <v>43</v>
      </c>
      <c r="H84" t="s">
        <v>248</v>
      </c>
      <c r="I84">
        <v>72.599999999999994</v>
      </c>
      <c r="J84">
        <v>104.85</v>
      </c>
      <c r="K84" t="str">
        <f>"ACTN4;SPTBN4"</f>
        <v>ACTN4;SPTBN4</v>
      </c>
      <c r="L84" t="str">
        <f>"ACTN4;SPTBN4"</f>
        <v>ACTN4;SPTBN4</v>
      </c>
      <c r="M84">
        <v>3797700000</v>
      </c>
      <c r="N84">
        <v>5227600000</v>
      </c>
      <c r="O84">
        <v>5394300000</v>
      </c>
      <c r="P84">
        <v>4314700000</v>
      </c>
      <c r="Q84">
        <v>3619200000</v>
      </c>
      <c r="R84">
        <v>4522500000</v>
      </c>
      <c r="S84" s="8">
        <v>4888000000</v>
      </c>
      <c r="T84">
        <v>3652900000</v>
      </c>
      <c r="U84">
        <v>5432800000</v>
      </c>
      <c r="V84" s="8">
        <v>4227000000</v>
      </c>
      <c r="W84">
        <v>4274500000</v>
      </c>
      <c r="X84">
        <v>5758600000</v>
      </c>
    </row>
    <row r="85" spans="1:24">
      <c r="A85">
        <v>324</v>
      </c>
      <c r="B85" t="s">
        <v>249</v>
      </c>
      <c r="C85">
        <v>2</v>
      </c>
      <c r="D85" t="s">
        <v>250</v>
      </c>
      <c r="E85">
        <v>70</v>
      </c>
      <c r="F85">
        <v>70</v>
      </c>
      <c r="G85">
        <v>70</v>
      </c>
      <c r="H85" t="s">
        <v>251</v>
      </c>
      <c r="I85">
        <v>40.799999999999997</v>
      </c>
      <c r="J85">
        <v>188.3</v>
      </c>
      <c r="K85" t="str">
        <f>"C5"</f>
        <v>C5</v>
      </c>
      <c r="L85" t="str">
        <f>"C5"</f>
        <v>C5</v>
      </c>
      <c r="M85">
        <v>3496800000</v>
      </c>
      <c r="N85">
        <v>2173700000</v>
      </c>
      <c r="O85">
        <v>2409400000</v>
      </c>
      <c r="P85">
        <v>2187300000</v>
      </c>
      <c r="Q85">
        <v>3372900000</v>
      </c>
      <c r="R85">
        <v>1696300000</v>
      </c>
      <c r="S85">
        <v>3005600000</v>
      </c>
      <c r="T85">
        <v>3495800000</v>
      </c>
      <c r="U85">
        <v>1745800000</v>
      </c>
      <c r="V85">
        <v>2481300000</v>
      </c>
      <c r="W85">
        <v>2843200000</v>
      </c>
      <c r="X85">
        <v>1869100000</v>
      </c>
    </row>
    <row r="86" spans="1:24">
      <c r="A86">
        <v>422</v>
      </c>
      <c r="B86" t="s">
        <v>252</v>
      </c>
      <c r="C86">
        <v>1</v>
      </c>
      <c r="D86" t="s">
        <v>253</v>
      </c>
      <c r="E86">
        <v>15</v>
      </c>
      <c r="F86">
        <v>15</v>
      </c>
      <c r="G86">
        <v>15</v>
      </c>
      <c r="H86" t="s">
        <v>252</v>
      </c>
      <c r="I86">
        <v>73.5</v>
      </c>
      <c r="J86">
        <v>15.887</v>
      </c>
      <c r="K86" t="str">
        <f>"TTR"</f>
        <v>TTR</v>
      </c>
      <c r="L86" t="str">
        <f>"TTR"</f>
        <v>TTR</v>
      </c>
      <c r="M86" s="8">
        <v>19923000000</v>
      </c>
      <c r="N86">
        <v>3413600000</v>
      </c>
      <c r="O86">
        <v>4411800000</v>
      </c>
      <c r="P86" s="8">
        <v>8098000000</v>
      </c>
      <c r="Q86" s="8">
        <v>15200000000</v>
      </c>
      <c r="R86">
        <v>5803800000</v>
      </c>
      <c r="S86">
        <v>5459400000</v>
      </c>
      <c r="T86" s="8">
        <v>16064000000</v>
      </c>
      <c r="U86">
        <v>4305100000</v>
      </c>
      <c r="V86" s="8">
        <v>12127000000</v>
      </c>
      <c r="W86">
        <v>6569800000</v>
      </c>
      <c r="X86">
        <v>2669200000</v>
      </c>
    </row>
    <row r="87" spans="1:24">
      <c r="A87">
        <v>505</v>
      </c>
      <c r="B87" t="s">
        <v>254</v>
      </c>
      <c r="C87">
        <v>1</v>
      </c>
      <c r="D87" t="s">
        <v>255</v>
      </c>
      <c r="E87">
        <v>23</v>
      </c>
      <c r="F87">
        <v>23</v>
      </c>
      <c r="G87">
        <v>23</v>
      </c>
      <c r="H87" t="s">
        <v>254</v>
      </c>
      <c r="I87">
        <v>60.1</v>
      </c>
      <c r="J87">
        <v>56.558999999999997</v>
      </c>
      <c r="K87" t="str">
        <f>"ATP5B"</f>
        <v>ATP5B</v>
      </c>
      <c r="L87" t="str">
        <f>"ATP5B"</f>
        <v>ATP5B</v>
      </c>
      <c r="M87">
        <v>3855200000</v>
      </c>
      <c r="N87">
        <v>4114700000</v>
      </c>
      <c r="O87">
        <v>4057600000</v>
      </c>
      <c r="P87">
        <v>3706300000</v>
      </c>
      <c r="Q87">
        <v>2975100000</v>
      </c>
      <c r="R87">
        <v>4650700000</v>
      </c>
      <c r="S87">
        <v>5848500000</v>
      </c>
      <c r="T87">
        <v>4056900000</v>
      </c>
      <c r="U87">
        <v>5390200000</v>
      </c>
      <c r="V87">
        <v>4125600000</v>
      </c>
      <c r="W87">
        <v>5752900000</v>
      </c>
      <c r="X87">
        <v>5846700000</v>
      </c>
    </row>
    <row r="88" spans="1:24">
      <c r="A88">
        <v>1894</v>
      </c>
      <c r="B88" t="s">
        <v>256</v>
      </c>
      <c r="C88">
        <v>7</v>
      </c>
      <c r="D88" t="s">
        <v>257</v>
      </c>
      <c r="E88">
        <v>45</v>
      </c>
      <c r="F88">
        <v>45</v>
      </c>
      <c r="G88">
        <v>34</v>
      </c>
      <c r="H88" t="s">
        <v>258</v>
      </c>
      <c r="I88">
        <v>43.4</v>
      </c>
      <c r="J88">
        <v>109.13</v>
      </c>
      <c r="K88" t="str">
        <f>"ATP2A3"</f>
        <v>ATP2A3</v>
      </c>
      <c r="L88" t="str">
        <f>"ATP2A3"</f>
        <v>ATP2A3</v>
      </c>
      <c r="M88">
        <v>2427400000</v>
      </c>
      <c r="N88">
        <v>3205600000</v>
      </c>
      <c r="O88">
        <v>3636400000</v>
      </c>
      <c r="P88">
        <v>3052400000</v>
      </c>
      <c r="Q88">
        <v>2211100000</v>
      </c>
      <c r="R88">
        <v>3105600000</v>
      </c>
      <c r="S88">
        <v>2913800000</v>
      </c>
      <c r="T88">
        <v>2540900000</v>
      </c>
      <c r="U88">
        <v>3228500000</v>
      </c>
      <c r="V88">
        <v>2812100000</v>
      </c>
      <c r="W88">
        <v>3720500000</v>
      </c>
      <c r="X88">
        <v>3223300000</v>
      </c>
    </row>
    <row r="89" spans="1:24">
      <c r="A89">
        <v>1075</v>
      </c>
      <c r="B89" t="s">
        <v>259</v>
      </c>
      <c r="C89">
        <v>2</v>
      </c>
      <c r="D89" t="s">
        <v>260</v>
      </c>
      <c r="E89">
        <v>31</v>
      </c>
      <c r="F89">
        <v>31</v>
      </c>
      <c r="G89">
        <v>30</v>
      </c>
      <c r="H89" t="s">
        <v>261</v>
      </c>
      <c r="I89">
        <v>54.4</v>
      </c>
      <c r="J89">
        <v>50.908999999999999</v>
      </c>
      <c r="K89" t="str">
        <f>"IDH2"</f>
        <v>IDH2</v>
      </c>
      <c r="L89" t="str">
        <f>"IDH2"</f>
        <v>IDH2</v>
      </c>
      <c r="M89" s="8">
        <v>3769000000</v>
      </c>
      <c r="N89">
        <v>4605200000</v>
      </c>
      <c r="O89" s="8">
        <v>4406000000</v>
      </c>
      <c r="P89">
        <v>3621700000</v>
      </c>
      <c r="Q89">
        <v>2992200000</v>
      </c>
      <c r="R89">
        <v>4890400000</v>
      </c>
      <c r="S89">
        <v>4048100000</v>
      </c>
      <c r="T89">
        <v>3557200000</v>
      </c>
      <c r="U89" s="8">
        <v>5051000000</v>
      </c>
      <c r="V89">
        <v>4078300000</v>
      </c>
      <c r="W89">
        <v>5010700000</v>
      </c>
      <c r="X89">
        <v>5472100000</v>
      </c>
    </row>
    <row r="90" spans="1:24">
      <c r="A90">
        <v>531</v>
      </c>
      <c r="B90" t="s">
        <v>262</v>
      </c>
      <c r="C90">
        <v>1</v>
      </c>
      <c r="D90" t="s">
        <v>263</v>
      </c>
      <c r="E90">
        <v>46</v>
      </c>
      <c r="F90">
        <v>46</v>
      </c>
      <c r="G90">
        <v>46</v>
      </c>
      <c r="H90" t="s">
        <v>262</v>
      </c>
      <c r="I90">
        <v>57.7</v>
      </c>
      <c r="J90">
        <v>81.888999999999996</v>
      </c>
      <c r="K90" t="str">
        <f>"CAPN1"</f>
        <v>CAPN1</v>
      </c>
      <c r="L90" t="str">
        <f>"CAPN1"</f>
        <v>CAPN1</v>
      </c>
      <c r="M90">
        <v>3615800000</v>
      </c>
      <c r="N90">
        <v>4699400000</v>
      </c>
      <c r="O90">
        <v>4247500000</v>
      </c>
      <c r="P90">
        <v>2711900000</v>
      </c>
      <c r="Q90">
        <v>3139200000</v>
      </c>
      <c r="R90">
        <v>4077200000</v>
      </c>
      <c r="S90">
        <v>2895400000</v>
      </c>
      <c r="T90">
        <v>3618200000</v>
      </c>
      <c r="U90">
        <v>5347200000</v>
      </c>
      <c r="V90" s="8">
        <v>3704000000</v>
      </c>
      <c r="W90">
        <v>4691900000</v>
      </c>
      <c r="X90">
        <v>4508800000</v>
      </c>
    </row>
    <row r="91" spans="1:24">
      <c r="A91">
        <v>1517</v>
      </c>
      <c r="B91" t="s">
        <v>264</v>
      </c>
      <c r="C91">
        <v>4</v>
      </c>
      <c r="D91" t="s">
        <v>265</v>
      </c>
      <c r="E91">
        <v>55</v>
      </c>
      <c r="F91">
        <v>55</v>
      </c>
      <c r="G91">
        <v>7</v>
      </c>
      <c r="H91" t="s">
        <v>266</v>
      </c>
      <c r="I91">
        <v>36.4</v>
      </c>
      <c r="J91">
        <v>186.79</v>
      </c>
      <c r="K91" t="str">
        <f>"LTBP1"</f>
        <v>LTBP1</v>
      </c>
      <c r="L91" t="str">
        <f>"LTBP1"</f>
        <v>LTBP1</v>
      </c>
      <c r="M91">
        <v>1060700000</v>
      </c>
      <c r="N91">
        <v>1885700000</v>
      </c>
      <c r="O91">
        <v>2486100000</v>
      </c>
      <c r="P91">
        <v>2647300000</v>
      </c>
      <c r="Q91">
        <v>1816500000</v>
      </c>
      <c r="R91">
        <v>2628100000</v>
      </c>
      <c r="S91">
        <v>2029100000</v>
      </c>
      <c r="T91">
        <v>2033600000</v>
      </c>
      <c r="U91">
        <v>3204600000</v>
      </c>
      <c r="V91">
        <v>2578100000</v>
      </c>
      <c r="W91">
        <v>1933100000</v>
      </c>
      <c r="X91">
        <v>2154900000</v>
      </c>
    </row>
    <row r="92" spans="1:24">
      <c r="A92">
        <v>281</v>
      </c>
      <c r="B92" t="s">
        <v>267</v>
      </c>
      <c r="C92">
        <v>1</v>
      </c>
      <c r="D92" t="s">
        <v>268</v>
      </c>
      <c r="E92">
        <v>26</v>
      </c>
      <c r="F92">
        <v>26</v>
      </c>
      <c r="G92">
        <v>26</v>
      </c>
      <c r="H92" t="s">
        <v>267</v>
      </c>
      <c r="I92">
        <v>47.8</v>
      </c>
      <c r="J92">
        <v>47.173000000000002</v>
      </c>
      <c r="K92" t="str">
        <f>"SDPR"</f>
        <v>SDPR</v>
      </c>
      <c r="L92" t="str">
        <f>"SDPR"</f>
        <v>SDPR</v>
      </c>
      <c r="M92">
        <v>3406300000</v>
      </c>
      <c r="N92">
        <v>6085200000</v>
      </c>
      <c r="O92">
        <v>5612400000</v>
      </c>
      <c r="P92">
        <v>4592800000</v>
      </c>
      <c r="Q92" s="8">
        <v>4118000000</v>
      </c>
      <c r="R92">
        <v>5598500000</v>
      </c>
      <c r="S92">
        <v>5715700000</v>
      </c>
      <c r="T92">
        <v>4467800000</v>
      </c>
      <c r="U92" s="8">
        <v>6316000000</v>
      </c>
      <c r="V92">
        <v>5303600000</v>
      </c>
      <c r="W92">
        <v>5448100000</v>
      </c>
      <c r="X92">
        <v>6406500000</v>
      </c>
    </row>
    <row r="93" spans="1:24">
      <c r="A93">
        <v>523</v>
      </c>
      <c r="B93" t="s">
        <v>269</v>
      </c>
      <c r="C93">
        <v>1</v>
      </c>
      <c r="D93" t="s">
        <v>270</v>
      </c>
      <c r="E93">
        <v>38</v>
      </c>
      <c r="F93">
        <v>38</v>
      </c>
      <c r="G93">
        <v>38</v>
      </c>
      <c r="H93" t="s">
        <v>269</v>
      </c>
      <c r="I93">
        <v>56.9</v>
      </c>
      <c r="J93">
        <v>57.116</v>
      </c>
      <c r="K93" t="str">
        <f>"P4HB"</f>
        <v>P4HB</v>
      </c>
      <c r="L93" t="str">
        <f>"P4HB"</f>
        <v>P4HB</v>
      </c>
      <c r="M93">
        <v>3125500000</v>
      </c>
      <c r="N93">
        <v>4327800000</v>
      </c>
      <c r="O93">
        <v>5576800000</v>
      </c>
      <c r="P93">
        <v>3199700000</v>
      </c>
      <c r="Q93">
        <v>2757700000</v>
      </c>
      <c r="R93">
        <v>5101700000</v>
      </c>
      <c r="S93">
        <v>4517600000</v>
      </c>
      <c r="T93">
        <v>3630800000</v>
      </c>
      <c r="U93">
        <v>4742400000</v>
      </c>
      <c r="V93">
        <v>3932700000</v>
      </c>
      <c r="W93">
        <v>3796600000</v>
      </c>
      <c r="X93">
        <v>5345800000</v>
      </c>
    </row>
    <row r="94" spans="1:24">
      <c r="A94">
        <v>1277</v>
      </c>
      <c r="B94" t="s">
        <v>271</v>
      </c>
      <c r="C94">
        <v>4</v>
      </c>
      <c r="D94" t="s">
        <v>272</v>
      </c>
      <c r="E94">
        <v>14</v>
      </c>
      <c r="F94">
        <v>14</v>
      </c>
      <c r="G94">
        <v>5</v>
      </c>
      <c r="H94" t="s">
        <v>273</v>
      </c>
      <c r="I94">
        <v>70.900000000000006</v>
      </c>
      <c r="J94">
        <v>18.012</v>
      </c>
      <c r="K94" t="str">
        <f>"PPIA;PPIAL4A;PPIAL4D;PPIAL4G"</f>
        <v>PPIA;PPIAL4A;PPIAL4D;PPIAL4G</v>
      </c>
      <c r="L94" t="str">
        <f>"PPIA;PPIAL4A;PPIAL4D;PPIAL4G"</f>
        <v>PPIA;PPIAL4A;PPIAL4D;PPIAL4G</v>
      </c>
      <c r="M94">
        <v>6259500000</v>
      </c>
      <c r="N94" s="8">
        <v>7116000000</v>
      </c>
      <c r="O94">
        <v>7956800000</v>
      </c>
      <c r="P94">
        <v>5616600000</v>
      </c>
      <c r="Q94">
        <v>6790500000</v>
      </c>
      <c r="R94" s="8">
        <v>12910000000</v>
      </c>
      <c r="S94">
        <v>9698800000</v>
      </c>
      <c r="T94">
        <v>6795800000</v>
      </c>
      <c r="U94" s="8">
        <v>14848000000</v>
      </c>
      <c r="V94">
        <v>8857300000</v>
      </c>
      <c r="W94" s="8">
        <v>10349000000</v>
      </c>
      <c r="X94" s="8">
        <v>11161000000</v>
      </c>
    </row>
    <row r="95" spans="1:24">
      <c r="A95">
        <v>2287</v>
      </c>
      <c r="B95" t="s">
        <v>274</v>
      </c>
      <c r="C95">
        <v>8</v>
      </c>
      <c r="D95" t="s">
        <v>275</v>
      </c>
      <c r="E95">
        <v>36</v>
      </c>
      <c r="F95">
        <v>36</v>
      </c>
      <c r="G95">
        <v>35</v>
      </c>
      <c r="H95" t="s">
        <v>276</v>
      </c>
      <c r="I95">
        <v>50.8</v>
      </c>
      <c r="J95">
        <v>53.247999999999998</v>
      </c>
      <c r="K95" t="str">
        <f>"CORO1C;CORO6"</f>
        <v>CORO1C;CORO6</v>
      </c>
      <c r="L95" t="str">
        <f>"CORO1C;CORO6"</f>
        <v>CORO1C;CORO6</v>
      </c>
      <c r="M95">
        <v>3182600000</v>
      </c>
      <c r="N95" s="8">
        <v>4435000000</v>
      </c>
      <c r="O95">
        <v>4115100000</v>
      </c>
      <c r="P95">
        <v>3852700000</v>
      </c>
      <c r="Q95">
        <v>2640200000</v>
      </c>
      <c r="R95">
        <v>4333300000</v>
      </c>
      <c r="S95">
        <v>3530600000</v>
      </c>
      <c r="T95">
        <v>3809500000</v>
      </c>
      <c r="U95">
        <v>4113600000</v>
      </c>
      <c r="V95">
        <v>4124300000</v>
      </c>
      <c r="W95">
        <v>3837400000</v>
      </c>
      <c r="X95">
        <v>5310400000</v>
      </c>
    </row>
    <row r="96" spans="1:24">
      <c r="A96">
        <v>1376</v>
      </c>
      <c r="B96" t="s">
        <v>277</v>
      </c>
      <c r="C96">
        <v>14</v>
      </c>
      <c r="D96" t="s">
        <v>278</v>
      </c>
      <c r="E96">
        <v>55</v>
      </c>
      <c r="F96">
        <v>55</v>
      </c>
      <c r="G96">
        <v>55</v>
      </c>
      <c r="H96" t="s">
        <v>279</v>
      </c>
      <c r="I96">
        <v>66.5</v>
      </c>
      <c r="J96">
        <v>62.662999999999997</v>
      </c>
      <c r="K96" t="str">
        <f>"CALD1"</f>
        <v>CALD1</v>
      </c>
      <c r="L96" t="str">
        <f>"CALD1"</f>
        <v>CALD1</v>
      </c>
      <c r="M96">
        <v>1972700000</v>
      </c>
      <c r="N96">
        <v>2911300000</v>
      </c>
      <c r="O96">
        <v>2619300000</v>
      </c>
      <c r="P96">
        <v>3048800000</v>
      </c>
      <c r="Q96">
        <v>1604500000</v>
      </c>
      <c r="R96">
        <v>2923800000</v>
      </c>
      <c r="S96">
        <v>1132500000</v>
      </c>
      <c r="T96">
        <v>2068900000</v>
      </c>
      <c r="U96">
        <v>1793200000</v>
      </c>
      <c r="V96">
        <v>2439500000</v>
      </c>
      <c r="W96">
        <v>1364400000</v>
      </c>
      <c r="X96">
        <v>1853800000</v>
      </c>
    </row>
    <row r="97" spans="1:24">
      <c r="A97">
        <v>1457</v>
      </c>
      <c r="B97" t="s">
        <v>280</v>
      </c>
      <c r="C97">
        <v>3</v>
      </c>
      <c r="D97" t="s">
        <v>281</v>
      </c>
      <c r="E97">
        <v>80</v>
      </c>
      <c r="F97">
        <v>80</v>
      </c>
      <c r="G97">
        <v>78</v>
      </c>
      <c r="H97" t="s">
        <v>282</v>
      </c>
      <c r="I97">
        <v>51.4</v>
      </c>
      <c r="J97">
        <v>180.58</v>
      </c>
      <c r="K97" t="str">
        <f>"IQGAP2"</f>
        <v>IQGAP2</v>
      </c>
      <c r="L97" t="str">
        <f>"IQGAP2"</f>
        <v>IQGAP2</v>
      </c>
      <c r="M97">
        <v>1493200000</v>
      </c>
      <c r="N97">
        <v>2477100000</v>
      </c>
      <c r="O97">
        <v>2236200000</v>
      </c>
      <c r="P97">
        <v>1454100000</v>
      </c>
      <c r="Q97">
        <v>1473300000</v>
      </c>
      <c r="R97">
        <v>2049300000</v>
      </c>
      <c r="S97">
        <v>2526900000</v>
      </c>
      <c r="T97">
        <v>1527500000</v>
      </c>
      <c r="U97">
        <v>2659900000</v>
      </c>
      <c r="V97">
        <v>1667700000</v>
      </c>
      <c r="W97">
        <v>2571800000</v>
      </c>
      <c r="X97">
        <v>2437200000</v>
      </c>
    </row>
    <row r="98" spans="1:24">
      <c r="A98">
        <v>1118</v>
      </c>
      <c r="B98" t="s">
        <v>283</v>
      </c>
      <c r="C98">
        <v>1</v>
      </c>
      <c r="D98" t="s">
        <v>284</v>
      </c>
      <c r="E98">
        <v>26</v>
      </c>
      <c r="F98">
        <v>26</v>
      </c>
      <c r="G98">
        <v>26</v>
      </c>
      <c r="H98" t="s">
        <v>283</v>
      </c>
      <c r="I98">
        <v>58.4</v>
      </c>
      <c r="J98">
        <v>39.829000000000001</v>
      </c>
      <c r="K98" t="str">
        <f>"VASP"</f>
        <v>VASP</v>
      </c>
      <c r="L98" t="str">
        <f>"VASP"</f>
        <v>VASP</v>
      </c>
      <c r="M98">
        <v>4076200000</v>
      </c>
      <c r="N98">
        <v>5146300000</v>
      </c>
      <c r="O98">
        <v>5758500000</v>
      </c>
      <c r="P98">
        <v>5532200000</v>
      </c>
      <c r="Q98" s="8">
        <v>3073000000</v>
      </c>
      <c r="R98">
        <v>4933900000</v>
      </c>
      <c r="S98">
        <v>3512700000</v>
      </c>
      <c r="T98">
        <v>3649600000</v>
      </c>
      <c r="U98">
        <v>3423300000</v>
      </c>
      <c r="V98">
        <v>4755300000</v>
      </c>
      <c r="W98">
        <v>3058200000</v>
      </c>
      <c r="X98">
        <v>4580700000</v>
      </c>
    </row>
    <row r="99" spans="1:24">
      <c r="A99">
        <v>753</v>
      </c>
      <c r="B99" t="s">
        <v>285</v>
      </c>
      <c r="C99">
        <v>4</v>
      </c>
      <c r="D99" t="s">
        <v>286</v>
      </c>
      <c r="E99">
        <v>31</v>
      </c>
      <c r="F99">
        <v>31</v>
      </c>
      <c r="G99">
        <v>31</v>
      </c>
      <c r="H99" t="s">
        <v>287</v>
      </c>
      <c r="I99">
        <v>44</v>
      </c>
      <c r="J99">
        <v>101.39</v>
      </c>
      <c r="K99" t="str">
        <f>"ITIH1"</f>
        <v>ITIH1</v>
      </c>
      <c r="L99" t="str">
        <f>"ITIH1"</f>
        <v>ITIH1</v>
      </c>
      <c r="M99">
        <v>7114700000</v>
      </c>
      <c r="N99">
        <v>2312100000</v>
      </c>
      <c r="O99">
        <v>3824100000</v>
      </c>
      <c r="P99">
        <v>3117200000</v>
      </c>
      <c r="Q99">
        <v>6625100000</v>
      </c>
      <c r="R99">
        <v>2201700000</v>
      </c>
      <c r="S99">
        <v>4033800000</v>
      </c>
      <c r="T99">
        <v>3732100000</v>
      </c>
      <c r="U99">
        <v>3252600000</v>
      </c>
      <c r="V99">
        <v>3668500000</v>
      </c>
      <c r="W99">
        <v>4391300000</v>
      </c>
      <c r="X99">
        <v>2633900000</v>
      </c>
    </row>
    <row r="100" spans="1:24">
      <c r="A100">
        <v>385</v>
      </c>
      <c r="B100" t="s">
        <v>288</v>
      </c>
      <c r="C100">
        <v>1</v>
      </c>
      <c r="D100" t="s">
        <v>289</v>
      </c>
      <c r="E100">
        <v>23</v>
      </c>
      <c r="F100">
        <v>11</v>
      </c>
      <c r="G100">
        <v>11</v>
      </c>
      <c r="H100" t="s">
        <v>288</v>
      </c>
      <c r="I100">
        <v>74.599999999999994</v>
      </c>
      <c r="J100">
        <v>35.94</v>
      </c>
      <c r="K100" t="str">
        <f>"IGHG4"</f>
        <v>IGHG4</v>
      </c>
      <c r="L100" t="str">
        <f>"IGHG4"</f>
        <v>IGHG4</v>
      </c>
      <c r="M100">
        <v>5294100000</v>
      </c>
      <c r="N100">
        <v>4910300000</v>
      </c>
      <c r="O100">
        <v>6786800000</v>
      </c>
      <c r="P100" s="8">
        <v>3617000000</v>
      </c>
      <c r="Q100">
        <v>7493500000</v>
      </c>
      <c r="R100">
        <v>4118700000</v>
      </c>
      <c r="S100">
        <v>4804700000</v>
      </c>
      <c r="T100">
        <v>3795800000</v>
      </c>
      <c r="U100">
        <v>1664400000</v>
      </c>
      <c r="V100">
        <v>7425300000</v>
      </c>
      <c r="W100">
        <v>7981200000</v>
      </c>
      <c r="X100">
        <v>1877900000</v>
      </c>
    </row>
    <row r="101" spans="1:24">
      <c r="A101">
        <v>453</v>
      </c>
      <c r="B101" t="s">
        <v>290</v>
      </c>
      <c r="C101">
        <v>3</v>
      </c>
      <c r="D101" t="s">
        <v>291</v>
      </c>
      <c r="E101">
        <v>16</v>
      </c>
      <c r="F101">
        <v>16</v>
      </c>
      <c r="G101">
        <v>16</v>
      </c>
      <c r="H101" t="s">
        <v>292</v>
      </c>
      <c r="I101">
        <v>48.5</v>
      </c>
      <c r="J101">
        <v>54.253</v>
      </c>
      <c r="K101" t="str">
        <f>"A1BG"</f>
        <v>A1BG</v>
      </c>
      <c r="L101" t="str">
        <f>"A1BG"</f>
        <v>A1BG</v>
      </c>
      <c r="M101" s="8">
        <v>14716000000</v>
      </c>
      <c r="N101" s="8">
        <v>9622000000</v>
      </c>
      <c r="O101">
        <v>9830100000</v>
      </c>
      <c r="P101" s="8">
        <v>11529000000</v>
      </c>
      <c r="Q101" s="8">
        <v>17709000000</v>
      </c>
      <c r="R101">
        <v>6775800000</v>
      </c>
      <c r="S101" s="8">
        <v>11765000000</v>
      </c>
      <c r="T101" s="8">
        <v>14339000000</v>
      </c>
      <c r="U101" s="8">
        <v>12426000000</v>
      </c>
      <c r="V101">
        <v>9108800000</v>
      </c>
      <c r="W101" s="8">
        <v>10560000000</v>
      </c>
      <c r="X101" s="8">
        <v>6088000000</v>
      </c>
    </row>
    <row r="102" spans="1:24">
      <c r="A102">
        <v>1540</v>
      </c>
      <c r="B102" t="s">
        <v>293</v>
      </c>
      <c r="C102">
        <v>10</v>
      </c>
      <c r="D102" t="s">
        <v>294</v>
      </c>
      <c r="E102">
        <v>165</v>
      </c>
      <c r="F102">
        <v>165</v>
      </c>
      <c r="G102">
        <v>164</v>
      </c>
      <c r="H102" t="s">
        <v>295</v>
      </c>
      <c r="I102">
        <v>42</v>
      </c>
      <c r="J102">
        <v>516.27</v>
      </c>
      <c r="K102" t="str">
        <f>"PLEC;EPPK1"</f>
        <v>PLEC;EPPK1</v>
      </c>
      <c r="L102" t="str">
        <f>"PLEC;EPPK1"</f>
        <v>PLEC;EPPK1</v>
      </c>
      <c r="M102">
        <v>169500000</v>
      </c>
      <c r="N102">
        <v>3887300000</v>
      </c>
      <c r="O102">
        <v>1617600000</v>
      </c>
      <c r="P102">
        <v>2024700000</v>
      </c>
      <c r="Q102">
        <v>1493700000</v>
      </c>
      <c r="R102">
        <v>850830000</v>
      </c>
      <c r="S102">
        <v>1234300000</v>
      </c>
      <c r="T102">
        <v>549400000</v>
      </c>
      <c r="U102">
        <v>1936900000</v>
      </c>
      <c r="V102">
        <v>1917300000</v>
      </c>
      <c r="W102">
        <v>393400000</v>
      </c>
      <c r="X102">
        <v>2744400000</v>
      </c>
    </row>
    <row r="103" spans="1:24">
      <c r="A103">
        <v>649</v>
      </c>
      <c r="B103" t="s">
        <v>296</v>
      </c>
      <c r="C103">
        <v>1</v>
      </c>
      <c r="D103" t="s">
        <v>297</v>
      </c>
      <c r="E103">
        <v>68</v>
      </c>
      <c r="F103">
        <v>68</v>
      </c>
      <c r="G103">
        <v>55</v>
      </c>
      <c r="H103" t="s">
        <v>296</v>
      </c>
      <c r="I103">
        <v>32</v>
      </c>
      <c r="J103">
        <v>251.7</v>
      </c>
      <c r="K103" t="str">
        <f>"F5"</f>
        <v>F5</v>
      </c>
      <c r="L103" t="str">
        <f>"F5"</f>
        <v>F5</v>
      </c>
      <c r="M103">
        <v>1234100000</v>
      </c>
      <c r="N103">
        <v>1798900000</v>
      </c>
      <c r="O103">
        <v>1372400000</v>
      </c>
      <c r="P103">
        <v>2606300000</v>
      </c>
      <c r="Q103">
        <v>1929500000</v>
      </c>
      <c r="R103">
        <v>3699600000</v>
      </c>
      <c r="S103">
        <v>3007300000</v>
      </c>
      <c r="T103">
        <v>3199500000</v>
      </c>
      <c r="U103">
        <v>4827200000</v>
      </c>
      <c r="V103">
        <v>3640800000</v>
      </c>
      <c r="W103">
        <v>167440000</v>
      </c>
      <c r="X103">
        <v>1563700000</v>
      </c>
    </row>
    <row r="104" spans="1:24">
      <c r="A104">
        <v>850</v>
      </c>
      <c r="B104" t="s">
        <v>298</v>
      </c>
      <c r="C104">
        <v>1</v>
      </c>
      <c r="D104" t="s">
        <v>299</v>
      </c>
      <c r="E104">
        <v>23</v>
      </c>
      <c r="F104">
        <v>23</v>
      </c>
      <c r="G104">
        <v>23</v>
      </c>
      <c r="H104" t="s">
        <v>298</v>
      </c>
      <c r="I104">
        <v>57.3</v>
      </c>
      <c r="J104">
        <v>48.140999999999998</v>
      </c>
      <c r="K104" t="str">
        <f>"CALR"</f>
        <v>CALR</v>
      </c>
      <c r="L104" t="str">
        <f>"CALR"</f>
        <v>CALR</v>
      </c>
      <c r="M104">
        <v>3472500000</v>
      </c>
      <c r="N104" s="8">
        <v>4902000000</v>
      </c>
      <c r="O104">
        <v>6736600000</v>
      </c>
      <c r="P104">
        <v>4997600000</v>
      </c>
      <c r="Q104">
        <v>3199900000</v>
      </c>
      <c r="R104">
        <v>5018700000</v>
      </c>
      <c r="S104">
        <v>5573200000</v>
      </c>
      <c r="T104">
        <v>3279500000</v>
      </c>
      <c r="U104">
        <v>4862700000</v>
      </c>
      <c r="V104">
        <v>3855400000</v>
      </c>
      <c r="W104">
        <v>4378400000</v>
      </c>
      <c r="X104">
        <v>4496700000</v>
      </c>
    </row>
    <row r="105" spans="1:24">
      <c r="A105">
        <v>623</v>
      </c>
      <c r="B105" t="s">
        <v>300</v>
      </c>
      <c r="C105">
        <v>5</v>
      </c>
      <c r="D105" t="s">
        <v>301</v>
      </c>
      <c r="E105">
        <v>24</v>
      </c>
      <c r="F105">
        <v>24</v>
      </c>
      <c r="G105">
        <v>24</v>
      </c>
      <c r="H105" t="s">
        <v>302</v>
      </c>
      <c r="I105">
        <v>46.4</v>
      </c>
      <c r="J105">
        <v>48.802999999999997</v>
      </c>
      <c r="K105" t="str">
        <f>"CLU"</f>
        <v>CLU</v>
      </c>
      <c r="L105" t="str">
        <f>"CLU"</f>
        <v>CLU</v>
      </c>
      <c r="M105">
        <v>7213200000</v>
      </c>
      <c r="N105">
        <v>2792400000</v>
      </c>
      <c r="O105">
        <v>2063500000</v>
      </c>
      <c r="P105">
        <v>8124700000</v>
      </c>
      <c r="Q105">
        <v>5985900000</v>
      </c>
      <c r="R105">
        <v>4162700000</v>
      </c>
      <c r="S105">
        <v>5253700000</v>
      </c>
      <c r="T105">
        <v>6070600000</v>
      </c>
      <c r="U105" s="8">
        <v>6528000000</v>
      </c>
      <c r="V105">
        <v>5205800000</v>
      </c>
      <c r="W105">
        <v>5892700000</v>
      </c>
      <c r="X105">
        <v>6430700000</v>
      </c>
    </row>
    <row r="106" spans="1:24">
      <c r="A106">
        <v>825</v>
      </c>
      <c r="B106" t="s">
        <v>303</v>
      </c>
      <c r="C106">
        <v>3</v>
      </c>
      <c r="D106" t="s">
        <v>304</v>
      </c>
      <c r="E106">
        <v>32</v>
      </c>
      <c r="F106">
        <v>32</v>
      </c>
      <c r="G106">
        <v>32</v>
      </c>
      <c r="H106" t="s">
        <v>305</v>
      </c>
      <c r="I106">
        <v>53.3</v>
      </c>
      <c r="J106">
        <v>59.75</v>
      </c>
      <c r="K106" t="str">
        <f>"ATP5A1"</f>
        <v>ATP5A1</v>
      </c>
      <c r="L106" t="str">
        <f>"ATP5A1"</f>
        <v>ATP5A1</v>
      </c>
      <c r="M106" s="8">
        <v>3225000000</v>
      </c>
      <c r="N106">
        <v>3150600000</v>
      </c>
      <c r="O106">
        <v>4466200000</v>
      </c>
      <c r="P106">
        <v>4097100000</v>
      </c>
      <c r="Q106">
        <v>2906400000</v>
      </c>
      <c r="R106" s="8">
        <v>3697000000</v>
      </c>
      <c r="S106">
        <v>4352500000</v>
      </c>
      <c r="T106">
        <v>3728900000</v>
      </c>
      <c r="U106">
        <v>4457200000</v>
      </c>
      <c r="V106">
        <v>3976100000</v>
      </c>
      <c r="W106">
        <v>4141400000</v>
      </c>
      <c r="X106">
        <v>3468400000</v>
      </c>
    </row>
    <row r="107" spans="1:24">
      <c r="A107">
        <v>447</v>
      </c>
      <c r="B107" t="s">
        <v>306</v>
      </c>
      <c r="C107">
        <v>1</v>
      </c>
      <c r="D107" t="s">
        <v>307</v>
      </c>
      <c r="E107">
        <v>25</v>
      </c>
      <c r="F107">
        <v>25</v>
      </c>
      <c r="G107">
        <v>25</v>
      </c>
      <c r="H107" t="s">
        <v>306</v>
      </c>
      <c r="I107">
        <v>54.7</v>
      </c>
      <c r="J107">
        <v>59.578000000000003</v>
      </c>
      <c r="K107" t="str">
        <f>"HRG"</f>
        <v>HRG</v>
      </c>
      <c r="L107" t="str">
        <f>"HRG"</f>
        <v>HRG</v>
      </c>
      <c r="M107">
        <v>6143200000</v>
      </c>
      <c r="N107" s="8">
        <v>3205000000</v>
      </c>
      <c r="O107">
        <v>3496800000</v>
      </c>
      <c r="P107" s="8">
        <v>3842000000</v>
      </c>
      <c r="Q107">
        <v>6687200000</v>
      </c>
      <c r="R107">
        <v>2300700000</v>
      </c>
      <c r="S107">
        <v>4943500000</v>
      </c>
      <c r="T107">
        <v>8330200000</v>
      </c>
      <c r="U107">
        <v>1729700000</v>
      </c>
      <c r="V107">
        <v>5864600000</v>
      </c>
      <c r="W107">
        <v>7428100000</v>
      </c>
      <c r="X107">
        <v>1395600000</v>
      </c>
    </row>
    <row r="108" spans="1:24">
      <c r="A108">
        <v>632</v>
      </c>
      <c r="B108" t="s">
        <v>308</v>
      </c>
      <c r="C108">
        <v>1</v>
      </c>
      <c r="D108" t="s">
        <v>309</v>
      </c>
      <c r="E108">
        <v>55</v>
      </c>
      <c r="F108">
        <v>55</v>
      </c>
      <c r="G108">
        <v>46</v>
      </c>
      <c r="H108" t="s">
        <v>308</v>
      </c>
      <c r="I108">
        <v>56.2</v>
      </c>
      <c r="J108">
        <v>96.694999999999993</v>
      </c>
      <c r="K108" t="str">
        <f>"PYGB"</f>
        <v>PYGB</v>
      </c>
      <c r="L108" t="str">
        <f>"PYGB"</f>
        <v>PYGB</v>
      </c>
      <c r="M108">
        <v>1838800000</v>
      </c>
      <c r="N108">
        <v>2348300000</v>
      </c>
      <c r="O108">
        <v>2419800000</v>
      </c>
      <c r="P108">
        <v>2147800000</v>
      </c>
      <c r="Q108">
        <v>1988200000</v>
      </c>
      <c r="R108">
        <v>2470200000</v>
      </c>
      <c r="S108">
        <v>4439700000</v>
      </c>
      <c r="T108" s="8">
        <v>2171000000</v>
      </c>
      <c r="U108" s="8">
        <v>3038000000</v>
      </c>
      <c r="V108">
        <v>2086400000</v>
      </c>
      <c r="W108">
        <v>3278600000</v>
      </c>
      <c r="X108">
        <v>3086600000</v>
      </c>
    </row>
    <row r="109" spans="1:24">
      <c r="A109">
        <v>69</v>
      </c>
      <c r="B109" t="s">
        <v>310</v>
      </c>
      <c r="C109">
        <v>8</v>
      </c>
      <c r="D109" t="s">
        <v>311</v>
      </c>
      <c r="E109">
        <v>47</v>
      </c>
      <c r="F109">
        <v>47</v>
      </c>
      <c r="G109">
        <v>47</v>
      </c>
      <c r="H109" t="s">
        <v>312</v>
      </c>
      <c r="I109">
        <v>69.7</v>
      </c>
      <c r="J109">
        <v>79.441000000000003</v>
      </c>
      <c r="K109" t="str">
        <f>"DNM1L"</f>
        <v>DNM1L</v>
      </c>
      <c r="L109" t="str">
        <f>"DNM1L"</f>
        <v>DNM1L</v>
      </c>
      <c r="M109">
        <v>1790200000</v>
      </c>
      <c r="N109">
        <v>2342500000</v>
      </c>
      <c r="O109">
        <v>2914600000</v>
      </c>
      <c r="P109">
        <v>1878700000</v>
      </c>
      <c r="Q109">
        <v>1336300000</v>
      </c>
      <c r="R109">
        <v>2237900000</v>
      </c>
      <c r="S109">
        <v>2650400000</v>
      </c>
      <c r="T109">
        <v>2184500000</v>
      </c>
      <c r="U109">
        <v>2773600000</v>
      </c>
      <c r="V109">
        <v>2157500000</v>
      </c>
      <c r="W109">
        <v>2536700000</v>
      </c>
      <c r="X109">
        <v>3488800000</v>
      </c>
    </row>
    <row r="110" spans="1:24">
      <c r="A110">
        <v>879</v>
      </c>
      <c r="B110" t="s">
        <v>313</v>
      </c>
      <c r="C110">
        <v>1</v>
      </c>
      <c r="D110" t="s">
        <v>314</v>
      </c>
      <c r="E110">
        <v>26</v>
      </c>
      <c r="F110">
        <v>26</v>
      </c>
      <c r="G110">
        <v>26</v>
      </c>
      <c r="H110" t="s">
        <v>313</v>
      </c>
      <c r="I110">
        <v>85.7</v>
      </c>
      <c r="J110">
        <v>25.035</v>
      </c>
      <c r="K110" t="str">
        <f>"PRDX6"</f>
        <v>PRDX6</v>
      </c>
      <c r="L110" t="str">
        <f>"PRDX6"</f>
        <v>PRDX6</v>
      </c>
      <c r="M110">
        <v>4300600000</v>
      </c>
      <c r="N110">
        <v>4767600000</v>
      </c>
      <c r="O110">
        <v>4934800000</v>
      </c>
      <c r="P110" s="8">
        <v>4575000000</v>
      </c>
      <c r="Q110">
        <v>4087300000</v>
      </c>
      <c r="R110">
        <v>5208400000</v>
      </c>
      <c r="S110">
        <v>6570400000</v>
      </c>
      <c r="T110">
        <v>5226200000</v>
      </c>
      <c r="U110">
        <v>5742800000</v>
      </c>
      <c r="V110">
        <v>5578500000</v>
      </c>
      <c r="W110">
        <v>6698600000</v>
      </c>
      <c r="X110">
        <v>7313200000</v>
      </c>
    </row>
    <row r="111" spans="1:24">
      <c r="A111">
        <v>1513</v>
      </c>
      <c r="B111" t="s">
        <v>315</v>
      </c>
      <c r="C111">
        <v>3</v>
      </c>
      <c r="D111" t="s">
        <v>316</v>
      </c>
      <c r="E111">
        <v>41</v>
      </c>
      <c r="F111">
        <v>41</v>
      </c>
      <c r="G111">
        <v>41</v>
      </c>
      <c r="H111" t="s">
        <v>317</v>
      </c>
      <c r="I111">
        <v>51.2</v>
      </c>
      <c r="J111">
        <v>106.87</v>
      </c>
      <c r="K111" t="str">
        <f>"GANAB"</f>
        <v>GANAB</v>
      </c>
      <c r="L111" t="str">
        <f>"GANAB"</f>
        <v>GANAB</v>
      </c>
      <c r="M111">
        <v>2510600000</v>
      </c>
      <c r="N111" s="8">
        <v>3470000000</v>
      </c>
      <c r="O111">
        <v>3411900000</v>
      </c>
      <c r="P111">
        <v>2592700000</v>
      </c>
      <c r="Q111">
        <v>1927100000</v>
      </c>
      <c r="R111">
        <v>3354100000</v>
      </c>
      <c r="S111">
        <v>2718500000</v>
      </c>
      <c r="T111">
        <v>2605300000</v>
      </c>
      <c r="U111">
        <v>3509400000</v>
      </c>
      <c r="V111">
        <v>2938100000</v>
      </c>
      <c r="W111">
        <v>3087700000</v>
      </c>
      <c r="X111">
        <v>3106700000</v>
      </c>
    </row>
    <row r="112" spans="1:24">
      <c r="A112">
        <v>843</v>
      </c>
      <c r="B112" t="s">
        <v>318</v>
      </c>
      <c r="C112">
        <v>4</v>
      </c>
      <c r="D112" t="s">
        <v>319</v>
      </c>
      <c r="E112">
        <v>25</v>
      </c>
      <c r="F112">
        <v>25</v>
      </c>
      <c r="G112">
        <v>25</v>
      </c>
      <c r="H112" t="s">
        <v>320</v>
      </c>
      <c r="I112">
        <v>75.3</v>
      </c>
      <c r="J112">
        <v>31.73</v>
      </c>
      <c r="K112" t="str">
        <f>"STOM;STOML3"</f>
        <v>STOM;STOML3</v>
      </c>
      <c r="L112" t="str">
        <f>"STOM;STOML3"</f>
        <v>STOM;STOML3</v>
      </c>
      <c r="M112">
        <v>2910300000</v>
      </c>
      <c r="N112">
        <v>2848200000</v>
      </c>
      <c r="O112">
        <v>3760400000</v>
      </c>
      <c r="P112">
        <v>3756600000</v>
      </c>
      <c r="Q112">
        <v>2412200000</v>
      </c>
      <c r="R112">
        <v>4168900000</v>
      </c>
      <c r="S112">
        <v>3065600000</v>
      </c>
      <c r="T112" s="8">
        <v>3193000000</v>
      </c>
      <c r="U112">
        <v>3648300000</v>
      </c>
      <c r="V112">
        <v>3531300000</v>
      </c>
      <c r="W112" s="8">
        <v>3360000000</v>
      </c>
      <c r="X112">
        <v>4566300000</v>
      </c>
    </row>
    <row r="113" spans="1:24">
      <c r="A113">
        <v>2233</v>
      </c>
      <c r="B113" t="s">
        <v>321</v>
      </c>
      <c r="C113">
        <v>15</v>
      </c>
      <c r="D113" t="s">
        <v>322</v>
      </c>
      <c r="E113">
        <v>29</v>
      </c>
      <c r="F113">
        <v>29</v>
      </c>
      <c r="G113">
        <v>29</v>
      </c>
      <c r="H113" t="s">
        <v>323</v>
      </c>
      <c r="I113">
        <v>51.9</v>
      </c>
      <c r="J113">
        <v>61.874000000000002</v>
      </c>
      <c r="K113" t="str">
        <f>"BIN2;BIN1;AMPH"</f>
        <v>BIN2;BIN1;AMPH</v>
      </c>
      <c r="L113" t="str">
        <f>"BIN2;BIN1;AMPH"</f>
        <v>BIN2;BIN1;AMPH</v>
      </c>
      <c r="M113" s="8">
        <v>1508000000</v>
      </c>
      <c r="N113" s="8">
        <v>2552000000</v>
      </c>
      <c r="O113">
        <v>2378100000</v>
      </c>
      <c r="P113">
        <v>2257400000</v>
      </c>
      <c r="Q113">
        <v>1660200000</v>
      </c>
      <c r="R113">
        <v>2454100000</v>
      </c>
      <c r="S113">
        <v>2254200000</v>
      </c>
      <c r="T113">
        <v>1673600000</v>
      </c>
      <c r="U113">
        <v>2661700000</v>
      </c>
      <c r="V113" s="8">
        <v>2862000000</v>
      </c>
      <c r="W113">
        <v>2151700000</v>
      </c>
      <c r="X113">
        <v>2680100000</v>
      </c>
    </row>
    <row r="114" spans="1:24">
      <c r="A114">
        <v>301</v>
      </c>
      <c r="B114" t="s">
        <v>324</v>
      </c>
      <c r="C114">
        <v>1</v>
      </c>
      <c r="D114" t="s">
        <v>325</v>
      </c>
      <c r="E114">
        <v>18</v>
      </c>
      <c r="F114">
        <v>18</v>
      </c>
      <c r="G114">
        <v>18</v>
      </c>
      <c r="H114" t="s">
        <v>324</v>
      </c>
      <c r="I114">
        <v>75.8</v>
      </c>
      <c r="J114">
        <v>32.118000000000002</v>
      </c>
      <c r="K114" t="str">
        <f>"PNP"</f>
        <v>PNP</v>
      </c>
      <c r="L114" t="str">
        <f>"PNP"</f>
        <v>PNP</v>
      </c>
      <c r="M114">
        <v>2895500000</v>
      </c>
      <c r="N114">
        <v>2796200000</v>
      </c>
      <c r="O114">
        <v>3050400000</v>
      </c>
      <c r="P114">
        <v>2602700000</v>
      </c>
      <c r="Q114">
        <v>1976700000</v>
      </c>
      <c r="R114">
        <v>2483600000</v>
      </c>
      <c r="S114">
        <v>4419600000</v>
      </c>
      <c r="T114">
        <v>2308500000</v>
      </c>
      <c r="U114">
        <v>3797400000</v>
      </c>
      <c r="V114" s="8">
        <v>2675000000</v>
      </c>
      <c r="W114">
        <v>3805900000</v>
      </c>
      <c r="X114">
        <v>3957700000</v>
      </c>
    </row>
    <row r="115" spans="1:24">
      <c r="A115">
        <v>746</v>
      </c>
      <c r="B115" t="s">
        <v>326</v>
      </c>
      <c r="C115">
        <v>8</v>
      </c>
      <c r="D115" t="s">
        <v>327</v>
      </c>
      <c r="E115">
        <v>47</v>
      </c>
      <c r="F115">
        <v>47</v>
      </c>
      <c r="G115">
        <v>43</v>
      </c>
      <c r="H115" t="s">
        <v>328</v>
      </c>
      <c r="I115">
        <v>47</v>
      </c>
      <c r="J115">
        <v>102.48</v>
      </c>
      <c r="K115" t="str">
        <f>"HK1;HK2;HK3;HKDC1"</f>
        <v>HK1;HK2;HK3;HKDC1</v>
      </c>
      <c r="L115" t="str">
        <f>"HK1;HK2;HK3;HKDC1"</f>
        <v>HK1;HK2;HK3;HKDC1</v>
      </c>
      <c r="M115">
        <v>1147600000</v>
      </c>
      <c r="N115">
        <v>2093500000</v>
      </c>
      <c r="O115">
        <v>2206500000</v>
      </c>
      <c r="P115">
        <v>1471200000</v>
      </c>
      <c r="Q115">
        <v>1432500000</v>
      </c>
      <c r="R115">
        <v>1980900000</v>
      </c>
      <c r="S115">
        <v>1833300000</v>
      </c>
      <c r="T115">
        <v>1939200000</v>
      </c>
      <c r="U115">
        <v>2058200000</v>
      </c>
      <c r="V115">
        <v>1782300000</v>
      </c>
      <c r="W115">
        <v>2016300000</v>
      </c>
      <c r="X115">
        <v>2607500000</v>
      </c>
    </row>
    <row r="116" spans="1:24">
      <c r="A116">
        <v>1709</v>
      </c>
      <c r="B116" t="s">
        <v>329</v>
      </c>
      <c r="C116">
        <v>3</v>
      </c>
      <c r="D116" t="s">
        <v>330</v>
      </c>
      <c r="E116">
        <v>43</v>
      </c>
      <c r="F116">
        <v>43</v>
      </c>
      <c r="G116">
        <v>43</v>
      </c>
      <c r="H116" t="s">
        <v>331</v>
      </c>
      <c r="I116">
        <v>43.2</v>
      </c>
      <c r="J116">
        <v>123.28</v>
      </c>
      <c r="K116" t="str">
        <f>"UNC13D"</f>
        <v>UNC13D</v>
      </c>
      <c r="L116" t="str">
        <f>"UNC13D"</f>
        <v>UNC13D</v>
      </c>
      <c r="M116">
        <v>1660900000</v>
      </c>
      <c r="N116">
        <v>2283600000</v>
      </c>
      <c r="O116">
        <v>2921800000</v>
      </c>
      <c r="P116">
        <v>2286500000</v>
      </c>
      <c r="Q116">
        <v>1666400000</v>
      </c>
      <c r="R116">
        <v>2292700000</v>
      </c>
      <c r="S116">
        <v>2823100000</v>
      </c>
      <c r="T116">
        <v>2019800000</v>
      </c>
      <c r="U116">
        <v>2521300000</v>
      </c>
      <c r="V116">
        <v>2341100000</v>
      </c>
      <c r="W116">
        <v>3121900000</v>
      </c>
      <c r="X116">
        <v>3323100000</v>
      </c>
    </row>
    <row r="117" spans="1:24">
      <c r="A117">
        <v>415</v>
      </c>
      <c r="B117" t="s">
        <v>332</v>
      </c>
      <c r="C117">
        <v>1</v>
      </c>
      <c r="D117" t="s">
        <v>333</v>
      </c>
      <c r="E117">
        <v>21</v>
      </c>
      <c r="F117">
        <v>21</v>
      </c>
      <c r="G117">
        <v>18</v>
      </c>
      <c r="H117" t="s">
        <v>332</v>
      </c>
      <c r="I117">
        <v>55.1</v>
      </c>
      <c r="J117">
        <v>38.298000000000002</v>
      </c>
      <c r="K117" t="str">
        <f>"APOH"</f>
        <v>APOH</v>
      </c>
      <c r="L117" t="str">
        <f>"APOH"</f>
        <v>APOH</v>
      </c>
      <c r="M117" s="8">
        <v>11644000000</v>
      </c>
      <c r="N117">
        <v>4302700000</v>
      </c>
      <c r="O117">
        <v>4943700000</v>
      </c>
      <c r="P117" s="8">
        <v>5573000000</v>
      </c>
      <c r="Q117" s="8">
        <v>10495000000</v>
      </c>
      <c r="R117">
        <v>4210700000</v>
      </c>
      <c r="S117">
        <v>6768800000</v>
      </c>
      <c r="T117" s="8">
        <v>10500000000</v>
      </c>
      <c r="U117">
        <v>3836200000</v>
      </c>
      <c r="V117">
        <v>3953600000</v>
      </c>
      <c r="W117">
        <v>9620300000</v>
      </c>
      <c r="X117">
        <v>3511300000</v>
      </c>
    </row>
    <row r="118" spans="1:24">
      <c r="A118">
        <v>424</v>
      </c>
      <c r="B118" t="s">
        <v>334</v>
      </c>
      <c r="C118">
        <v>1</v>
      </c>
      <c r="D118" t="s">
        <v>335</v>
      </c>
      <c r="E118">
        <v>13</v>
      </c>
      <c r="F118">
        <v>13</v>
      </c>
      <c r="G118">
        <v>13</v>
      </c>
      <c r="H118" t="s">
        <v>334</v>
      </c>
      <c r="I118">
        <v>57</v>
      </c>
      <c r="J118">
        <v>13.894</v>
      </c>
      <c r="K118" t="str">
        <f>"PPBP"</f>
        <v>PPBP</v>
      </c>
      <c r="L118" t="str">
        <f>"PPBP"</f>
        <v>PPBP</v>
      </c>
      <c r="M118">
        <v>2585400000</v>
      </c>
      <c r="N118">
        <v>5121200000</v>
      </c>
      <c r="O118">
        <v>6305900000</v>
      </c>
      <c r="P118" s="8">
        <v>11063000000</v>
      </c>
      <c r="Q118" s="8">
        <v>10221000000</v>
      </c>
      <c r="R118" s="8">
        <v>16343000000</v>
      </c>
      <c r="S118">
        <v>5605200000</v>
      </c>
      <c r="T118" s="8">
        <v>10050000000</v>
      </c>
      <c r="U118" s="8">
        <v>8915000000</v>
      </c>
      <c r="V118" s="8">
        <v>12815000000</v>
      </c>
      <c r="W118">
        <v>1267800000</v>
      </c>
      <c r="X118">
        <v>3162100000</v>
      </c>
    </row>
    <row r="119" spans="1:24">
      <c r="A119">
        <v>188</v>
      </c>
      <c r="B119" t="s">
        <v>336</v>
      </c>
      <c r="C119">
        <v>5</v>
      </c>
      <c r="D119" t="s">
        <v>337</v>
      </c>
      <c r="E119">
        <v>46</v>
      </c>
      <c r="F119">
        <v>46</v>
      </c>
      <c r="G119">
        <v>46</v>
      </c>
      <c r="H119" t="s">
        <v>338</v>
      </c>
      <c r="I119">
        <v>39.700000000000003</v>
      </c>
      <c r="J119">
        <v>138.91</v>
      </c>
      <c r="K119" t="str">
        <f>"DIAPH1;MYO18B"</f>
        <v>DIAPH1;MYO18B</v>
      </c>
      <c r="L119" t="str">
        <f>"DIAPH1;MYO18B"</f>
        <v>DIAPH1;MYO18B</v>
      </c>
      <c r="M119">
        <v>457380000</v>
      </c>
      <c r="N119">
        <v>2449100000</v>
      </c>
      <c r="O119">
        <v>2055200000</v>
      </c>
      <c r="P119">
        <v>719690000</v>
      </c>
      <c r="Q119">
        <v>252470000</v>
      </c>
      <c r="R119">
        <v>1438700000</v>
      </c>
      <c r="S119">
        <v>1301600000</v>
      </c>
      <c r="T119">
        <v>873520000</v>
      </c>
      <c r="U119">
        <v>828010000</v>
      </c>
      <c r="V119">
        <v>1670200000</v>
      </c>
      <c r="W119">
        <v>937220000</v>
      </c>
      <c r="X119">
        <v>1239700000</v>
      </c>
    </row>
    <row r="120" spans="1:24">
      <c r="A120">
        <v>1215</v>
      </c>
      <c r="B120" t="s">
        <v>339</v>
      </c>
      <c r="C120">
        <v>3</v>
      </c>
      <c r="D120" t="s">
        <v>340</v>
      </c>
      <c r="E120">
        <v>19</v>
      </c>
      <c r="F120">
        <v>19</v>
      </c>
      <c r="G120">
        <v>19</v>
      </c>
      <c r="H120" t="s">
        <v>341</v>
      </c>
      <c r="I120">
        <v>76.7</v>
      </c>
      <c r="J120">
        <v>26.669</v>
      </c>
      <c r="K120" t="str">
        <f>"TPI1"</f>
        <v>TPI1</v>
      </c>
      <c r="L120" t="str">
        <f>"TPI1"</f>
        <v>TPI1</v>
      </c>
      <c r="M120">
        <v>2923400000</v>
      </c>
      <c r="N120">
        <v>3602400000</v>
      </c>
      <c r="O120">
        <v>3905700000</v>
      </c>
      <c r="P120">
        <v>3502600000</v>
      </c>
      <c r="Q120">
        <v>3345700000</v>
      </c>
      <c r="R120">
        <v>5215500000</v>
      </c>
      <c r="S120">
        <v>2914400000</v>
      </c>
      <c r="T120">
        <v>3726600000</v>
      </c>
      <c r="U120">
        <v>3585400000</v>
      </c>
      <c r="V120">
        <v>3956900000</v>
      </c>
      <c r="W120">
        <v>3607700000</v>
      </c>
      <c r="X120" s="8">
        <v>3589000000</v>
      </c>
    </row>
    <row r="121" spans="1:24">
      <c r="A121">
        <v>1058</v>
      </c>
      <c r="B121" t="s">
        <v>342</v>
      </c>
      <c r="C121">
        <v>2</v>
      </c>
      <c r="D121" t="s">
        <v>343</v>
      </c>
      <c r="E121">
        <v>25</v>
      </c>
      <c r="F121">
        <v>25</v>
      </c>
      <c r="G121">
        <v>25</v>
      </c>
      <c r="H121" t="s">
        <v>344</v>
      </c>
      <c r="I121">
        <v>78.7</v>
      </c>
      <c r="J121">
        <v>30.628</v>
      </c>
      <c r="K121" t="str">
        <f>"CAPZB"</f>
        <v>CAPZB</v>
      </c>
      <c r="L121" t="str">
        <f>"CAPZB"</f>
        <v>CAPZB</v>
      </c>
      <c r="M121">
        <v>2020500000</v>
      </c>
      <c r="N121">
        <v>3121400000</v>
      </c>
      <c r="O121">
        <v>3610100000</v>
      </c>
      <c r="P121">
        <v>2423100000</v>
      </c>
      <c r="Q121">
        <v>1901500000</v>
      </c>
      <c r="R121">
        <v>2111200000</v>
      </c>
      <c r="S121">
        <v>2572200000</v>
      </c>
      <c r="T121">
        <v>2043300000</v>
      </c>
      <c r="U121" s="8">
        <v>2577000000</v>
      </c>
      <c r="V121">
        <v>2333600000</v>
      </c>
      <c r="W121">
        <v>2214100000</v>
      </c>
      <c r="X121">
        <v>2705500000</v>
      </c>
    </row>
    <row r="122" spans="1:24">
      <c r="A122">
        <v>480</v>
      </c>
      <c r="B122" t="s">
        <v>345</v>
      </c>
      <c r="C122">
        <v>4</v>
      </c>
      <c r="D122" t="s">
        <v>346</v>
      </c>
      <c r="E122">
        <v>25</v>
      </c>
      <c r="F122">
        <v>25</v>
      </c>
      <c r="G122">
        <v>25</v>
      </c>
      <c r="H122" t="s">
        <v>347</v>
      </c>
      <c r="I122">
        <v>45.8</v>
      </c>
      <c r="J122">
        <v>49.756999999999998</v>
      </c>
      <c r="K122" t="str">
        <f>"SERPING1"</f>
        <v>SERPING1</v>
      </c>
      <c r="L122" t="str">
        <f>"SERPING1"</f>
        <v>SERPING1</v>
      </c>
      <c r="M122">
        <v>2074500000</v>
      </c>
      <c r="N122">
        <v>1950500000</v>
      </c>
      <c r="O122">
        <v>1104100000</v>
      </c>
      <c r="P122">
        <v>5888700000</v>
      </c>
      <c r="Q122" s="8">
        <v>10308000000</v>
      </c>
      <c r="R122">
        <v>5592700000</v>
      </c>
      <c r="S122" s="8">
        <v>11340000000</v>
      </c>
      <c r="T122">
        <v>9967200000</v>
      </c>
      <c r="U122" s="8">
        <v>11998000000</v>
      </c>
      <c r="V122">
        <v>7684200000</v>
      </c>
      <c r="W122">
        <v>444170000</v>
      </c>
      <c r="X122">
        <v>1416800000</v>
      </c>
    </row>
    <row r="123" spans="1:24">
      <c r="A123">
        <v>606</v>
      </c>
      <c r="B123" t="s">
        <v>348</v>
      </c>
      <c r="C123">
        <v>3</v>
      </c>
      <c r="D123" t="s">
        <v>349</v>
      </c>
      <c r="E123">
        <v>37</v>
      </c>
      <c r="F123">
        <v>32</v>
      </c>
      <c r="G123">
        <v>20</v>
      </c>
      <c r="H123" t="s">
        <v>350</v>
      </c>
      <c r="I123">
        <v>56.9</v>
      </c>
      <c r="J123">
        <v>70.051000000000002</v>
      </c>
      <c r="K123" t="str">
        <f>"HSPA1B;HSPA1A"</f>
        <v>HSPA1B;HSPA1A</v>
      </c>
      <c r="L123" t="str">
        <f>"HSPA1B;HSPA1A"</f>
        <v>HSPA1B;HSPA1A</v>
      </c>
      <c r="M123">
        <v>1460200000</v>
      </c>
      <c r="N123">
        <v>3039600000</v>
      </c>
      <c r="O123">
        <v>2664900000</v>
      </c>
      <c r="P123">
        <v>2278600000</v>
      </c>
      <c r="Q123">
        <v>2167900000</v>
      </c>
      <c r="R123">
        <v>2517200000</v>
      </c>
      <c r="S123">
        <v>3022700000</v>
      </c>
      <c r="T123">
        <v>1954300000</v>
      </c>
      <c r="U123">
        <v>2630300000</v>
      </c>
      <c r="V123">
        <v>2136700000</v>
      </c>
      <c r="W123">
        <v>2178200000</v>
      </c>
      <c r="X123">
        <v>2654700000</v>
      </c>
    </row>
    <row r="124" spans="1:24">
      <c r="A124">
        <v>800</v>
      </c>
      <c r="B124" t="s">
        <v>351</v>
      </c>
      <c r="C124">
        <v>8</v>
      </c>
      <c r="D124" t="s">
        <v>352</v>
      </c>
      <c r="E124">
        <v>42</v>
      </c>
      <c r="F124">
        <v>42</v>
      </c>
      <c r="G124">
        <v>42</v>
      </c>
      <c r="H124" t="s">
        <v>353</v>
      </c>
      <c r="I124">
        <v>44.4</v>
      </c>
      <c r="J124">
        <v>119.09</v>
      </c>
      <c r="K124" t="str">
        <f>"ITGA6"</f>
        <v>ITGA6</v>
      </c>
      <c r="L124" t="str">
        <f>"ITGA6"</f>
        <v>ITGA6</v>
      </c>
      <c r="M124">
        <v>1211600000</v>
      </c>
      <c r="N124">
        <v>1657600000</v>
      </c>
      <c r="O124">
        <v>1511100000</v>
      </c>
      <c r="P124">
        <v>1160100000</v>
      </c>
      <c r="Q124">
        <v>1009800000</v>
      </c>
      <c r="R124">
        <v>1369900000</v>
      </c>
      <c r="S124">
        <v>1854700000</v>
      </c>
      <c r="T124">
        <v>1472600000</v>
      </c>
      <c r="U124" s="8">
        <v>1645000000</v>
      </c>
      <c r="V124">
        <v>1225800000</v>
      </c>
      <c r="W124">
        <v>1375800000</v>
      </c>
      <c r="X124">
        <v>1691900000</v>
      </c>
    </row>
    <row r="125" spans="1:24">
      <c r="A125">
        <v>529</v>
      </c>
      <c r="B125" t="s">
        <v>354</v>
      </c>
      <c r="C125">
        <v>1</v>
      </c>
      <c r="D125" t="s">
        <v>355</v>
      </c>
      <c r="E125">
        <v>20</v>
      </c>
      <c r="F125">
        <v>20</v>
      </c>
      <c r="G125">
        <v>20</v>
      </c>
      <c r="H125" t="s">
        <v>354</v>
      </c>
      <c r="I125">
        <v>27.8</v>
      </c>
      <c r="J125">
        <v>71.539000000000001</v>
      </c>
      <c r="K125" t="str">
        <f>"GP1BA"</f>
        <v>GP1BA</v>
      </c>
      <c r="L125" t="str">
        <f>"GP1BA"</f>
        <v>GP1BA</v>
      </c>
      <c r="M125">
        <v>3476300000</v>
      </c>
      <c r="N125">
        <v>2932600000</v>
      </c>
      <c r="O125">
        <v>2178700000</v>
      </c>
      <c r="P125" s="8">
        <v>6260000000</v>
      </c>
      <c r="Q125">
        <v>4763900000</v>
      </c>
      <c r="R125" s="8">
        <v>7165000000</v>
      </c>
      <c r="S125">
        <v>5404300000</v>
      </c>
      <c r="T125">
        <v>6371600000</v>
      </c>
      <c r="U125">
        <v>7724100000</v>
      </c>
      <c r="V125">
        <v>8034800000</v>
      </c>
      <c r="W125">
        <v>1240700000</v>
      </c>
      <c r="X125">
        <v>4512500000</v>
      </c>
    </row>
    <row r="126" spans="1:24">
      <c r="A126">
        <v>384</v>
      </c>
      <c r="B126" t="s">
        <v>356</v>
      </c>
      <c r="C126">
        <v>1</v>
      </c>
      <c r="D126" t="s">
        <v>357</v>
      </c>
      <c r="E126">
        <v>28</v>
      </c>
      <c r="F126">
        <v>9</v>
      </c>
      <c r="G126">
        <v>9</v>
      </c>
      <c r="H126" t="s">
        <v>356</v>
      </c>
      <c r="I126">
        <v>61.8</v>
      </c>
      <c r="J126">
        <v>41.286999999999999</v>
      </c>
      <c r="K126" t="str">
        <f>"IGHG3"</f>
        <v>IGHG3</v>
      </c>
      <c r="L126" t="str">
        <f>"IGHG3"</f>
        <v>IGHG3</v>
      </c>
      <c r="M126">
        <v>3574100000</v>
      </c>
      <c r="N126">
        <v>2850500000</v>
      </c>
      <c r="O126">
        <v>6890900000</v>
      </c>
      <c r="P126">
        <v>5839700000</v>
      </c>
      <c r="Q126" s="8">
        <v>11806000000</v>
      </c>
      <c r="R126" s="8">
        <v>3839000000</v>
      </c>
      <c r="S126">
        <v>3306700000</v>
      </c>
      <c r="T126">
        <v>6362400000</v>
      </c>
      <c r="U126">
        <v>3003900000</v>
      </c>
      <c r="V126">
        <v>2963600000</v>
      </c>
      <c r="W126">
        <v>3208700000</v>
      </c>
      <c r="X126">
        <v>5132200000</v>
      </c>
    </row>
    <row r="127" spans="1:24">
      <c r="A127">
        <v>1152</v>
      </c>
      <c r="B127" t="s">
        <v>358</v>
      </c>
      <c r="C127">
        <v>1</v>
      </c>
      <c r="D127" t="s">
        <v>359</v>
      </c>
      <c r="E127">
        <v>18</v>
      </c>
      <c r="F127">
        <v>18</v>
      </c>
      <c r="G127">
        <v>18</v>
      </c>
      <c r="H127" t="s">
        <v>358</v>
      </c>
      <c r="I127">
        <v>80.099999999999994</v>
      </c>
      <c r="J127">
        <v>22.988</v>
      </c>
      <c r="K127" t="str">
        <f>"ARHGDIB"</f>
        <v>ARHGDIB</v>
      </c>
      <c r="L127" t="str">
        <f>"ARHGDIB"</f>
        <v>ARHGDIB</v>
      </c>
      <c r="M127" s="8">
        <v>3173000000</v>
      </c>
      <c r="N127">
        <v>2832700000</v>
      </c>
      <c r="O127">
        <v>2943200000</v>
      </c>
      <c r="P127">
        <v>3454700000</v>
      </c>
      <c r="Q127">
        <v>2281200000</v>
      </c>
      <c r="R127">
        <v>3495400000</v>
      </c>
      <c r="S127">
        <v>2041300000</v>
      </c>
      <c r="T127">
        <v>1745500000</v>
      </c>
      <c r="U127">
        <v>2690100000</v>
      </c>
      <c r="V127">
        <v>3302400000</v>
      </c>
      <c r="W127">
        <v>3296400000</v>
      </c>
      <c r="X127">
        <v>3095200000</v>
      </c>
    </row>
    <row r="128" spans="1:24">
      <c r="A128">
        <v>852</v>
      </c>
      <c r="B128" t="s">
        <v>360</v>
      </c>
      <c r="C128">
        <v>3</v>
      </c>
      <c r="D128" t="s">
        <v>361</v>
      </c>
      <c r="E128">
        <v>34</v>
      </c>
      <c r="F128">
        <v>34</v>
      </c>
      <c r="G128">
        <v>33</v>
      </c>
      <c r="H128" t="s">
        <v>362</v>
      </c>
      <c r="I128">
        <v>43.6</v>
      </c>
      <c r="J128">
        <v>67.566999999999993</v>
      </c>
      <c r="K128" t="str">
        <f>"CANX"</f>
        <v>CANX</v>
      </c>
      <c r="L128" t="str">
        <f>"CANX"</f>
        <v>CANX</v>
      </c>
      <c r="M128" s="8">
        <v>1854000000</v>
      </c>
      <c r="N128">
        <v>3274400000</v>
      </c>
      <c r="O128" s="8">
        <v>3063000000</v>
      </c>
      <c r="P128">
        <v>1395800000</v>
      </c>
      <c r="Q128">
        <v>1712200000</v>
      </c>
      <c r="R128">
        <v>2617700000</v>
      </c>
      <c r="S128">
        <v>2853600000</v>
      </c>
      <c r="T128">
        <v>1803900000</v>
      </c>
      <c r="U128">
        <v>3257400000</v>
      </c>
      <c r="V128" s="8">
        <v>2279000000</v>
      </c>
      <c r="W128">
        <v>2348300000</v>
      </c>
      <c r="X128">
        <v>2518400000</v>
      </c>
    </row>
    <row r="129" spans="1:24">
      <c r="A129">
        <v>1494</v>
      </c>
      <c r="B129" t="s">
        <v>363</v>
      </c>
      <c r="C129">
        <v>3</v>
      </c>
      <c r="D129" t="s">
        <v>364</v>
      </c>
      <c r="E129">
        <v>40</v>
      </c>
      <c r="F129">
        <v>40</v>
      </c>
      <c r="G129">
        <v>40</v>
      </c>
      <c r="H129" t="s">
        <v>365</v>
      </c>
      <c r="I129">
        <v>60.8</v>
      </c>
      <c r="J129">
        <v>57.466000000000001</v>
      </c>
      <c r="K129" t="str">
        <f>"CTTN"</f>
        <v>CTTN</v>
      </c>
      <c r="L129" t="str">
        <f>"CTTN"</f>
        <v>CTTN</v>
      </c>
      <c r="M129">
        <v>1161200000</v>
      </c>
      <c r="N129">
        <v>2086900000</v>
      </c>
      <c r="O129">
        <v>2196200000</v>
      </c>
      <c r="P129" s="8">
        <v>2389000000</v>
      </c>
      <c r="Q129">
        <v>994840000</v>
      </c>
      <c r="R129" s="8">
        <v>1861000000</v>
      </c>
      <c r="S129">
        <v>1018100000</v>
      </c>
      <c r="T129">
        <v>1412200000</v>
      </c>
      <c r="U129">
        <v>1805900000</v>
      </c>
      <c r="V129">
        <v>1998700000</v>
      </c>
      <c r="W129">
        <v>1426800000</v>
      </c>
      <c r="X129">
        <v>2202700000</v>
      </c>
    </row>
    <row r="130" spans="1:24">
      <c r="A130">
        <v>803</v>
      </c>
      <c r="B130" t="s">
        <v>366</v>
      </c>
      <c r="C130">
        <v>1</v>
      </c>
      <c r="D130" t="s">
        <v>367</v>
      </c>
      <c r="E130">
        <v>16</v>
      </c>
      <c r="F130">
        <v>16</v>
      </c>
      <c r="G130">
        <v>16</v>
      </c>
      <c r="H130" t="s">
        <v>366</v>
      </c>
      <c r="I130">
        <v>61.6</v>
      </c>
      <c r="J130">
        <v>23.742000000000001</v>
      </c>
      <c r="K130" t="str">
        <f>"PPIB"</f>
        <v>PPIB</v>
      </c>
      <c r="L130" t="str">
        <f>"PPIB"</f>
        <v>PPIB</v>
      </c>
      <c r="M130">
        <v>2728100000</v>
      </c>
      <c r="N130" s="8">
        <v>3758000000</v>
      </c>
      <c r="O130">
        <v>4801100000</v>
      </c>
      <c r="P130">
        <v>3486500000</v>
      </c>
      <c r="Q130">
        <v>3192900000</v>
      </c>
      <c r="R130">
        <v>5419100000</v>
      </c>
      <c r="S130">
        <v>3980300000</v>
      </c>
      <c r="T130">
        <v>3228500000</v>
      </c>
      <c r="U130" s="8">
        <v>4825000000</v>
      </c>
      <c r="V130">
        <v>4083800000</v>
      </c>
      <c r="W130">
        <v>4021700000</v>
      </c>
      <c r="X130">
        <v>5032900000</v>
      </c>
    </row>
    <row r="131" spans="1:24">
      <c r="A131">
        <v>916</v>
      </c>
      <c r="B131" t="s">
        <v>368</v>
      </c>
      <c r="C131">
        <v>3</v>
      </c>
      <c r="D131" t="s">
        <v>369</v>
      </c>
      <c r="E131">
        <v>24</v>
      </c>
      <c r="F131">
        <v>24</v>
      </c>
      <c r="G131">
        <v>23</v>
      </c>
      <c r="H131" t="s">
        <v>370</v>
      </c>
      <c r="I131">
        <v>58.3</v>
      </c>
      <c r="J131">
        <v>42.741</v>
      </c>
      <c r="K131" t="str">
        <f>"SERPINB1;SERPINI2"</f>
        <v>SERPINB1;SERPINI2</v>
      </c>
      <c r="L131" t="str">
        <f>"SERPINB1;SERPINI2"</f>
        <v>SERPINB1;SERPINI2</v>
      </c>
      <c r="M131">
        <v>2529800000</v>
      </c>
      <c r="N131">
        <v>3419700000</v>
      </c>
      <c r="O131">
        <v>3426400000</v>
      </c>
      <c r="P131">
        <v>2757900000</v>
      </c>
      <c r="Q131">
        <v>2584600000</v>
      </c>
      <c r="R131">
        <v>3707100000</v>
      </c>
      <c r="S131">
        <v>2333500000</v>
      </c>
      <c r="T131">
        <v>3260900000</v>
      </c>
      <c r="U131" s="8">
        <v>3437000000</v>
      </c>
      <c r="V131">
        <v>3657900000</v>
      </c>
      <c r="W131">
        <v>3429900000</v>
      </c>
      <c r="X131">
        <v>3730600000</v>
      </c>
    </row>
    <row r="132" spans="1:24">
      <c r="A132">
        <v>399</v>
      </c>
      <c r="B132" t="s">
        <v>371</v>
      </c>
      <c r="C132">
        <v>2</v>
      </c>
      <c r="D132" t="s">
        <v>372</v>
      </c>
      <c r="E132">
        <v>27</v>
      </c>
      <c r="F132">
        <v>27</v>
      </c>
      <c r="G132">
        <v>27</v>
      </c>
      <c r="H132" t="s">
        <v>373</v>
      </c>
      <c r="I132">
        <v>71</v>
      </c>
      <c r="J132">
        <v>36.154000000000003</v>
      </c>
      <c r="K132" t="str">
        <f>"APOE"</f>
        <v>APOE</v>
      </c>
      <c r="L132" t="str">
        <f>"APOE"</f>
        <v>APOE</v>
      </c>
      <c r="M132">
        <v>4425600000</v>
      </c>
      <c r="N132" s="8">
        <v>4086000000</v>
      </c>
      <c r="O132">
        <v>6540500000</v>
      </c>
      <c r="P132">
        <v>3649200000</v>
      </c>
      <c r="Q132">
        <v>2537800000</v>
      </c>
      <c r="R132" s="8">
        <v>1455000000</v>
      </c>
      <c r="S132">
        <v>6673400000</v>
      </c>
      <c r="T132">
        <v>3359600000</v>
      </c>
      <c r="U132">
        <v>3314300000</v>
      </c>
      <c r="V132">
        <v>2554500000</v>
      </c>
      <c r="W132">
        <v>2914900000</v>
      </c>
      <c r="X132">
        <v>1140300000</v>
      </c>
    </row>
    <row r="133" spans="1:24">
      <c r="A133">
        <v>421</v>
      </c>
      <c r="B133" t="s">
        <v>374</v>
      </c>
      <c r="C133">
        <v>1</v>
      </c>
      <c r="D133" t="s">
        <v>375</v>
      </c>
      <c r="E133">
        <v>10</v>
      </c>
      <c r="F133">
        <v>10</v>
      </c>
      <c r="G133">
        <v>8</v>
      </c>
      <c r="H133" t="s">
        <v>374</v>
      </c>
      <c r="I133">
        <v>27.8</v>
      </c>
      <c r="J133">
        <v>39.323999999999998</v>
      </c>
      <c r="K133" t="str">
        <f>"AHSG"</f>
        <v>AHSG</v>
      </c>
      <c r="L133" t="str">
        <f>"AHSG"</f>
        <v>AHSG</v>
      </c>
      <c r="M133">
        <v>8617500000</v>
      </c>
      <c r="N133">
        <v>3238200000</v>
      </c>
      <c r="O133">
        <v>4844600000</v>
      </c>
      <c r="P133">
        <v>6081600000</v>
      </c>
      <c r="Q133" s="8">
        <v>10426000000</v>
      </c>
      <c r="R133">
        <v>2845200000</v>
      </c>
      <c r="S133">
        <v>5433400000</v>
      </c>
      <c r="T133">
        <v>7854500000</v>
      </c>
      <c r="U133">
        <v>4020900000</v>
      </c>
      <c r="V133">
        <v>5825500000</v>
      </c>
      <c r="W133" s="8">
        <v>6048000000</v>
      </c>
      <c r="X133" s="8">
        <v>3050000000</v>
      </c>
    </row>
    <row r="134" spans="1:24">
      <c r="A134">
        <v>292</v>
      </c>
      <c r="B134" t="s">
        <v>376</v>
      </c>
      <c r="C134">
        <v>6</v>
      </c>
      <c r="D134" t="s">
        <v>377</v>
      </c>
      <c r="E134">
        <v>20</v>
      </c>
      <c r="F134">
        <v>20</v>
      </c>
      <c r="G134">
        <v>19</v>
      </c>
      <c r="H134" t="s">
        <v>378</v>
      </c>
      <c r="I134">
        <v>61.7</v>
      </c>
      <c r="J134">
        <v>36.688000000000002</v>
      </c>
      <c r="K134" t="str">
        <f>"LDHA;LDHAL6A"</f>
        <v>LDHA;LDHAL6A</v>
      </c>
      <c r="L134" t="str">
        <f>"LDHA;LDHAL6A"</f>
        <v>LDHA;LDHAL6A</v>
      </c>
      <c r="M134">
        <v>2693200000</v>
      </c>
      <c r="N134">
        <v>2934200000</v>
      </c>
      <c r="O134">
        <v>3481500000</v>
      </c>
      <c r="P134">
        <v>3574800000</v>
      </c>
      <c r="Q134">
        <v>2708800000</v>
      </c>
      <c r="R134">
        <v>4145100000</v>
      </c>
      <c r="S134" s="8">
        <v>3842000000</v>
      </c>
      <c r="T134" s="8">
        <v>3080000000</v>
      </c>
      <c r="U134">
        <v>4589600000</v>
      </c>
      <c r="V134">
        <v>3754100000</v>
      </c>
      <c r="W134">
        <v>4296100000</v>
      </c>
      <c r="X134" s="8">
        <v>3724000000</v>
      </c>
    </row>
    <row r="135" spans="1:24">
      <c r="A135">
        <v>639</v>
      </c>
      <c r="B135" t="s">
        <v>379</v>
      </c>
      <c r="C135">
        <v>3</v>
      </c>
      <c r="D135" t="s">
        <v>380</v>
      </c>
      <c r="E135">
        <v>35</v>
      </c>
      <c r="F135">
        <v>35</v>
      </c>
      <c r="G135">
        <v>35</v>
      </c>
      <c r="H135" t="s">
        <v>381</v>
      </c>
      <c r="I135">
        <v>65.8</v>
      </c>
      <c r="J135">
        <v>59.256</v>
      </c>
      <c r="K135" t="str">
        <f>"G6PD"</f>
        <v>G6PD</v>
      </c>
      <c r="L135" t="str">
        <f>"G6PD"</f>
        <v>G6PD</v>
      </c>
      <c r="M135">
        <v>2258200000</v>
      </c>
      <c r="N135">
        <v>1794600000</v>
      </c>
      <c r="O135">
        <v>2234600000</v>
      </c>
      <c r="P135">
        <v>2221600000</v>
      </c>
      <c r="Q135">
        <v>1152900000</v>
      </c>
      <c r="R135">
        <v>2139700000</v>
      </c>
      <c r="S135">
        <v>2339200000</v>
      </c>
      <c r="T135">
        <v>2149200000</v>
      </c>
      <c r="U135">
        <v>1743600000</v>
      </c>
      <c r="V135">
        <v>2157400000</v>
      </c>
      <c r="W135">
        <v>1820400000</v>
      </c>
      <c r="X135">
        <v>2404100000</v>
      </c>
    </row>
    <row r="136" spans="1:24">
      <c r="A136">
        <v>65</v>
      </c>
      <c r="B136" t="s">
        <v>382</v>
      </c>
      <c r="C136">
        <v>1</v>
      </c>
      <c r="D136" t="s">
        <v>383</v>
      </c>
      <c r="E136">
        <v>19</v>
      </c>
      <c r="F136">
        <v>19</v>
      </c>
      <c r="G136">
        <v>19</v>
      </c>
      <c r="H136" t="s">
        <v>382</v>
      </c>
      <c r="I136">
        <v>84.2</v>
      </c>
      <c r="J136">
        <v>26.922000000000001</v>
      </c>
      <c r="K136" t="str">
        <f>"CLIC1"</f>
        <v>CLIC1</v>
      </c>
      <c r="L136" t="str">
        <f>"CLIC1"</f>
        <v>CLIC1</v>
      </c>
      <c r="M136">
        <v>4634200000</v>
      </c>
      <c r="N136">
        <v>5301300000</v>
      </c>
      <c r="O136">
        <v>5541200000</v>
      </c>
      <c r="P136">
        <v>4614700000</v>
      </c>
      <c r="Q136">
        <v>3810700000</v>
      </c>
      <c r="R136">
        <v>5504300000</v>
      </c>
      <c r="S136">
        <v>5231900000</v>
      </c>
      <c r="T136">
        <v>5916400000</v>
      </c>
      <c r="U136">
        <v>6245500000</v>
      </c>
      <c r="V136">
        <v>4932200000</v>
      </c>
      <c r="W136">
        <v>6975300000</v>
      </c>
      <c r="X136">
        <v>5838600000</v>
      </c>
    </row>
    <row r="137" spans="1:24">
      <c r="A137">
        <v>103</v>
      </c>
      <c r="B137" t="s">
        <v>384</v>
      </c>
      <c r="C137">
        <v>2</v>
      </c>
      <c r="D137" t="s">
        <v>385</v>
      </c>
      <c r="E137">
        <v>12</v>
      </c>
      <c r="F137">
        <v>12</v>
      </c>
      <c r="G137">
        <v>5</v>
      </c>
      <c r="H137" t="s">
        <v>386</v>
      </c>
      <c r="I137">
        <v>66.7</v>
      </c>
      <c r="J137">
        <v>19.794</v>
      </c>
      <c r="K137" t="str">
        <f>"MYL12A;MYL12B"</f>
        <v>MYL12A;MYL12B</v>
      </c>
      <c r="L137" t="str">
        <f>"MYL12A;MYL12B"</f>
        <v>MYL12A;MYL12B</v>
      </c>
      <c r="M137">
        <v>2246400000</v>
      </c>
      <c r="N137">
        <v>3644400000</v>
      </c>
      <c r="O137" s="8">
        <v>2993000000</v>
      </c>
      <c r="P137">
        <v>3720100000</v>
      </c>
      <c r="Q137">
        <v>3062300000</v>
      </c>
      <c r="R137">
        <v>3768200000</v>
      </c>
      <c r="S137">
        <v>5268200000</v>
      </c>
      <c r="T137">
        <v>2817700000</v>
      </c>
      <c r="U137">
        <v>5797400000</v>
      </c>
      <c r="V137">
        <v>2498700000</v>
      </c>
      <c r="W137" s="8">
        <v>4312000000</v>
      </c>
      <c r="X137">
        <v>4326800000</v>
      </c>
    </row>
    <row r="138" spans="1:24">
      <c r="A138">
        <v>817</v>
      </c>
      <c r="B138" t="s">
        <v>387</v>
      </c>
      <c r="C138">
        <v>4</v>
      </c>
      <c r="D138" t="s">
        <v>388</v>
      </c>
      <c r="E138">
        <v>32</v>
      </c>
      <c r="F138">
        <v>32</v>
      </c>
      <c r="G138">
        <v>32</v>
      </c>
      <c r="H138" t="s">
        <v>389</v>
      </c>
      <c r="I138">
        <v>61.4</v>
      </c>
      <c r="J138">
        <v>60.518000000000001</v>
      </c>
      <c r="K138" t="str">
        <f>"TBXAS1"</f>
        <v>TBXAS1</v>
      </c>
      <c r="L138" t="str">
        <f>"TBXAS1"</f>
        <v>TBXAS1</v>
      </c>
      <c r="M138">
        <v>1668200000</v>
      </c>
      <c r="N138">
        <v>2931800000</v>
      </c>
      <c r="O138">
        <v>3018200000</v>
      </c>
      <c r="P138">
        <v>2787200000</v>
      </c>
      <c r="Q138">
        <v>1342600000</v>
      </c>
      <c r="R138">
        <v>2411100000</v>
      </c>
      <c r="S138">
        <v>2860400000</v>
      </c>
      <c r="T138">
        <v>2517700000</v>
      </c>
      <c r="U138">
        <v>2772500000</v>
      </c>
      <c r="V138">
        <v>2480900000</v>
      </c>
      <c r="W138">
        <v>2120400000</v>
      </c>
      <c r="X138">
        <v>3148100000</v>
      </c>
    </row>
    <row r="139" spans="1:24">
      <c r="A139">
        <v>1040</v>
      </c>
      <c r="B139" t="s">
        <v>390</v>
      </c>
      <c r="C139">
        <v>2</v>
      </c>
      <c r="D139" t="s">
        <v>391</v>
      </c>
      <c r="E139">
        <v>37</v>
      </c>
      <c r="F139">
        <v>37</v>
      </c>
      <c r="G139">
        <v>37</v>
      </c>
      <c r="H139" t="s">
        <v>392</v>
      </c>
      <c r="I139">
        <v>57.8</v>
      </c>
      <c r="J139">
        <v>69.067999999999998</v>
      </c>
      <c r="K139" t="str">
        <f>"AFM"</f>
        <v>AFM</v>
      </c>
      <c r="L139" t="str">
        <f>"AFM"</f>
        <v>AFM</v>
      </c>
      <c r="M139">
        <v>3531200000</v>
      </c>
      <c r="N139">
        <v>1464600000</v>
      </c>
      <c r="O139">
        <v>1869100000</v>
      </c>
      <c r="P139">
        <v>1671500000</v>
      </c>
      <c r="Q139" s="8">
        <v>2105000000</v>
      </c>
      <c r="R139">
        <v>1195400000</v>
      </c>
      <c r="S139">
        <v>2205800000</v>
      </c>
      <c r="T139">
        <v>3053400000</v>
      </c>
      <c r="U139">
        <v>1344600000</v>
      </c>
      <c r="V139">
        <v>1599400000</v>
      </c>
      <c r="W139">
        <v>3546700000</v>
      </c>
      <c r="X139">
        <v>1026100000</v>
      </c>
    </row>
    <row r="140" spans="1:24">
      <c r="A140">
        <v>118</v>
      </c>
      <c r="B140" t="s">
        <v>393</v>
      </c>
      <c r="C140">
        <v>1</v>
      </c>
      <c r="D140" t="s">
        <v>394</v>
      </c>
      <c r="E140">
        <v>23</v>
      </c>
      <c r="F140">
        <v>23</v>
      </c>
      <c r="G140">
        <v>22</v>
      </c>
      <c r="H140" t="s">
        <v>393</v>
      </c>
      <c r="I140">
        <v>61.8</v>
      </c>
      <c r="J140">
        <v>40.948999999999998</v>
      </c>
      <c r="K140" t="str">
        <f>"ARPC1B"</f>
        <v>ARPC1B</v>
      </c>
      <c r="L140" t="str">
        <f>"ARPC1B"</f>
        <v>ARPC1B</v>
      </c>
      <c r="M140">
        <v>2023800000</v>
      </c>
      <c r="N140">
        <v>2510800000</v>
      </c>
      <c r="O140">
        <v>2869900000</v>
      </c>
      <c r="P140">
        <v>1990600000</v>
      </c>
      <c r="Q140">
        <v>1486300000</v>
      </c>
      <c r="R140">
        <v>3180900000</v>
      </c>
      <c r="S140" s="8">
        <v>1778000000</v>
      </c>
      <c r="T140">
        <v>2260300000</v>
      </c>
      <c r="U140">
        <v>2400700000</v>
      </c>
      <c r="V140">
        <v>2125100000</v>
      </c>
      <c r="W140">
        <v>2081800000</v>
      </c>
      <c r="X140">
        <v>2608300000</v>
      </c>
    </row>
    <row r="141" spans="1:24">
      <c r="A141">
        <v>119</v>
      </c>
      <c r="B141" t="s">
        <v>395</v>
      </c>
      <c r="C141">
        <v>1</v>
      </c>
      <c r="D141" t="s">
        <v>396</v>
      </c>
      <c r="E141">
        <v>24</v>
      </c>
      <c r="F141">
        <v>24</v>
      </c>
      <c r="G141">
        <v>24</v>
      </c>
      <c r="H141" t="s">
        <v>395</v>
      </c>
      <c r="I141">
        <v>65</v>
      </c>
      <c r="J141">
        <v>34.332999999999998</v>
      </c>
      <c r="K141" t="str">
        <f>"ARPC2"</f>
        <v>ARPC2</v>
      </c>
      <c r="L141" t="str">
        <f>"ARPC2"</f>
        <v>ARPC2</v>
      </c>
      <c r="M141" s="8">
        <v>1827000000</v>
      </c>
      <c r="N141">
        <v>2157800000</v>
      </c>
      <c r="O141">
        <v>2930500000</v>
      </c>
      <c r="P141">
        <v>2399700000</v>
      </c>
      <c r="Q141">
        <v>1622500000</v>
      </c>
      <c r="R141" s="8">
        <v>2522000000</v>
      </c>
      <c r="S141">
        <v>1822400000</v>
      </c>
      <c r="T141">
        <v>1796100000</v>
      </c>
      <c r="U141">
        <v>1619100000</v>
      </c>
      <c r="V141">
        <v>2141500000</v>
      </c>
      <c r="W141" s="8">
        <v>2229000000</v>
      </c>
      <c r="X141">
        <v>2292900000</v>
      </c>
    </row>
    <row r="142" spans="1:24">
      <c r="A142">
        <v>1347</v>
      </c>
      <c r="B142" t="s">
        <v>397</v>
      </c>
      <c r="C142">
        <v>2</v>
      </c>
      <c r="D142" t="s">
        <v>398</v>
      </c>
      <c r="E142">
        <v>35</v>
      </c>
      <c r="F142">
        <v>35</v>
      </c>
      <c r="G142">
        <v>30</v>
      </c>
      <c r="H142" t="s">
        <v>399</v>
      </c>
      <c r="I142">
        <v>45.2</v>
      </c>
      <c r="J142">
        <v>85.594999999999999</v>
      </c>
      <c r="K142" t="str">
        <f>"PFKP"</f>
        <v>PFKP</v>
      </c>
      <c r="L142" t="str">
        <f>"PFKP"</f>
        <v>PFKP</v>
      </c>
      <c r="M142" s="8">
        <v>1609000000</v>
      </c>
      <c r="N142">
        <v>1464800000</v>
      </c>
      <c r="O142">
        <v>1399700000</v>
      </c>
      <c r="P142">
        <v>1140600000</v>
      </c>
      <c r="Q142">
        <v>841420000</v>
      </c>
      <c r="R142">
        <v>2053400000</v>
      </c>
      <c r="S142">
        <v>1726700000</v>
      </c>
      <c r="T142">
        <v>1217800000</v>
      </c>
      <c r="U142">
        <v>1557800000</v>
      </c>
      <c r="V142">
        <v>1195300000</v>
      </c>
      <c r="W142">
        <v>860410000</v>
      </c>
      <c r="X142">
        <v>718930000</v>
      </c>
    </row>
    <row r="143" spans="1:24">
      <c r="A143">
        <v>520</v>
      </c>
      <c r="B143" t="s">
        <v>400</v>
      </c>
      <c r="C143">
        <v>1</v>
      </c>
      <c r="D143" t="s">
        <v>401</v>
      </c>
      <c r="E143">
        <v>18</v>
      </c>
      <c r="F143">
        <v>17</v>
      </c>
      <c r="G143">
        <v>17</v>
      </c>
      <c r="H143" t="s">
        <v>400</v>
      </c>
      <c r="I143">
        <v>48.2</v>
      </c>
      <c r="J143">
        <v>36.637999999999998</v>
      </c>
      <c r="K143" t="str">
        <f>"LDHB"</f>
        <v>LDHB</v>
      </c>
      <c r="L143" t="str">
        <f>"LDHB"</f>
        <v>LDHB</v>
      </c>
      <c r="M143">
        <v>3750300000</v>
      </c>
      <c r="N143">
        <v>4299700000</v>
      </c>
      <c r="O143">
        <v>4702100000</v>
      </c>
      <c r="P143">
        <v>4318600000</v>
      </c>
      <c r="Q143">
        <v>3927800000</v>
      </c>
      <c r="R143">
        <v>3807300000</v>
      </c>
      <c r="S143">
        <v>4436400000</v>
      </c>
      <c r="T143">
        <v>3241600000</v>
      </c>
      <c r="U143">
        <v>4269200000</v>
      </c>
      <c r="V143">
        <v>4400700000</v>
      </c>
      <c r="W143">
        <v>4491100000</v>
      </c>
      <c r="X143">
        <v>4722500000</v>
      </c>
    </row>
    <row r="144" spans="1:24">
      <c r="A144">
        <v>584</v>
      </c>
      <c r="B144" t="s">
        <v>402</v>
      </c>
      <c r="C144">
        <v>3</v>
      </c>
      <c r="D144" t="s">
        <v>403</v>
      </c>
      <c r="E144">
        <v>40</v>
      </c>
      <c r="F144">
        <v>30</v>
      </c>
      <c r="G144">
        <v>8</v>
      </c>
      <c r="H144" t="s">
        <v>404</v>
      </c>
      <c r="I144">
        <v>77.099999999999994</v>
      </c>
      <c r="J144">
        <v>32.816000000000003</v>
      </c>
      <c r="K144" t="str">
        <f>"TPM1"</f>
        <v>TPM1</v>
      </c>
      <c r="L144" t="str">
        <f>"TPM1"</f>
        <v>TPM1</v>
      </c>
      <c r="M144">
        <v>1592300000</v>
      </c>
      <c r="N144">
        <v>2267600000</v>
      </c>
      <c r="O144">
        <v>2305200000</v>
      </c>
      <c r="P144">
        <v>2523100000</v>
      </c>
      <c r="Q144">
        <v>1585900000</v>
      </c>
      <c r="R144">
        <v>3121700000</v>
      </c>
      <c r="S144">
        <v>1213300000</v>
      </c>
      <c r="T144">
        <v>1682300000</v>
      </c>
      <c r="U144">
        <v>1492100000</v>
      </c>
      <c r="V144">
        <v>1730600000</v>
      </c>
      <c r="W144">
        <v>1816300000</v>
      </c>
      <c r="X144">
        <v>1615900000</v>
      </c>
    </row>
    <row r="145" spans="1:24">
      <c r="A145">
        <v>1575</v>
      </c>
      <c r="B145" t="s">
        <v>405</v>
      </c>
      <c r="C145">
        <v>3</v>
      </c>
      <c r="D145" t="s">
        <v>406</v>
      </c>
      <c r="E145">
        <v>36</v>
      </c>
      <c r="F145">
        <v>36</v>
      </c>
      <c r="G145">
        <v>36</v>
      </c>
      <c r="H145" t="s">
        <v>407</v>
      </c>
      <c r="I145">
        <v>60</v>
      </c>
      <c r="J145">
        <v>66.451999999999998</v>
      </c>
      <c r="K145" t="str">
        <f>"STXBP2"</f>
        <v>STXBP2</v>
      </c>
      <c r="L145" t="str">
        <f>"STXBP2"</f>
        <v>STXBP2</v>
      </c>
      <c r="M145">
        <v>1328900000</v>
      </c>
      <c r="N145">
        <v>1716400000</v>
      </c>
      <c r="O145">
        <v>2067400000</v>
      </c>
      <c r="P145">
        <v>2155100000</v>
      </c>
      <c r="Q145">
        <v>1402600000</v>
      </c>
      <c r="R145">
        <v>1802800000</v>
      </c>
      <c r="S145">
        <v>1289300000</v>
      </c>
      <c r="T145">
        <v>1493100000</v>
      </c>
      <c r="U145">
        <v>1773900000</v>
      </c>
      <c r="V145">
        <v>2013700000</v>
      </c>
      <c r="W145">
        <v>1572400000</v>
      </c>
      <c r="X145">
        <v>1546600000</v>
      </c>
    </row>
    <row r="146" spans="1:24">
      <c r="A146">
        <v>437</v>
      </c>
      <c r="B146" t="s">
        <v>408</v>
      </c>
      <c r="C146">
        <v>1</v>
      </c>
      <c r="D146" t="s">
        <v>409</v>
      </c>
      <c r="E146">
        <v>27</v>
      </c>
      <c r="F146">
        <v>27</v>
      </c>
      <c r="G146">
        <v>27</v>
      </c>
      <c r="H146" t="s">
        <v>408</v>
      </c>
      <c r="I146">
        <v>52.4</v>
      </c>
      <c r="J146">
        <v>59.755000000000003</v>
      </c>
      <c r="K146" t="str">
        <f>"CAT"</f>
        <v>CAT</v>
      </c>
      <c r="L146" t="str">
        <f>"CAT"</f>
        <v>CAT</v>
      </c>
      <c r="M146">
        <v>1070300000</v>
      </c>
      <c r="N146">
        <v>1167300000</v>
      </c>
      <c r="O146">
        <v>1145200000</v>
      </c>
      <c r="P146">
        <v>1999400000</v>
      </c>
      <c r="Q146">
        <v>1739400000</v>
      </c>
      <c r="R146">
        <v>1574600000</v>
      </c>
      <c r="S146" s="8">
        <v>1328000000</v>
      </c>
      <c r="T146">
        <v>1625600000</v>
      </c>
      <c r="U146">
        <v>2608600000</v>
      </c>
      <c r="V146">
        <v>1164700000</v>
      </c>
      <c r="W146">
        <v>1893700000</v>
      </c>
      <c r="X146">
        <v>1559900000</v>
      </c>
    </row>
    <row r="147" spans="1:24">
      <c r="A147">
        <v>1237</v>
      </c>
      <c r="B147" t="s">
        <v>410</v>
      </c>
      <c r="C147">
        <v>2</v>
      </c>
      <c r="D147" t="s">
        <v>411</v>
      </c>
      <c r="E147">
        <v>19</v>
      </c>
      <c r="F147">
        <v>19</v>
      </c>
      <c r="G147">
        <v>19</v>
      </c>
      <c r="H147" t="s">
        <v>412</v>
      </c>
      <c r="I147">
        <v>48.5</v>
      </c>
      <c r="J147">
        <v>44.76</v>
      </c>
      <c r="K147" t="str">
        <f>"ACTR2"</f>
        <v>ACTR2</v>
      </c>
      <c r="L147" t="str">
        <f>"ACTR2"</f>
        <v>ACTR2</v>
      </c>
      <c r="M147">
        <v>1806600000</v>
      </c>
      <c r="N147">
        <v>2381300000</v>
      </c>
      <c r="O147">
        <v>2662800000</v>
      </c>
      <c r="P147">
        <v>1769100000</v>
      </c>
      <c r="Q147" s="8">
        <v>1872000000</v>
      </c>
      <c r="R147">
        <v>2325600000</v>
      </c>
      <c r="S147">
        <v>2734100000</v>
      </c>
      <c r="T147">
        <v>2107600000</v>
      </c>
      <c r="U147">
        <v>2621100000</v>
      </c>
      <c r="V147">
        <v>2288500000</v>
      </c>
      <c r="W147">
        <v>2543700000</v>
      </c>
      <c r="X147">
        <v>2986800000</v>
      </c>
    </row>
    <row r="148" spans="1:24">
      <c r="A148">
        <v>1001</v>
      </c>
      <c r="B148" t="s">
        <v>413</v>
      </c>
      <c r="C148">
        <v>1</v>
      </c>
      <c r="D148" t="s">
        <v>414</v>
      </c>
      <c r="E148">
        <v>18</v>
      </c>
      <c r="F148">
        <v>18</v>
      </c>
      <c r="G148">
        <v>18</v>
      </c>
      <c r="H148" t="s">
        <v>413</v>
      </c>
      <c r="I148">
        <v>38.9</v>
      </c>
      <c r="J148">
        <v>60.957999999999998</v>
      </c>
      <c r="K148" t="str">
        <f>"GP5"</f>
        <v>GP5</v>
      </c>
      <c r="L148" t="str">
        <f>"GP5"</f>
        <v>GP5</v>
      </c>
      <c r="M148">
        <v>2406900000</v>
      </c>
      <c r="N148">
        <v>3539200000</v>
      </c>
      <c r="O148" s="8">
        <v>3362000000</v>
      </c>
      <c r="P148">
        <v>2173800000</v>
      </c>
      <c r="Q148">
        <v>3110600000</v>
      </c>
      <c r="R148">
        <v>3172600000</v>
      </c>
      <c r="S148">
        <v>3475900000</v>
      </c>
      <c r="T148">
        <v>2748900000</v>
      </c>
      <c r="U148">
        <v>4775900000</v>
      </c>
      <c r="V148" s="8">
        <v>3094000000</v>
      </c>
      <c r="W148" s="8">
        <v>2406000000</v>
      </c>
      <c r="X148">
        <v>4168100000</v>
      </c>
    </row>
    <row r="149" spans="1:24">
      <c r="A149">
        <v>467</v>
      </c>
      <c r="B149" t="s">
        <v>415</v>
      </c>
      <c r="C149">
        <v>1</v>
      </c>
      <c r="D149" t="s">
        <v>416</v>
      </c>
      <c r="E149">
        <v>19</v>
      </c>
      <c r="F149">
        <v>19</v>
      </c>
      <c r="G149">
        <v>19</v>
      </c>
      <c r="H149" t="s">
        <v>415</v>
      </c>
      <c r="I149">
        <v>81.5</v>
      </c>
      <c r="J149">
        <v>22.782</v>
      </c>
      <c r="K149" t="str">
        <f>"HSPB1"</f>
        <v>HSPB1</v>
      </c>
      <c r="L149" t="str">
        <f>"HSPB1"</f>
        <v>HSPB1</v>
      </c>
      <c r="M149">
        <v>4396900000</v>
      </c>
      <c r="N149">
        <v>7332500000</v>
      </c>
      <c r="O149" s="8">
        <v>6583000000</v>
      </c>
      <c r="P149">
        <v>3815700000</v>
      </c>
      <c r="Q149">
        <v>3680200000</v>
      </c>
      <c r="R149">
        <v>6855500000</v>
      </c>
      <c r="S149">
        <v>6327700000</v>
      </c>
      <c r="T149">
        <v>5867600000</v>
      </c>
      <c r="U149">
        <v>4023600000</v>
      </c>
      <c r="V149" s="8">
        <v>4069000000</v>
      </c>
      <c r="W149">
        <v>5363700000</v>
      </c>
      <c r="X149" s="8">
        <v>6351000000</v>
      </c>
    </row>
    <row r="150" spans="1:24">
      <c r="A150">
        <v>1608</v>
      </c>
      <c r="B150" t="s">
        <v>417</v>
      </c>
      <c r="C150">
        <v>3</v>
      </c>
      <c r="D150" t="s">
        <v>418</v>
      </c>
      <c r="E150">
        <v>45</v>
      </c>
      <c r="F150">
        <v>45</v>
      </c>
      <c r="G150">
        <v>45</v>
      </c>
      <c r="H150" t="s">
        <v>419</v>
      </c>
      <c r="I150">
        <v>46</v>
      </c>
      <c r="J150">
        <v>134.62</v>
      </c>
      <c r="K150" t="str">
        <f>"INF2"</f>
        <v>INF2</v>
      </c>
      <c r="L150" t="str">
        <f>"INF2"</f>
        <v>INF2</v>
      </c>
      <c r="M150">
        <v>1027800000</v>
      </c>
      <c r="N150">
        <v>1293900000</v>
      </c>
      <c r="O150">
        <v>1041400000</v>
      </c>
      <c r="P150">
        <v>1097900000</v>
      </c>
      <c r="Q150">
        <v>791700000</v>
      </c>
      <c r="R150">
        <v>1456900000</v>
      </c>
      <c r="S150">
        <v>1299600000</v>
      </c>
      <c r="T150" s="8">
        <v>1235000000</v>
      </c>
      <c r="U150">
        <v>1105900000</v>
      </c>
      <c r="V150" s="8">
        <v>1327000000</v>
      </c>
      <c r="W150">
        <v>1344700000</v>
      </c>
      <c r="X150">
        <v>1247200000</v>
      </c>
    </row>
    <row r="151" spans="1:24">
      <c r="A151">
        <v>295</v>
      </c>
      <c r="B151" t="s">
        <v>420</v>
      </c>
      <c r="C151">
        <v>3</v>
      </c>
      <c r="D151" t="s">
        <v>421</v>
      </c>
      <c r="E151">
        <v>19</v>
      </c>
      <c r="F151">
        <v>19</v>
      </c>
      <c r="G151">
        <v>19</v>
      </c>
      <c r="H151" t="s">
        <v>422</v>
      </c>
      <c r="I151">
        <v>79.099999999999994</v>
      </c>
      <c r="J151">
        <v>31.628</v>
      </c>
      <c r="K151" t="str">
        <f>"CYB5R3"</f>
        <v>CYB5R3</v>
      </c>
      <c r="L151" t="str">
        <f>"CYB5R3"</f>
        <v>CYB5R3</v>
      </c>
      <c r="M151">
        <v>2678300000</v>
      </c>
      <c r="N151">
        <v>2565600000</v>
      </c>
      <c r="O151">
        <v>2541200000</v>
      </c>
      <c r="P151">
        <v>1457400000</v>
      </c>
      <c r="Q151">
        <v>1725900000</v>
      </c>
      <c r="R151">
        <v>3202700000</v>
      </c>
      <c r="S151">
        <v>3331600000</v>
      </c>
      <c r="T151">
        <v>2600400000</v>
      </c>
      <c r="U151">
        <v>2932600000</v>
      </c>
      <c r="V151">
        <v>2004200000</v>
      </c>
      <c r="W151">
        <v>2974400000</v>
      </c>
      <c r="X151">
        <v>2769100000</v>
      </c>
    </row>
    <row r="152" spans="1:24">
      <c r="A152">
        <v>392</v>
      </c>
      <c r="B152" t="s">
        <v>423</v>
      </c>
      <c r="C152">
        <v>1</v>
      </c>
      <c r="D152" t="s">
        <v>424</v>
      </c>
      <c r="E152">
        <v>27</v>
      </c>
      <c r="F152">
        <v>27</v>
      </c>
      <c r="G152">
        <v>1</v>
      </c>
      <c r="H152" t="s">
        <v>423</v>
      </c>
      <c r="I152">
        <v>65.8</v>
      </c>
      <c r="J152">
        <v>40.920999999999999</v>
      </c>
      <c r="K152" t="str">
        <f>"HLA-A"</f>
        <v>HLA-A</v>
      </c>
      <c r="L152" t="str">
        <f>"HLA-A"</f>
        <v>HLA-A</v>
      </c>
      <c r="M152">
        <v>1471100000</v>
      </c>
      <c r="N152">
        <v>1520500000</v>
      </c>
      <c r="O152">
        <v>2103100000</v>
      </c>
      <c r="P152">
        <v>2121700000</v>
      </c>
      <c r="Q152">
        <v>1408800000</v>
      </c>
      <c r="R152">
        <v>2468600000</v>
      </c>
      <c r="S152">
        <v>1370200000</v>
      </c>
      <c r="T152" s="8">
        <v>1550000000</v>
      </c>
      <c r="U152">
        <v>2482400000</v>
      </c>
      <c r="V152">
        <v>1808600000</v>
      </c>
      <c r="W152">
        <v>1666600000</v>
      </c>
      <c r="X152">
        <v>2832700000</v>
      </c>
    </row>
    <row r="153" spans="1:24">
      <c r="A153">
        <v>1717</v>
      </c>
      <c r="B153" t="s">
        <v>425</v>
      </c>
      <c r="C153">
        <v>3</v>
      </c>
      <c r="D153" t="s">
        <v>426</v>
      </c>
      <c r="E153">
        <v>45</v>
      </c>
      <c r="F153">
        <v>45</v>
      </c>
      <c r="G153">
        <v>26</v>
      </c>
      <c r="H153" t="s">
        <v>427</v>
      </c>
      <c r="I153">
        <v>37</v>
      </c>
      <c r="J153">
        <v>145.18</v>
      </c>
      <c r="K153" t="str">
        <f>"CYFIP1"</f>
        <v>CYFIP1</v>
      </c>
      <c r="L153" t="str">
        <f>"CYFIP1"</f>
        <v>CYFIP1</v>
      </c>
      <c r="M153">
        <v>535110000</v>
      </c>
      <c r="N153">
        <v>926120000</v>
      </c>
      <c r="O153">
        <v>830020000</v>
      </c>
      <c r="P153">
        <v>680040000</v>
      </c>
      <c r="Q153">
        <v>553540000</v>
      </c>
      <c r="R153">
        <v>994930000</v>
      </c>
      <c r="S153">
        <v>1065800000</v>
      </c>
      <c r="T153">
        <v>895040000</v>
      </c>
      <c r="U153">
        <v>1069900000</v>
      </c>
      <c r="V153">
        <v>816810000</v>
      </c>
      <c r="W153">
        <v>777250000</v>
      </c>
      <c r="X153">
        <v>843270000</v>
      </c>
    </row>
    <row r="154" spans="1:24">
      <c r="A154">
        <v>1536</v>
      </c>
      <c r="B154" t="s">
        <v>428</v>
      </c>
      <c r="C154">
        <v>5</v>
      </c>
      <c r="D154" t="s">
        <v>429</v>
      </c>
      <c r="E154">
        <v>17</v>
      </c>
      <c r="F154">
        <v>17</v>
      </c>
      <c r="G154">
        <v>17</v>
      </c>
      <c r="H154" t="s">
        <v>430</v>
      </c>
      <c r="I154">
        <v>41</v>
      </c>
      <c r="J154">
        <v>47.837000000000003</v>
      </c>
      <c r="K154" t="str">
        <f>"PDIA6"</f>
        <v>PDIA6</v>
      </c>
      <c r="L154" t="str">
        <f>"PDIA6"</f>
        <v>PDIA6</v>
      </c>
      <c r="M154" s="8">
        <v>1687000000</v>
      </c>
      <c r="N154">
        <v>2358500000</v>
      </c>
      <c r="O154">
        <v>2809800000</v>
      </c>
      <c r="P154" s="8">
        <v>1883000000</v>
      </c>
      <c r="Q154">
        <v>1631800000</v>
      </c>
      <c r="R154">
        <v>2709700000</v>
      </c>
      <c r="S154" s="8">
        <v>3467000000</v>
      </c>
      <c r="T154">
        <v>2070500000</v>
      </c>
      <c r="U154">
        <v>3591200000</v>
      </c>
      <c r="V154">
        <v>2190900000</v>
      </c>
      <c r="W154">
        <v>3087400000</v>
      </c>
      <c r="X154">
        <v>4280700000</v>
      </c>
    </row>
    <row r="155" spans="1:24">
      <c r="A155">
        <v>436</v>
      </c>
      <c r="B155" t="s">
        <v>431</v>
      </c>
      <c r="C155">
        <v>2</v>
      </c>
      <c r="D155" t="s">
        <v>432</v>
      </c>
      <c r="E155">
        <v>19</v>
      </c>
      <c r="F155">
        <v>19</v>
      </c>
      <c r="G155">
        <v>19</v>
      </c>
      <c r="H155" t="s">
        <v>433</v>
      </c>
      <c r="I155">
        <v>43.1</v>
      </c>
      <c r="J155">
        <v>54.305</v>
      </c>
      <c r="K155" t="str">
        <f>"VTN"</f>
        <v>VTN</v>
      </c>
      <c r="L155" t="str">
        <f>"VTN"</f>
        <v>VTN</v>
      </c>
      <c r="M155">
        <v>6676200000</v>
      </c>
      <c r="N155">
        <v>3478800000</v>
      </c>
      <c r="O155">
        <v>4457300000</v>
      </c>
      <c r="P155">
        <v>6327400000</v>
      </c>
      <c r="Q155">
        <v>6254400000</v>
      </c>
      <c r="R155">
        <v>3009700000</v>
      </c>
      <c r="S155">
        <v>3941300000</v>
      </c>
      <c r="T155">
        <v>4752600000</v>
      </c>
      <c r="U155" s="8">
        <v>2886000000</v>
      </c>
      <c r="V155" s="8">
        <v>3721000000</v>
      </c>
      <c r="W155">
        <v>3741200000</v>
      </c>
      <c r="X155">
        <v>3185300000</v>
      </c>
    </row>
    <row r="156" spans="1:24">
      <c r="A156">
        <v>1315</v>
      </c>
      <c r="B156" t="s">
        <v>434</v>
      </c>
      <c r="C156">
        <v>3</v>
      </c>
      <c r="D156" t="s">
        <v>435</v>
      </c>
      <c r="E156">
        <v>21</v>
      </c>
      <c r="F156">
        <v>21</v>
      </c>
      <c r="G156">
        <v>21</v>
      </c>
      <c r="H156" t="s">
        <v>436</v>
      </c>
      <c r="I156">
        <v>54.4</v>
      </c>
      <c r="J156">
        <v>27.565999999999999</v>
      </c>
      <c r="K156" t="str">
        <f>"GSTO1"</f>
        <v>GSTO1</v>
      </c>
      <c r="L156" t="str">
        <f>"GSTO1"</f>
        <v>GSTO1</v>
      </c>
      <c r="M156">
        <v>2734800000</v>
      </c>
      <c r="N156">
        <v>3488400000</v>
      </c>
      <c r="O156">
        <v>3933700000</v>
      </c>
      <c r="P156">
        <v>3483400000</v>
      </c>
      <c r="Q156">
        <v>2522400000</v>
      </c>
      <c r="R156">
        <v>4392900000</v>
      </c>
      <c r="S156" s="8">
        <v>3274000000</v>
      </c>
      <c r="T156" s="8">
        <v>4169000000</v>
      </c>
      <c r="U156">
        <v>2426700000</v>
      </c>
      <c r="V156">
        <v>2348100000</v>
      </c>
      <c r="W156">
        <v>3825900000</v>
      </c>
      <c r="X156">
        <v>3137600000</v>
      </c>
    </row>
    <row r="157" spans="1:24">
      <c r="A157">
        <v>1240</v>
      </c>
      <c r="B157" t="s">
        <v>437</v>
      </c>
      <c r="C157">
        <v>3</v>
      </c>
      <c r="D157" t="s">
        <v>438</v>
      </c>
      <c r="E157">
        <v>11</v>
      </c>
      <c r="F157">
        <v>11</v>
      </c>
      <c r="G157">
        <v>7</v>
      </c>
      <c r="H157" t="s">
        <v>439</v>
      </c>
      <c r="I157">
        <v>52.5</v>
      </c>
      <c r="J157">
        <v>20.696999999999999</v>
      </c>
      <c r="K157" t="str">
        <f>"ARF1;ARF3"</f>
        <v>ARF1;ARF3</v>
      </c>
      <c r="L157" t="str">
        <f>"ARF1;ARF3"</f>
        <v>ARF1;ARF3</v>
      </c>
      <c r="M157">
        <v>1443700000</v>
      </c>
      <c r="N157">
        <v>903740000</v>
      </c>
      <c r="O157">
        <v>1117800000</v>
      </c>
      <c r="P157">
        <v>916620000</v>
      </c>
      <c r="Q157">
        <v>1017300000</v>
      </c>
      <c r="R157">
        <v>1165900000</v>
      </c>
      <c r="S157">
        <v>1428800000</v>
      </c>
      <c r="T157">
        <v>1219800000</v>
      </c>
      <c r="U157">
        <v>1980300000</v>
      </c>
      <c r="V157">
        <v>1097800000</v>
      </c>
      <c r="W157">
        <v>1573500000</v>
      </c>
      <c r="X157">
        <v>1545800000</v>
      </c>
    </row>
    <row r="158" spans="1:24">
      <c r="A158">
        <v>245</v>
      </c>
      <c r="B158" t="s">
        <v>440</v>
      </c>
      <c r="C158">
        <v>2</v>
      </c>
      <c r="D158" t="s">
        <v>441</v>
      </c>
      <c r="E158">
        <v>43</v>
      </c>
      <c r="F158">
        <v>43</v>
      </c>
      <c r="G158">
        <v>43</v>
      </c>
      <c r="H158" t="s">
        <v>442</v>
      </c>
      <c r="I158">
        <v>45.6</v>
      </c>
      <c r="J158">
        <v>99.983999999999995</v>
      </c>
      <c r="K158" t="str">
        <f>"PDE5A"</f>
        <v>PDE5A</v>
      </c>
      <c r="L158" t="str">
        <f>"PDE5A"</f>
        <v>PDE5A</v>
      </c>
      <c r="M158">
        <v>581590000</v>
      </c>
      <c r="N158">
        <v>1205900000</v>
      </c>
      <c r="O158">
        <v>1284800000</v>
      </c>
      <c r="P158">
        <v>1290300000</v>
      </c>
      <c r="Q158">
        <v>465090000</v>
      </c>
      <c r="R158">
        <v>1777300000</v>
      </c>
      <c r="S158">
        <v>1247600000</v>
      </c>
      <c r="T158">
        <v>468850000</v>
      </c>
      <c r="U158">
        <v>1626500000</v>
      </c>
      <c r="V158">
        <v>1081500000</v>
      </c>
      <c r="W158">
        <v>1210200000</v>
      </c>
      <c r="X158">
        <v>1525200000</v>
      </c>
    </row>
    <row r="159" spans="1:24">
      <c r="A159">
        <v>1111</v>
      </c>
      <c r="B159" t="s">
        <v>443</v>
      </c>
      <c r="C159">
        <v>2</v>
      </c>
      <c r="D159" t="s">
        <v>444</v>
      </c>
      <c r="E159">
        <v>32</v>
      </c>
      <c r="F159">
        <v>32</v>
      </c>
      <c r="G159">
        <v>25</v>
      </c>
      <c r="H159" t="s">
        <v>445</v>
      </c>
      <c r="I159">
        <v>66.3</v>
      </c>
      <c r="J159">
        <v>50.662999999999997</v>
      </c>
      <c r="K159" t="str">
        <f>"GDI2"</f>
        <v>GDI2</v>
      </c>
      <c r="L159" t="str">
        <f>"GDI2"</f>
        <v>GDI2</v>
      </c>
      <c r="M159">
        <v>1576700000</v>
      </c>
      <c r="N159">
        <v>1697600000</v>
      </c>
      <c r="O159">
        <v>2081800000</v>
      </c>
      <c r="P159">
        <v>1636600000</v>
      </c>
      <c r="Q159">
        <v>1449200000</v>
      </c>
      <c r="R159">
        <v>2006800000</v>
      </c>
      <c r="S159" s="8">
        <v>1959000000</v>
      </c>
      <c r="T159">
        <v>1361600000</v>
      </c>
      <c r="U159" s="8">
        <v>1760000000</v>
      </c>
      <c r="V159" s="8">
        <v>1507000000</v>
      </c>
      <c r="W159">
        <v>1688900000</v>
      </c>
      <c r="X159">
        <v>2023400000</v>
      </c>
    </row>
    <row r="160" spans="1:24">
      <c r="A160">
        <v>566</v>
      </c>
      <c r="B160" t="s">
        <v>446</v>
      </c>
      <c r="C160">
        <v>3</v>
      </c>
      <c r="D160" t="s">
        <v>447</v>
      </c>
      <c r="E160">
        <v>20</v>
      </c>
      <c r="F160">
        <v>20</v>
      </c>
      <c r="G160">
        <v>20</v>
      </c>
      <c r="H160" t="s">
        <v>448</v>
      </c>
      <c r="I160">
        <v>49.7</v>
      </c>
      <c r="J160">
        <v>54.564999999999998</v>
      </c>
      <c r="K160" t="str">
        <f>"SERPINF2"</f>
        <v>SERPINF2</v>
      </c>
      <c r="L160" t="str">
        <f>"SERPINF2"</f>
        <v>SERPINF2</v>
      </c>
      <c r="M160">
        <v>6672600000</v>
      </c>
      <c r="N160">
        <v>2124500000</v>
      </c>
      <c r="O160">
        <v>2231300000</v>
      </c>
      <c r="P160">
        <v>4116700000</v>
      </c>
      <c r="Q160">
        <v>5241400000</v>
      </c>
      <c r="R160">
        <v>2181100000</v>
      </c>
      <c r="S160">
        <v>2758400000</v>
      </c>
      <c r="T160">
        <v>3673100000</v>
      </c>
      <c r="U160">
        <v>1617700000</v>
      </c>
      <c r="V160">
        <v>3205900000</v>
      </c>
      <c r="W160">
        <v>3328100000</v>
      </c>
      <c r="X160" s="8">
        <v>2269000000</v>
      </c>
    </row>
    <row r="161" spans="1:24">
      <c r="A161">
        <v>307</v>
      </c>
      <c r="B161" t="s">
        <v>449</v>
      </c>
      <c r="C161">
        <v>1</v>
      </c>
      <c r="D161" t="s">
        <v>450</v>
      </c>
      <c r="E161">
        <v>26</v>
      </c>
      <c r="F161">
        <v>26</v>
      </c>
      <c r="G161">
        <v>25</v>
      </c>
      <c r="H161" t="s">
        <v>449</v>
      </c>
      <c r="I161">
        <v>46.5</v>
      </c>
      <c r="J161">
        <v>80.117999999999995</v>
      </c>
      <c r="K161" t="str">
        <f>"C1R"</f>
        <v>C1R</v>
      </c>
      <c r="L161" t="str">
        <f>"C1R"</f>
        <v>C1R</v>
      </c>
      <c r="M161">
        <v>1913800000</v>
      </c>
      <c r="N161">
        <v>1142100000</v>
      </c>
      <c r="O161">
        <v>1298300000</v>
      </c>
      <c r="P161">
        <v>1788600000</v>
      </c>
      <c r="Q161">
        <v>2101800000</v>
      </c>
      <c r="R161">
        <v>895370000</v>
      </c>
      <c r="S161">
        <v>1085100000</v>
      </c>
      <c r="T161">
        <v>1707800000</v>
      </c>
      <c r="U161">
        <v>1060200000</v>
      </c>
      <c r="V161">
        <v>1327900000</v>
      </c>
      <c r="W161">
        <v>1134600000</v>
      </c>
      <c r="X161">
        <v>1853700000</v>
      </c>
    </row>
    <row r="162" spans="1:24">
      <c r="A162">
        <v>655</v>
      </c>
      <c r="B162" t="s">
        <v>451</v>
      </c>
      <c r="C162">
        <v>9</v>
      </c>
      <c r="D162" t="s">
        <v>452</v>
      </c>
      <c r="E162">
        <v>26</v>
      </c>
      <c r="F162">
        <v>26</v>
      </c>
      <c r="G162">
        <v>18</v>
      </c>
      <c r="H162" t="s">
        <v>453</v>
      </c>
      <c r="I162">
        <v>53.2</v>
      </c>
      <c r="J162">
        <v>59.834000000000003</v>
      </c>
      <c r="K162" t="str">
        <f>"SRC;FRK;SRMS;MST1R;MET"</f>
        <v>SRC;FRK;SRMS;MST1R;MET</v>
      </c>
      <c r="L162" t="str">
        <f>"SRC;FRK;SRMS;MST1R;MET"</f>
        <v>SRC;FRK;SRMS;MST1R;MET</v>
      </c>
      <c r="M162">
        <v>1558400000</v>
      </c>
      <c r="N162">
        <v>2810800000</v>
      </c>
      <c r="O162">
        <v>3003600000</v>
      </c>
      <c r="P162">
        <v>1989300000</v>
      </c>
      <c r="Q162">
        <v>1651500000</v>
      </c>
      <c r="R162">
        <v>1903800000</v>
      </c>
      <c r="S162">
        <v>1824500000</v>
      </c>
      <c r="T162">
        <v>1983800000</v>
      </c>
      <c r="U162" s="8">
        <v>2123000000</v>
      </c>
      <c r="V162">
        <v>2133600000</v>
      </c>
      <c r="W162">
        <v>1975400000</v>
      </c>
      <c r="X162">
        <v>2609200000</v>
      </c>
    </row>
    <row r="163" spans="1:24">
      <c r="A163">
        <v>57</v>
      </c>
      <c r="B163" t="s">
        <v>454</v>
      </c>
      <c r="C163">
        <v>1</v>
      </c>
      <c r="D163" t="s">
        <v>455</v>
      </c>
      <c r="E163">
        <v>15</v>
      </c>
      <c r="F163">
        <v>15</v>
      </c>
      <c r="G163">
        <v>13</v>
      </c>
      <c r="H163" t="s">
        <v>454</v>
      </c>
      <c r="I163">
        <v>64.7</v>
      </c>
      <c r="J163">
        <v>24.608000000000001</v>
      </c>
      <c r="K163" t="str">
        <f>"RAB27B"</f>
        <v>RAB27B</v>
      </c>
      <c r="L163" t="str">
        <f>"RAB27B"</f>
        <v>RAB27B</v>
      </c>
      <c r="M163">
        <v>1269500000</v>
      </c>
      <c r="N163">
        <v>2828400000</v>
      </c>
      <c r="O163">
        <v>3383600000</v>
      </c>
      <c r="P163">
        <v>2330200000</v>
      </c>
      <c r="Q163">
        <v>1946200000</v>
      </c>
      <c r="R163">
        <v>2360300000</v>
      </c>
      <c r="S163">
        <v>3689900000</v>
      </c>
      <c r="T163">
        <v>2231400000</v>
      </c>
      <c r="U163">
        <v>3319800000</v>
      </c>
      <c r="V163">
        <v>2462800000</v>
      </c>
      <c r="W163">
        <v>3886800000</v>
      </c>
      <c r="X163">
        <v>4537300000</v>
      </c>
    </row>
    <row r="164" spans="1:24">
      <c r="A164">
        <v>513</v>
      </c>
      <c r="B164" t="s">
        <v>456</v>
      </c>
      <c r="C164">
        <v>3</v>
      </c>
      <c r="D164" t="s">
        <v>457</v>
      </c>
      <c r="E164">
        <v>23</v>
      </c>
      <c r="F164">
        <v>23</v>
      </c>
      <c r="G164">
        <v>18</v>
      </c>
      <c r="H164" t="s">
        <v>458</v>
      </c>
      <c r="I164">
        <v>47.7</v>
      </c>
      <c r="J164">
        <v>63.146000000000001</v>
      </c>
      <c r="K164" t="str">
        <f>"GPI;SIX5"</f>
        <v>GPI;SIX5</v>
      </c>
      <c r="L164" t="str">
        <f>"GPI;SIX5"</f>
        <v>GPI;SIX5</v>
      </c>
      <c r="M164">
        <v>1082200000</v>
      </c>
      <c r="N164">
        <v>1375100000</v>
      </c>
      <c r="O164">
        <v>1473200000</v>
      </c>
      <c r="P164">
        <v>1224500000</v>
      </c>
      <c r="Q164">
        <v>957030000</v>
      </c>
      <c r="R164">
        <v>1681900000</v>
      </c>
      <c r="S164">
        <v>2265500000</v>
      </c>
      <c r="T164">
        <v>1183400000</v>
      </c>
      <c r="U164">
        <v>2297100000</v>
      </c>
      <c r="V164">
        <v>971970000</v>
      </c>
      <c r="W164">
        <v>1795100000</v>
      </c>
      <c r="X164">
        <v>1979900000</v>
      </c>
    </row>
    <row r="165" spans="1:24">
      <c r="A165">
        <v>1557</v>
      </c>
      <c r="B165" t="s">
        <v>459</v>
      </c>
      <c r="C165">
        <v>2</v>
      </c>
      <c r="D165" t="s">
        <v>460</v>
      </c>
      <c r="E165">
        <v>18</v>
      </c>
      <c r="F165">
        <v>18</v>
      </c>
      <c r="G165">
        <v>18</v>
      </c>
      <c r="H165" t="s">
        <v>461</v>
      </c>
      <c r="I165">
        <v>55.2</v>
      </c>
      <c r="J165">
        <v>31.54</v>
      </c>
      <c r="K165" t="str">
        <f>"RSU1"</f>
        <v>RSU1</v>
      </c>
      <c r="L165" t="str">
        <f>"RSU1"</f>
        <v>RSU1</v>
      </c>
      <c r="M165">
        <v>2739900000</v>
      </c>
      <c r="N165">
        <v>3221200000</v>
      </c>
      <c r="O165">
        <v>4779800000</v>
      </c>
      <c r="P165">
        <v>3871200000</v>
      </c>
      <c r="Q165" s="8">
        <v>2757000000</v>
      </c>
      <c r="R165">
        <v>4771500000</v>
      </c>
      <c r="S165">
        <v>5090500000</v>
      </c>
      <c r="T165">
        <v>3027300000</v>
      </c>
      <c r="U165">
        <v>4271600000</v>
      </c>
      <c r="V165">
        <v>4654400000</v>
      </c>
      <c r="W165">
        <v>3941100000</v>
      </c>
      <c r="X165">
        <v>4928900000</v>
      </c>
    </row>
    <row r="166" spans="1:24">
      <c r="A166">
        <v>799</v>
      </c>
      <c r="B166" t="s">
        <v>462</v>
      </c>
      <c r="C166">
        <v>7</v>
      </c>
      <c r="D166" t="s">
        <v>463</v>
      </c>
      <c r="E166">
        <v>22</v>
      </c>
      <c r="F166">
        <v>22</v>
      </c>
      <c r="G166">
        <v>22</v>
      </c>
      <c r="H166" t="s">
        <v>464</v>
      </c>
      <c r="I166">
        <v>53.8</v>
      </c>
      <c r="J166">
        <v>61.929000000000002</v>
      </c>
      <c r="K166" t="str">
        <f>"PTGS1;PTGS2"</f>
        <v>PTGS1;PTGS2</v>
      </c>
      <c r="L166" t="str">
        <f>"PTGS1;PTGS2"</f>
        <v>PTGS1;PTGS2</v>
      </c>
      <c r="M166">
        <v>1901400000</v>
      </c>
      <c r="N166">
        <v>2768800000</v>
      </c>
      <c r="O166">
        <v>2368700000</v>
      </c>
      <c r="P166">
        <v>1823500000</v>
      </c>
      <c r="Q166">
        <v>1787100000</v>
      </c>
      <c r="R166">
        <v>2337200000</v>
      </c>
      <c r="S166">
        <v>1685800000</v>
      </c>
      <c r="T166">
        <v>2354100000</v>
      </c>
      <c r="U166">
        <v>2969400000</v>
      </c>
      <c r="V166">
        <v>1915300000</v>
      </c>
      <c r="W166" s="8">
        <v>2059000000</v>
      </c>
      <c r="X166" s="8">
        <v>2129000000</v>
      </c>
    </row>
    <row r="167" spans="1:24">
      <c r="A167">
        <v>1979</v>
      </c>
      <c r="B167" t="s">
        <v>465</v>
      </c>
      <c r="C167">
        <v>4</v>
      </c>
      <c r="D167" t="s">
        <v>466</v>
      </c>
      <c r="E167">
        <v>18</v>
      </c>
      <c r="F167">
        <v>18</v>
      </c>
      <c r="G167">
        <v>18</v>
      </c>
      <c r="H167" t="s">
        <v>467</v>
      </c>
      <c r="I167">
        <v>64.7</v>
      </c>
      <c r="J167">
        <v>33.697000000000003</v>
      </c>
      <c r="K167" t="str">
        <f>"CNN2;CNN3"</f>
        <v>CNN2;CNN3</v>
      </c>
      <c r="L167" t="str">
        <f>"CNN2;CNN3"</f>
        <v>CNN2;CNN3</v>
      </c>
      <c r="M167">
        <v>1238700000</v>
      </c>
      <c r="N167">
        <v>1516300000</v>
      </c>
      <c r="O167">
        <v>1883900000</v>
      </c>
      <c r="P167">
        <v>1157400000</v>
      </c>
      <c r="Q167" s="8">
        <v>1315000000</v>
      </c>
      <c r="R167">
        <v>2054900000</v>
      </c>
      <c r="S167">
        <v>1437800000</v>
      </c>
      <c r="T167">
        <v>1649500000</v>
      </c>
      <c r="U167">
        <v>1641200000</v>
      </c>
      <c r="V167">
        <v>2121100000</v>
      </c>
      <c r="W167">
        <v>1493900000</v>
      </c>
      <c r="X167">
        <v>1442400000</v>
      </c>
    </row>
    <row r="168" spans="1:24">
      <c r="A168">
        <v>1035</v>
      </c>
      <c r="B168" t="s">
        <v>468</v>
      </c>
      <c r="C168">
        <v>2</v>
      </c>
      <c r="D168" t="s">
        <v>469</v>
      </c>
      <c r="E168">
        <v>39</v>
      </c>
      <c r="F168">
        <v>39</v>
      </c>
      <c r="G168">
        <v>39</v>
      </c>
      <c r="H168" t="s">
        <v>470</v>
      </c>
      <c r="I168">
        <v>48.7</v>
      </c>
      <c r="J168">
        <v>80.852000000000004</v>
      </c>
      <c r="K168" t="str">
        <f>"GPD2"</f>
        <v>GPD2</v>
      </c>
      <c r="L168" t="str">
        <f>"GPD2"</f>
        <v>GPD2</v>
      </c>
      <c r="M168">
        <v>865150000</v>
      </c>
      <c r="N168">
        <v>1403600000</v>
      </c>
      <c r="O168">
        <v>1271400000</v>
      </c>
      <c r="P168">
        <v>590570000</v>
      </c>
      <c r="Q168">
        <v>801850000</v>
      </c>
      <c r="R168">
        <v>794490000</v>
      </c>
      <c r="S168">
        <v>1220600000</v>
      </c>
      <c r="T168">
        <v>760050000</v>
      </c>
      <c r="U168" s="8">
        <v>1084000000</v>
      </c>
      <c r="V168">
        <v>951670000</v>
      </c>
      <c r="W168">
        <v>1012800000</v>
      </c>
      <c r="X168">
        <v>1066400000</v>
      </c>
    </row>
    <row r="169" spans="1:24">
      <c r="A169">
        <v>1581</v>
      </c>
      <c r="B169" t="s">
        <v>471</v>
      </c>
      <c r="C169">
        <v>3</v>
      </c>
      <c r="D169" t="s">
        <v>472</v>
      </c>
      <c r="E169">
        <v>25</v>
      </c>
      <c r="F169">
        <v>25</v>
      </c>
      <c r="G169">
        <v>25</v>
      </c>
      <c r="H169" t="s">
        <v>473</v>
      </c>
      <c r="I169">
        <v>50.2</v>
      </c>
      <c r="J169">
        <v>50.58</v>
      </c>
      <c r="K169" t="str">
        <f>"SEPT7;SEPT14"</f>
        <v>SEPT7;SEPT14</v>
      </c>
      <c r="L169" t="str">
        <f>"SEPT7;SEPT14"</f>
        <v>SEPT7;SEPT14</v>
      </c>
      <c r="M169">
        <v>1258300000</v>
      </c>
      <c r="N169" s="8">
        <v>1395000000</v>
      </c>
      <c r="O169" s="8">
        <v>1651000000</v>
      </c>
      <c r="P169">
        <v>1398900000</v>
      </c>
      <c r="Q169">
        <v>1168900000</v>
      </c>
      <c r="R169">
        <v>1618500000</v>
      </c>
      <c r="S169">
        <v>1524200000</v>
      </c>
      <c r="T169">
        <v>1392800000</v>
      </c>
      <c r="U169">
        <v>1538200000</v>
      </c>
      <c r="V169">
        <v>1395600000</v>
      </c>
      <c r="W169">
        <v>1732800000</v>
      </c>
      <c r="X169">
        <v>1390200000</v>
      </c>
    </row>
    <row r="170" spans="1:24">
      <c r="A170">
        <v>448</v>
      </c>
      <c r="B170" t="s">
        <v>474</v>
      </c>
      <c r="C170">
        <v>1</v>
      </c>
      <c r="D170" t="s">
        <v>475</v>
      </c>
      <c r="E170">
        <v>7</v>
      </c>
      <c r="F170">
        <v>7</v>
      </c>
      <c r="G170">
        <v>3</v>
      </c>
      <c r="H170" t="s">
        <v>474</v>
      </c>
      <c r="I170">
        <v>77.099999999999994</v>
      </c>
      <c r="J170">
        <v>11.83</v>
      </c>
      <c r="K170" s="1" t="s">
        <v>476</v>
      </c>
      <c r="L170" s="1" t="s">
        <v>476</v>
      </c>
      <c r="M170">
        <v>3736700000</v>
      </c>
      <c r="N170">
        <v>1922500000</v>
      </c>
      <c r="O170" s="8">
        <v>3035000000</v>
      </c>
      <c r="P170">
        <v>2652300000</v>
      </c>
      <c r="Q170">
        <v>8382200000</v>
      </c>
      <c r="R170" s="8">
        <v>1406000000</v>
      </c>
      <c r="S170">
        <v>2715700000</v>
      </c>
      <c r="T170">
        <v>3836200000</v>
      </c>
      <c r="U170">
        <v>2158600000</v>
      </c>
      <c r="V170">
        <v>2098500000</v>
      </c>
      <c r="W170">
        <v>3061300000</v>
      </c>
      <c r="X170">
        <v>2037300000</v>
      </c>
    </row>
    <row r="171" spans="1:24">
      <c r="A171">
        <v>115</v>
      </c>
      <c r="B171" t="s">
        <v>477</v>
      </c>
      <c r="C171">
        <v>3</v>
      </c>
      <c r="D171" t="s">
        <v>478</v>
      </c>
      <c r="E171">
        <v>25</v>
      </c>
      <c r="F171">
        <v>25</v>
      </c>
      <c r="G171">
        <v>25</v>
      </c>
      <c r="H171" t="s">
        <v>479</v>
      </c>
      <c r="I171">
        <v>39.700000000000003</v>
      </c>
      <c r="J171">
        <v>90.605000000000004</v>
      </c>
      <c r="K171" t="str">
        <f>"FYB"</f>
        <v>FYB</v>
      </c>
      <c r="L171" t="str">
        <f>"FYB"</f>
        <v>FYB</v>
      </c>
      <c r="M171">
        <v>1003800000</v>
      </c>
      <c r="N171">
        <v>1871900000</v>
      </c>
      <c r="O171" s="8">
        <v>1746000000</v>
      </c>
      <c r="P171">
        <v>1592800000</v>
      </c>
      <c r="Q171">
        <v>852500000</v>
      </c>
      <c r="R171">
        <v>2240300000</v>
      </c>
      <c r="S171">
        <v>1131300000</v>
      </c>
      <c r="T171">
        <v>1359100000</v>
      </c>
      <c r="U171">
        <v>1556600000</v>
      </c>
      <c r="V171">
        <v>2011500000</v>
      </c>
      <c r="W171">
        <v>1067600000</v>
      </c>
      <c r="X171">
        <v>1393100000</v>
      </c>
    </row>
    <row r="172" spans="1:24">
      <c r="A172">
        <v>1757</v>
      </c>
      <c r="B172" t="s">
        <v>480</v>
      </c>
      <c r="C172">
        <v>2</v>
      </c>
      <c r="D172" t="s">
        <v>481</v>
      </c>
      <c r="E172">
        <v>8</v>
      </c>
      <c r="F172">
        <v>8</v>
      </c>
      <c r="G172">
        <v>4</v>
      </c>
      <c r="H172" t="s">
        <v>482</v>
      </c>
      <c r="I172">
        <v>41.2</v>
      </c>
      <c r="J172">
        <v>32.677999999999997</v>
      </c>
      <c r="K172" t="str">
        <f>"TREML1"</f>
        <v>TREML1</v>
      </c>
      <c r="L172" t="str">
        <f>"TREML1"</f>
        <v>TREML1</v>
      </c>
      <c r="M172">
        <v>2068400000</v>
      </c>
      <c r="N172">
        <v>2916800000</v>
      </c>
      <c r="O172">
        <v>3300700000</v>
      </c>
      <c r="P172">
        <v>2490700000</v>
      </c>
      <c r="Q172">
        <v>2232200000</v>
      </c>
      <c r="R172">
        <v>3109600000</v>
      </c>
      <c r="S172" s="8">
        <v>3137000000</v>
      </c>
      <c r="T172">
        <v>2856400000</v>
      </c>
      <c r="U172" s="8">
        <v>6025000000</v>
      </c>
      <c r="V172">
        <v>3559900000</v>
      </c>
      <c r="W172">
        <v>5467100000</v>
      </c>
      <c r="X172">
        <v>4422700000</v>
      </c>
    </row>
    <row r="173" spans="1:24">
      <c r="A173">
        <v>735</v>
      </c>
      <c r="B173" t="s">
        <v>483</v>
      </c>
      <c r="C173">
        <v>1</v>
      </c>
      <c r="D173" t="s">
        <v>484</v>
      </c>
      <c r="E173">
        <v>34</v>
      </c>
      <c r="F173">
        <v>34</v>
      </c>
      <c r="G173">
        <v>34</v>
      </c>
      <c r="H173" t="s">
        <v>483</v>
      </c>
      <c r="I173">
        <v>51.6</v>
      </c>
      <c r="J173">
        <v>75.692999999999998</v>
      </c>
      <c r="K173" t="str">
        <f>"ALOX12"</f>
        <v>ALOX12</v>
      </c>
      <c r="L173" t="str">
        <f>"ALOX12"</f>
        <v>ALOX12</v>
      </c>
      <c r="M173">
        <v>1332700000</v>
      </c>
      <c r="N173">
        <v>848180000</v>
      </c>
      <c r="O173">
        <v>1064800000</v>
      </c>
      <c r="P173" s="8">
        <v>1078000000</v>
      </c>
      <c r="Q173">
        <v>583370000</v>
      </c>
      <c r="R173">
        <v>1125900000</v>
      </c>
      <c r="S173">
        <v>1483800000</v>
      </c>
      <c r="T173">
        <v>1384600000</v>
      </c>
      <c r="U173">
        <v>689350000</v>
      </c>
      <c r="V173">
        <v>804560000</v>
      </c>
      <c r="W173">
        <v>1614900000</v>
      </c>
      <c r="X173">
        <v>1863700000</v>
      </c>
    </row>
    <row r="174" spans="1:24">
      <c r="A174">
        <v>579</v>
      </c>
      <c r="B174" t="s">
        <v>485</v>
      </c>
      <c r="C174">
        <v>1</v>
      </c>
      <c r="D174" t="s">
        <v>486</v>
      </c>
      <c r="E174">
        <v>12</v>
      </c>
      <c r="F174">
        <v>12</v>
      </c>
      <c r="G174">
        <v>12</v>
      </c>
      <c r="H174" t="s">
        <v>485</v>
      </c>
      <c r="I174">
        <v>33</v>
      </c>
      <c r="J174">
        <v>34.631999999999998</v>
      </c>
      <c r="K174" t="str">
        <f>"SPARC"</f>
        <v>SPARC</v>
      </c>
      <c r="L174" t="str">
        <f>"SPARC"</f>
        <v>SPARC</v>
      </c>
      <c r="M174">
        <v>855810000</v>
      </c>
      <c r="N174">
        <v>2210500000</v>
      </c>
      <c r="O174">
        <v>2159400000</v>
      </c>
      <c r="P174">
        <v>2094200000</v>
      </c>
      <c r="Q174">
        <v>2000500000</v>
      </c>
      <c r="R174">
        <v>2490100000</v>
      </c>
      <c r="S174">
        <v>1834800000</v>
      </c>
      <c r="T174">
        <v>1445900000</v>
      </c>
      <c r="U174">
        <v>1387400000</v>
      </c>
      <c r="V174">
        <v>2918700000</v>
      </c>
      <c r="W174">
        <v>1870200000</v>
      </c>
      <c r="X174">
        <v>2067400000</v>
      </c>
    </row>
    <row r="175" spans="1:24">
      <c r="A175">
        <v>490</v>
      </c>
      <c r="B175" t="s">
        <v>487</v>
      </c>
      <c r="C175">
        <v>2</v>
      </c>
      <c r="D175" t="s">
        <v>488</v>
      </c>
      <c r="E175">
        <v>23</v>
      </c>
      <c r="F175">
        <v>23</v>
      </c>
      <c r="G175">
        <v>23</v>
      </c>
      <c r="H175" t="s">
        <v>489</v>
      </c>
      <c r="I175">
        <v>48.1</v>
      </c>
      <c r="J175">
        <v>57.07</v>
      </c>
      <c r="K175" t="str">
        <f>"SERPIND1"</f>
        <v>SERPIND1</v>
      </c>
      <c r="L175" t="str">
        <f>"SERPIND1"</f>
        <v>SERPIND1</v>
      </c>
      <c r="M175">
        <v>6990200000</v>
      </c>
      <c r="N175">
        <v>2497400000</v>
      </c>
      <c r="O175">
        <v>2455600000</v>
      </c>
      <c r="P175">
        <v>2819100000</v>
      </c>
      <c r="Q175">
        <v>3585900000</v>
      </c>
      <c r="R175" s="8">
        <v>2533000000</v>
      </c>
      <c r="S175">
        <v>2655100000</v>
      </c>
      <c r="T175">
        <v>4106300000</v>
      </c>
      <c r="U175">
        <v>1271300000</v>
      </c>
      <c r="V175">
        <v>2411300000</v>
      </c>
      <c r="W175">
        <v>4700200000</v>
      </c>
      <c r="X175" s="8">
        <v>3410000000</v>
      </c>
    </row>
    <row r="176" spans="1:24">
      <c r="A176">
        <v>1263</v>
      </c>
      <c r="B176" t="s">
        <v>490</v>
      </c>
      <c r="C176">
        <v>2</v>
      </c>
      <c r="D176" t="s">
        <v>491</v>
      </c>
      <c r="E176">
        <v>21</v>
      </c>
      <c r="F176">
        <v>18</v>
      </c>
      <c r="G176">
        <v>18</v>
      </c>
      <c r="H176" t="s">
        <v>492</v>
      </c>
      <c r="I176">
        <v>61.6</v>
      </c>
      <c r="J176">
        <v>29.173999999999999</v>
      </c>
      <c r="K176" t="str">
        <f>"YWHAE"</f>
        <v>YWHAE</v>
      </c>
      <c r="L176" t="str">
        <f>"YWHAE"</f>
        <v>YWHAE</v>
      </c>
      <c r="M176">
        <v>1221400000</v>
      </c>
      <c r="N176">
        <v>1341100000</v>
      </c>
      <c r="O176" s="8">
        <v>1544000000</v>
      </c>
      <c r="P176">
        <v>1288700000</v>
      </c>
      <c r="Q176">
        <v>1189500000</v>
      </c>
      <c r="R176">
        <v>2076300000</v>
      </c>
      <c r="S176">
        <v>1418200000</v>
      </c>
      <c r="T176">
        <v>1445700000</v>
      </c>
      <c r="U176">
        <v>1296700000</v>
      </c>
      <c r="V176">
        <v>1768300000</v>
      </c>
      <c r="W176">
        <v>1301600000</v>
      </c>
      <c r="X176" s="8">
        <v>1217000000</v>
      </c>
    </row>
    <row r="177" spans="1:24">
      <c r="A177">
        <v>532</v>
      </c>
      <c r="B177" t="s">
        <v>493</v>
      </c>
      <c r="C177">
        <v>1</v>
      </c>
      <c r="D177" t="s">
        <v>494</v>
      </c>
      <c r="E177">
        <v>29</v>
      </c>
      <c r="F177">
        <v>6</v>
      </c>
      <c r="G177">
        <v>5</v>
      </c>
      <c r="H177" t="s">
        <v>493</v>
      </c>
      <c r="I177">
        <v>72.099999999999994</v>
      </c>
      <c r="J177">
        <v>49.67</v>
      </c>
      <c r="K177" t="str">
        <f>"TUBB"</f>
        <v>TUBB</v>
      </c>
      <c r="L177" t="str">
        <f>"TUBB"</f>
        <v>TUBB</v>
      </c>
      <c r="M177">
        <v>2430300000</v>
      </c>
      <c r="N177">
        <v>6288100000</v>
      </c>
      <c r="O177">
        <v>6415600000</v>
      </c>
      <c r="P177">
        <v>3688400000</v>
      </c>
      <c r="Q177">
        <v>5230800000</v>
      </c>
      <c r="R177">
        <v>2970700000</v>
      </c>
      <c r="S177">
        <v>6110800000</v>
      </c>
      <c r="T177" s="8">
        <v>3927000000</v>
      </c>
      <c r="U177">
        <v>9190700000</v>
      </c>
      <c r="V177">
        <v>4898300000</v>
      </c>
      <c r="W177">
        <v>5742100000</v>
      </c>
      <c r="X177">
        <v>4761700000</v>
      </c>
    </row>
    <row r="178" spans="1:24">
      <c r="A178">
        <v>317</v>
      </c>
      <c r="B178" t="s">
        <v>495</v>
      </c>
      <c r="C178">
        <v>1</v>
      </c>
      <c r="D178" t="s">
        <v>496</v>
      </c>
      <c r="E178">
        <v>19</v>
      </c>
      <c r="F178">
        <v>19</v>
      </c>
      <c r="G178">
        <v>19</v>
      </c>
      <c r="H178" t="s">
        <v>495</v>
      </c>
      <c r="I178">
        <v>78.5</v>
      </c>
      <c r="J178">
        <v>29.245999999999999</v>
      </c>
      <c r="K178" t="str">
        <f>"CA2"</f>
        <v>CA2</v>
      </c>
      <c r="L178" t="str">
        <f>"CA2"</f>
        <v>CA2</v>
      </c>
      <c r="M178">
        <v>3089400000</v>
      </c>
      <c r="N178">
        <v>2302700000</v>
      </c>
      <c r="O178">
        <v>2319600000</v>
      </c>
      <c r="P178">
        <v>1634200000</v>
      </c>
      <c r="Q178">
        <v>600370000</v>
      </c>
      <c r="R178">
        <v>2681200000</v>
      </c>
      <c r="S178">
        <v>1538600000</v>
      </c>
      <c r="T178">
        <v>2063600000</v>
      </c>
      <c r="U178">
        <v>1945800000</v>
      </c>
      <c r="V178" s="8">
        <v>1174000000</v>
      </c>
      <c r="W178">
        <v>2076300000</v>
      </c>
      <c r="X178">
        <v>1596400000</v>
      </c>
    </row>
    <row r="179" spans="1:24">
      <c r="A179">
        <v>1147</v>
      </c>
      <c r="B179" t="s">
        <v>497</v>
      </c>
      <c r="C179">
        <v>2</v>
      </c>
      <c r="D179" t="s">
        <v>498</v>
      </c>
      <c r="E179">
        <v>24</v>
      </c>
      <c r="F179">
        <v>24</v>
      </c>
      <c r="G179">
        <v>24</v>
      </c>
      <c r="H179" t="s">
        <v>499</v>
      </c>
      <c r="I179">
        <v>53.8</v>
      </c>
      <c r="J179">
        <v>51.872</v>
      </c>
      <c r="K179" t="str">
        <f>"PGD"</f>
        <v>PGD</v>
      </c>
      <c r="L179" t="str">
        <f>"PGD"</f>
        <v>PGD</v>
      </c>
      <c r="M179">
        <v>916080000</v>
      </c>
      <c r="N179">
        <v>1369300000</v>
      </c>
      <c r="O179">
        <v>1554600000</v>
      </c>
      <c r="P179">
        <v>806700000</v>
      </c>
      <c r="Q179">
        <v>1103300000</v>
      </c>
      <c r="R179">
        <v>1554800000</v>
      </c>
      <c r="S179">
        <v>978340000</v>
      </c>
      <c r="T179">
        <v>1155200000</v>
      </c>
      <c r="U179">
        <v>1016600000</v>
      </c>
      <c r="V179">
        <v>1166500000</v>
      </c>
      <c r="W179">
        <v>1145500000</v>
      </c>
      <c r="X179">
        <v>1362600000</v>
      </c>
    </row>
    <row r="180" spans="1:24">
      <c r="A180">
        <v>470</v>
      </c>
      <c r="B180" t="s">
        <v>500</v>
      </c>
      <c r="C180">
        <v>14</v>
      </c>
      <c r="D180" t="s">
        <v>501</v>
      </c>
      <c r="E180">
        <v>19</v>
      </c>
      <c r="F180">
        <v>19</v>
      </c>
      <c r="G180">
        <v>12</v>
      </c>
      <c r="H180" t="s">
        <v>502</v>
      </c>
      <c r="I180">
        <v>53.2</v>
      </c>
      <c r="J180">
        <v>40.450000000000003</v>
      </c>
      <c r="K180" t="str">
        <f>"GNAI2;GNAO1;GNAT1;GNAT2;GNAT3;GNAL"</f>
        <v>GNAI2;GNAO1;GNAT1;GNAT2;GNAT3;GNAL</v>
      </c>
      <c r="L180" t="str">
        <f>"GNAI2;GNAO1;GNAT1;GNAT2;GNAT3;GNAL"</f>
        <v>GNAI2;GNAO1;GNAT1;GNAT2;GNAT3;GNAL</v>
      </c>
      <c r="M180">
        <v>1016600000</v>
      </c>
      <c r="N180">
        <v>1281900000</v>
      </c>
      <c r="O180">
        <v>1290900000</v>
      </c>
      <c r="P180">
        <v>1306300000</v>
      </c>
      <c r="Q180">
        <v>1089500000</v>
      </c>
      <c r="R180" s="8">
        <v>1358000000</v>
      </c>
      <c r="S180">
        <v>1093500000</v>
      </c>
      <c r="T180">
        <v>952220000</v>
      </c>
      <c r="U180">
        <v>1410300000</v>
      </c>
      <c r="V180">
        <v>1085700000</v>
      </c>
      <c r="W180" s="8">
        <v>1695000000</v>
      </c>
      <c r="X180">
        <v>1691800000</v>
      </c>
    </row>
    <row r="181" spans="1:24">
      <c r="A181">
        <v>2102</v>
      </c>
      <c r="B181" t="s">
        <v>503</v>
      </c>
      <c r="C181">
        <v>1</v>
      </c>
      <c r="D181" t="s">
        <v>504</v>
      </c>
      <c r="E181">
        <v>42</v>
      </c>
      <c r="F181">
        <v>27</v>
      </c>
      <c r="G181">
        <v>27</v>
      </c>
      <c r="H181" t="s">
        <v>503</v>
      </c>
      <c r="I181">
        <v>77</v>
      </c>
      <c r="J181">
        <v>60.625999999999998</v>
      </c>
      <c r="K181" t="str">
        <f>"EHD1"</f>
        <v>EHD1</v>
      </c>
      <c r="L181" t="str">
        <f>"EHD1"</f>
        <v>EHD1</v>
      </c>
      <c r="M181">
        <v>1096200000</v>
      </c>
      <c r="N181">
        <v>915270000</v>
      </c>
      <c r="O181">
        <v>1096800000</v>
      </c>
      <c r="P181">
        <v>866830000</v>
      </c>
      <c r="Q181">
        <v>837950000</v>
      </c>
      <c r="R181">
        <v>1302900000</v>
      </c>
      <c r="S181">
        <v>1382100000</v>
      </c>
      <c r="T181">
        <v>1022100000</v>
      </c>
      <c r="U181">
        <v>1041800000</v>
      </c>
      <c r="V181">
        <v>1256700000</v>
      </c>
      <c r="W181">
        <v>757520000</v>
      </c>
      <c r="X181">
        <v>1327300000</v>
      </c>
    </row>
    <row r="182" spans="1:24">
      <c r="A182">
        <v>512</v>
      </c>
      <c r="B182" t="s">
        <v>505</v>
      </c>
      <c r="C182">
        <v>2</v>
      </c>
      <c r="D182" t="s">
        <v>506</v>
      </c>
      <c r="E182">
        <v>41</v>
      </c>
      <c r="F182">
        <v>35</v>
      </c>
      <c r="G182">
        <v>34</v>
      </c>
      <c r="H182" t="s">
        <v>507</v>
      </c>
      <c r="I182">
        <v>54.5</v>
      </c>
      <c r="J182">
        <v>93.132999999999996</v>
      </c>
      <c r="K182" t="str">
        <f>"PYGL"</f>
        <v>PYGL</v>
      </c>
      <c r="L182" t="str">
        <f>"PYGL"</f>
        <v>PYGL</v>
      </c>
      <c r="M182">
        <v>671760000</v>
      </c>
      <c r="N182">
        <v>919650000</v>
      </c>
      <c r="O182">
        <v>1087100000</v>
      </c>
      <c r="P182">
        <v>762290000</v>
      </c>
      <c r="Q182">
        <v>844490000</v>
      </c>
      <c r="R182">
        <v>1092800000</v>
      </c>
      <c r="S182">
        <v>1337700000</v>
      </c>
      <c r="T182">
        <v>858660000</v>
      </c>
      <c r="U182">
        <v>1197100000</v>
      </c>
      <c r="V182">
        <v>1074100000</v>
      </c>
      <c r="W182">
        <v>1515700000</v>
      </c>
      <c r="X182">
        <v>1177600000</v>
      </c>
    </row>
    <row r="183" spans="1:24">
      <c r="A183">
        <v>201</v>
      </c>
      <c r="B183" t="s">
        <v>508</v>
      </c>
      <c r="C183">
        <v>1</v>
      </c>
      <c r="D183" t="s">
        <v>509</v>
      </c>
      <c r="E183">
        <v>57</v>
      </c>
      <c r="F183">
        <v>57</v>
      </c>
      <c r="G183">
        <v>50</v>
      </c>
      <c r="H183" t="s">
        <v>508</v>
      </c>
      <c r="I183">
        <v>42.1</v>
      </c>
      <c r="J183">
        <v>160.9</v>
      </c>
      <c r="K183" t="str">
        <f>"ROCK2"</f>
        <v>ROCK2</v>
      </c>
      <c r="L183" t="str">
        <f>"ROCK2"</f>
        <v>ROCK2</v>
      </c>
      <c r="M183">
        <v>417650000</v>
      </c>
      <c r="N183">
        <v>780360000</v>
      </c>
      <c r="O183">
        <v>823800000</v>
      </c>
      <c r="P183">
        <v>706390000</v>
      </c>
      <c r="Q183">
        <v>219850000</v>
      </c>
      <c r="R183">
        <v>772750000</v>
      </c>
      <c r="S183">
        <v>692580000</v>
      </c>
      <c r="T183">
        <v>358680000</v>
      </c>
      <c r="U183">
        <v>571500000</v>
      </c>
      <c r="V183">
        <v>548090000</v>
      </c>
      <c r="W183">
        <v>625180000</v>
      </c>
      <c r="X183">
        <v>919120000</v>
      </c>
    </row>
    <row r="184" spans="1:24">
      <c r="A184">
        <v>822</v>
      </c>
      <c r="B184" t="s">
        <v>510</v>
      </c>
      <c r="C184">
        <v>1</v>
      </c>
      <c r="D184" t="s">
        <v>511</v>
      </c>
      <c r="E184">
        <v>20</v>
      </c>
      <c r="F184">
        <v>20</v>
      </c>
      <c r="G184">
        <v>20</v>
      </c>
      <c r="H184" t="s">
        <v>510</v>
      </c>
      <c r="I184">
        <v>53.7</v>
      </c>
      <c r="J184">
        <v>34.258000000000003</v>
      </c>
      <c r="K184" t="str">
        <f>"AZGP1"</f>
        <v>AZGP1</v>
      </c>
      <c r="L184" t="str">
        <f>"AZGP1"</f>
        <v>AZGP1</v>
      </c>
      <c r="M184">
        <v>3638200000</v>
      </c>
      <c r="N184">
        <v>1724100000</v>
      </c>
      <c r="O184">
        <v>954800000</v>
      </c>
      <c r="P184">
        <v>1839900000</v>
      </c>
      <c r="Q184">
        <v>3661100000</v>
      </c>
      <c r="R184">
        <v>1664200000</v>
      </c>
      <c r="S184">
        <v>1585200000</v>
      </c>
      <c r="T184">
        <v>2672500000</v>
      </c>
      <c r="U184">
        <v>989300000</v>
      </c>
      <c r="V184">
        <v>2751500000</v>
      </c>
      <c r="W184">
        <v>1539300000</v>
      </c>
      <c r="X184">
        <v>845440000</v>
      </c>
    </row>
    <row r="185" spans="1:24">
      <c r="A185">
        <v>1569</v>
      </c>
      <c r="B185" t="s">
        <v>512</v>
      </c>
      <c r="C185">
        <v>11</v>
      </c>
      <c r="D185" t="s">
        <v>513</v>
      </c>
      <c r="E185">
        <v>35</v>
      </c>
      <c r="F185">
        <v>35</v>
      </c>
      <c r="G185">
        <v>35</v>
      </c>
      <c r="H185" t="s">
        <v>514</v>
      </c>
      <c r="I185">
        <v>21.5</v>
      </c>
      <c r="J185">
        <v>203.05</v>
      </c>
      <c r="K185" t="str">
        <f>"MYLK"</f>
        <v>MYLK</v>
      </c>
      <c r="L185" t="str">
        <f>"MYLK"</f>
        <v>MYLK</v>
      </c>
      <c r="M185">
        <v>610140000</v>
      </c>
      <c r="N185">
        <v>1198600000</v>
      </c>
      <c r="O185">
        <v>1106100000</v>
      </c>
      <c r="P185">
        <v>905740000</v>
      </c>
      <c r="Q185">
        <v>729190000</v>
      </c>
      <c r="R185">
        <v>1001900000</v>
      </c>
      <c r="S185" s="8">
        <v>1471000000</v>
      </c>
      <c r="T185">
        <v>797320000</v>
      </c>
      <c r="U185" s="8">
        <v>1686000000</v>
      </c>
      <c r="V185">
        <v>1185600000</v>
      </c>
      <c r="W185" s="8">
        <v>1324000000</v>
      </c>
      <c r="X185">
        <v>1302700000</v>
      </c>
    </row>
    <row r="186" spans="1:24">
      <c r="A186">
        <v>1464</v>
      </c>
      <c r="B186" t="s">
        <v>515</v>
      </c>
      <c r="C186">
        <v>5</v>
      </c>
      <c r="D186" t="s">
        <v>516</v>
      </c>
      <c r="E186">
        <v>22</v>
      </c>
      <c r="F186">
        <v>22</v>
      </c>
      <c r="G186">
        <v>22</v>
      </c>
      <c r="H186" t="s">
        <v>517</v>
      </c>
      <c r="I186">
        <v>71.8</v>
      </c>
      <c r="J186">
        <v>31.895</v>
      </c>
      <c r="K186" t="str">
        <f>"FHL1"</f>
        <v>FHL1</v>
      </c>
      <c r="L186" t="str">
        <f>"FHL1"</f>
        <v>FHL1</v>
      </c>
      <c r="M186">
        <v>1822700000</v>
      </c>
      <c r="N186">
        <v>2787800000</v>
      </c>
      <c r="O186">
        <v>2209600000</v>
      </c>
      <c r="P186" s="8">
        <v>1681000000</v>
      </c>
      <c r="Q186">
        <v>1659100000</v>
      </c>
      <c r="R186">
        <v>2716800000</v>
      </c>
      <c r="S186">
        <v>1561800000</v>
      </c>
      <c r="T186">
        <v>2042200000</v>
      </c>
      <c r="U186">
        <v>1452800000</v>
      </c>
      <c r="V186">
        <v>1830600000</v>
      </c>
      <c r="W186">
        <v>2052700000</v>
      </c>
      <c r="X186">
        <v>1813400000</v>
      </c>
    </row>
    <row r="187" spans="1:24">
      <c r="A187">
        <v>1917</v>
      </c>
      <c r="B187" t="s">
        <v>518</v>
      </c>
      <c r="C187">
        <v>2</v>
      </c>
      <c r="D187" t="s">
        <v>519</v>
      </c>
      <c r="E187">
        <v>30</v>
      </c>
      <c r="F187">
        <v>30</v>
      </c>
      <c r="G187">
        <v>30</v>
      </c>
      <c r="H187" t="s">
        <v>520</v>
      </c>
      <c r="I187">
        <v>43.8</v>
      </c>
      <c r="J187">
        <v>76.022999999999996</v>
      </c>
      <c r="K187" t="str">
        <f>"SYTL4"</f>
        <v>SYTL4</v>
      </c>
      <c r="L187" t="str">
        <f>"SYTL4"</f>
        <v>SYTL4</v>
      </c>
      <c r="M187">
        <v>848510000</v>
      </c>
      <c r="N187">
        <v>1566400000</v>
      </c>
      <c r="O187">
        <v>1082400000</v>
      </c>
      <c r="P187">
        <v>1095800000</v>
      </c>
      <c r="Q187">
        <v>735790000</v>
      </c>
      <c r="R187">
        <v>998190000</v>
      </c>
      <c r="S187">
        <v>813820000</v>
      </c>
      <c r="T187">
        <v>850820000</v>
      </c>
      <c r="U187">
        <v>1052100000</v>
      </c>
      <c r="V187">
        <v>841430000</v>
      </c>
      <c r="W187">
        <v>665380000</v>
      </c>
      <c r="X187">
        <v>899450000</v>
      </c>
    </row>
    <row r="188" spans="1:24">
      <c r="A188">
        <v>627</v>
      </c>
      <c r="B188" t="s">
        <v>521</v>
      </c>
      <c r="C188">
        <v>6</v>
      </c>
      <c r="D188" t="s">
        <v>522</v>
      </c>
      <c r="E188">
        <v>11</v>
      </c>
      <c r="F188">
        <v>11</v>
      </c>
      <c r="G188">
        <v>11</v>
      </c>
      <c r="H188" t="s">
        <v>523</v>
      </c>
      <c r="I188">
        <v>16.899999999999999</v>
      </c>
      <c r="J188">
        <v>53.923999999999999</v>
      </c>
      <c r="K188" t="str">
        <f>"SLC2A3;SLC2A14"</f>
        <v>SLC2A3;SLC2A14</v>
      </c>
      <c r="L188" t="str">
        <f>"SLC2A3;SLC2A14"</f>
        <v>SLC2A3;SLC2A14</v>
      </c>
      <c r="M188">
        <v>2887300000</v>
      </c>
      <c r="N188">
        <v>3224600000</v>
      </c>
      <c r="O188" s="8">
        <v>1654000000</v>
      </c>
      <c r="P188">
        <v>1901200000</v>
      </c>
      <c r="Q188">
        <v>1698700000</v>
      </c>
      <c r="R188">
        <v>1753200000</v>
      </c>
      <c r="S188">
        <v>1526800000</v>
      </c>
      <c r="T188" s="8">
        <v>1605000000</v>
      </c>
      <c r="U188">
        <v>2393300000</v>
      </c>
      <c r="V188">
        <v>2517600000</v>
      </c>
      <c r="W188">
        <v>1390600000</v>
      </c>
      <c r="X188">
        <v>2084400000</v>
      </c>
    </row>
    <row r="189" spans="1:24">
      <c r="A189">
        <v>574</v>
      </c>
      <c r="B189" t="s">
        <v>524</v>
      </c>
      <c r="C189">
        <v>1</v>
      </c>
      <c r="D189" t="s">
        <v>525</v>
      </c>
      <c r="E189">
        <v>13</v>
      </c>
      <c r="F189">
        <v>13</v>
      </c>
      <c r="G189">
        <v>13</v>
      </c>
      <c r="H189" t="s">
        <v>524</v>
      </c>
      <c r="I189">
        <v>70.5</v>
      </c>
      <c r="J189">
        <v>23.356000000000002</v>
      </c>
      <c r="K189" t="str">
        <f>"GSTP1"</f>
        <v>GSTP1</v>
      </c>
      <c r="L189" t="str">
        <f>"GSTP1"</f>
        <v>GSTP1</v>
      </c>
      <c r="M189">
        <v>3856200000</v>
      </c>
      <c r="N189">
        <v>2453200000</v>
      </c>
      <c r="O189" s="8">
        <v>2892000000</v>
      </c>
      <c r="P189">
        <v>2475500000</v>
      </c>
      <c r="Q189">
        <v>3452700000</v>
      </c>
      <c r="R189">
        <v>3765900000</v>
      </c>
      <c r="S189">
        <v>3603600000</v>
      </c>
      <c r="T189">
        <v>2733700000</v>
      </c>
      <c r="U189">
        <v>2482500000</v>
      </c>
      <c r="V189">
        <v>3586900000</v>
      </c>
      <c r="W189">
        <v>2827100000</v>
      </c>
      <c r="X189">
        <v>2695800000</v>
      </c>
    </row>
    <row r="190" spans="1:24">
      <c r="A190">
        <v>785</v>
      </c>
      <c r="B190" t="s">
        <v>526</v>
      </c>
      <c r="C190">
        <v>2</v>
      </c>
      <c r="D190" t="s">
        <v>527</v>
      </c>
      <c r="E190">
        <v>33</v>
      </c>
      <c r="F190">
        <v>33</v>
      </c>
      <c r="G190">
        <v>33</v>
      </c>
      <c r="H190" t="s">
        <v>528</v>
      </c>
      <c r="I190">
        <v>43.6</v>
      </c>
      <c r="J190">
        <v>113.8</v>
      </c>
      <c r="K190" t="str">
        <f>"UBA1"</f>
        <v>UBA1</v>
      </c>
      <c r="L190" t="str">
        <f>"UBA1"</f>
        <v>UBA1</v>
      </c>
      <c r="M190">
        <v>985010000</v>
      </c>
      <c r="N190">
        <v>1031200000</v>
      </c>
      <c r="O190">
        <v>966090000</v>
      </c>
      <c r="P190">
        <v>805910000</v>
      </c>
      <c r="Q190">
        <v>824030000</v>
      </c>
      <c r="R190">
        <v>980440000</v>
      </c>
      <c r="S190">
        <v>1002100000</v>
      </c>
      <c r="T190">
        <v>781570000</v>
      </c>
      <c r="U190">
        <v>824960000</v>
      </c>
      <c r="V190">
        <v>802390000</v>
      </c>
      <c r="W190">
        <v>727270000</v>
      </c>
      <c r="X190">
        <v>861720000</v>
      </c>
    </row>
    <row r="191" spans="1:24">
      <c r="A191">
        <v>1563</v>
      </c>
      <c r="B191" t="s">
        <v>529</v>
      </c>
      <c r="C191">
        <v>5</v>
      </c>
      <c r="D191" t="s">
        <v>530</v>
      </c>
      <c r="E191">
        <v>21</v>
      </c>
      <c r="F191">
        <v>21</v>
      </c>
      <c r="G191">
        <v>19</v>
      </c>
      <c r="H191" t="s">
        <v>531</v>
      </c>
      <c r="I191">
        <v>74.5</v>
      </c>
      <c r="J191">
        <v>30.690999999999999</v>
      </c>
      <c r="K191" t="str">
        <f>"MAPRE2"</f>
        <v>MAPRE2</v>
      </c>
      <c r="L191" t="str">
        <f>"MAPRE2"</f>
        <v>MAPRE2</v>
      </c>
      <c r="M191">
        <v>1169800000</v>
      </c>
      <c r="N191">
        <v>2002800000</v>
      </c>
      <c r="O191">
        <v>1624400000</v>
      </c>
      <c r="P191">
        <v>1341300000</v>
      </c>
      <c r="Q191">
        <v>1292800000</v>
      </c>
      <c r="R191">
        <v>1305200000</v>
      </c>
      <c r="S191">
        <v>1428200000</v>
      </c>
      <c r="T191" s="8">
        <v>1336000000</v>
      </c>
      <c r="U191">
        <v>1492200000</v>
      </c>
      <c r="V191">
        <v>1383500000</v>
      </c>
      <c r="W191">
        <v>1579500000</v>
      </c>
      <c r="X191">
        <v>1841700000</v>
      </c>
    </row>
    <row r="192" spans="1:24">
      <c r="A192">
        <v>425</v>
      </c>
      <c r="B192" t="s">
        <v>532</v>
      </c>
      <c r="C192">
        <v>1</v>
      </c>
      <c r="D192" t="s">
        <v>533</v>
      </c>
      <c r="E192">
        <v>10</v>
      </c>
      <c r="F192">
        <v>10</v>
      </c>
      <c r="G192">
        <v>5</v>
      </c>
      <c r="H192" t="s">
        <v>532</v>
      </c>
      <c r="I192">
        <v>50.5</v>
      </c>
      <c r="J192">
        <v>10.845000000000001</v>
      </c>
      <c r="K192" t="str">
        <f>"PF4"</f>
        <v>PF4</v>
      </c>
      <c r="L192" t="str">
        <f>"PF4"</f>
        <v>PF4</v>
      </c>
      <c r="M192">
        <v>6251600000</v>
      </c>
      <c r="N192" s="8">
        <v>7436000000</v>
      </c>
      <c r="O192">
        <v>8612800000</v>
      </c>
      <c r="P192">
        <v>9645900000</v>
      </c>
      <c r="Q192" s="8">
        <v>13450000000</v>
      </c>
      <c r="R192" s="8">
        <v>15601000000</v>
      </c>
      <c r="S192">
        <v>9266500000</v>
      </c>
      <c r="T192" s="8">
        <v>14242000000</v>
      </c>
      <c r="U192" s="8">
        <v>20281000000</v>
      </c>
      <c r="V192" s="8">
        <v>15770000000</v>
      </c>
      <c r="W192">
        <v>3417700000</v>
      </c>
      <c r="X192">
        <v>4666900000</v>
      </c>
    </row>
    <row r="193" spans="1:24">
      <c r="A193">
        <v>1509</v>
      </c>
      <c r="B193" t="s">
        <v>534</v>
      </c>
      <c r="C193">
        <v>2</v>
      </c>
      <c r="D193" t="s">
        <v>535</v>
      </c>
      <c r="E193">
        <v>44</v>
      </c>
      <c r="F193">
        <v>44</v>
      </c>
      <c r="G193">
        <v>44</v>
      </c>
      <c r="H193" t="s">
        <v>536</v>
      </c>
      <c r="I193">
        <v>67.400000000000006</v>
      </c>
      <c r="J193">
        <v>95.697999999999993</v>
      </c>
      <c r="K193" t="str">
        <f>"RASA3"</f>
        <v>RASA3</v>
      </c>
      <c r="L193" t="str">
        <f>"RASA3"</f>
        <v>RASA3</v>
      </c>
      <c r="M193">
        <v>768530000</v>
      </c>
      <c r="N193">
        <v>934100000</v>
      </c>
      <c r="O193">
        <v>828750000</v>
      </c>
      <c r="P193">
        <v>602180000</v>
      </c>
      <c r="Q193">
        <v>459780000</v>
      </c>
      <c r="R193">
        <v>667790000</v>
      </c>
      <c r="S193">
        <v>839330000</v>
      </c>
      <c r="T193">
        <v>711190000</v>
      </c>
      <c r="U193">
        <v>875270000</v>
      </c>
      <c r="V193">
        <v>725570000</v>
      </c>
      <c r="W193">
        <v>756630000</v>
      </c>
      <c r="X193">
        <v>800820000</v>
      </c>
    </row>
    <row r="194" spans="1:24">
      <c r="A194">
        <v>1578</v>
      </c>
      <c r="B194" t="s">
        <v>537</v>
      </c>
      <c r="C194">
        <v>5</v>
      </c>
      <c r="D194" t="s">
        <v>538</v>
      </c>
      <c r="E194">
        <v>16</v>
      </c>
      <c r="F194">
        <v>16</v>
      </c>
      <c r="G194">
        <v>16</v>
      </c>
      <c r="H194" t="s">
        <v>539</v>
      </c>
      <c r="I194">
        <v>67.400000000000006</v>
      </c>
      <c r="J194">
        <v>24.488</v>
      </c>
      <c r="K194" t="str">
        <f>"RAB11B;RAB11A;RAB25"</f>
        <v>RAB11B;RAB11A;RAB25</v>
      </c>
      <c r="L194" t="str">
        <f>"RAB11B;RAB11A;RAB25"</f>
        <v>RAB11B;RAB11A;RAB25</v>
      </c>
      <c r="M194">
        <v>1359900000</v>
      </c>
      <c r="N194">
        <v>1567200000</v>
      </c>
      <c r="O194">
        <v>1502300000</v>
      </c>
      <c r="P194">
        <v>1776500000</v>
      </c>
      <c r="Q194" s="8">
        <v>1142000000</v>
      </c>
      <c r="R194">
        <v>1687100000</v>
      </c>
      <c r="S194">
        <v>2038800000</v>
      </c>
      <c r="T194">
        <v>1531100000</v>
      </c>
      <c r="U194">
        <v>1622300000</v>
      </c>
      <c r="V194">
        <v>1480300000</v>
      </c>
      <c r="W194">
        <v>1387900000</v>
      </c>
      <c r="X194">
        <v>2105500000</v>
      </c>
    </row>
    <row r="195" spans="1:24">
      <c r="A195">
        <v>2236</v>
      </c>
      <c r="B195" t="s">
        <v>540</v>
      </c>
      <c r="C195">
        <v>7</v>
      </c>
      <c r="D195" t="s">
        <v>541</v>
      </c>
      <c r="E195">
        <v>42</v>
      </c>
      <c r="F195">
        <v>42</v>
      </c>
      <c r="G195">
        <v>42</v>
      </c>
      <c r="H195" t="s">
        <v>542</v>
      </c>
      <c r="I195">
        <v>37.6</v>
      </c>
      <c r="J195">
        <v>131.37</v>
      </c>
      <c r="K195" t="str">
        <f>"TJP2"</f>
        <v>TJP2</v>
      </c>
      <c r="L195" t="str">
        <f>"TJP2"</f>
        <v>TJP2</v>
      </c>
      <c r="M195">
        <v>241080000</v>
      </c>
      <c r="N195">
        <v>599420000</v>
      </c>
      <c r="O195">
        <v>547590000</v>
      </c>
      <c r="P195">
        <v>443150000</v>
      </c>
      <c r="Q195">
        <v>316080000</v>
      </c>
      <c r="R195">
        <v>674490000</v>
      </c>
      <c r="S195">
        <v>619270000</v>
      </c>
      <c r="T195">
        <v>473610000</v>
      </c>
      <c r="U195">
        <v>565390000</v>
      </c>
      <c r="V195">
        <v>428250000</v>
      </c>
      <c r="W195">
        <v>444070000</v>
      </c>
      <c r="X195">
        <v>425860000</v>
      </c>
    </row>
    <row r="196" spans="1:24">
      <c r="A196">
        <v>1161</v>
      </c>
      <c r="B196" t="s">
        <v>543</v>
      </c>
      <c r="C196">
        <v>3</v>
      </c>
      <c r="D196" t="s">
        <v>544</v>
      </c>
      <c r="E196">
        <v>35</v>
      </c>
      <c r="F196">
        <v>35</v>
      </c>
      <c r="G196">
        <v>35</v>
      </c>
      <c r="H196" t="s">
        <v>545</v>
      </c>
      <c r="I196">
        <v>38.9</v>
      </c>
      <c r="J196">
        <v>119.77</v>
      </c>
      <c r="K196" t="str">
        <f>"ACLY"</f>
        <v>ACLY</v>
      </c>
      <c r="L196" t="str">
        <f>"ACLY"</f>
        <v>ACLY</v>
      </c>
      <c r="M196">
        <v>658840000</v>
      </c>
      <c r="N196">
        <v>1080100000</v>
      </c>
      <c r="O196">
        <v>823110000</v>
      </c>
      <c r="P196">
        <v>535140000</v>
      </c>
      <c r="Q196">
        <v>665100000</v>
      </c>
      <c r="R196">
        <v>694320000</v>
      </c>
      <c r="S196">
        <v>1014700000</v>
      </c>
      <c r="T196">
        <v>621250000</v>
      </c>
      <c r="U196">
        <v>943290000</v>
      </c>
      <c r="V196">
        <v>614630000</v>
      </c>
      <c r="W196">
        <v>646230000</v>
      </c>
      <c r="X196">
        <v>764120000</v>
      </c>
    </row>
    <row r="197" spans="1:24">
      <c r="A197">
        <v>840</v>
      </c>
      <c r="B197" t="s">
        <v>546</v>
      </c>
      <c r="C197">
        <v>2</v>
      </c>
      <c r="D197" t="s">
        <v>547</v>
      </c>
      <c r="E197">
        <v>19</v>
      </c>
      <c r="F197">
        <v>19</v>
      </c>
      <c r="G197">
        <v>19</v>
      </c>
      <c r="H197" t="s">
        <v>548</v>
      </c>
      <c r="I197">
        <v>41.9</v>
      </c>
      <c r="J197">
        <v>50.118000000000002</v>
      </c>
      <c r="K197" t="str">
        <f>"EEF1G"</f>
        <v>EEF1G</v>
      </c>
      <c r="L197" t="str">
        <f>"EEF1G"</f>
        <v>EEF1G</v>
      </c>
      <c r="M197">
        <v>718160000</v>
      </c>
      <c r="N197">
        <v>1374700000</v>
      </c>
      <c r="O197">
        <v>1281800000</v>
      </c>
      <c r="P197">
        <v>873620000</v>
      </c>
      <c r="Q197">
        <v>858130000</v>
      </c>
      <c r="R197">
        <v>1211400000</v>
      </c>
      <c r="S197">
        <v>944570000</v>
      </c>
      <c r="T197">
        <v>841120000</v>
      </c>
      <c r="U197" s="8">
        <v>1343000000</v>
      </c>
      <c r="V197">
        <v>1146400000</v>
      </c>
      <c r="W197">
        <v>1154100000</v>
      </c>
      <c r="X197">
        <v>1098600000</v>
      </c>
    </row>
    <row r="198" spans="1:24">
      <c r="A198">
        <v>1007</v>
      </c>
      <c r="B198" t="s">
        <v>549</v>
      </c>
      <c r="C198">
        <v>2</v>
      </c>
      <c r="D198" t="s">
        <v>550</v>
      </c>
      <c r="E198">
        <v>17</v>
      </c>
      <c r="F198">
        <v>17</v>
      </c>
      <c r="G198">
        <v>17</v>
      </c>
      <c r="H198" t="s">
        <v>551</v>
      </c>
      <c r="I198">
        <v>60.1</v>
      </c>
      <c r="J198">
        <v>35.503</v>
      </c>
      <c r="K198" t="str">
        <f>"MDH2"</f>
        <v>MDH2</v>
      </c>
      <c r="L198" t="str">
        <f>"MDH2"</f>
        <v>MDH2</v>
      </c>
      <c r="M198">
        <v>753910000</v>
      </c>
      <c r="N198">
        <v>852290000</v>
      </c>
      <c r="O198">
        <v>997930000</v>
      </c>
      <c r="P198">
        <v>895220000</v>
      </c>
      <c r="Q198">
        <v>717190000</v>
      </c>
      <c r="R198">
        <v>971230000</v>
      </c>
      <c r="S198">
        <v>1357800000</v>
      </c>
      <c r="T198">
        <v>868490000</v>
      </c>
      <c r="U198">
        <v>1213600000</v>
      </c>
      <c r="V198">
        <v>819400000</v>
      </c>
      <c r="W198">
        <v>1426200000</v>
      </c>
      <c r="X198">
        <v>1310900000</v>
      </c>
    </row>
    <row r="199" spans="1:24">
      <c r="A199">
        <v>1086</v>
      </c>
      <c r="B199" t="s">
        <v>552</v>
      </c>
      <c r="C199">
        <v>2</v>
      </c>
      <c r="D199" t="s">
        <v>553</v>
      </c>
      <c r="E199">
        <v>25</v>
      </c>
      <c r="F199">
        <v>25</v>
      </c>
      <c r="G199">
        <v>25</v>
      </c>
      <c r="H199" t="s">
        <v>554</v>
      </c>
      <c r="I199">
        <v>53.8</v>
      </c>
      <c r="J199">
        <v>60.533000000000001</v>
      </c>
      <c r="K199" t="str">
        <f>"CCT3"</f>
        <v>CCT3</v>
      </c>
      <c r="L199" t="str">
        <f>"CCT3"</f>
        <v>CCT3</v>
      </c>
      <c r="M199">
        <v>677820000</v>
      </c>
      <c r="N199" s="8">
        <v>1336000000</v>
      </c>
      <c r="O199">
        <v>1235700000</v>
      </c>
      <c r="P199">
        <v>853180000</v>
      </c>
      <c r="Q199">
        <v>787430000</v>
      </c>
      <c r="R199">
        <v>1227900000</v>
      </c>
      <c r="S199">
        <v>1010100000</v>
      </c>
      <c r="T199">
        <v>851520000</v>
      </c>
      <c r="U199">
        <v>996820000</v>
      </c>
      <c r="V199">
        <v>1144700000</v>
      </c>
      <c r="W199">
        <v>1092500000</v>
      </c>
      <c r="X199">
        <v>1022800000</v>
      </c>
    </row>
    <row r="200" spans="1:24">
      <c r="A200">
        <v>414</v>
      </c>
      <c r="B200" t="s">
        <v>555</v>
      </c>
      <c r="C200">
        <v>2</v>
      </c>
      <c r="D200" t="s">
        <v>556</v>
      </c>
      <c r="E200">
        <v>20</v>
      </c>
      <c r="F200">
        <v>20</v>
      </c>
      <c r="G200">
        <v>16</v>
      </c>
      <c r="H200" t="s">
        <v>557</v>
      </c>
      <c r="I200">
        <v>31.1</v>
      </c>
      <c r="J200">
        <v>63.173000000000002</v>
      </c>
      <c r="K200" t="str">
        <f>"C9"</f>
        <v>C9</v>
      </c>
      <c r="L200" t="str">
        <f>"C9"</f>
        <v>C9</v>
      </c>
      <c r="M200" s="8">
        <v>1965000000</v>
      </c>
      <c r="N200">
        <v>1599700000</v>
      </c>
      <c r="O200">
        <v>1369100000</v>
      </c>
      <c r="P200">
        <v>1300500000</v>
      </c>
      <c r="Q200">
        <v>3473500000</v>
      </c>
      <c r="R200">
        <v>1892600000</v>
      </c>
      <c r="S200">
        <v>3195200000</v>
      </c>
      <c r="T200">
        <v>3027400000</v>
      </c>
      <c r="U200">
        <v>1104400000</v>
      </c>
      <c r="V200">
        <v>1399700000</v>
      </c>
      <c r="W200">
        <v>1747400000</v>
      </c>
      <c r="X200">
        <v>2059700000</v>
      </c>
    </row>
    <row r="201" spans="1:24">
      <c r="A201">
        <v>1245</v>
      </c>
      <c r="B201" t="s">
        <v>558</v>
      </c>
      <c r="C201">
        <v>1</v>
      </c>
      <c r="D201" t="s">
        <v>559</v>
      </c>
      <c r="E201">
        <v>11</v>
      </c>
      <c r="F201">
        <v>11</v>
      </c>
      <c r="G201">
        <v>4</v>
      </c>
      <c r="H201" t="s">
        <v>558</v>
      </c>
      <c r="I201">
        <v>46.1</v>
      </c>
      <c r="J201">
        <v>21.768000000000001</v>
      </c>
      <c r="K201" t="str">
        <f>"RHOA"</f>
        <v>RHOA</v>
      </c>
      <c r="L201" t="str">
        <f>"RHOA"</f>
        <v>RHOA</v>
      </c>
      <c r="M201">
        <v>1850100000</v>
      </c>
      <c r="N201">
        <v>2910700000</v>
      </c>
      <c r="O201">
        <v>2358600000</v>
      </c>
      <c r="P201">
        <v>2048700000</v>
      </c>
      <c r="Q201">
        <v>1783300000</v>
      </c>
      <c r="R201" s="8">
        <v>1601000000</v>
      </c>
      <c r="S201">
        <v>1969800000</v>
      </c>
      <c r="T201">
        <v>1867100000</v>
      </c>
      <c r="U201">
        <v>2231300000</v>
      </c>
      <c r="V201">
        <v>1466600000</v>
      </c>
      <c r="W201">
        <v>2407300000</v>
      </c>
      <c r="X201">
        <v>2617600000</v>
      </c>
    </row>
    <row r="202" spans="1:24">
      <c r="A202">
        <v>1388</v>
      </c>
      <c r="B202" t="s">
        <v>560</v>
      </c>
      <c r="C202">
        <v>1</v>
      </c>
      <c r="D202" t="s">
        <v>561</v>
      </c>
      <c r="E202">
        <v>23</v>
      </c>
      <c r="F202">
        <v>23</v>
      </c>
      <c r="G202">
        <v>23</v>
      </c>
      <c r="H202" t="s">
        <v>560</v>
      </c>
      <c r="I202">
        <v>62.6</v>
      </c>
      <c r="J202">
        <v>50.435000000000002</v>
      </c>
      <c r="K202" t="str">
        <f>"ARHGAP1"</f>
        <v>ARHGAP1</v>
      </c>
      <c r="L202" t="str">
        <f>"ARHGAP1"</f>
        <v>ARHGAP1</v>
      </c>
      <c r="M202">
        <v>1101900000</v>
      </c>
      <c r="N202">
        <v>814240000</v>
      </c>
      <c r="O202">
        <v>956050000</v>
      </c>
      <c r="P202">
        <v>620650000</v>
      </c>
      <c r="Q202">
        <v>645180000</v>
      </c>
      <c r="R202">
        <v>792690000</v>
      </c>
      <c r="S202">
        <v>1122900000</v>
      </c>
      <c r="T202">
        <v>796820000</v>
      </c>
      <c r="U202">
        <v>1042800000</v>
      </c>
      <c r="V202">
        <v>900240000</v>
      </c>
      <c r="W202">
        <v>982280000</v>
      </c>
      <c r="X202">
        <v>1409300000</v>
      </c>
    </row>
    <row r="203" spans="1:24">
      <c r="A203">
        <v>2373</v>
      </c>
      <c r="B203" t="s">
        <v>562</v>
      </c>
      <c r="C203">
        <v>1</v>
      </c>
      <c r="D203" t="s">
        <v>563</v>
      </c>
      <c r="E203">
        <v>45</v>
      </c>
      <c r="F203">
        <v>45</v>
      </c>
      <c r="G203">
        <v>45</v>
      </c>
      <c r="H203" t="s">
        <v>562</v>
      </c>
      <c r="I203">
        <v>48.2</v>
      </c>
      <c r="J203">
        <v>126.55</v>
      </c>
      <c r="K203" t="str">
        <f>"FHOD1"</f>
        <v>FHOD1</v>
      </c>
      <c r="L203" t="str">
        <f>"FHOD1"</f>
        <v>FHOD1</v>
      </c>
      <c r="M203">
        <v>106590000</v>
      </c>
      <c r="N203">
        <v>1148900000</v>
      </c>
      <c r="O203">
        <v>599490000</v>
      </c>
      <c r="P203">
        <v>360520000</v>
      </c>
      <c r="Q203">
        <v>65979000</v>
      </c>
      <c r="R203">
        <v>856350000</v>
      </c>
      <c r="S203">
        <v>524280000</v>
      </c>
      <c r="T203">
        <v>42391000</v>
      </c>
      <c r="U203">
        <v>769370000</v>
      </c>
      <c r="V203">
        <v>714600000</v>
      </c>
      <c r="W203">
        <v>394150000</v>
      </c>
      <c r="X203">
        <v>828710000</v>
      </c>
    </row>
    <row r="204" spans="1:24">
      <c r="A204">
        <v>1672</v>
      </c>
      <c r="B204" t="s">
        <v>564</v>
      </c>
      <c r="C204">
        <v>4</v>
      </c>
      <c r="D204" t="s">
        <v>565</v>
      </c>
      <c r="E204">
        <v>21</v>
      </c>
      <c r="F204">
        <v>21</v>
      </c>
      <c r="G204">
        <v>18</v>
      </c>
      <c r="H204" t="s">
        <v>566</v>
      </c>
      <c r="I204">
        <v>68.8</v>
      </c>
      <c r="J204">
        <v>39.548000000000002</v>
      </c>
      <c r="K204" t="str">
        <f>"TWF2;TWF1"</f>
        <v>TWF2;TWF1</v>
      </c>
      <c r="L204" t="str">
        <f>"TWF2;TWF1"</f>
        <v>TWF2;TWF1</v>
      </c>
      <c r="M204">
        <v>803530000</v>
      </c>
      <c r="N204">
        <v>778750000</v>
      </c>
      <c r="O204">
        <v>953880000</v>
      </c>
      <c r="P204">
        <v>945920000</v>
      </c>
      <c r="Q204">
        <v>804830000</v>
      </c>
      <c r="R204">
        <v>881080000</v>
      </c>
      <c r="S204">
        <v>1501900000</v>
      </c>
      <c r="T204">
        <v>550930000</v>
      </c>
      <c r="U204">
        <v>1178400000</v>
      </c>
      <c r="V204">
        <v>785700000</v>
      </c>
      <c r="W204">
        <v>1084700000</v>
      </c>
      <c r="X204">
        <v>1361800000</v>
      </c>
    </row>
    <row r="205" spans="1:24">
      <c r="A205">
        <v>445</v>
      </c>
      <c r="B205" t="s">
        <v>567</v>
      </c>
      <c r="C205">
        <v>4</v>
      </c>
      <c r="D205" t="s">
        <v>568</v>
      </c>
      <c r="E205">
        <v>15</v>
      </c>
      <c r="F205">
        <v>15</v>
      </c>
      <c r="G205">
        <v>15</v>
      </c>
      <c r="H205" t="s">
        <v>569</v>
      </c>
      <c r="I205">
        <v>68</v>
      </c>
      <c r="J205">
        <v>24.722000000000001</v>
      </c>
      <c r="K205" t="str">
        <f>"SOD2"</f>
        <v>SOD2</v>
      </c>
      <c r="L205" t="str">
        <f>"SOD2"</f>
        <v>SOD2</v>
      </c>
      <c r="M205">
        <v>1946700000</v>
      </c>
      <c r="N205">
        <v>2638300000</v>
      </c>
      <c r="O205">
        <v>2681800000</v>
      </c>
      <c r="P205">
        <v>1631700000</v>
      </c>
      <c r="Q205">
        <v>2176900000</v>
      </c>
      <c r="R205">
        <v>2799400000</v>
      </c>
      <c r="S205">
        <v>2904900000</v>
      </c>
      <c r="T205">
        <v>2164700000</v>
      </c>
      <c r="U205">
        <v>1902300000</v>
      </c>
      <c r="V205" s="8">
        <v>2272000000</v>
      </c>
      <c r="W205">
        <v>2034400000</v>
      </c>
      <c r="X205">
        <v>2042600000</v>
      </c>
    </row>
    <row r="206" spans="1:24">
      <c r="A206">
        <v>1136</v>
      </c>
      <c r="B206" t="s">
        <v>570</v>
      </c>
      <c r="C206">
        <v>3</v>
      </c>
      <c r="D206" t="s">
        <v>571</v>
      </c>
      <c r="E206">
        <v>31</v>
      </c>
      <c r="F206">
        <v>31</v>
      </c>
      <c r="G206">
        <v>31</v>
      </c>
      <c r="H206" t="s">
        <v>572</v>
      </c>
      <c r="I206">
        <v>51.9</v>
      </c>
      <c r="J206">
        <v>79.685000000000002</v>
      </c>
      <c r="K206" t="str">
        <f>"HSD17B4"</f>
        <v>HSD17B4</v>
      </c>
      <c r="L206" t="str">
        <f>"HSD17B4"</f>
        <v>HSD17B4</v>
      </c>
      <c r="M206">
        <v>900550000</v>
      </c>
      <c r="N206">
        <v>976450000</v>
      </c>
      <c r="O206">
        <v>1088300000</v>
      </c>
      <c r="P206">
        <v>797660000</v>
      </c>
      <c r="Q206">
        <v>834550000</v>
      </c>
      <c r="R206">
        <v>1091500000</v>
      </c>
      <c r="S206">
        <v>1079900000</v>
      </c>
      <c r="T206">
        <v>894080000</v>
      </c>
      <c r="U206">
        <v>1110200000</v>
      </c>
      <c r="V206">
        <v>981570000</v>
      </c>
      <c r="W206">
        <v>950550000</v>
      </c>
      <c r="X206">
        <v>1144400000</v>
      </c>
    </row>
    <row r="207" spans="1:24">
      <c r="A207">
        <v>1305</v>
      </c>
      <c r="B207" t="s">
        <v>573</v>
      </c>
      <c r="C207">
        <v>2</v>
      </c>
      <c r="D207" t="s">
        <v>574</v>
      </c>
      <c r="E207">
        <v>37</v>
      </c>
      <c r="F207">
        <v>9</v>
      </c>
      <c r="G207">
        <v>9</v>
      </c>
      <c r="H207" t="s">
        <v>575</v>
      </c>
      <c r="I207">
        <v>74.599999999999994</v>
      </c>
      <c r="J207">
        <v>49.923999999999999</v>
      </c>
      <c r="K207" t="str">
        <f>"TUBA4A"</f>
        <v>TUBA4A</v>
      </c>
      <c r="L207" t="str">
        <f>"TUBA4A"</f>
        <v>TUBA4A</v>
      </c>
      <c r="M207" s="8">
        <v>4306000000</v>
      </c>
      <c r="N207">
        <v>5881400000</v>
      </c>
      <c r="O207">
        <v>6790100000</v>
      </c>
      <c r="P207">
        <v>4242300000</v>
      </c>
      <c r="Q207">
        <v>4654700000</v>
      </c>
      <c r="R207">
        <v>3895100000</v>
      </c>
      <c r="S207">
        <v>8121800000</v>
      </c>
      <c r="T207" s="8">
        <v>5287000000</v>
      </c>
      <c r="U207" s="8">
        <v>8191000000</v>
      </c>
      <c r="V207">
        <v>5456600000</v>
      </c>
      <c r="W207">
        <v>5626100000</v>
      </c>
      <c r="X207" s="8">
        <v>8977000000</v>
      </c>
    </row>
    <row r="208" spans="1:24">
      <c r="A208">
        <v>47</v>
      </c>
      <c r="B208" t="s">
        <v>576</v>
      </c>
      <c r="C208">
        <v>6</v>
      </c>
      <c r="D208" t="s">
        <v>577</v>
      </c>
      <c r="E208">
        <v>25</v>
      </c>
      <c r="F208">
        <v>25</v>
      </c>
      <c r="G208">
        <v>1</v>
      </c>
      <c r="H208" t="s">
        <v>578</v>
      </c>
      <c r="I208">
        <v>42.3</v>
      </c>
      <c r="J208">
        <v>75.042000000000002</v>
      </c>
      <c r="K208" t="str">
        <f>"KIF2A;KIF2C;KIF2B"</f>
        <v>KIF2A;KIF2C;KIF2B</v>
      </c>
      <c r="L208" t="str">
        <f>"KIF2A;KIF2C;KIF2B"</f>
        <v>KIF2A;KIF2C;KIF2B</v>
      </c>
      <c r="M208">
        <v>542270000</v>
      </c>
      <c r="N208">
        <v>750430000</v>
      </c>
      <c r="O208">
        <v>605270000</v>
      </c>
      <c r="P208">
        <v>673590000</v>
      </c>
      <c r="Q208">
        <v>476880000</v>
      </c>
      <c r="R208">
        <v>718800000</v>
      </c>
      <c r="S208">
        <v>825850000</v>
      </c>
      <c r="T208">
        <v>673790000</v>
      </c>
      <c r="U208">
        <v>1099800000</v>
      </c>
      <c r="V208">
        <v>501520000</v>
      </c>
      <c r="W208">
        <v>973820000</v>
      </c>
      <c r="X208">
        <v>764980000</v>
      </c>
    </row>
    <row r="209" spans="1:24">
      <c r="A209">
        <v>918</v>
      </c>
      <c r="B209" t="s">
        <v>579</v>
      </c>
      <c r="C209">
        <v>1</v>
      </c>
      <c r="D209" t="s">
        <v>580</v>
      </c>
      <c r="E209">
        <v>25</v>
      </c>
      <c r="F209">
        <v>24</v>
      </c>
      <c r="G209">
        <v>24</v>
      </c>
      <c r="H209" t="s">
        <v>579</v>
      </c>
      <c r="I209">
        <v>41.9</v>
      </c>
      <c r="J209">
        <v>51.026000000000003</v>
      </c>
      <c r="K209" t="str">
        <f>"CORO1A"</f>
        <v>CORO1A</v>
      </c>
      <c r="L209" t="str">
        <f>"CORO1A"</f>
        <v>CORO1A</v>
      </c>
      <c r="M209">
        <v>954830000</v>
      </c>
      <c r="N209">
        <v>1595900000</v>
      </c>
      <c r="O209">
        <v>1618400000</v>
      </c>
      <c r="P209">
        <v>1849500000</v>
      </c>
      <c r="Q209">
        <v>916780000</v>
      </c>
      <c r="R209">
        <v>1732100000</v>
      </c>
      <c r="S209">
        <v>1045300000</v>
      </c>
      <c r="T209">
        <v>1263700000</v>
      </c>
      <c r="U209" s="8">
        <v>1125000000</v>
      </c>
      <c r="V209">
        <v>1249600000</v>
      </c>
      <c r="W209">
        <v>813820000</v>
      </c>
      <c r="X209">
        <v>1397600000</v>
      </c>
    </row>
    <row r="210" spans="1:24">
      <c r="A210">
        <v>468</v>
      </c>
      <c r="B210" t="s">
        <v>581</v>
      </c>
      <c r="C210">
        <v>1</v>
      </c>
      <c r="D210" t="s">
        <v>582</v>
      </c>
      <c r="E210">
        <v>28</v>
      </c>
      <c r="F210">
        <v>28</v>
      </c>
      <c r="G210">
        <v>28</v>
      </c>
      <c r="H210" t="s">
        <v>581</v>
      </c>
      <c r="I210">
        <v>56.5</v>
      </c>
      <c r="J210">
        <v>68.569000000000003</v>
      </c>
      <c r="K210" t="str">
        <f>"RPN1"</f>
        <v>RPN1</v>
      </c>
      <c r="L210" t="str">
        <f>"RPN1"</f>
        <v>RPN1</v>
      </c>
      <c r="M210">
        <v>646180000</v>
      </c>
      <c r="N210">
        <v>1083400000</v>
      </c>
      <c r="O210">
        <v>1111900000</v>
      </c>
      <c r="P210">
        <v>876470000</v>
      </c>
      <c r="Q210">
        <v>557840000</v>
      </c>
      <c r="R210">
        <v>846530000</v>
      </c>
      <c r="S210" s="8">
        <v>1549000000</v>
      </c>
      <c r="T210">
        <v>713690000</v>
      </c>
      <c r="U210">
        <v>1325500000</v>
      </c>
      <c r="V210">
        <v>752250000</v>
      </c>
      <c r="W210">
        <v>1312900000</v>
      </c>
      <c r="X210" s="8">
        <v>1231000000</v>
      </c>
    </row>
    <row r="211" spans="1:24">
      <c r="A211">
        <v>552</v>
      </c>
      <c r="B211" t="s">
        <v>583</v>
      </c>
      <c r="C211">
        <v>2</v>
      </c>
      <c r="D211" t="s">
        <v>584</v>
      </c>
      <c r="E211">
        <v>40</v>
      </c>
      <c r="F211">
        <v>21</v>
      </c>
      <c r="G211">
        <v>18</v>
      </c>
      <c r="H211" t="s">
        <v>585</v>
      </c>
      <c r="I211">
        <v>48.2</v>
      </c>
      <c r="J211">
        <v>83.263000000000005</v>
      </c>
      <c r="K211" t="str">
        <f>"HSP90AB1;HSP90AB3P"</f>
        <v>HSP90AB1;HSP90AB3P</v>
      </c>
      <c r="L211" t="str">
        <f>"HSP90AB1;HSP90AB3P"</f>
        <v>HSP90AB1;HSP90AB3P</v>
      </c>
      <c r="M211">
        <v>1017200000</v>
      </c>
      <c r="N211">
        <v>1476700000</v>
      </c>
      <c r="O211">
        <v>1327500000</v>
      </c>
      <c r="P211">
        <v>765800000</v>
      </c>
      <c r="Q211">
        <v>847460000</v>
      </c>
      <c r="R211">
        <v>1110800000</v>
      </c>
      <c r="S211">
        <v>1240700000</v>
      </c>
      <c r="T211">
        <v>974840000</v>
      </c>
      <c r="U211">
        <v>1397100000</v>
      </c>
      <c r="V211">
        <v>945770000</v>
      </c>
      <c r="W211">
        <v>1518500000</v>
      </c>
      <c r="X211" s="8">
        <v>1479000000</v>
      </c>
    </row>
    <row r="212" spans="1:24">
      <c r="A212">
        <v>622</v>
      </c>
      <c r="B212" t="s">
        <v>586</v>
      </c>
      <c r="C212">
        <v>2</v>
      </c>
      <c r="D212" t="s">
        <v>587</v>
      </c>
      <c r="E212">
        <v>35</v>
      </c>
      <c r="F212">
        <v>35</v>
      </c>
      <c r="G212">
        <v>35</v>
      </c>
      <c r="H212" t="s">
        <v>588</v>
      </c>
      <c r="I212">
        <v>61.4</v>
      </c>
      <c r="J212">
        <v>61.054000000000002</v>
      </c>
      <c r="K212" t="str">
        <f>"HSPD1"</f>
        <v>HSPD1</v>
      </c>
      <c r="L212" t="str">
        <f>"HSPD1"</f>
        <v>HSPD1</v>
      </c>
      <c r="M212">
        <v>184280000</v>
      </c>
      <c r="N212">
        <v>816520000</v>
      </c>
      <c r="O212">
        <v>878490000</v>
      </c>
      <c r="P212">
        <v>575530000</v>
      </c>
      <c r="Q212">
        <v>480860000</v>
      </c>
      <c r="R212">
        <v>969160000</v>
      </c>
      <c r="S212">
        <v>1138600000</v>
      </c>
      <c r="T212">
        <v>374470000</v>
      </c>
      <c r="U212">
        <v>1558800000</v>
      </c>
      <c r="V212">
        <v>704120000</v>
      </c>
      <c r="W212">
        <v>1446800000</v>
      </c>
      <c r="X212">
        <v>1660400000</v>
      </c>
    </row>
    <row r="213" spans="1:24">
      <c r="A213">
        <v>1370</v>
      </c>
      <c r="B213" t="s">
        <v>589</v>
      </c>
      <c r="C213">
        <v>1</v>
      </c>
      <c r="D213" t="s">
        <v>590</v>
      </c>
      <c r="E213">
        <v>23</v>
      </c>
      <c r="F213">
        <v>18</v>
      </c>
      <c r="G213">
        <v>18</v>
      </c>
      <c r="H213" t="s">
        <v>589</v>
      </c>
      <c r="I213">
        <v>65.400000000000006</v>
      </c>
      <c r="J213">
        <v>28.218</v>
      </c>
      <c r="K213" t="str">
        <f>"YWHAH"</f>
        <v>YWHAH</v>
      </c>
      <c r="L213" t="str">
        <f>"YWHAH"</f>
        <v>YWHAH</v>
      </c>
      <c r="M213">
        <v>560160000</v>
      </c>
      <c r="N213">
        <v>678360000</v>
      </c>
      <c r="O213">
        <v>813540000</v>
      </c>
      <c r="P213">
        <v>1016800000</v>
      </c>
      <c r="Q213">
        <v>533010000</v>
      </c>
      <c r="R213">
        <v>1411800000</v>
      </c>
      <c r="S213">
        <v>452520000</v>
      </c>
      <c r="T213">
        <v>646230000</v>
      </c>
      <c r="U213">
        <v>489940000</v>
      </c>
      <c r="V213">
        <v>803570000</v>
      </c>
      <c r="W213">
        <v>480570000</v>
      </c>
      <c r="X213">
        <v>791660000</v>
      </c>
    </row>
    <row r="214" spans="1:24">
      <c r="A214">
        <v>2139</v>
      </c>
      <c r="B214" t="s">
        <v>591</v>
      </c>
      <c r="C214">
        <v>3</v>
      </c>
      <c r="D214" t="s">
        <v>592</v>
      </c>
      <c r="E214">
        <v>33</v>
      </c>
      <c r="F214">
        <v>33</v>
      </c>
      <c r="G214">
        <v>33</v>
      </c>
      <c r="H214" t="s">
        <v>593</v>
      </c>
      <c r="I214">
        <v>58.3</v>
      </c>
      <c r="J214">
        <v>87.143000000000001</v>
      </c>
      <c r="K214" t="str">
        <f>"CASS4"</f>
        <v>CASS4</v>
      </c>
      <c r="L214" t="str">
        <f>"CASS4"</f>
        <v>CASS4</v>
      </c>
      <c r="M214">
        <v>647430000</v>
      </c>
      <c r="N214">
        <v>1153400000</v>
      </c>
      <c r="O214">
        <v>1020600000</v>
      </c>
      <c r="P214">
        <v>928770000</v>
      </c>
      <c r="Q214">
        <v>163100000</v>
      </c>
      <c r="R214">
        <v>930490000</v>
      </c>
      <c r="S214">
        <v>1058500000</v>
      </c>
      <c r="T214">
        <v>740360000</v>
      </c>
      <c r="U214">
        <v>1008200000</v>
      </c>
      <c r="V214">
        <v>747810000</v>
      </c>
      <c r="W214">
        <v>1089700000</v>
      </c>
      <c r="X214">
        <v>1001900000</v>
      </c>
    </row>
    <row r="215" spans="1:24">
      <c r="A215">
        <v>2267</v>
      </c>
      <c r="B215" t="s">
        <v>594</v>
      </c>
      <c r="C215">
        <v>2</v>
      </c>
      <c r="D215" t="s">
        <v>595</v>
      </c>
      <c r="E215">
        <v>21</v>
      </c>
      <c r="F215">
        <v>21</v>
      </c>
      <c r="G215">
        <v>1</v>
      </c>
      <c r="H215" t="s">
        <v>596</v>
      </c>
      <c r="I215">
        <v>52.1</v>
      </c>
      <c r="J215">
        <v>48.207000000000001</v>
      </c>
      <c r="K215" t="str">
        <f>"DBNL"</f>
        <v>DBNL</v>
      </c>
      <c r="L215" t="str">
        <f>"DBNL"</f>
        <v>DBNL</v>
      </c>
      <c r="M215">
        <v>514700000</v>
      </c>
      <c r="N215">
        <v>667890000</v>
      </c>
      <c r="O215">
        <v>633010000</v>
      </c>
      <c r="P215">
        <v>711120000</v>
      </c>
      <c r="Q215">
        <v>439930000</v>
      </c>
      <c r="R215">
        <v>871440000</v>
      </c>
      <c r="S215">
        <v>578170000</v>
      </c>
      <c r="T215">
        <v>539070000</v>
      </c>
      <c r="U215">
        <v>857080000</v>
      </c>
      <c r="V215">
        <v>713120000</v>
      </c>
      <c r="W215">
        <v>436870000</v>
      </c>
      <c r="X215">
        <v>778160000</v>
      </c>
    </row>
    <row r="216" spans="1:24">
      <c r="A216">
        <v>1401</v>
      </c>
      <c r="B216" t="s">
        <v>597</v>
      </c>
      <c r="C216">
        <v>3</v>
      </c>
      <c r="D216" t="s">
        <v>598</v>
      </c>
      <c r="E216">
        <v>30</v>
      </c>
      <c r="F216">
        <v>30</v>
      </c>
      <c r="G216">
        <v>1</v>
      </c>
      <c r="H216" t="s">
        <v>599</v>
      </c>
      <c r="I216">
        <v>40.799999999999997</v>
      </c>
      <c r="J216">
        <v>72.730999999999995</v>
      </c>
      <c r="K216" t="str">
        <f>"NEXN"</f>
        <v>NEXN</v>
      </c>
      <c r="L216" t="str">
        <f>"NEXN"</f>
        <v>NEXN</v>
      </c>
      <c r="M216">
        <v>512820000</v>
      </c>
      <c r="N216">
        <v>826560000</v>
      </c>
      <c r="O216">
        <v>890290000</v>
      </c>
      <c r="P216">
        <v>714140000</v>
      </c>
      <c r="Q216">
        <v>656410000</v>
      </c>
      <c r="R216">
        <v>977260000</v>
      </c>
      <c r="S216">
        <v>739940000</v>
      </c>
      <c r="T216">
        <v>967730000</v>
      </c>
      <c r="U216">
        <v>557440000</v>
      </c>
      <c r="V216">
        <v>945360000</v>
      </c>
      <c r="W216">
        <v>524280000</v>
      </c>
      <c r="X216">
        <v>434790000</v>
      </c>
    </row>
    <row r="217" spans="1:24">
      <c r="A217">
        <v>787</v>
      </c>
      <c r="B217" t="s">
        <v>600</v>
      </c>
      <c r="C217">
        <v>3</v>
      </c>
      <c r="D217" t="s">
        <v>601</v>
      </c>
      <c r="E217">
        <v>17</v>
      </c>
      <c r="F217">
        <v>17</v>
      </c>
      <c r="G217">
        <v>7</v>
      </c>
      <c r="H217" t="s">
        <v>602</v>
      </c>
      <c r="I217">
        <v>75.7</v>
      </c>
      <c r="J217">
        <v>30.137</v>
      </c>
      <c r="K217" t="str">
        <f>"NME2;NME2P1"</f>
        <v>NME2;NME2P1</v>
      </c>
      <c r="L217" t="str">
        <f>"NME2;NME2P1"</f>
        <v>NME2;NME2P1</v>
      </c>
      <c r="M217">
        <v>1020600000</v>
      </c>
      <c r="N217" s="8">
        <v>1397000000</v>
      </c>
      <c r="O217" s="8">
        <v>1741000000</v>
      </c>
      <c r="P217">
        <v>1931300000</v>
      </c>
      <c r="Q217">
        <v>1222900000</v>
      </c>
      <c r="R217">
        <v>1642500000</v>
      </c>
      <c r="S217">
        <v>1488100000</v>
      </c>
      <c r="T217">
        <v>1379300000</v>
      </c>
      <c r="U217">
        <v>2024100000</v>
      </c>
      <c r="V217">
        <v>1781400000</v>
      </c>
      <c r="W217">
        <v>1623600000</v>
      </c>
      <c r="X217">
        <v>2427800000</v>
      </c>
    </row>
    <row r="218" spans="1:24">
      <c r="A218">
        <v>1343</v>
      </c>
      <c r="B218" t="s">
        <v>603</v>
      </c>
      <c r="C218">
        <v>3</v>
      </c>
      <c r="D218" t="s">
        <v>604</v>
      </c>
      <c r="E218">
        <v>69</v>
      </c>
      <c r="F218">
        <v>69</v>
      </c>
      <c r="G218">
        <v>62</v>
      </c>
      <c r="H218" t="s">
        <v>605</v>
      </c>
      <c r="I218">
        <v>39.200000000000003</v>
      </c>
      <c r="J218">
        <v>274.61</v>
      </c>
      <c r="K218" t="str">
        <f>"SPTBN1"</f>
        <v>SPTBN1</v>
      </c>
      <c r="L218" t="str">
        <f>"SPTBN1"</f>
        <v>SPTBN1</v>
      </c>
      <c r="M218">
        <v>191140000</v>
      </c>
      <c r="N218">
        <v>1452400000</v>
      </c>
      <c r="O218">
        <v>844480000</v>
      </c>
      <c r="P218">
        <v>0</v>
      </c>
      <c r="Q218">
        <v>582360000</v>
      </c>
      <c r="R218">
        <v>801240000</v>
      </c>
      <c r="S218">
        <v>227250000</v>
      </c>
      <c r="T218">
        <v>0</v>
      </c>
      <c r="U218">
        <v>370760000</v>
      </c>
      <c r="V218">
        <v>224780000</v>
      </c>
      <c r="W218">
        <v>62715000</v>
      </c>
      <c r="X218">
        <v>81227000</v>
      </c>
    </row>
    <row r="219" spans="1:24">
      <c r="A219">
        <v>868</v>
      </c>
      <c r="B219" t="s">
        <v>606</v>
      </c>
      <c r="C219">
        <v>1</v>
      </c>
      <c r="D219" t="s">
        <v>607</v>
      </c>
      <c r="E219">
        <v>42</v>
      </c>
      <c r="F219">
        <v>42</v>
      </c>
      <c r="G219">
        <v>42</v>
      </c>
      <c r="H219" t="s">
        <v>606</v>
      </c>
      <c r="I219">
        <v>39.4</v>
      </c>
      <c r="J219">
        <v>138.35</v>
      </c>
      <c r="K219" t="str">
        <f>"TPP2"</f>
        <v>TPP2</v>
      </c>
      <c r="L219" t="str">
        <f>"TPP2"</f>
        <v>TPP2</v>
      </c>
      <c r="M219">
        <v>333980000</v>
      </c>
      <c r="N219">
        <v>813860000</v>
      </c>
      <c r="O219">
        <v>862870000</v>
      </c>
      <c r="P219">
        <v>622890000</v>
      </c>
      <c r="Q219">
        <v>559480000</v>
      </c>
      <c r="R219">
        <v>853930000</v>
      </c>
      <c r="S219">
        <v>1108200000</v>
      </c>
      <c r="T219">
        <v>402490000</v>
      </c>
      <c r="U219">
        <v>916630000</v>
      </c>
      <c r="V219">
        <v>673980000</v>
      </c>
      <c r="W219">
        <v>748110000</v>
      </c>
      <c r="X219">
        <v>849080000</v>
      </c>
    </row>
    <row r="220" spans="1:24">
      <c r="A220">
        <v>2115</v>
      </c>
      <c r="B220" t="s">
        <v>608</v>
      </c>
      <c r="C220">
        <v>2</v>
      </c>
      <c r="D220" t="s">
        <v>609</v>
      </c>
      <c r="E220">
        <v>26</v>
      </c>
      <c r="F220">
        <v>26</v>
      </c>
      <c r="G220">
        <v>26</v>
      </c>
      <c r="H220" t="s">
        <v>610</v>
      </c>
      <c r="I220">
        <v>62.9</v>
      </c>
      <c r="J220">
        <v>38.857999999999997</v>
      </c>
      <c r="K220" t="str">
        <f>"PSTPIP2"</f>
        <v>PSTPIP2</v>
      </c>
      <c r="L220" t="str">
        <f>"PSTPIP2"</f>
        <v>PSTPIP2</v>
      </c>
      <c r="M220">
        <v>368490000</v>
      </c>
      <c r="N220">
        <v>570650000</v>
      </c>
      <c r="O220">
        <v>598700000</v>
      </c>
      <c r="P220">
        <v>507020000</v>
      </c>
      <c r="Q220">
        <v>521930000</v>
      </c>
      <c r="R220">
        <v>466860000</v>
      </c>
      <c r="S220">
        <v>315770000</v>
      </c>
      <c r="T220">
        <v>364560000</v>
      </c>
      <c r="U220">
        <v>536700000</v>
      </c>
      <c r="V220">
        <v>471630000</v>
      </c>
      <c r="W220">
        <v>443710000</v>
      </c>
      <c r="X220">
        <v>553070000</v>
      </c>
    </row>
    <row r="221" spans="1:24">
      <c r="A221">
        <v>617</v>
      </c>
      <c r="B221" t="s">
        <v>611</v>
      </c>
      <c r="C221">
        <v>1</v>
      </c>
      <c r="D221" t="s">
        <v>612</v>
      </c>
      <c r="E221">
        <v>32</v>
      </c>
      <c r="F221">
        <v>32</v>
      </c>
      <c r="G221">
        <v>28</v>
      </c>
      <c r="H221" t="s">
        <v>611</v>
      </c>
      <c r="I221">
        <v>42.7</v>
      </c>
      <c r="J221">
        <v>93.516999999999996</v>
      </c>
      <c r="K221" t="str">
        <f>"C7"</f>
        <v>C7</v>
      </c>
      <c r="L221" t="str">
        <f>"C7"</f>
        <v>C7</v>
      </c>
      <c r="M221">
        <v>1355600000</v>
      </c>
      <c r="N221">
        <v>880100000</v>
      </c>
      <c r="O221">
        <v>727730000</v>
      </c>
      <c r="P221">
        <v>598070000</v>
      </c>
      <c r="Q221">
        <v>1134500000</v>
      </c>
      <c r="R221">
        <v>516190000</v>
      </c>
      <c r="S221">
        <v>1271400000</v>
      </c>
      <c r="T221">
        <v>1145400000</v>
      </c>
      <c r="U221">
        <v>671620000</v>
      </c>
      <c r="V221">
        <v>629600000</v>
      </c>
      <c r="W221">
        <v>845620000</v>
      </c>
      <c r="X221">
        <v>268570000</v>
      </c>
    </row>
    <row r="222" spans="1:24">
      <c r="A222">
        <v>685</v>
      </c>
      <c r="B222" t="s">
        <v>613</v>
      </c>
      <c r="C222">
        <v>2</v>
      </c>
      <c r="D222" t="s">
        <v>614</v>
      </c>
      <c r="E222">
        <v>39</v>
      </c>
      <c r="F222">
        <v>39</v>
      </c>
      <c r="G222">
        <v>38</v>
      </c>
      <c r="H222" t="s">
        <v>615</v>
      </c>
      <c r="I222">
        <v>37.299999999999997</v>
      </c>
      <c r="J222">
        <v>122.02</v>
      </c>
      <c r="K222" t="str">
        <f>"NID1"</f>
        <v>NID1</v>
      </c>
      <c r="L222" t="str">
        <f>"NID1"</f>
        <v>NID1</v>
      </c>
      <c r="M222">
        <v>619620000</v>
      </c>
      <c r="N222">
        <v>1023300000</v>
      </c>
      <c r="O222">
        <v>1346700000</v>
      </c>
      <c r="P222">
        <v>480450000</v>
      </c>
      <c r="Q222">
        <v>799840000</v>
      </c>
      <c r="R222">
        <v>1356100000</v>
      </c>
      <c r="S222" s="8">
        <v>1131000000</v>
      </c>
      <c r="T222">
        <v>699760000</v>
      </c>
      <c r="U222">
        <v>1362300000</v>
      </c>
      <c r="V222">
        <v>739480000</v>
      </c>
      <c r="W222">
        <v>861310000</v>
      </c>
      <c r="X222">
        <v>1353300000</v>
      </c>
    </row>
    <row r="223" spans="1:24">
      <c r="A223">
        <v>1126</v>
      </c>
      <c r="B223" t="s">
        <v>616</v>
      </c>
      <c r="C223">
        <v>1</v>
      </c>
      <c r="D223" t="s">
        <v>617</v>
      </c>
      <c r="E223">
        <v>17</v>
      </c>
      <c r="F223">
        <v>17</v>
      </c>
      <c r="G223">
        <v>17</v>
      </c>
      <c r="H223" t="s">
        <v>616</v>
      </c>
      <c r="I223">
        <v>80.7</v>
      </c>
      <c r="J223">
        <v>23.489000000000001</v>
      </c>
      <c r="K223" t="str">
        <f>"RAB7A"</f>
        <v>RAB7A</v>
      </c>
      <c r="L223" t="str">
        <f>"RAB7A"</f>
        <v>RAB7A</v>
      </c>
      <c r="M223">
        <v>1206400000</v>
      </c>
      <c r="N223">
        <v>1046300000</v>
      </c>
      <c r="O223">
        <v>1098700000</v>
      </c>
      <c r="P223">
        <v>1048500000</v>
      </c>
      <c r="Q223">
        <v>968520000</v>
      </c>
      <c r="R223">
        <v>1104500000</v>
      </c>
      <c r="S223">
        <v>2169500000</v>
      </c>
      <c r="T223" s="8">
        <v>1063000000</v>
      </c>
      <c r="U223" s="8">
        <v>1874000000</v>
      </c>
      <c r="V223">
        <v>1158100000</v>
      </c>
      <c r="W223">
        <v>1578900000</v>
      </c>
      <c r="X223" s="8">
        <v>1682000000</v>
      </c>
    </row>
    <row r="224" spans="1:24">
      <c r="A224">
        <v>2146</v>
      </c>
      <c r="B224" t="s">
        <v>618</v>
      </c>
      <c r="C224">
        <v>5</v>
      </c>
      <c r="D224" t="s">
        <v>619</v>
      </c>
      <c r="E224">
        <v>25</v>
      </c>
      <c r="F224">
        <v>25</v>
      </c>
      <c r="G224">
        <v>3</v>
      </c>
      <c r="H224" t="s">
        <v>620</v>
      </c>
      <c r="I224">
        <v>69.8</v>
      </c>
      <c r="J224">
        <v>49.844000000000001</v>
      </c>
      <c r="K224" t="str">
        <f>"PDLIM7"</f>
        <v>PDLIM7</v>
      </c>
      <c r="L224" t="str">
        <f>"PDLIM7"</f>
        <v>PDLIM7</v>
      </c>
      <c r="M224">
        <v>1316700000</v>
      </c>
      <c r="N224">
        <v>1710100000</v>
      </c>
      <c r="O224">
        <v>1923500000</v>
      </c>
      <c r="P224">
        <v>1603300000</v>
      </c>
      <c r="Q224">
        <v>1089500000</v>
      </c>
      <c r="R224">
        <v>1451100000</v>
      </c>
      <c r="S224">
        <v>1598200000</v>
      </c>
      <c r="T224">
        <v>1539600000</v>
      </c>
      <c r="U224">
        <v>1734800000</v>
      </c>
      <c r="V224">
        <v>1416700000</v>
      </c>
      <c r="W224">
        <v>1165500000</v>
      </c>
      <c r="X224">
        <v>1717400000</v>
      </c>
    </row>
    <row r="225" spans="1:24">
      <c r="A225">
        <v>1632</v>
      </c>
      <c r="B225" t="s">
        <v>621</v>
      </c>
      <c r="C225">
        <v>4</v>
      </c>
      <c r="D225" t="s">
        <v>622</v>
      </c>
      <c r="E225">
        <v>37</v>
      </c>
      <c r="F225">
        <v>37</v>
      </c>
      <c r="G225">
        <v>37</v>
      </c>
      <c r="H225" t="s">
        <v>623</v>
      </c>
      <c r="I225">
        <v>42.2</v>
      </c>
      <c r="J225">
        <v>100.4</v>
      </c>
      <c r="K225" t="str">
        <f>"WDR44"</f>
        <v>WDR44</v>
      </c>
      <c r="L225" t="str">
        <f>"WDR44"</f>
        <v>WDR44</v>
      </c>
      <c r="M225">
        <v>359680000</v>
      </c>
      <c r="N225">
        <v>546850000</v>
      </c>
      <c r="O225">
        <v>497330000</v>
      </c>
      <c r="P225">
        <v>410090000</v>
      </c>
      <c r="Q225">
        <v>296920000</v>
      </c>
      <c r="R225">
        <v>451810000</v>
      </c>
      <c r="S225">
        <v>482560000</v>
      </c>
      <c r="T225">
        <v>400290000</v>
      </c>
      <c r="U225">
        <v>464070000</v>
      </c>
      <c r="V225">
        <v>377720000</v>
      </c>
      <c r="W225">
        <v>420850000</v>
      </c>
      <c r="X225">
        <v>486260000</v>
      </c>
    </row>
    <row r="226" spans="1:24">
      <c r="A226">
        <v>1724</v>
      </c>
      <c r="B226" t="s">
        <v>624</v>
      </c>
      <c r="C226">
        <v>4</v>
      </c>
      <c r="D226" t="s">
        <v>625</v>
      </c>
      <c r="E226">
        <v>26</v>
      </c>
      <c r="F226">
        <v>26</v>
      </c>
      <c r="G226">
        <v>26</v>
      </c>
      <c r="H226" t="s">
        <v>626</v>
      </c>
      <c r="I226">
        <v>52.4</v>
      </c>
      <c r="J226">
        <v>69.248000000000005</v>
      </c>
      <c r="K226" t="str">
        <f>"RASGRP2"</f>
        <v>RASGRP2</v>
      </c>
      <c r="L226" t="str">
        <f>"RASGRP2"</f>
        <v>RASGRP2</v>
      </c>
      <c r="M226">
        <v>729080000</v>
      </c>
      <c r="N226">
        <v>1121700000</v>
      </c>
      <c r="O226" s="8">
        <v>1284000000</v>
      </c>
      <c r="P226">
        <v>1101700000</v>
      </c>
      <c r="Q226">
        <v>744570000</v>
      </c>
      <c r="R226">
        <v>1068400000</v>
      </c>
      <c r="S226">
        <v>742070000</v>
      </c>
      <c r="T226">
        <v>772560000</v>
      </c>
      <c r="U226" s="8">
        <v>1384000000</v>
      </c>
      <c r="V226">
        <v>1226800000</v>
      </c>
      <c r="W226">
        <v>1152800000</v>
      </c>
      <c r="X226" s="8">
        <v>1483000000</v>
      </c>
    </row>
    <row r="227" spans="1:24">
      <c r="A227">
        <v>1084</v>
      </c>
      <c r="B227" t="s">
        <v>627</v>
      </c>
      <c r="C227">
        <v>1</v>
      </c>
      <c r="D227" t="s">
        <v>628</v>
      </c>
      <c r="E227">
        <v>49</v>
      </c>
      <c r="F227">
        <v>49</v>
      </c>
      <c r="G227">
        <v>49</v>
      </c>
      <c r="H227" t="s">
        <v>627</v>
      </c>
      <c r="I227">
        <v>27.4</v>
      </c>
      <c r="J227">
        <v>273.42</v>
      </c>
      <c r="K227" t="str">
        <f>"FASN"</f>
        <v>FASN</v>
      </c>
      <c r="L227" t="str">
        <f>"FASN"</f>
        <v>FASN</v>
      </c>
      <c r="M227">
        <v>289760000</v>
      </c>
      <c r="N227">
        <v>662790000</v>
      </c>
      <c r="O227">
        <v>552160000</v>
      </c>
      <c r="P227">
        <v>294370000</v>
      </c>
      <c r="Q227">
        <v>211380000</v>
      </c>
      <c r="R227">
        <v>490360000</v>
      </c>
      <c r="S227">
        <v>1091600000</v>
      </c>
      <c r="T227">
        <v>287520000</v>
      </c>
      <c r="U227">
        <v>795810000</v>
      </c>
      <c r="V227">
        <v>369190000</v>
      </c>
      <c r="W227">
        <v>637980000</v>
      </c>
      <c r="X227">
        <v>798050000</v>
      </c>
    </row>
    <row r="228" spans="1:24">
      <c r="A228">
        <v>1621</v>
      </c>
      <c r="B228" t="s">
        <v>629</v>
      </c>
      <c r="C228">
        <v>1</v>
      </c>
      <c r="D228" t="s">
        <v>630</v>
      </c>
      <c r="E228">
        <v>10</v>
      </c>
      <c r="F228">
        <v>10</v>
      </c>
      <c r="G228">
        <v>10</v>
      </c>
      <c r="H228" t="s">
        <v>629</v>
      </c>
      <c r="I228">
        <v>67.400000000000006</v>
      </c>
      <c r="J228">
        <v>18.986000000000001</v>
      </c>
      <c r="K228" t="str">
        <f>"LGALSL"</f>
        <v>LGALSL</v>
      </c>
      <c r="L228" t="str">
        <f>"LGALSL"</f>
        <v>LGALSL</v>
      </c>
      <c r="M228" s="8">
        <v>1770000000</v>
      </c>
      <c r="N228">
        <v>2010500000</v>
      </c>
      <c r="O228" s="8">
        <v>1846000000</v>
      </c>
      <c r="P228">
        <v>1806100000</v>
      </c>
      <c r="Q228" s="8">
        <v>1078000000</v>
      </c>
      <c r="R228">
        <v>1296400000</v>
      </c>
      <c r="S228">
        <v>1974100000</v>
      </c>
      <c r="T228">
        <v>1507600000</v>
      </c>
      <c r="U228">
        <v>1618700000</v>
      </c>
      <c r="V228">
        <v>1350400000</v>
      </c>
      <c r="W228">
        <v>2681600000</v>
      </c>
      <c r="X228">
        <v>1869600000</v>
      </c>
    </row>
    <row r="229" spans="1:24">
      <c r="A229">
        <v>1744</v>
      </c>
      <c r="B229" t="s">
        <v>631</v>
      </c>
      <c r="C229">
        <v>5</v>
      </c>
      <c r="D229" t="s">
        <v>632</v>
      </c>
      <c r="E229">
        <v>37</v>
      </c>
      <c r="F229">
        <v>37</v>
      </c>
      <c r="G229">
        <v>37</v>
      </c>
      <c r="H229" t="s">
        <v>633</v>
      </c>
      <c r="I229">
        <v>34.200000000000003</v>
      </c>
      <c r="J229">
        <v>136.37</v>
      </c>
      <c r="K229" t="str">
        <f>"CAND1;CAND2"</f>
        <v>CAND1;CAND2</v>
      </c>
      <c r="L229" t="str">
        <f>"CAND1;CAND2"</f>
        <v>CAND1;CAND2</v>
      </c>
      <c r="M229">
        <v>229980000</v>
      </c>
      <c r="N229">
        <v>495240000</v>
      </c>
      <c r="O229">
        <v>475330000</v>
      </c>
      <c r="P229">
        <v>308700000</v>
      </c>
      <c r="Q229">
        <v>264740000</v>
      </c>
      <c r="R229">
        <v>561130000</v>
      </c>
      <c r="S229">
        <v>612060000</v>
      </c>
      <c r="T229">
        <v>367790000</v>
      </c>
      <c r="U229">
        <v>494560000</v>
      </c>
      <c r="V229">
        <v>426680000</v>
      </c>
      <c r="W229" s="8">
        <v>558000000</v>
      </c>
      <c r="X229">
        <v>547590000</v>
      </c>
    </row>
    <row r="230" spans="1:24">
      <c r="A230">
        <v>1219</v>
      </c>
      <c r="B230" t="s">
        <v>634</v>
      </c>
      <c r="C230">
        <v>3</v>
      </c>
      <c r="D230" t="s">
        <v>635</v>
      </c>
      <c r="E230">
        <v>22</v>
      </c>
      <c r="F230">
        <v>22</v>
      </c>
      <c r="G230">
        <v>10</v>
      </c>
      <c r="H230" t="s">
        <v>636</v>
      </c>
      <c r="I230">
        <v>53.2</v>
      </c>
      <c r="J230">
        <v>46.152999999999999</v>
      </c>
      <c r="K230" t="str">
        <f>"EIF4A1;EIF4A3"</f>
        <v>EIF4A1;EIF4A3</v>
      </c>
      <c r="L230" t="str">
        <f>"EIF4A1;EIF4A3"</f>
        <v>EIF4A1;EIF4A3</v>
      </c>
      <c r="M230">
        <v>832760000</v>
      </c>
      <c r="N230">
        <v>873670000</v>
      </c>
      <c r="O230">
        <v>1149800000</v>
      </c>
      <c r="P230">
        <v>1329100000</v>
      </c>
      <c r="Q230">
        <v>632080000</v>
      </c>
      <c r="R230">
        <v>1467300000</v>
      </c>
      <c r="S230">
        <v>1163300000</v>
      </c>
      <c r="T230">
        <v>1044600000</v>
      </c>
      <c r="U230">
        <v>990610000</v>
      </c>
      <c r="V230" s="8">
        <v>1004000000</v>
      </c>
      <c r="W230">
        <v>934480000</v>
      </c>
      <c r="X230">
        <v>1463800000</v>
      </c>
    </row>
    <row r="231" spans="1:24">
      <c r="A231">
        <v>2318</v>
      </c>
      <c r="B231" t="s">
        <v>637</v>
      </c>
      <c r="C231">
        <v>2</v>
      </c>
      <c r="D231" t="s">
        <v>638</v>
      </c>
      <c r="E231">
        <v>14</v>
      </c>
      <c r="F231">
        <v>14</v>
      </c>
      <c r="G231">
        <v>14</v>
      </c>
      <c r="H231" t="s">
        <v>639</v>
      </c>
      <c r="I231">
        <v>54.1</v>
      </c>
      <c r="J231">
        <v>30.658000000000001</v>
      </c>
      <c r="K231" t="str">
        <f>"VDAC3"</f>
        <v>VDAC3</v>
      </c>
      <c r="L231" t="str">
        <f>"VDAC3"</f>
        <v>VDAC3</v>
      </c>
      <c r="M231" s="8">
        <v>2741000000</v>
      </c>
      <c r="N231">
        <v>3072300000</v>
      </c>
      <c r="O231">
        <v>2860800000</v>
      </c>
      <c r="P231">
        <v>1815900000</v>
      </c>
      <c r="Q231">
        <v>1662400000</v>
      </c>
      <c r="R231">
        <v>2101700000</v>
      </c>
      <c r="S231">
        <v>1683100000</v>
      </c>
      <c r="T231">
        <v>2541500000</v>
      </c>
      <c r="U231" s="8">
        <v>2020000000</v>
      </c>
      <c r="V231">
        <v>2443700000</v>
      </c>
      <c r="W231">
        <v>2158100000</v>
      </c>
      <c r="X231">
        <v>2985100000</v>
      </c>
    </row>
    <row r="232" spans="1:24">
      <c r="A232">
        <v>772</v>
      </c>
      <c r="B232" t="s">
        <v>640</v>
      </c>
      <c r="C232">
        <v>1</v>
      </c>
      <c r="D232" t="s">
        <v>641</v>
      </c>
      <c r="E232">
        <v>10</v>
      </c>
      <c r="F232">
        <v>10</v>
      </c>
      <c r="G232">
        <v>10</v>
      </c>
      <c r="H232" t="s">
        <v>640</v>
      </c>
      <c r="I232">
        <v>64.8</v>
      </c>
      <c r="J232">
        <v>20.567</v>
      </c>
      <c r="K232" t="str">
        <f>"CSRP1"</f>
        <v>CSRP1</v>
      </c>
      <c r="L232" t="str">
        <f>"CSRP1"</f>
        <v>CSRP1</v>
      </c>
      <c r="M232">
        <v>1734700000</v>
      </c>
      <c r="N232">
        <v>2257300000</v>
      </c>
      <c r="O232">
        <v>2949200000</v>
      </c>
      <c r="P232">
        <v>2357500000</v>
      </c>
      <c r="Q232">
        <v>1452500000</v>
      </c>
      <c r="R232">
        <v>1576600000</v>
      </c>
      <c r="S232">
        <v>1435700000</v>
      </c>
      <c r="T232">
        <v>1854200000</v>
      </c>
      <c r="U232">
        <v>1813200000</v>
      </c>
      <c r="V232">
        <v>1817100000</v>
      </c>
      <c r="W232">
        <v>1567800000</v>
      </c>
      <c r="X232">
        <v>2065300000</v>
      </c>
    </row>
    <row r="233" spans="1:24">
      <c r="A233">
        <v>368</v>
      </c>
      <c r="B233" t="s">
        <v>642</v>
      </c>
      <c r="C233">
        <v>2</v>
      </c>
      <c r="D233" t="s">
        <v>643</v>
      </c>
      <c r="E233">
        <v>4</v>
      </c>
      <c r="F233">
        <v>3</v>
      </c>
      <c r="G233">
        <v>1</v>
      </c>
      <c r="H233" t="s">
        <v>644</v>
      </c>
      <c r="I233">
        <v>43.3</v>
      </c>
      <c r="J233">
        <v>13.227</v>
      </c>
      <c r="K233" t="str">
        <f>""</f>
        <v/>
      </c>
      <c r="L233" s="2" t="s">
        <v>645</v>
      </c>
      <c r="M233">
        <v>2161900000</v>
      </c>
      <c r="N233">
        <v>922060000</v>
      </c>
      <c r="O233">
        <v>1297900000</v>
      </c>
      <c r="P233">
        <v>1524800000</v>
      </c>
      <c r="Q233">
        <v>2067400000</v>
      </c>
      <c r="R233">
        <v>1105500000</v>
      </c>
      <c r="S233">
        <v>2109900000</v>
      </c>
      <c r="T233">
        <v>1962100000</v>
      </c>
      <c r="U233">
        <v>1016500000</v>
      </c>
      <c r="V233" s="8">
        <v>1029000000</v>
      </c>
      <c r="W233">
        <v>2324800000</v>
      </c>
      <c r="X233">
        <v>2252200000</v>
      </c>
    </row>
    <row r="234" spans="1:24">
      <c r="A234">
        <v>871</v>
      </c>
      <c r="B234" t="s">
        <v>646</v>
      </c>
      <c r="C234">
        <v>4</v>
      </c>
      <c r="D234" t="s">
        <v>647</v>
      </c>
      <c r="E234">
        <v>28</v>
      </c>
      <c r="F234">
        <v>28</v>
      </c>
      <c r="G234">
        <v>28</v>
      </c>
      <c r="H234" t="s">
        <v>648</v>
      </c>
      <c r="I234">
        <v>50.9</v>
      </c>
      <c r="J234">
        <v>67.56</v>
      </c>
      <c r="K234" t="str">
        <f>"PTPN6"</f>
        <v>PTPN6</v>
      </c>
      <c r="L234" t="str">
        <f>"PTPN6"</f>
        <v>PTPN6</v>
      </c>
      <c r="M234">
        <v>466910000</v>
      </c>
      <c r="N234">
        <v>737230000</v>
      </c>
      <c r="O234">
        <v>707680000</v>
      </c>
      <c r="P234">
        <v>670100000</v>
      </c>
      <c r="Q234">
        <v>468840000</v>
      </c>
      <c r="R234">
        <v>881910000</v>
      </c>
      <c r="S234">
        <v>549910000</v>
      </c>
      <c r="T234">
        <v>585290000</v>
      </c>
      <c r="U234">
        <v>571760000</v>
      </c>
      <c r="V234">
        <v>578460000</v>
      </c>
      <c r="W234">
        <v>692250000</v>
      </c>
      <c r="X234">
        <v>586010000</v>
      </c>
    </row>
    <row r="235" spans="1:24">
      <c r="A235">
        <v>919</v>
      </c>
      <c r="B235" t="s">
        <v>649</v>
      </c>
      <c r="C235">
        <v>1</v>
      </c>
      <c r="D235" t="s">
        <v>650</v>
      </c>
      <c r="E235">
        <v>25</v>
      </c>
      <c r="F235">
        <v>18</v>
      </c>
      <c r="G235">
        <v>18</v>
      </c>
      <c r="H235" t="s">
        <v>649</v>
      </c>
      <c r="I235">
        <v>58.4</v>
      </c>
      <c r="J235">
        <v>50.582000000000001</v>
      </c>
      <c r="K235" t="str">
        <f>"GDI1"</f>
        <v>GDI1</v>
      </c>
      <c r="L235" t="str">
        <f>"GDI1"</f>
        <v>GDI1</v>
      </c>
      <c r="M235">
        <v>572670000</v>
      </c>
      <c r="N235">
        <v>1190100000</v>
      </c>
      <c r="O235">
        <v>1146500000</v>
      </c>
      <c r="P235">
        <v>760390000</v>
      </c>
      <c r="Q235">
        <v>734780000</v>
      </c>
      <c r="R235">
        <v>767680000</v>
      </c>
      <c r="S235">
        <v>986170000</v>
      </c>
      <c r="T235">
        <v>697390000</v>
      </c>
      <c r="U235">
        <v>974820000</v>
      </c>
      <c r="V235">
        <v>833870000</v>
      </c>
      <c r="W235">
        <v>814050000</v>
      </c>
      <c r="X235">
        <v>1001700000</v>
      </c>
    </row>
    <row r="236" spans="1:24">
      <c r="A236">
        <v>2022</v>
      </c>
      <c r="B236" t="s">
        <v>651</v>
      </c>
      <c r="C236">
        <v>2</v>
      </c>
      <c r="D236" t="s">
        <v>652</v>
      </c>
      <c r="E236">
        <v>25</v>
      </c>
      <c r="F236">
        <v>25</v>
      </c>
      <c r="G236">
        <v>25</v>
      </c>
      <c r="H236" t="s">
        <v>653</v>
      </c>
      <c r="I236">
        <v>31.1</v>
      </c>
      <c r="J236">
        <v>122.85</v>
      </c>
      <c r="K236" t="str">
        <f>"ESYT1"</f>
        <v>ESYT1</v>
      </c>
      <c r="L236" t="str">
        <f>"ESYT1"</f>
        <v>ESYT1</v>
      </c>
      <c r="M236">
        <v>485440000</v>
      </c>
      <c r="N236">
        <v>839260000</v>
      </c>
      <c r="O236">
        <v>687410000</v>
      </c>
      <c r="P236">
        <v>559660000</v>
      </c>
      <c r="Q236">
        <v>625910000</v>
      </c>
      <c r="R236">
        <v>724240000</v>
      </c>
      <c r="S236">
        <v>491250000</v>
      </c>
      <c r="T236">
        <v>654020000</v>
      </c>
      <c r="U236">
        <v>624240000</v>
      </c>
      <c r="V236">
        <v>691680000</v>
      </c>
      <c r="W236">
        <v>716500000</v>
      </c>
      <c r="X236">
        <v>638260000</v>
      </c>
    </row>
    <row r="237" spans="1:24">
      <c r="A237">
        <v>419</v>
      </c>
      <c r="B237" t="s">
        <v>654</v>
      </c>
      <c r="C237">
        <v>2</v>
      </c>
      <c r="D237" t="s">
        <v>655</v>
      </c>
      <c r="E237">
        <v>16</v>
      </c>
      <c r="F237">
        <v>16</v>
      </c>
      <c r="G237">
        <v>16</v>
      </c>
      <c r="H237" t="s">
        <v>656</v>
      </c>
      <c r="I237">
        <v>46.9</v>
      </c>
      <c r="J237">
        <v>38.999000000000002</v>
      </c>
      <c r="K237" t="str">
        <f>"AMBP"</f>
        <v>AMBP</v>
      </c>
      <c r="L237" t="str">
        <f>"AMBP"</f>
        <v>AMBP</v>
      </c>
      <c r="M237">
        <v>2070100000</v>
      </c>
      <c r="N237">
        <v>1044100000</v>
      </c>
      <c r="O237">
        <v>767170000</v>
      </c>
      <c r="P237">
        <v>1328100000</v>
      </c>
      <c r="Q237">
        <v>1686100000</v>
      </c>
      <c r="R237">
        <v>1124500000</v>
      </c>
      <c r="S237" s="8">
        <v>1426000000</v>
      </c>
      <c r="T237">
        <v>2443700000</v>
      </c>
      <c r="U237">
        <v>833340000</v>
      </c>
      <c r="V237">
        <v>1542600000</v>
      </c>
      <c r="W237">
        <v>1428500000</v>
      </c>
      <c r="X237">
        <v>594900000</v>
      </c>
    </row>
    <row r="238" spans="1:24">
      <c r="A238">
        <v>1121</v>
      </c>
      <c r="B238" t="s">
        <v>657</v>
      </c>
      <c r="C238">
        <v>4</v>
      </c>
      <c r="D238" t="s">
        <v>658</v>
      </c>
      <c r="E238">
        <v>58</v>
      </c>
      <c r="F238">
        <v>58</v>
      </c>
      <c r="G238">
        <v>58</v>
      </c>
      <c r="H238" t="s">
        <v>659</v>
      </c>
      <c r="I238">
        <v>22.9</v>
      </c>
      <c r="J238">
        <v>317.7</v>
      </c>
      <c r="K238" t="str">
        <f>"LRBA;NBEA"</f>
        <v>LRBA;NBEA</v>
      </c>
      <c r="L238" t="str">
        <f>"LRBA;NBEA"</f>
        <v>LRBA;NBEA</v>
      </c>
      <c r="M238">
        <v>331360000</v>
      </c>
      <c r="N238">
        <v>784730000</v>
      </c>
      <c r="O238">
        <v>378260000</v>
      </c>
      <c r="P238">
        <v>401970000</v>
      </c>
      <c r="Q238">
        <v>79795000</v>
      </c>
      <c r="R238">
        <v>459750000</v>
      </c>
      <c r="S238">
        <v>632950000</v>
      </c>
      <c r="T238">
        <v>258720000</v>
      </c>
      <c r="U238">
        <v>461080000</v>
      </c>
      <c r="V238">
        <v>459950000</v>
      </c>
      <c r="W238">
        <v>311530000</v>
      </c>
      <c r="X238">
        <v>652060000</v>
      </c>
    </row>
    <row r="239" spans="1:24">
      <c r="A239">
        <v>717</v>
      </c>
      <c r="B239" t="s">
        <v>660</v>
      </c>
      <c r="C239">
        <v>6</v>
      </c>
      <c r="D239" t="s">
        <v>661</v>
      </c>
      <c r="E239">
        <v>31</v>
      </c>
      <c r="F239">
        <v>31</v>
      </c>
      <c r="G239">
        <v>31</v>
      </c>
      <c r="H239" t="s">
        <v>662</v>
      </c>
      <c r="I239">
        <v>51.3</v>
      </c>
      <c r="J239">
        <v>80.206000000000003</v>
      </c>
      <c r="K239" t="str">
        <f>"PECAM1"</f>
        <v>PECAM1</v>
      </c>
      <c r="L239" t="str">
        <f>"PECAM1"</f>
        <v>PECAM1</v>
      </c>
      <c r="M239">
        <v>240030000</v>
      </c>
      <c r="N239">
        <v>331940000</v>
      </c>
      <c r="O239">
        <v>344530000</v>
      </c>
      <c r="P239">
        <v>947610000</v>
      </c>
      <c r="Q239">
        <v>1075200000</v>
      </c>
      <c r="R239">
        <v>1221800000</v>
      </c>
      <c r="S239">
        <v>1658100000</v>
      </c>
      <c r="T239">
        <v>1065400000</v>
      </c>
      <c r="U239">
        <v>2198800000</v>
      </c>
      <c r="V239">
        <v>1005100000</v>
      </c>
      <c r="W239">
        <v>0</v>
      </c>
      <c r="X239">
        <v>774080000</v>
      </c>
    </row>
    <row r="240" spans="1:24">
      <c r="A240">
        <v>1314</v>
      </c>
      <c r="B240" t="s">
        <v>663</v>
      </c>
      <c r="C240">
        <v>2</v>
      </c>
      <c r="D240" t="s">
        <v>664</v>
      </c>
      <c r="E240">
        <v>31</v>
      </c>
      <c r="F240">
        <v>31</v>
      </c>
      <c r="G240">
        <v>31</v>
      </c>
      <c r="H240" t="s">
        <v>665</v>
      </c>
      <c r="I240">
        <v>60.4</v>
      </c>
      <c r="J240">
        <v>57.488</v>
      </c>
      <c r="K240" t="str">
        <f>"CCT2"</f>
        <v>CCT2</v>
      </c>
      <c r="L240" t="str">
        <f>"CCT2"</f>
        <v>CCT2</v>
      </c>
      <c r="M240">
        <v>462100000</v>
      </c>
      <c r="N240">
        <v>639230000</v>
      </c>
      <c r="O240">
        <v>731360000</v>
      </c>
      <c r="P240">
        <v>688580000</v>
      </c>
      <c r="Q240">
        <v>562320000</v>
      </c>
      <c r="R240">
        <v>826070000</v>
      </c>
      <c r="S240">
        <v>828210000</v>
      </c>
      <c r="T240">
        <v>456170000</v>
      </c>
      <c r="U240">
        <v>938210000</v>
      </c>
      <c r="V240">
        <v>604800000</v>
      </c>
      <c r="W240">
        <v>992380000</v>
      </c>
      <c r="X240">
        <v>724910000</v>
      </c>
    </row>
    <row r="241" spans="1:24">
      <c r="A241">
        <v>1519</v>
      </c>
      <c r="B241" t="s">
        <v>666</v>
      </c>
      <c r="C241">
        <v>4</v>
      </c>
      <c r="D241" t="s">
        <v>667</v>
      </c>
      <c r="E241">
        <v>18</v>
      </c>
      <c r="F241">
        <v>18</v>
      </c>
      <c r="G241">
        <v>18</v>
      </c>
      <c r="H241" t="s">
        <v>668</v>
      </c>
      <c r="I241">
        <v>65.900000000000006</v>
      </c>
      <c r="J241">
        <v>29.716999999999999</v>
      </c>
      <c r="K241" t="str">
        <f>"LASP1;NEBL"</f>
        <v>LASP1;NEBL</v>
      </c>
      <c r="L241" t="str">
        <f>"LASP1;NEBL"</f>
        <v>LASP1;NEBL</v>
      </c>
      <c r="M241">
        <v>821130000</v>
      </c>
      <c r="N241">
        <v>1091500000</v>
      </c>
      <c r="O241">
        <v>1223500000</v>
      </c>
      <c r="P241">
        <v>1178300000</v>
      </c>
      <c r="Q241">
        <v>629780000</v>
      </c>
      <c r="R241">
        <v>1241800000</v>
      </c>
      <c r="S241">
        <v>851320000</v>
      </c>
      <c r="T241">
        <v>836800000</v>
      </c>
      <c r="U241">
        <v>860920000</v>
      </c>
      <c r="V241">
        <v>1079600000</v>
      </c>
      <c r="W241">
        <v>444660000</v>
      </c>
      <c r="X241">
        <v>907950000</v>
      </c>
    </row>
    <row r="242" spans="1:24">
      <c r="A242">
        <v>872</v>
      </c>
      <c r="B242" t="s">
        <v>669</v>
      </c>
      <c r="C242">
        <v>2</v>
      </c>
      <c r="D242" t="s">
        <v>670</v>
      </c>
      <c r="E242">
        <v>24</v>
      </c>
      <c r="F242">
        <v>24</v>
      </c>
      <c r="G242">
        <v>24</v>
      </c>
      <c r="H242" t="s">
        <v>671</v>
      </c>
      <c r="I242">
        <v>49</v>
      </c>
      <c r="J242">
        <v>67.876999999999995</v>
      </c>
      <c r="K242" t="str">
        <f>"TKT"</f>
        <v>TKT</v>
      </c>
      <c r="L242" t="str">
        <f>"TKT"</f>
        <v>TKT</v>
      </c>
      <c r="M242">
        <v>616850000</v>
      </c>
      <c r="N242">
        <v>1082700000</v>
      </c>
      <c r="O242">
        <v>1003200000</v>
      </c>
      <c r="P242">
        <v>778660000</v>
      </c>
      <c r="Q242">
        <v>849310000</v>
      </c>
      <c r="R242">
        <v>1301200000</v>
      </c>
      <c r="S242">
        <v>1163100000</v>
      </c>
      <c r="T242">
        <v>676470000</v>
      </c>
      <c r="U242">
        <v>1301300000</v>
      </c>
      <c r="V242">
        <v>1133300000</v>
      </c>
      <c r="W242">
        <v>1114200000</v>
      </c>
      <c r="X242">
        <v>974560000</v>
      </c>
    </row>
    <row r="243" spans="1:24">
      <c r="A243">
        <v>934</v>
      </c>
      <c r="B243" t="s">
        <v>672</v>
      </c>
      <c r="C243">
        <v>3</v>
      </c>
      <c r="D243" t="s">
        <v>673</v>
      </c>
      <c r="E243">
        <v>33</v>
      </c>
      <c r="F243">
        <v>33</v>
      </c>
      <c r="G243">
        <v>33</v>
      </c>
      <c r="H243" t="s">
        <v>674</v>
      </c>
      <c r="I243">
        <v>55.4</v>
      </c>
      <c r="J243">
        <v>62.639000000000003</v>
      </c>
      <c r="K243" t="str">
        <f>"STIP1"</f>
        <v>STIP1</v>
      </c>
      <c r="L243" t="str">
        <f>"STIP1"</f>
        <v>STIP1</v>
      </c>
      <c r="M243">
        <v>59301000</v>
      </c>
      <c r="N243">
        <v>549470000</v>
      </c>
      <c r="O243">
        <v>462890000</v>
      </c>
      <c r="P243">
        <v>604440000</v>
      </c>
      <c r="Q243">
        <v>295270000</v>
      </c>
      <c r="R243">
        <v>672330000</v>
      </c>
      <c r="S243">
        <v>477760000</v>
      </c>
      <c r="T243">
        <v>321340000</v>
      </c>
      <c r="U243">
        <v>228970000</v>
      </c>
      <c r="V243">
        <v>508790000</v>
      </c>
      <c r="W243">
        <v>488910000</v>
      </c>
      <c r="X243">
        <v>515990000</v>
      </c>
    </row>
    <row r="244" spans="1:24">
      <c r="A244">
        <v>1065</v>
      </c>
      <c r="B244" t="s">
        <v>675</v>
      </c>
      <c r="C244">
        <v>2</v>
      </c>
      <c r="D244" t="s">
        <v>676</v>
      </c>
      <c r="E244">
        <v>21</v>
      </c>
      <c r="F244">
        <v>21</v>
      </c>
      <c r="G244">
        <v>17</v>
      </c>
      <c r="H244" t="s">
        <v>677</v>
      </c>
      <c r="I244">
        <v>47.8</v>
      </c>
      <c r="J244">
        <v>46.223999999999997</v>
      </c>
      <c r="K244" t="str">
        <f>"PIP4K2A"</f>
        <v>PIP4K2A</v>
      </c>
      <c r="L244" t="str">
        <f>"PIP4K2A"</f>
        <v>PIP4K2A</v>
      </c>
      <c r="M244">
        <v>317420000</v>
      </c>
      <c r="N244">
        <v>788040000</v>
      </c>
      <c r="O244">
        <v>953500000</v>
      </c>
      <c r="P244">
        <v>865080000</v>
      </c>
      <c r="Q244">
        <v>581180000</v>
      </c>
      <c r="R244">
        <v>636220000</v>
      </c>
      <c r="S244">
        <v>801940000</v>
      </c>
      <c r="T244">
        <v>717900000</v>
      </c>
      <c r="U244">
        <v>809970000</v>
      </c>
      <c r="V244">
        <v>742080000</v>
      </c>
      <c r="W244">
        <v>627570000</v>
      </c>
      <c r="X244">
        <v>637980000</v>
      </c>
    </row>
    <row r="245" spans="1:24">
      <c r="A245">
        <v>224</v>
      </c>
      <c r="B245" t="s">
        <v>678</v>
      </c>
      <c r="C245">
        <v>2</v>
      </c>
      <c r="D245" t="s">
        <v>679</v>
      </c>
      <c r="E245">
        <v>14</v>
      </c>
      <c r="F245">
        <v>14</v>
      </c>
      <c r="G245">
        <v>14</v>
      </c>
      <c r="H245" t="s">
        <v>680</v>
      </c>
      <c r="I245">
        <v>49.5</v>
      </c>
      <c r="J245">
        <v>32.902999999999999</v>
      </c>
      <c r="K245" t="str">
        <f>"FCN3"</f>
        <v>FCN3</v>
      </c>
      <c r="L245" t="str">
        <f>"FCN3"</f>
        <v>FCN3</v>
      </c>
      <c r="M245">
        <v>4594300000</v>
      </c>
      <c r="N245">
        <v>59696000</v>
      </c>
      <c r="O245">
        <v>2500800000</v>
      </c>
      <c r="P245">
        <v>4514500000</v>
      </c>
      <c r="Q245">
        <v>0</v>
      </c>
      <c r="R245">
        <v>85681000</v>
      </c>
      <c r="S245">
        <v>517160000</v>
      </c>
      <c r="T245">
        <v>306630000</v>
      </c>
      <c r="U245">
        <v>501340000</v>
      </c>
      <c r="V245">
        <v>2558600000</v>
      </c>
      <c r="W245" s="8">
        <v>14652000000</v>
      </c>
      <c r="X245">
        <v>4997900000</v>
      </c>
    </row>
    <row r="246" spans="1:24">
      <c r="A246">
        <v>1842</v>
      </c>
      <c r="B246" t="s">
        <v>681</v>
      </c>
      <c r="C246">
        <v>3</v>
      </c>
      <c r="D246" t="s">
        <v>682</v>
      </c>
      <c r="E246">
        <v>33</v>
      </c>
      <c r="F246">
        <v>33</v>
      </c>
      <c r="G246">
        <v>33</v>
      </c>
      <c r="H246" t="s">
        <v>683</v>
      </c>
      <c r="I246">
        <v>45.2</v>
      </c>
      <c r="J246">
        <v>96.022000000000006</v>
      </c>
      <c r="K246" t="str">
        <f>"PDCD6IP"</f>
        <v>PDCD6IP</v>
      </c>
      <c r="L246" t="str">
        <f>"PDCD6IP"</f>
        <v>PDCD6IP</v>
      </c>
      <c r="M246">
        <v>113320000</v>
      </c>
      <c r="N246">
        <v>411890000</v>
      </c>
      <c r="O246">
        <v>542370000</v>
      </c>
      <c r="P246">
        <v>490170000</v>
      </c>
      <c r="Q246">
        <v>333370000</v>
      </c>
      <c r="R246">
        <v>558080000</v>
      </c>
      <c r="S246">
        <v>375180000</v>
      </c>
      <c r="T246">
        <v>298720000</v>
      </c>
      <c r="U246">
        <v>582390000</v>
      </c>
      <c r="V246">
        <v>414430000</v>
      </c>
      <c r="W246">
        <v>308860000</v>
      </c>
      <c r="X246">
        <v>602250000</v>
      </c>
    </row>
    <row r="247" spans="1:24">
      <c r="A247">
        <v>1122</v>
      </c>
      <c r="B247" t="s">
        <v>684</v>
      </c>
      <c r="C247">
        <v>3</v>
      </c>
      <c r="D247" t="s">
        <v>685</v>
      </c>
      <c r="E247">
        <v>35</v>
      </c>
      <c r="F247">
        <v>35</v>
      </c>
      <c r="G247">
        <v>35</v>
      </c>
      <c r="H247" t="s">
        <v>686</v>
      </c>
      <c r="I247">
        <v>64.2</v>
      </c>
      <c r="J247">
        <v>59.62</v>
      </c>
      <c r="K247" t="str">
        <f>"CCT8"</f>
        <v>CCT8</v>
      </c>
      <c r="L247" t="str">
        <f>"CCT8"</f>
        <v>CCT8</v>
      </c>
      <c r="M247">
        <v>292540000</v>
      </c>
      <c r="N247">
        <v>844980000</v>
      </c>
      <c r="O247">
        <v>730140000</v>
      </c>
      <c r="P247">
        <v>806420000</v>
      </c>
      <c r="Q247">
        <v>592150000</v>
      </c>
      <c r="R247">
        <v>1138800000</v>
      </c>
      <c r="S247">
        <v>695710000</v>
      </c>
      <c r="T247">
        <v>557480000</v>
      </c>
      <c r="U247">
        <v>1029900000</v>
      </c>
      <c r="V247">
        <v>847030000</v>
      </c>
      <c r="W247">
        <v>864520000</v>
      </c>
      <c r="X247">
        <v>785080000</v>
      </c>
    </row>
    <row r="248" spans="1:24">
      <c r="A248">
        <v>1157</v>
      </c>
      <c r="B248" t="s">
        <v>687</v>
      </c>
      <c r="C248">
        <v>1</v>
      </c>
      <c r="D248" t="s">
        <v>688</v>
      </c>
      <c r="E248">
        <v>18</v>
      </c>
      <c r="F248">
        <v>18</v>
      </c>
      <c r="G248">
        <v>15</v>
      </c>
      <c r="H248" t="s">
        <v>687</v>
      </c>
      <c r="I248">
        <v>78</v>
      </c>
      <c r="J248">
        <v>32.921999999999997</v>
      </c>
      <c r="K248" t="str">
        <f>"CAPZA1"</f>
        <v>CAPZA1</v>
      </c>
      <c r="L248" t="str">
        <f>"CAPZA1"</f>
        <v>CAPZA1</v>
      </c>
      <c r="M248">
        <v>1117500000</v>
      </c>
      <c r="N248" s="8">
        <v>2455000000</v>
      </c>
      <c r="O248">
        <v>2348200000</v>
      </c>
      <c r="P248">
        <v>1875700000</v>
      </c>
      <c r="Q248">
        <v>2208100000</v>
      </c>
      <c r="R248">
        <v>2362600000</v>
      </c>
      <c r="S248">
        <v>2656300000</v>
      </c>
      <c r="T248" s="8">
        <v>1402000000</v>
      </c>
      <c r="U248">
        <v>2111900000</v>
      </c>
      <c r="V248">
        <v>1851900000</v>
      </c>
      <c r="W248">
        <v>2127500000</v>
      </c>
      <c r="X248">
        <v>2471200000</v>
      </c>
    </row>
    <row r="249" spans="1:24">
      <c r="A249">
        <v>1217</v>
      </c>
      <c r="B249" t="s">
        <v>689</v>
      </c>
      <c r="C249">
        <v>2</v>
      </c>
      <c r="D249" t="s">
        <v>690</v>
      </c>
      <c r="E249">
        <v>10</v>
      </c>
      <c r="F249">
        <v>10</v>
      </c>
      <c r="G249">
        <v>8</v>
      </c>
      <c r="H249" t="s">
        <v>691</v>
      </c>
      <c r="I249">
        <v>78.099999999999994</v>
      </c>
      <c r="J249">
        <v>16.960999999999999</v>
      </c>
      <c r="K249" t="str">
        <f>"MYL6"</f>
        <v>MYL6</v>
      </c>
      <c r="L249" t="str">
        <f>"MYL6"</f>
        <v>MYL6</v>
      </c>
      <c r="M249">
        <v>1453700000</v>
      </c>
      <c r="N249">
        <v>2796600000</v>
      </c>
      <c r="O249">
        <v>2760800000</v>
      </c>
      <c r="P249">
        <v>3473200000</v>
      </c>
      <c r="Q249" s="8">
        <v>3850000000</v>
      </c>
      <c r="R249">
        <v>4407500000</v>
      </c>
      <c r="S249" s="8">
        <v>3942000000</v>
      </c>
      <c r="T249">
        <v>2640100000</v>
      </c>
      <c r="U249">
        <v>3851200000</v>
      </c>
      <c r="V249" s="8">
        <v>2769000000</v>
      </c>
      <c r="W249" s="8">
        <v>2004000000</v>
      </c>
      <c r="X249">
        <v>2288200000</v>
      </c>
    </row>
    <row r="250" spans="1:24">
      <c r="A250">
        <v>522</v>
      </c>
      <c r="B250" t="s">
        <v>692</v>
      </c>
      <c r="C250">
        <v>2</v>
      </c>
      <c r="D250" t="s">
        <v>693</v>
      </c>
      <c r="E250">
        <v>23</v>
      </c>
      <c r="F250">
        <v>23</v>
      </c>
      <c r="G250">
        <v>23</v>
      </c>
      <c r="H250" t="s">
        <v>694</v>
      </c>
      <c r="I250">
        <v>36.1</v>
      </c>
      <c r="J250">
        <v>75.122</v>
      </c>
      <c r="K250" t="str">
        <f>"PROS1"</f>
        <v>PROS1</v>
      </c>
      <c r="L250" t="str">
        <f>"PROS1"</f>
        <v>PROS1</v>
      </c>
      <c r="M250" s="8">
        <v>1916000000</v>
      </c>
      <c r="N250">
        <v>992570000</v>
      </c>
      <c r="O250">
        <v>1084500000</v>
      </c>
      <c r="P250">
        <v>1203100000</v>
      </c>
      <c r="Q250">
        <v>1529800000</v>
      </c>
      <c r="R250">
        <v>1142500000</v>
      </c>
      <c r="S250" s="8">
        <v>2053000000</v>
      </c>
      <c r="T250">
        <v>1738800000</v>
      </c>
      <c r="U250">
        <v>1662500000</v>
      </c>
      <c r="V250">
        <v>1837300000</v>
      </c>
      <c r="W250">
        <v>1563300000</v>
      </c>
      <c r="X250">
        <v>1203600000</v>
      </c>
    </row>
    <row r="251" spans="1:24">
      <c r="A251">
        <v>332</v>
      </c>
      <c r="B251" t="s">
        <v>695</v>
      </c>
      <c r="C251">
        <v>1</v>
      </c>
      <c r="D251" t="s">
        <v>696</v>
      </c>
      <c r="E251">
        <v>18</v>
      </c>
      <c r="F251">
        <v>18</v>
      </c>
      <c r="G251">
        <v>18</v>
      </c>
      <c r="H251" t="s">
        <v>695</v>
      </c>
      <c r="I251">
        <v>45.9</v>
      </c>
      <c r="J251">
        <v>44.341000000000001</v>
      </c>
      <c r="K251" t="str">
        <f>"TGFB1"</f>
        <v>TGFB1</v>
      </c>
      <c r="L251" t="str">
        <f>"TGFB1"</f>
        <v>TGFB1</v>
      </c>
      <c r="M251">
        <v>491320000</v>
      </c>
      <c r="N251">
        <v>602670000</v>
      </c>
      <c r="O251">
        <v>741390000</v>
      </c>
      <c r="P251">
        <v>865380000</v>
      </c>
      <c r="Q251">
        <v>622260000</v>
      </c>
      <c r="R251">
        <v>842480000</v>
      </c>
      <c r="S251">
        <v>635570000</v>
      </c>
      <c r="T251">
        <v>577890000</v>
      </c>
      <c r="U251">
        <v>787280000</v>
      </c>
      <c r="V251">
        <v>748740000</v>
      </c>
      <c r="W251">
        <v>573800000</v>
      </c>
      <c r="X251">
        <v>1035700000</v>
      </c>
    </row>
    <row r="252" spans="1:24">
      <c r="A252">
        <v>1784</v>
      </c>
      <c r="B252" t="s">
        <v>697</v>
      </c>
      <c r="C252">
        <v>2</v>
      </c>
      <c r="D252" t="s">
        <v>698</v>
      </c>
      <c r="E252">
        <v>31</v>
      </c>
      <c r="F252">
        <v>31</v>
      </c>
      <c r="G252">
        <v>31</v>
      </c>
      <c r="H252" t="s">
        <v>699</v>
      </c>
      <c r="I252">
        <v>49</v>
      </c>
      <c r="J252">
        <v>74.975999999999999</v>
      </c>
      <c r="K252" t="str">
        <f>"ARHGAP18"</f>
        <v>ARHGAP18</v>
      </c>
      <c r="L252" t="str">
        <f>"ARHGAP18"</f>
        <v>ARHGAP18</v>
      </c>
      <c r="M252">
        <v>423840000</v>
      </c>
      <c r="N252">
        <v>666180000</v>
      </c>
      <c r="O252">
        <v>587540000</v>
      </c>
      <c r="P252">
        <v>616960000</v>
      </c>
      <c r="Q252">
        <v>424450000</v>
      </c>
      <c r="R252">
        <v>517170000</v>
      </c>
      <c r="S252">
        <v>531030000</v>
      </c>
      <c r="T252">
        <v>577060000</v>
      </c>
      <c r="U252">
        <v>628860000</v>
      </c>
      <c r="V252">
        <v>456240000</v>
      </c>
      <c r="W252">
        <v>366660000</v>
      </c>
      <c r="X252" s="8">
        <v>689000000</v>
      </c>
    </row>
    <row r="253" spans="1:24">
      <c r="A253">
        <v>1281</v>
      </c>
      <c r="B253" t="s">
        <v>700</v>
      </c>
      <c r="C253">
        <v>3</v>
      </c>
      <c r="D253" t="s">
        <v>701</v>
      </c>
      <c r="E253">
        <v>12</v>
      </c>
      <c r="F253">
        <v>12</v>
      </c>
      <c r="G253">
        <v>6</v>
      </c>
      <c r="H253" t="s">
        <v>702</v>
      </c>
      <c r="I253">
        <v>56.2</v>
      </c>
      <c r="J253">
        <v>21.45</v>
      </c>
      <c r="K253" t="str">
        <f>"RAC1;RAC3"</f>
        <v>RAC1;RAC3</v>
      </c>
      <c r="L253" t="str">
        <f>"RAC1;RAC3"</f>
        <v>RAC1;RAC3</v>
      </c>
      <c r="M253">
        <v>986550000</v>
      </c>
      <c r="N253">
        <v>1193300000</v>
      </c>
      <c r="O253" s="8">
        <v>1530000000</v>
      </c>
      <c r="P253">
        <v>1798400000</v>
      </c>
      <c r="Q253">
        <v>1183900000</v>
      </c>
      <c r="R253">
        <v>1968900000</v>
      </c>
      <c r="S253">
        <v>873240000</v>
      </c>
      <c r="T253">
        <v>1174100000</v>
      </c>
      <c r="U253">
        <v>1280300000</v>
      </c>
      <c r="V253">
        <v>1487300000</v>
      </c>
      <c r="W253">
        <v>1209300000</v>
      </c>
      <c r="X253">
        <v>1147200000</v>
      </c>
    </row>
    <row r="254" spans="1:24">
      <c r="A254">
        <v>636</v>
      </c>
      <c r="B254" t="s">
        <v>703</v>
      </c>
      <c r="C254">
        <v>3</v>
      </c>
      <c r="D254" t="s">
        <v>704</v>
      </c>
      <c r="E254">
        <v>62</v>
      </c>
      <c r="F254">
        <v>57</v>
      </c>
      <c r="G254">
        <v>57</v>
      </c>
      <c r="H254" t="s">
        <v>705</v>
      </c>
      <c r="I254">
        <v>33.5</v>
      </c>
      <c r="J254">
        <v>267.82</v>
      </c>
      <c r="K254" t="str">
        <f>"SPTB"</f>
        <v>SPTB</v>
      </c>
      <c r="L254" t="str">
        <f>"SPTB"</f>
        <v>SPTB</v>
      </c>
      <c r="M254">
        <v>92192000</v>
      </c>
      <c r="N254">
        <v>501380000</v>
      </c>
      <c r="O254">
        <v>428230000</v>
      </c>
      <c r="P254">
        <v>360480000</v>
      </c>
      <c r="Q254">
        <v>204870000</v>
      </c>
      <c r="R254">
        <v>493910000</v>
      </c>
      <c r="S254">
        <v>384800000</v>
      </c>
      <c r="T254">
        <v>252070000</v>
      </c>
      <c r="U254">
        <v>219860000</v>
      </c>
      <c r="V254">
        <v>311040000</v>
      </c>
      <c r="W254">
        <v>391960000</v>
      </c>
      <c r="X254">
        <v>530600000</v>
      </c>
    </row>
    <row r="255" spans="1:24">
      <c r="A255">
        <v>665</v>
      </c>
      <c r="B255" t="s">
        <v>706</v>
      </c>
      <c r="C255">
        <v>1</v>
      </c>
      <c r="D255" t="s">
        <v>707</v>
      </c>
      <c r="E255">
        <v>39</v>
      </c>
      <c r="F255">
        <v>39</v>
      </c>
      <c r="G255">
        <v>39</v>
      </c>
      <c r="H255" t="s">
        <v>706</v>
      </c>
      <c r="I255">
        <v>53.5</v>
      </c>
      <c r="J255">
        <v>72.932000000000002</v>
      </c>
      <c r="K255" t="str">
        <f>"PDIA4"</f>
        <v>PDIA4</v>
      </c>
      <c r="L255" t="str">
        <f>"PDIA4"</f>
        <v>PDIA4</v>
      </c>
      <c r="M255">
        <v>367330000</v>
      </c>
      <c r="N255">
        <v>550640000</v>
      </c>
      <c r="O255">
        <v>670810000</v>
      </c>
      <c r="P255">
        <v>321430000</v>
      </c>
      <c r="Q255">
        <v>194050000</v>
      </c>
      <c r="R255">
        <v>649060000</v>
      </c>
      <c r="S255">
        <v>604990000</v>
      </c>
      <c r="T255">
        <v>446650000</v>
      </c>
      <c r="U255">
        <v>573110000</v>
      </c>
      <c r="V255">
        <v>494910000</v>
      </c>
      <c r="W255">
        <v>615490000</v>
      </c>
      <c r="X255">
        <v>808310000</v>
      </c>
    </row>
    <row r="256" spans="1:24">
      <c r="A256">
        <v>1192</v>
      </c>
      <c r="B256" t="s">
        <v>708</v>
      </c>
      <c r="C256">
        <v>3</v>
      </c>
      <c r="D256" t="s">
        <v>709</v>
      </c>
      <c r="E256">
        <v>9</v>
      </c>
      <c r="F256">
        <v>7</v>
      </c>
      <c r="G256">
        <v>7</v>
      </c>
      <c r="H256" t="s">
        <v>710</v>
      </c>
      <c r="I256">
        <v>29.6</v>
      </c>
      <c r="J256">
        <v>42.761000000000003</v>
      </c>
      <c r="K256" t="str">
        <f>"NAP1L1"</f>
        <v>NAP1L1</v>
      </c>
      <c r="L256" t="str">
        <f>"NAP1L1"</f>
        <v>NAP1L1</v>
      </c>
      <c r="M256">
        <v>1872500000</v>
      </c>
      <c r="N256">
        <v>1635400000</v>
      </c>
      <c r="O256">
        <v>1166200000</v>
      </c>
      <c r="P256">
        <v>958460000</v>
      </c>
      <c r="Q256">
        <v>1127300000</v>
      </c>
      <c r="R256">
        <v>1734500000</v>
      </c>
      <c r="S256">
        <v>2445700000</v>
      </c>
      <c r="T256">
        <v>1647600000</v>
      </c>
      <c r="U256">
        <v>1827600000</v>
      </c>
      <c r="V256">
        <v>1563500000</v>
      </c>
      <c r="W256">
        <v>1700900000</v>
      </c>
      <c r="X256">
        <v>1677900000</v>
      </c>
    </row>
    <row r="257" spans="1:24">
      <c r="A257">
        <v>418</v>
      </c>
      <c r="B257" t="s">
        <v>711</v>
      </c>
      <c r="C257">
        <v>1</v>
      </c>
      <c r="D257" t="s">
        <v>712</v>
      </c>
      <c r="E257">
        <v>11</v>
      </c>
      <c r="F257">
        <v>11</v>
      </c>
      <c r="G257">
        <v>11</v>
      </c>
      <c r="H257" t="s">
        <v>711</v>
      </c>
      <c r="I257">
        <v>64.7</v>
      </c>
      <c r="J257">
        <v>23.01</v>
      </c>
      <c r="K257" t="str">
        <f>"RBP4"</f>
        <v>RBP4</v>
      </c>
      <c r="L257" t="str">
        <f>"RBP4"</f>
        <v>RBP4</v>
      </c>
      <c r="M257">
        <v>2102800000</v>
      </c>
      <c r="N257">
        <v>973740000</v>
      </c>
      <c r="O257">
        <v>923550000</v>
      </c>
      <c r="P257">
        <v>616550000</v>
      </c>
      <c r="Q257">
        <v>1166200000</v>
      </c>
      <c r="R257">
        <v>709580000</v>
      </c>
      <c r="S257">
        <v>442070000</v>
      </c>
      <c r="T257">
        <v>1333800000</v>
      </c>
      <c r="U257">
        <v>667860000</v>
      </c>
      <c r="V257">
        <v>1198500000</v>
      </c>
      <c r="W257">
        <v>1498900000</v>
      </c>
      <c r="X257">
        <v>467270000</v>
      </c>
    </row>
    <row r="258" spans="1:24">
      <c r="A258">
        <v>1180</v>
      </c>
      <c r="B258" t="s">
        <v>713</v>
      </c>
      <c r="C258">
        <v>4</v>
      </c>
      <c r="D258" t="s">
        <v>714</v>
      </c>
      <c r="E258">
        <v>24</v>
      </c>
      <c r="F258">
        <v>24</v>
      </c>
      <c r="G258">
        <v>24</v>
      </c>
      <c r="H258" t="s">
        <v>715</v>
      </c>
      <c r="I258">
        <v>81</v>
      </c>
      <c r="J258">
        <v>33.231999999999999</v>
      </c>
      <c r="K258" t="str">
        <f>"NAPA;NAPB"</f>
        <v>NAPA;NAPB</v>
      </c>
      <c r="L258" t="str">
        <f>"NAPA;NAPB"</f>
        <v>NAPA;NAPB</v>
      </c>
      <c r="M258">
        <v>467700000</v>
      </c>
      <c r="N258">
        <v>561080000</v>
      </c>
      <c r="O258">
        <v>691960000</v>
      </c>
      <c r="P258">
        <v>469140000</v>
      </c>
      <c r="Q258">
        <v>541940000</v>
      </c>
      <c r="R258">
        <v>572520000</v>
      </c>
      <c r="S258">
        <v>927400000</v>
      </c>
      <c r="T258">
        <v>438040000</v>
      </c>
      <c r="U258">
        <v>776770000</v>
      </c>
      <c r="V258">
        <v>484600000</v>
      </c>
      <c r="W258">
        <v>737790000</v>
      </c>
      <c r="X258">
        <v>739030000</v>
      </c>
    </row>
    <row r="259" spans="1:24">
      <c r="A259">
        <v>2140</v>
      </c>
      <c r="B259" t="s">
        <v>716</v>
      </c>
      <c r="C259">
        <v>4</v>
      </c>
      <c r="D259" t="s">
        <v>717</v>
      </c>
      <c r="E259">
        <v>9</v>
      </c>
      <c r="F259">
        <v>9</v>
      </c>
      <c r="G259">
        <v>4</v>
      </c>
      <c r="H259" t="s">
        <v>718</v>
      </c>
      <c r="I259">
        <v>38.9</v>
      </c>
      <c r="J259">
        <v>40.317</v>
      </c>
      <c r="K259" t="str">
        <f>"RTN4"</f>
        <v>RTN4</v>
      </c>
      <c r="L259" t="str">
        <f>"RTN4"</f>
        <v>RTN4</v>
      </c>
      <c r="M259">
        <v>1241700000</v>
      </c>
      <c r="N259">
        <v>1087300000</v>
      </c>
      <c r="O259">
        <v>1656500000</v>
      </c>
      <c r="P259">
        <v>1837100000</v>
      </c>
      <c r="Q259">
        <v>1000300000</v>
      </c>
      <c r="R259">
        <v>1883500000</v>
      </c>
      <c r="S259">
        <v>1353900000</v>
      </c>
      <c r="T259">
        <v>1251600000</v>
      </c>
      <c r="U259">
        <v>1071400000</v>
      </c>
      <c r="V259">
        <v>1432500000</v>
      </c>
      <c r="W259">
        <v>946960000</v>
      </c>
      <c r="X259">
        <v>1348400000</v>
      </c>
    </row>
    <row r="260" spans="1:24">
      <c r="A260">
        <v>14</v>
      </c>
      <c r="B260" t="s">
        <v>719</v>
      </c>
      <c r="C260">
        <v>2</v>
      </c>
      <c r="D260" t="s">
        <v>720</v>
      </c>
      <c r="E260">
        <v>12</v>
      </c>
      <c r="F260">
        <v>3</v>
      </c>
      <c r="G260">
        <v>3</v>
      </c>
      <c r="H260" t="s">
        <v>721</v>
      </c>
      <c r="I260">
        <v>48.1</v>
      </c>
      <c r="J260">
        <v>23.062999999999999</v>
      </c>
      <c r="K260" t="str">
        <f>"IGLL5;IGLC1"</f>
        <v>IGLL5;IGLC1</v>
      </c>
      <c r="L260" t="str">
        <f>"IGLL5;IGLC1"</f>
        <v>IGLL5;IGLC1</v>
      </c>
      <c r="M260">
        <v>2045600000</v>
      </c>
      <c r="N260">
        <v>794600000</v>
      </c>
      <c r="O260">
        <v>816130000</v>
      </c>
      <c r="P260">
        <v>1565700000</v>
      </c>
      <c r="Q260">
        <v>1692600000</v>
      </c>
      <c r="R260">
        <v>944790000</v>
      </c>
      <c r="S260">
        <v>1321300000</v>
      </c>
      <c r="T260" s="8">
        <v>1791000000</v>
      </c>
      <c r="U260">
        <v>711380000</v>
      </c>
      <c r="V260">
        <v>1425700000</v>
      </c>
      <c r="W260">
        <v>1380200000</v>
      </c>
      <c r="X260">
        <v>868660000</v>
      </c>
    </row>
    <row r="261" spans="1:24">
      <c r="A261">
        <v>321</v>
      </c>
      <c r="B261" t="s">
        <v>722</v>
      </c>
      <c r="C261">
        <v>1</v>
      </c>
      <c r="D261" t="s">
        <v>723</v>
      </c>
      <c r="E261">
        <v>17</v>
      </c>
      <c r="F261">
        <v>17</v>
      </c>
      <c r="G261">
        <v>17</v>
      </c>
      <c r="H261" t="s">
        <v>722</v>
      </c>
      <c r="I261">
        <v>36.299999999999997</v>
      </c>
      <c r="J261">
        <v>53.154000000000003</v>
      </c>
      <c r="K261" t="str">
        <f>"AGT"</f>
        <v>AGT</v>
      </c>
      <c r="L261" t="str">
        <f>"AGT"</f>
        <v>AGT</v>
      </c>
      <c r="M261">
        <v>2436300000</v>
      </c>
      <c r="N261">
        <v>901140000</v>
      </c>
      <c r="O261">
        <v>1218600000</v>
      </c>
      <c r="P261">
        <v>966250000</v>
      </c>
      <c r="Q261">
        <v>1353500000</v>
      </c>
      <c r="R261">
        <v>714420000</v>
      </c>
      <c r="S261">
        <v>945380000</v>
      </c>
      <c r="T261">
        <v>2135800000</v>
      </c>
      <c r="U261">
        <v>841370000</v>
      </c>
      <c r="V261">
        <v>1397600000</v>
      </c>
      <c r="W261">
        <v>2040400000</v>
      </c>
      <c r="X261">
        <v>3076300000</v>
      </c>
    </row>
    <row r="262" spans="1:24">
      <c r="A262">
        <v>844</v>
      </c>
      <c r="B262" t="s">
        <v>724</v>
      </c>
      <c r="C262">
        <v>1</v>
      </c>
      <c r="D262" t="s">
        <v>725</v>
      </c>
      <c r="E262">
        <v>14</v>
      </c>
      <c r="F262">
        <v>14</v>
      </c>
      <c r="G262">
        <v>14</v>
      </c>
      <c r="H262" t="s">
        <v>724</v>
      </c>
      <c r="I262">
        <v>47</v>
      </c>
      <c r="J262">
        <v>39.731000000000002</v>
      </c>
      <c r="K262" t="str">
        <f>"PON1"</f>
        <v>PON1</v>
      </c>
      <c r="L262" t="str">
        <f>"PON1"</f>
        <v>PON1</v>
      </c>
      <c r="M262">
        <v>2500600000</v>
      </c>
      <c r="N262">
        <v>1099100000</v>
      </c>
      <c r="O262">
        <v>1570200000</v>
      </c>
      <c r="P262">
        <v>904060000</v>
      </c>
      <c r="Q262">
        <v>1726400000</v>
      </c>
      <c r="R262">
        <v>851240000</v>
      </c>
      <c r="S262">
        <v>859840000</v>
      </c>
      <c r="T262">
        <v>2257800000</v>
      </c>
      <c r="U262">
        <v>367260000</v>
      </c>
      <c r="V262">
        <v>2031800000</v>
      </c>
      <c r="W262">
        <v>1677100000</v>
      </c>
      <c r="X262">
        <v>1127300000</v>
      </c>
    </row>
    <row r="263" spans="1:24">
      <c r="A263">
        <v>473</v>
      </c>
      <c r="B263" t="s">
        <v>726</v>
      </c>
      <c r="C263">
        <v>11</v>
      </c>
      <c r="D263" t="s">
        <v>727</v>
      </c>
      <c r="E263">
        <v>21</v>
      </c>
      <c r="F263">
        <v>21</v>
      </c>
      <c r="G263">
        <v>21</v>
      </c>
      <c r="H263" t="s">
        <v>728</v>
      </c>
      <c r="I263">
        <v>30.7</v>
      </c>
      <c r="J263">
        <v>84.52</v>
      </c>
      <c r="K263" t="str">
        <f>"APP"</f>
        <v>APP</v>
      </c>
      <c r="L263" t="str">
        <f>"APP"</f>
        <v>APP</v>
      </c>
      <c r="M263">
        <v>182800000</v>
      </c>
      <c r="N263">
        <v>389580000</v>
      </c>
      <c r="O263">
        <v>369540000</v>
      </c>
      <c r="P263">
        <v>384060000</v>
      </c>
      <c r="Q263">
        <v>438430000</v>
      </c>
      <c r="R263">
        <v>576980000</v>
      </c>
      <c r="S263">
        <v>322400000</v>
      </c>
      <c r="T263">
        <v>458770000</v>
      </c>
      <c r="U263">
        <v>600200000</v>
      </c>
      <c r="V263">
        <v>539560000</v>
      </c>
      <c r="W263">
        <v>405900000</v>
      </c>
      <c r="X263">
        <v>457440000</v>
      </c>
    </row>
    <row r="264" spans="1:24">
      <c r="A264">
        <v>542</v>
      </c>
      <c r="B264" t="s">
        <v>729</v>
      </c>
      <c r="C264">
        <v>5</v>
      </c>
      <c r="D264" t="s">
        <v>730</v>
      </c>
      <c r="E264">
        <v>24</v>
      </c>
      <c r="F264">
        <v>22</v>
      </c>
      <c r="G264">
        <v>1</v>
      </c>
      <c r="H264" t="s">
        <v>731</v>
      </c>
      <c r="I264">
        <v>55.6</v>
      </c>
      <c r="J264">
        <v>56.033000000000001</v>
      </c>
      <c r="K264" t="str">
        <f>"LYN;HCK"</f>
        <v>LYN;HCK</v>
      </c>
      <c r="L264" t="str">
        <f>"LYN;HCK"</f>
        <v>LYN;HCK</v>
      </c>
      <c r="M264">
        <v>244520000</v>
      </c>
      <c r="N264">
        <v>705730000</v>
      </c>
      <c r="O264">
        <v>643240000</v>
      </c>
      <c r="P264">
        <v>433710000</v>
      </c>
      <c r="Q264">
        <v>217610000</v>
      </c>
      <c r="R264">
        <v>681180000</v>
      </c>
      <c r="S264">
        <v>613650000</v>
      </c>
      <c r="T264">
        <v>465080000</v>
      </c>
      <c r="U264">
        <v>470310000</v>
      </c>
      <c r="V264">
        <v>455120000</v>
      </c>
      <c r="W264">
        <v>501720000</v>
      </c>
      <c r="X264">
        <v>673080000</v>
      </c>
    </row>
    <row r="265" spans="1:24">
      <c r="A265">
        <v>141</v>
      </c>
      <c r="B265" t="s">
        <v>732</v>
      </c>
      <c r="C265">
        <v>5</v>
      </c>
      <c r="D265" t="s">
        <v>733</v>
      </c>
      <c r="E265">
        <v>26</v>
      </c>
      <c r="F265">
        <v>26</v>
      </c>
      <c r="G265">
        <v>26</v>
      </c>
      <c r="H265" t="s">
        <v>734</v>
      </c>
      <c r="I265">
        <v>48.8</v>
      </c>
      <c r="J265">
        <v>84.843000000000004</v>
      </c>
      <c r="K265" t="str">
        <f>"ARHGAP6"</f>
        <v>ARHGAP6</v>
      </c>
      <c r="L265" t="str">
        <f>"ARHGAP6"</f>
        <v>ARHGAP6</v>
      </c>
      <c r="M265">
        <v>354130000</v>
      </c>
      <c r="N265">
        <v>497180000</v>
      </c>
      <c r="O265">
        <v>379330000</v>
      </c>
      <c r="P265">
        <v>320920000</v>
      </c>
      <c r="Q265">
        <v>326020000</v>
      </c>
      <c r="R265">
        <v>433900000</v>
      </c>
      <c r="S265">
        <v>504950000</v>
      </c>
      <c r="T265">
        <v>393680000</v>
      </c>
      <c r="U265">
        <v>422470000</v>
      </c>
      <c r="V265">
        <v>420310000</v>
      </c>
      <c r="W265">
        <v>423820000</v>
      </c>
      <c r="X265">
        <v>539860000</v>
      </c>
    </row>
    <row r="266" spans="1:24">
      <c r="A266">
        <v>1984</v>
      </c>
      <c r="B266" t="s">
        <v>735</v>
      </c>
      <c r="C266">
        <v>1</v>
      </c>
      <c r="D266" t="s">
        <v>736</v>
      </c>
      <c r="E266">
        <v>15</v>
      </c>
      <c r="F266">
        <v>15</v>
      </c>
      <c r="G266">
        <v>15</v>
      </c>
      <c r="H266" t="s">
        <v>735</v>
      </c>
      <c r="I266">
        <v>83.6</v>
      </c>
      <c r="J266">
        <v>19.890999999999998</v>
      </c>
      <c r="K266" t="str">
        <f>"PARK7"</f>
        <v>PARK7</v>
      </c>
      <c r="L266" t="str">
        <f>"PARK7"</f>
        <v>PARK7</v>
      </c>
      <c r="M266">
        <v>818330000</v>
      </c>
      <c r="N266">
        <v>781960000</v>
      </c>
      <c r="O266">
        <v>837440000</v>
      </c>
      <c r="P266">
        <v>962350000</v>
      </c>
      <c r="Q266">
        <v>605590000</v>
      </c>
      <c r="R266" s="8">
        <v>1269000000</v>
      </c>
      <c r="S266">
        <v>928890000</v>
      </c>
      <c r="T266">
        <v>824340000</v>
      </c>
      <c r="U266">
        <v>937660000</v>
      </c>
      <c r="V266">
        <v>1052800000</v>
      </c>
      <c r="W266">
        <v>1046500000</v>
      </c>
      <c r="X266">
        <v>1020500000</v>
      </c>
    </row>
    <row r="267" spans="1:24">
      <c r="A267">
        <v>493</v>
      </c>
      <c r="B267" t="s">
        <v>737</v>
      </c>
      <c r="C267">
        <v>1</v>
      </c>
      <c r="D267" t="s">
        <v>738</v>
      </c>
      <c r="E267">
        <v>27</v>
      </c>
      <c r="F267">
        <v>27</v>
      </c>
      <c r="G267">
        <v>2</v>
      </c>
      <c r="H267" t="s">
        <v>737</v>
      </c>
      <c r="I267">
        <v>45.5</v>
      </c>
      <c r="J267">
        <v>77.010999999999996</v>
      </c>
      <c r="K267" t="str">
        <f>"PRKCB"</f>
        <v>PRKCB</v>
      </c>
      <c r="L267" t="str">
        <f>"PRKCB"</f>
        <v>PRKCB</v>
      </c>
      <c r="M267">
        <v>361120000</v>
      </c>
      <c r="N267">
        <v>995460000</v>
      </c>
      <c r="O267">
        <v>807940000</v>
      </c>
      <c r="P267">
        <v>491510000</v>
      </c>
      <c r="Q267">
        <v>205530000</v>
      </c>
      <c r="R267">
        <v>562010000</v>
      </c>
      <c r="S267">
        <v>563680000</v>
      </c>
      <c r="T267">
        <v>414460000</v>
      </c>
      <c r="U267">
        <v>561770000</v>
      </c>
      <c r="V267">
        <v>589330000</v>
      </c>
      <c r="W267">
        <v>434920000</v>
      </c>
      <c r="X267">
        <v>532350000</v>
      </c>
    </row>
    <row r="268" spans="1:24">
      <c r="A268">
        <v>666</v>
      </c>
      <c r="B268" t="s">
        <v>739</v>
      </c>
      <c r="C268">
        <v>1</v>
      </c>
      <c r="D268" t="s">
        <v>740</v>
      </c>
      <c r="E268">
        <v>29</v>
      </c>
      <c r="F268">
        <v>29</v>
      </c>
      <c r="G268">
        <v>29</v>
      </c>
      <c r="H268" t="s">
        <v>739</v>
      </c>
      <c r="I268">
        <v>36.9</v>
      </c>
      <c r="J268">
        <v>104.79</v>
      </c>
      <c r="K268" t="str">
        <f>"C6"</f>
        <v>C6</v>
      </c>
      <c r="L268" t="str">
        <f>"C6"</f>
        <v>C6</v>
      </c>
      <c r="M268">
        <v>1640600000</v>
      </c>
      <c r="N268">
        <v>518780000</v>
      </c>
      <c r="O268">
        <v>530600000</v>
      </c>
      <c r="P268">
        <v>435880000</v>
      </c>
      <c r="Q268">
        <v>955820000</v>
      </c>
      <c r="R268">
        <v>527980000</v>
      </c>
      <c r="S268">
        <v>992590000</v>
      </c>
      <c r="T268">
        <v>1131900000</v>
      </c>
      <c r="U268">
        <v>413500000</v>
      </c>
      <c r="V268">
        <v>663910000</v>
      </c>
      <c r="W268">
        <v>913760000</v>
      </c>
      <c r="X268">
        <v>449960000</v>
      </c>
    </row>
    <row r="269" spans="1:24">
      <c r="A269">
        <v>1235</v>
      </c>
      <c r="B269" t="s">
        <v>741</v>
      </c>
      <c r="C269">
        <v>1</v>
      </c>
      <c r="D269" t="s">
        <v>742</v>
      </c>
      <c r="E269">
        <v>16</v>
      </c>
      <c r="F269">
        <v>16</v>
      </c>
      <c r="G269">
        <v>16</v>
      </c>
      <c r="H269" t="s">
        <v>741</v>
      </c>
      <c r="I269">
        <v>70.2</v>
      </c>
      <c r="J269">
        <v>23.896999999999998</v>
      </c>
      <c r="K269" t="str">
        <f>"RAB14"</f>
        <v>RAB14</v>
      </c>
      <c r="L269" t="str">
        <f>"RAB14"</f>
        <v>RAB14</v>
      </c>
      <c r="M269">
        <v>1264400000</v>
      </c>
      <c r="N269">
        <v>1244600000</v>
      </c>
      <c r="O269" s="8">
        <v>1554000000</v>
      </c>
      <c r="P269">
        <v>1461300000</v>
      </c>
      <c r="Q269">
        <v>1157500000</v>
      </c>
      <c r="R269">
        <v>1521800000</v>
      </c>
      <c r="S269">
        <v>1719300000</v>
      </c>
      <c r="T269">
        <v>1395200000</v>
      </c>
      <c r="U269">
        <v>1874300000</v>
      </c>
      <c r="V269">
        <v>1353700000</v>
      </c>
      <c r="W269">
        <v>1592500000</v>
      </c>
      <c r="X269">
        <v>1564500000</v>
      </c>
    </row>
    <row r="270" spans="1:24">
      <c r="A270">
        <v>1476</v>
      </c>
      <c r="B270" t="s">
        <v>743</v>
      </c>
      <c r="C270">
        <v>1</v>
      </c>
      <c r="D270" t="s">
        <v>744</v>
      </c>
      <c r="E270">
        <v>15</v>
      </c>
      <c r="F270">
        <v>15</v>
      </c>
      <c r="G270">
        <v>15</v>
      </c>
      <c r="H270" t="s">
        <v>743</v>
      </c>
      <c r="I270">
        <v>80.3</v>
      </c>
      <c r="J270">
        <v>15.945</v>
      </c>
      <c r="K270" t="str">
        <f>"COTL1"</f>
        <v>COTL1</v>
      </c>
      <c r="L270" t="str">
        <f>"COTL1"</f>
        <v>COTL1</v>
      </c>
      <c r="M270">
        <v>973400000</v>
      </c>
      <c r="N270">
        <v>981850000</v>
      </c>
      <c r="O270">
        <v>936270000</v>
      </c>
      <c r="P270">
        <v>884050000</v>
      </c>
      <c r="Q270">
        <v>788490000</v>
      </c>
      <c r="R270">
        <v>1414500000</v>
      </c>
      <c r="S270">
        <v>906390000</v>
      </c>
      <c r="T270">
        <v>969150000</v>
      </c>
      <c r="U270">
        <v>805840000</v>
      </c>
      <c r="V270">
        <v>818670000</v>
      </c>
      <c r="W270">
        <v>388740000</v>
      </c>
      <c r="X270">
        <v>992360000</v>
      </c>
    </row>
    <row r="271" spans="1:24">
      <c r="A271">
        <v>996</v>
      </c>
      <c r="B271" t="s">
        <v>745</v>
      </c>
      <c r="C271">
        <v>2</v>
      </c>
      <c r="D271" t="s">
        <v>746</v>
      </c>
      <c r="E271">
        <v>21</v>
      </c>
      <c r="F271">
        <v>21</v>
      </c>
      <c r="G271">
        <v>21</v>
      </c>
      <c r="H271" t="s">
        <v>747</v>
      </c>
      <c r="I271">
        <v>43</v>
      </c>
      <c r="J271">
        <v>64.734999999999999</v>
      </c>
      <c r="K271" t="str">
        <f>"ATP6V1A"</f>
        <v>ATP6V1A</v>
      </c>
      <c r="L271" t="str">
        <f>"ATP6V1A"</f>
        <v>ATP6V1A</v>
      </c>
      <c r="M271">
        <v>487440000</v>
      </c>
      <c r="N271">
        <v>829040000</v>
      </c>
      <c r="O271">
        <v>826640000</v>
      </c>
      <c r="P271">
        <v>554490000</v>
      </c>
      <c r="Q271">
        <v>575970000</v>
      </c>
      <c r="R271">
        <v>713990000</v>
      </c>
      <c r="S271">
        <v>979080000</v>
      </c>
      <c r="T271">
        <v>477480000</v>
      </c>
      <c r="U271">
        <v>807090000</v>
      </c>
      <c r="V271">
        <v>702060000</v>
      </c>
      <c r="W271">
        <v>529980000</v>
      </c>
      <c r="X271">
        <v>771250000</v>
      </c>
    </row>
    <row r="272" spans="1:24">
      <c r="A272">
        <v>1010</v>
      </c>
      <c r="B272" t="s">
        <v>748</v>
      </c>
      <c r="C272">
        <v>1</v>
      </c>
      <c r="D272" t="s">
        <v>749</v>
      </c>
      <c r="E272">
        <v>25</v>
      </c>
      <c r="F272">
        <v>25</v>
      </c>
      <c r="G272">
        <v>25</v>
      </c>
      <c r="H272" t="s">
        <v>748</v>
      </c>
      <c r="I272">
        <v>37.9</v>
      </c>
      <c r="J272">
        <v>111.69</v>
      </c>
      <c r="K272" t="str">
        <f>"UBA7"</f>
        <v>UBA7</v>
      </c>
      <c r="L272" t="str">
        <f>"UBA7"</f>
        <v>UBA7</v>
      </c>
      <c r="M272">
        <v>665160000</v>
      </c>
      <c r="N272">
        <v>908830000</v>
      </c>
      <c r="O272">
        <v>973460000</v>
      </c>
      <c r="P272">
        <v>509690000</v>
      </c>
      <c r="Q272">
        <v>670550000</v>
      </c>
      <c r="R272">
        <v>508890000</v>
      </c>
      <c r="S272">
        <v>1121800000</v>
      </c>
      <c r="T272">
        <v>519320000</v>
      </c>
      <c r="U272">
        <v>1000200000</v>
      </c>
      <c r="V272">
        <v>568500000</v>
      </c>
      <c r="W272">
        <v>1082700000</v>
      </c>
      <c r="X272">
        <v>855280000</v>
      </c>
    </row>
    <row r="273" spans="1:24">
      <c r="A273">
        <v>1382</v>
      </c>
      <c r="B273" t="s">
        <v>750</v>
      </c>
      <c r="C273">
        <v>1</v>
      </c>
      <c r="D273" t="s">
        <v>751</v>
      </c>
      <c r="E273">
        <v>19</v>
      </c>
      <c r="F273">
        <v>19</v>
      </c>
      <c r="G273">
        <v>15</v>
      </c>
      <c r="H273" t="s">
        <v>750</v>
      </c>
      <c r="I273">
        <v>79.400000000000006</v>
      </c>
      <c r="J273">
        <v>22.11</v>
      </c>
      <c r="K273" t="str">
        <f>"PRDX1"</f>
        <v>PRDX1</v>
      </c>
      <c r="L273" t="str">
        <f>"PRDX1"</f>
        <v>PRDX1</v>
      </c>
      <c r="M273">
        <v>708210000</v>
      </c>
      <c r="N273">
        <v>1583700000</v>
      </c>
      <c r="O273">
        <v>1681700000</v>
      </c>
      <c r="P273" s="8">
        <v>1542000000</v>
      </c>
      <c r="Q273">
        <v>897290000</v>
      </c>
      <c r="R273">
        <v>1579800000</v>
      </c>
      <c r="S273">
        <v>1341200000</v>
      </c>
      <c r="T273">
        <v>1116700000</v>
      </c>
      <c r="U273">
        <v>1291700000</v>
      </c>
      <c r="V273">
        <v>1011500000</v>
      </c>
      <c r="W273">
        <v>1299800000</v>
      </c>
      <c r="X273">
        <v>1312600000</v>
      </c>
    </row>
    <row r="274" spans="1:24">
      <c r="A274">
        <v>2199</v>
      </c>
      <c r="B274" t="s">
        <v>752</v>
      </c>
      <c r="C274">
        <v>3</v>
      </c>
      <c r="D274" t="s">
        <v>753</v>
      </c>
      <c r="E274">
        <v>18</v>
      </c>
      <c r="F274">
        <v>18</v>
      </c>
      <c r="G274">
        <v>18</v>
      </c>
      <c r="H274" t="s">
        <v>754</v>
      </c>
      <c r="I274">
        <v>50.9</v>
      </c>
      <c r="J274">
        <v>39.594000000000001</v>
      </c>
      <c r="K274" t="str">
        <f>"TMOD3;TMOD1"</f>
        <v>TMOD3;TMOD1</v>
      </c>
      <c r="L274" t="str">
        <f>"TMOD3;TMOD1"</f>
        <v>TMOD3;TMOD1</v>
      </c>
      <c r="M274">
        <v>1163400000</v>
      </c>
      <c r="N274" s="8">
        <v>1274000000</v>
      </c>
      <c r="O274" s="8">
        <v>1334000000</v>
      </c>
      <c r="P274">
        <v>1105400000</v>
      </c>
      <c r="Q274">
        <v>1267300000</v>
      </c>
      <c r="R274">
        <v>1148200000</v>
      </c>
      <c r="S274">
        <v>1430600000</v>
      </c>
      <c r="T274">
        <v>836440000</v>
      </c>
      <c r="U274">
        <v>1380300000</v>
      </c>
      <c r="V274">
        <v>1121100000</v>
      </c>
      <c r="W274">
        <v>1521600000</v>
      </c>
      <c r="X274">
        <v>1385500000</v>
      </c>
    </row>
    <row r="275" spans="1:24">
      <c r="A275">
        <v>954</v>
      </c>
      <c r="B275" t="s">
        <v>755</v>
      </c>
      <c r="C275">
        <v>1</v>
      </c>
      <c r="D275" t="s">
        <v>756</v>
      </c>
      <c r="E275">
        <v>16</v>
      </c>
      <c r="F275">
        <v>16</v>
      </c>
      <c r="G275">
        <v>15</v>
      </c>
      <c r="H275" t="s">
        <v>755</v>
      </c>
      <c r="I275">
        <v>48.7</v>
      </c>
      <c r="J275">
        <v>42.621000000000002</v>
      </c>
      <c r="K275" t="str">
        <f>"SERPINB6"</f>
        <v>SERPINB6</v>
      </c>
      <c r="L275" t="str">
        <f>"SERPINB6"</f>
        <v>SERPINB6</v>
      </c>
      <c r="M275">
        <v>589990000</v>
      </c>
      <c r="N275">
        <v>645890000</v>
      </c>
      <c r="O275">
        <v>609280000</v>
      </c>
      <c r="P275">
        <v>613630000</v>
      </c>
      <c r="Q275">
        <v>411410000</v>
      </c>
      <c r="R275">
        <v>1134700000</v>
      </c>
      <c r="S275">
        <v>881590000</v>
      </c>
      <c r="T275">
        <v>834720000</v>
      </c>
      <c r="U275">
        <v>971700000</v>
      </c>
      <c r="V275">
        <v>633390000</v>
      </c>
      <c r="W275" s="8">
        <v>948000000</v>
      </c>
      <c r="X275">
        <v>1233100000</v>
      </c>
    </row>
    <row r="276" spans="1:24">
      <c r="A276">
        <v>981</v>
      </c>
      <c r="B276" t="s">
        <v>757</v>
      </c>
      <c r="C276">
        <v>3</v>
      </c>
      <c r="D276" t="s">
        <v>758</v>
      </c>
      <c r="E276">
        <v>29</v>
      </c>
      <c r="F276">
        <v>29</v>
      </c>
      <c r="G276">
        <v>29</v>
      </c>
      <c r="H276" t="s">
        <v>759</v>
      </c>
      <c r="I276">
        <v>55.9</v>
      </c>
      <c r="J276">
        <v>61.448</v>
      </c>
      <c r="K276" t="str">
        <f>"PGM1"</f>
        <v>PGM1</v>
      </c>
      <c r="L276" t="str">
        <f>"PGM1"</f>
        <v>PGM1</v>
      </c>
      <c r="M276">
        <v>332620000</v>
      </c>
      <c r="N276">
        <v>840270000</v>
      </c>
      <c r="O276">
        <v>547680000</v>
      </c>
      <c r="P276">
        <v>376820000</v>
      </c>
      <c r="Q276">
        <v>599630000</v>
      </c>
      <c r="R276">
        <v>566410000</v>
      </c>
      <c r="S276">
        <v>405450000</v>
      </c>
      <c r="T276">
        <v>618230000</v>
      </c>
      <c r="U276">
        <v>541220000</v>
      </c>
      <c r="V276">
        <v>536710000</v>
      </c>
      <c r="W276">
        <v>433550000</v>
      </c>
      <c r="X276">
        <v>634470000</v>
      </c>
    </row>
    <row r="277" spans="1:24">
      <c r="A277">
        <v>1993</v>
      </c>
      <c r="B277" t="s">
        <v>760</v>
      </c>
      <c r="C277">
        <v>2</v>
      </c>
      <c r="D277" t="s">
        <v>761</v>
      </c>
      <c r="E277">
        <v>13</v>
      </c>
      <c r="F277">
        <v>13</v>
      </c>
      <c r="G277">
        <v>13</v>
      </c>
      <c r="H277" t="s">
        <v>762</v>
      </c>
      <c r="I277">
        <v>50.8</v>
      </c>
      <c r="J277">
        <v>33.261000000000003</v>
      </c>
      <c r="K277" t="str">
        <f>"MGLL"</f>
        <v>MGLL</v>
      </c>
      <c r="L277" t="str">
        <f>"MGLL"</f>
        <v>MGLL</v>
      </c>
      <c r="M277">
        <v>609630000</v>
      </c>
      <c r="N277">
        <v>558320000</v>
      </c>
      <c r="O277">
        <v>769840000</v>
      </c>
      <c r="P277">
        <v>434950000</v>
      </c>
      <c r="Q277">
        <v>381070000</v>
      </c>
      <c r="R277">
        <v>437470000</v>
      </c>
      <c r="S277">
        <v>473480000</v>
      </c>
      <c r="T277">
        <v>699930000</v>
      </c>
      <c r="U277">
        <v>872160000</v>
      </c>
      <c r="V277">
        <v>453300000</v>
      </c>
      <c r="W277">
        <v>536260000</v>
      </c>
      <c r="X277">
        <v>513090000</v>
      </c>
    </row>
    <row r="278" spans="1:24">
      <c r="A278">
        <v>314</v>
      </c>
      <c r="B278" t="s">
        <v>763</v>
      </c>
      <c r="C278">
        <v>1</v>
      </c>
      <c r="D278" t="s">
        <v>764</v>
      </c>
      <c r="E278">
        <v>19</v>
      </c>
      <c r="F278">
        <v>19</v>
      </c>
      <c r="G278">
        <v>19</v>
      </c>
      <c r="H278" t="s">
        <v>763</v>
      </c>
      <c r="I278">
        <v>35.1</v>
      </c>
      <c r="J278">
        <v>67.790999999999997</v>
      </c>
      <c r="K278" t="str">
        <f>"F12"</f>
        <v>F12</v>
      </c>
      <c r="L278" t="str">
        <f>"F12"</f>
        <v>F12</v>
      </c>
      <c r="M278">
        <v>2922100000</v>
      </c>
      <c r="N278">
        <v>1226300000</v>
      </c>
      <c r="O278">
        <v>1006900000</v>
      </c>
      <c r="P278">
        <v>2154100000</v>
      </c>
      <c r="Q278">
        <v>3299400000</v>
      </c>
      <c r="R278" s="8">
        <v>1004000000</v>
      </c>
      <c r="S278">
        <v>1983700000</v>
      </c>
      <c r="T278">
        <v>2120300000</v>
      </c>
      <c r="U278">
        <v>1608100000</v>
      </c>
      <c r="V278">
        <v>1090700000</v>
      </c>
      <c r="W278">
        <v>1874100000</v>
      </c>
      <c r="X278">
        <v>1441200000</v>
      </c>
    </row>
    <row r="279" spans="1:24">
      <c r="A279">
        <v>592</v>
      </c>
      <c r="B279" t="s">
        <v>765</v>
      </c>
      <c r="C279">
        <v>1</v>
      </c>
      <c r="D279" t="s">
        <v>766</v>
      </c>
      <c r="E279">
        <v>20</v>
      </c>
      <c r="F279">
        <v>20</v>
      </c>
      <c r="G279">
        <v>19</v>
      </c>
      <c r="H279" t="s">
        <v>765</v>
      </c>
      <c r="I279">
        <v>32.799999999999997</v>
      </c>
      <c r="J279">
        <v>76.683999999999997</v>
      </c>
      <c r="K279" t="str">
        <f>"C1S"</f>
        <v>C1S</v>
      </c>
      <c r="L279" t="str">
        <f>"C1S"</f>
        <v>C1S</v>
      </c>
      <c r="M279">
        <v>1388500000</v>
      </c>
      <c r="N279">
        <v>1073200000</v>
      </c>
      <c r="O279">
        <v>890580000</v>
      </c>
      <c r="P279">
        <v>1071400000</v>
      </c>
      <c r="Q279">
        <v>1784200000</v>
      </c>
      <c r="R279">
        <v>673180000</v>
      </c>
      <c r="S279">
        <v>1227700000</v>
      </c>
      <c r="T279">
        <v>1267900000</v>
      </c>
      <c r="U279">
        <v>775220000</v>
      </c>
      <c r="V279">
        <v>980770000</v>
      </c>
      <c r="W279">
        <v>1034600000</v>
      </c>
      <c r="X279">
        <v>776150000</v>
      </c>
    </row>
    <row r="280" spans="1:24">
      <c r="A280">
        <v>1289</v>
      </c>
      <c r="B280" t="s">
        <v>767</v>
      </c>
      <c r="C280">
        <v>4</v>
      </c>
      <c r="D280" t="s">
        <v>768</v>
      </c>
      <c r="E280">
        <v>12</v>
      </c>
      <c r="F280">
        <v>12</v>
      </c>
      <c r="G280">
        <v>12</v>
      </c>
      <c r="H280" t="s">
        <v>769</v>
      </c>
      <c r="I280">
        <v>57.1</v>
      </c>
      <c r="J280">
        <v>16.832000000000001</v>
      </c>
      <c r="K280" t="str">
        <f>"EIF5A;EIF5AL1;EIF5A2"</f>
        <v>EIF5A;EIF5AL1;EIF5A2</v>
      </c>
      <c r="L280" t="str">
        <f>"EIF5A;EIF5AL1;EIF5A2"</f>
        <v>EIF5A;EIF5AL1;EIF5A2</v>
      </c>
      <c r="M280">
        <v>554370000</v>
      </c>
      <c r="N280">
        <v>798460000</v>
      </c>
      <c r="O280">
        <v>968150000</v>
      </c>
      <c r="P280">
        <v>812430000</v>
      </c>
      <c r="Q280">
        <v>613810000</v>
      </c>
      <c r="R280">
        <v>1103800000</v>
      </c>
      <c r="S280">
        <v>718210000</v>
      </c>
      <c r="T280">
        <v>641720000</v>
      </c>
      <c r="U280">
        <v>995080000</v>
      </c>
      <c r="V280">
        <v>739560000</v>
      </c>
      <c r="W280">
        <v>822730000</v>
      </c>
      <c r="X280">
        <v>638070000</v>
      </c>
    </row>
    <row r="281" spans="1:24">
      <c r="A281">
        <v>2180</v>
      </c>
      <c r="B281" t="s">
        <v>770</v>
      </c>
      <c r="C281">
        <v>9</v>
      </c>
      <c r="D281" t="s">
        <v>771</v>
      </c>
      <c r="E281">
        <v>21</v>
      </c>
      <c r="F281">
        <v>21</v>
      </c>
      <c r="G281">
        <v>11</v>
      </c>
      <c r="H281" t="s">
        <v>772</v>
      </c>
      <c r="I281">
        <v>49.2</v>
      </c>
      <c r="J281">
        <v>49.398000000000003</v>
      </c>
      <c r="K281" t="str">
        <f>"SEPT11;SEPT8;SEPT10"</f>
        <v>SEPT11;SEPT8;SEPT10</v>
      </c>
      <c r="L281" t="str">
        <f>"SEPT11;SEPT8;SEPT10"</f>
        <v>SEPT11;SEPT8;SEPT10</v>
      </c>
      <c r="M281">
        <v>604800000</v>
      </c>
      <c r="N281">
        <v>584970000</v>
      </c>
      <c r="O281">
        <v>927350000</v>
      </c>
      <c r="P281">
        <v>791860000</v>
      </c>
      <c r="Q281">
        <v>459160000</v>
      </c>
      <c r="R281">
        <v>892390000</v>
      </c>
      <c r="S281">
        <v>494450000</v>
      </c>
      <c r="T281">
        <v>593110000</v>
      </c>
      <c r="U281">
        <v>474180000</v>
      </c>
      <c r="V281">
        <v>764430000</v>
      </c>
      <c r="W281">
        <v>382960000</v>
      </c>
      <c r="X281">
        <v>581200000</v>
      </c>
    </row>
    <row r="282" spans="1:24">
      <c r="A282">
        <v>1867</v>
      </c>
      <c r="B282" t="s">
        <v>773</v>
      </c>
      <c r="C282">
        <v>2</v>
      </c>
      <c r="D282" t="s">
        <v>774</v>
      </c>
      <c r="E282">
        <v>32</v>
      </c>
      <c r="F282">
        <v>32</v>
      </c>
      <c r="G282">
        <v>32</v>
      </c>
      <c r="H282" t="s">
        <v>775</v>
      </c>
      <c r="I282">
        <v>34.1</v>
      </c>
      <c r="J282">
        <v>124.61</v>
      </c>
      <c r="K282" t="str">
        <f>"HMHA1"</f>
        <v>HMHA1</v>
      </c>
      <c r="L282" t="str">
        <f>"HMHA1"</f>
        <v>HMHA1</v>
      </c>
      <c r="M282">
        <v>204850000</v>
      </c>
      <c r="N282">
        <v>1042900000</v>
      </c>
      <c r="O282">
        <v>721040000</v>
      </c>
      <c r="P282">
        <v>521650000</v>
      </c>
      <c r="Q282">
        <v>332350000</v>
      </c>
      <c r="R282">
        <v>700850000</v>
      </c>
      <c r="S282">
        <v>677040000</v>
      </c>
      <c r="T282">
        <v>508960000</v>
      </c>
      <c r="U282">
        <v>643350000</v>
      </c>
      <c r="V282">
        <v>506510000</v>
      </c>
      <c r="W282">
        <v>447080000</v>
      </c>
      <c r="X282">
        <v>529180000</v>
      </c>
    </row>
    <row r="283" spans="1:24">
      <c r="A283">
        <v>2004</v>
      </c>
      <c r="B283" t="s">
        <v>776</v>
      </c>
      <c r="C283">
        <v>4</v>
      </c>
      <c r="D283" t="s">
        <v>777</v>
      </c>
      <c r="E283">
        <v>20</v>
      </c>
      <c r="F283">
        <v>20</v>
      </c>
      <c r="G283">
        <v>20</v>
      </c>
      <c r="H283" t="s">
        <v>778</v>
      </c>
      <c r="I283">
        <v>39.4</v>
      </c>
      <c r="J283">
        <v>59.366</v>
      </c>
      <c r="K283" t="str">
        <f>"CCT7"</f>
        <v>CCT7</v>
      </c>
      <c r="L283" t="str">
        <f>"CCT7"</f>
        <v>CCT7</v>
      </c>
      <c r="M283">
        <v>418240000</v>
      </c>
      <c r="N283">
        <v>469470000</v>
      </c>
      <c r="O283">
        <v>636890000</v>
      </c>
      <c r="P283">
        <v>580750000</v>
      </c>
      <c r="Q283">
        <v>561900000</v>
      </c>
      <c r="R283" s="8">
        <v>674000000</v>
      </c>
      <c r="S283">
        <v>368470000</v>
      </c>
      <c r="T283">
        <v>420580000</v>
      </c>
      <c r="U283">
        <v>430490000</v>
      </c>
      <c r="V283">
        <v>550700000</v>
      </c>
      <c r="W283">
        <v>497620000</v>
      </c>
      <c r="X283">
        <v>459450000</v>
      </c>
    </row>
    <row r="284" spans="1:24">
      <c r="A284">
        <v>175</v>
      </c>
      <c r="B284" t="s">
        <v>779</v>
      </c>
      <c r="C284">
        <v>1</v>
      </c>
      <c r="D284" t="s">
        <v>780</v>
      </c>
      <c r="E284">
        <v>15</v>
      </c>
      <c r="F284">
        <v>15</v>
      </c>
      <c r="G284">
        <v>15</v>
      </c>
      <c r="H284" t="s">
        <v>779</v>
      </c>
      <c r="I284">
        <v>53.9</v>
      </c>
      <c r="J284">
        <v>38.087000000000003</v>
      </c>
      <c r="K284" t="str">
        <f>"CD5L"</f>
        <v>CD5L</v>
      </c>
      <c r="L284" t="str">
        <f>"CD5L"</f>
        <v>CD5L</v>
      </c>
      <c r="M284">
        <v>2776400000</v>
      </c>
      <c r="N284">
        <v>891400000</v>
      </c>
      <c r="O284">
        <v>575750000</v>
      </c>
      <c r="P284">
        <v>671580000</v>
      </c>
      <c r="Q284">
        <v>1094900000</v>
      </c>
      <c r="R284">
        <v>643440000</v>
      </c>
      <c r="S284">
        <v>561810000</v>
      </c>
      <c r="T284">
        <v>1361100000</v>
      </c>
      <c r="U284">
        <v>200230000</v>
      </c>
      <c r="V284" s="8">
        <v>1195000000</v>
      </c>
      <c r="W284">
        <v>1513500000</v>
      </c>
      <c r="X284">
        <v>75774000</v>
      </c>
    </row>
    <row r="285" spans="1:24">
      <c r="A285">
        <v>1151</v>
      </c>
      <c r="B285" t="s">
        <v>781</v>
      </c>
      <c r="C285">
        <v>2</v>
      </c>
      <c r="D285" t="s">
        <v>782</v>
      </c>
      <c r="E285">
        <v>10</v>
      </c>
      <c r="F285">
        <v>10</v>
      </c>
      <c r="G285">
        <v>10</v>
      </c>
      <c r="H285" t="s">
        <v>783</v>
      </c>
      <c r="I285">
        <v>58.3</v>
      </c>
      <c r="J285">
        <v>23.207000000000001</v>
      </c>
      <c r="K285" t="str">
        <f>"ARHGDIA"</f>
        <v>ARHGDIA</v>
      </c>
      <c r="L285" t="str">
        <f>"ARHGDIA"</f>
        <v>ARHGDIA</v>
      </c>
      <c r="M285">
        <v>1116900000</v>
      </c>
      <c r="N285">
        <v>1421100000</v>
      </c>
      <c r="O285">
        <v>1385900000</v>
      </c>
      <c r="P285" s="8">
        <v>1245000000</v>
      </c>
      <c r="Q285">
        <v>1040700000</v>
      </c>
      <c r="R285" s="8">
        <v>1453000000</v>
      </c>
      <c r="S285">
        <v>1270800000</v>
      </c>
      <c r="T285">
        <v>771210000</v>
      </c>
      <c r="U285">
        <v>1579500000</v>
      </c>
      <c r="V285">
        <v>1128200000</v>
      </c>
      <c r="W285">
        <v>1376300000</v>
      </c>
      <c r="X285">
        <v>1648100000</v>
      </c>
    </row>
    <row r="286" spans="1:24">
      <c r="A286">
        <v>1504</v>
      </c>
      <c r="B286" t="s">
        <v>784</v>
      </c>
      <c r="C286">
        <v>2</v>
      </c>
      <c r="D286" t="s">
        <v>785</v>
      </c>
      <c r="E286">
        <v>26</v>
      </c>
      <c r="F286">
        <v>26</v>
      </c>
      <c r="G286">
        <v>26</v>
      </c>
      <c r="H286" t="s">
        <v>786</v>
      </c>
      <c r="I286">
        <v>47</v>
      </c>
      <c r="J286">
        <v>59.594000000000001</v>
      </c>
      <c r="K286" t="str">
        <f>"PDIA5"</f>
        <v>PDIA5</v>
      </c>
      <c r="L286" t="str">
        <f>"PDIA5"</f>
        <v>PDIA5</v>
      </c>
      <c r="M286">
        <v>1402100000</v>
      </c>
      <c r="N286">
        <v>1560700000</v>
      </c>
      <c r="O286">
        <v>2276300000</v>
      </c>
      <c r="P286">
        <v>320790000</v>
      </c>
      <c r="Q286">
        <v>709030000</v>
      </c>
      <c r="R286">
        <v>1289900000</v>
      </c>
      <c r="S286">
        <v>1997100000</v>
      </c>
      <c r="T286">
        <v>518440000</v>
      </c>
      <c r="U286">
        <v>1317900000</v>
      </c>
      <c r="V286">
        <v>1387200000</v>
      </c>
      <c r="W286">
        <v>401340000</v>
      </c>
      <c r="X286">
        <v>2080500000</v>
      </c>
    </row>
    <row r="287" spans="1:24">
      <c r="A287">
        <v>1712</v>
      </c>
      <c r="B287" t="s">
        <v>787</v>
      </c>
      <c r="C287">
        <v>1</v>
      </c>
      <c r="D287" t="s">
        <v>788</v>
      </c>
      <c r="E287">
        <v>33</v>
      </c>
      <c r="F287">
        <v>33</v>
      </c>
      <c r="G287">
        <v>33</v>
      </c>
      <c r="H287" t="s">
        <v>787</v>
      </c>
      <c r="I287">
        <v>39.700000000000003</v>
      </c>
      <c r="J287">
        <v>102</v>
      </c>
      <c r="K287" t="str">
        <f>"SND1"</f>
        <v>SND1</v>
      </c>
      <c r="L287" t="str">
        <f>"SND1"</f>
        <v>SND1</v>
      </c>
      <c r="M287">
        <v>443550000</v>
      </c>
      <c r="N287">
        <v>638770000</v>
      </c>
      <c r="O287">
        <v>684610000</v>
      </c>
      <c r="P287">
        <v>367180000</v>
      </c>
      <c r="Q287">
        <v>340380000</v>
      </c>
      <c r="R287">
        <v>657990000</v>
      </c>
      <c r="S287">
        <v>691270000</v>
      </c>
      <c r="T287">
        <v>490270000</v>
      </c>
      <c r="U287">
        <v>449340000</v>
      </c>
      <c r="V287">
        <v>302370000</v>
      </c>
      <c r="W287">
        <v>450680000</v>
      </c>
      <c r="X287">
        <v>544550000</v>
      </c>
    </row>
    <row r="288" spans="1:24">
      <c r="A288">
        <v>491</v>
      </c>
      <c r="B288" t="s">
        <v>789</v>
      </c>
      <c r="C288">
        <v>5</v>
      </c>
      <c r="D288" t="s">
        <v>790</v>
      </c>
      <c r="E288">
        <v>24</v>
      </c>
      <c r="F288">
        <v>24</v>
      </c>
      <c r="G288">
        <v>24</v>
      </c>
      <c r="H288" t="s">
        <v>791</v>
      </c>
      <c r="I288">
        <v>32.5</v>
      </c>
      <c r="J288">
        <v>88.414000000000001</v>
      </c>
      <c r="K288" t="str">
        <f>"ITGB1"</f>
        <v>ITGB1</v>
      </c>
      <c r="L288" t="str">
        <f>"ITGB1"</f>
        <v>ITGB1</v>
      </c>
      <c r="M288">
        <v>127120000</v>
      </c>
      <c r="N288">
        <v>758750000</v>
      </c>
      <c r="O288">
        <v>503720000</v>
      </c>
      <c r="P288">
        <v>1967600000</v>
      </c>
      <c r="Q288">
        <v>934230000</v>
      </c>
      <c r="R288">
        <v>2527100000</v>
      </c>
      <c r="S288">
        <v>1163400000</v>
      </c>
      <c r="T288">
        <v>1564600000</v>
      </c>
      <c r="U288">
        <v>2478700000</v>
      </c>
      <c r="V288">
        <v>1834200000</v>
      </c>
      <c r="W288">
        <v>105060000</v>
      </c>
      <c r="X288">
        <v>878600000</v>
      </c>
    </row>
    <row r="289" spans="1:24">
      <c r="A289">
        <v>709</v>
      </c>
      <c r="B289" t="s">
        <v>792</v>
      </c>
      <c r="C289">
        <v>1</v>
      </c>
      <c r="D289" t="s">
        <v>793</v>
      </c>
      <c r="E289">
        <v>27</v>
      </c>
      <c r="F289">
        <v>27</v>
      </c>
      <c r="G289">
        <v>27</v>
      </c>
      <c r="H289" t="s">
        <v>792</v>
      </c>
      <c r="I289">
        <v>44.5</v>
      </c>
      <c r="J289">
        <v>90.832999999999998</v>
      </c>
      <c r="K289" t="str">
        <f>"SELP"</f>
        <v>SELP</v>
      </c>
      <c r="L289" t="str">
        <f>"SELP"</f>
        <v>SELP</v>
      </c>
      <c r="M289">
        <v>0</v>
      </c>
      <c r="N289">
        <v>237200000</v>
      </c>
      <c r="O289">
        <v>292070000</v>
      </c>
      <c r="P289">
        <v>1135600000</v>
      </c>
      <c r="Q289">
        <v>1004800000</v>
      </c>
      <c r="R289">
        <v>1536100000</v>
      </c>
      <c r="S289">
        <v>838800000</v>
      </c>
      <c r="T289">
        <v>783650000</v>
      </c>
      <c r="U289">
        <v>1323100000</v>
      </c>
      <c r="V289">
        <v>1050400000</v>
      </c>
      <c r="W289">
        <v>0</v>
      </c>
      <c r="X289">
        <v>408950000</v>
      </c>
    </row>
    <row r="290" spans="1:24">
      <c r="A290">
        <v>1074</v>
      </c>
      <c r="B290" t="s">
        <v>794</v>
      </c>
      <c r="C290">
        <v>2</v>
      </c>
      <c r="D290" t="s">
        <v>795</v>
      </c>
      <c r="E290">
        <v>25</v>
      </c>
      <c r="F290">
        <v>25</v>
      </c>
      <c r="G290">
        <v>25</v>
      </c>
      <c r="H290" t="s">
        <v>796</v>
      </c>
      <c r="I290">
        <v>42.7</v>
      </c>
      <c r="J290">
        <v>59.67</v>
      </c>
      <c r="K290" t="str">
        <f>"CCT5"</f>
        <v>CCT5</v>
      </c>
      <c r="L290" t="str">
        <f>"CCT5"</f>
        <v>CCT5</v>
      </c>
      <c r="M290">
        <v>524630000</v>
      </c>
      <c r="N290">
        <v>710350000</v>
      </c>
      <c r="O290">
        <v>785440000</v>
      </c>
      <c r="P290">
        <v>568880000</v>
      </c>
      <c r="Q290">
        <v>515710000</v>
      </c>
      <c r="R290">
        <v>617910000</v>
      </c>
      <c r="S290">
        <v>694560000</v>
      </c>
      <c r="T290">
        <v>478680000</v>
      </c>
      <c r="U290">
        <v>873070000</v>
      </c>
      <c r="V290">
        <v>690710000</v>
      </c>
      <c r="W290">
        <v>509160000</v>
      </c>
      <c r="X290">
        <v>730670000</v>
      </c>
    </row>
    <row r="291" spans="1:24">
      <c r="A291">
        <v>791</v>
      </c>
      <c r="B291" t="s">
        <v>797</v>
      </c>
      <c r="C291">
        <v>1</v>
      </c>
      <c r="D291" t="s">
        <v>798</v>
      </c>
      <c r="E291">
        <v>19</v>
      </c>
      <c r="F291">
        <v>19</v>
      </c>
      <c r="G291">
        <v>3</v>
      </c>
      <c r="H291" t="s">
        <v>797</v>
      </c>
      <c r="I291">
        <v>38.9</v>
      </c>
      <c r="J291">
        <v>46.234999999999999</v>
      </c>
      <c r="K291" t="str">
        <f>"PRKACB"</f>
        <v>PRKACB</v>
      </c>
      <c r="L291" t="str">
        <f>"PRKACB"</f>
        <v>PRKACB</v>
      </c>
      <c r="M291">
        <v>478280000</v>
      </c>
      <c r="N291">
        <v>578430000</v>
      </c>
      <c r="O291">
        <v>661050000</v>
      </c>
      <c r="P291">
        <v>467220000</v>
      </c>
      <c r="Q291">
        <v>471340000</v>
      </c>
      <c r="R291">
        <v>797660000</v>
      </c>
      <c r="S291">
        <v>954830000</v>
      </c>
      <c r="T291">
        <v>683360000</v>
      </c>
      <c r="U291">
        <v>736630000</v>
      </c>
      <c r="V291">
        <v>735370000</v>
      </c>
      <c r="W291">
        <v>344730000</v>
      </c>
      <c r="X291">
        <v>624520000</v>
      </c>
    </row>
    <row r="292" spans="1:24">
      <c r="A292">
        <v>1275</v>
      </c>
      <c r="B292" t="s">
        <v>799</v>
      </c>
      <c r="C292">
        <v>2</v>
      </c>
      <c r="D292" t="s">
        <v>800</v>
      </c>
      <c r="E292">
        <v>13</v>
      </c>
      <c r="F292">
        <v>13</v>
      </c>
      <c r="G292">
        <v>7</v>
      </c>
      <c r="H292" t="s">
        <v>801</v>
      </c>
      <c r="I292">
        <v>33.700000000000003</v>
      </c>
      <c r="J292">
        <v>36.296999999999997</v>
      </c>
      <c r="K292" t="str">
        <f>"GNB1"</f>
        <v>GNB1</v>
      </c>
      <c r="L292" t="str">
        <f>"GNB1"</f>
        <v>GNB1</v>
      </c>
      <c r="M292">
        <v>629060000</v>
      </c>
      <c r="N292">
        <v>1006200000</v>
      </c>
      <c r="O292">
        <v>1095900000</v>
      </c>
      <c r="P292">
        <v>707920000</v>
      </c>
      <c r="Q292">
        <v>574840000</v>
      </c>
      <c r="R292">
        <v>768460000</v>
      </c>
      <c r="S292">
        <v>818400000</v>
      </c>
      <c r="T292">
        <v>723930000</v>
      </c>
      <c r="U292">
        <v>793300000</v>
      </c>
      <c r="V292">
        <v>899030000</v>
      </c>
      <c r="W292">
        <v>385150000</v>
      </c>
      <c r="X292">
        <v>723990000</v>
      </c>
    </row>
    <row r="293" spans="1:24">
      <c r="A293">
        <v>1592</v>
      </c>
      <c r="B293" t="s">
        <v>802</v>
      </c>
      <c r="C293">
        <v>3</v>
      </c>
      <c r="D293" t="s">
        <v>803</v>
      </c>
      <c r="E293">
        <v>25</v>
      </c>
      <c r="F293">
        <v>25</v>
      </c>
      <c r="G293">
        <v>25</v>
      </c>
      <c r="H293" t="s">
        <v>804</v>
      </c>
      <c r="I293">
        <v>43.5</v>
      </c>
      <c r="J293">
        <v>71.427999999999997</v>
      </c>
      <c r="K293" t="str">
        <f>"DBN1"</f>
        <v>DBN1</v>
      </c>
      <c r="L293" t="str">
        <f>"DBN1"</f>
        <v>DBN1</v>
      </c>
      <c r="M293">
        <v>378430000</v>
      </c>
      <c r="N293">
        <v>894390000</v>
      </c>
      <c r="O293">
        <v>966460000</v>
      </c>
      <c r="P293">
        <v>932750000</v>
      </c>
      <c r="Q293">
        <v>630240000</v>
      </c>
      <c r="R293">
        <v>784200000</v>
      </c>
      <c r="S293">
        <v>518340000</v>
      </c>
      <c r="T293">
        <v>727310000</v>
      </c>
      <c r="U293" s="8">
        <v>1021000000</v>
      </c>
      <c r="V293">
        <v>794700000</v>
      </c>
      <c r="W293">
        <v>608880000</v>
      </c>
      <c r="X293">
        <v>846430000</v>
      </c>
    </row>
    <row r="294" spans="1:24">
      <c r="A294">
        <v>2171</v>
      </c>
      <c r="B294" t="s">
        <v>805</v>
      </c>
      <c r="C294">
        <v>2</v>
      </c>
      <c r="D294" t="s">
        <v>806</v>
      </c>
      <c r="E294">
        <v>27</v>
      </c>
      <c r="F294">
        <v>27</v>
      </c>
      <c r="G294">
        <v>27</v>
      </c>
      <c r="H294" t="s">
        <v>807</v>
      </c>
      <c r="I294">
        <v>46.5</v>
      </c>
      <c r="J294">
        <v>66.965999999999994</v>
      </c>
      <c r="K294" t="str">
        <f>"SACM1L"</f>
        <v>SACM1L</v>
      </c>
      <c r="L294" t="str">
        <f>"SACM1L"</f>
        <v>SACM1L</v>
      </c>
      <c r="M294">
        <v>556390000</v>
      </c>
      <c r="N294">
        <v>1020800000</v>
      </c>
      <c r="O294">
        <v>885450000</v>
      </c>
      <c r="P294">
        <v>936500000</v>
      </c>
      <c r="Q294">
        <v>624550000</v>
      </c>
      <c r="R294">
        <v>572040000</v>
      </c>
      <c r="S294">
        <v>801260000</v>
      </c>
      <c r="T294">
        <v>747900000</v>
      </c>
      <c r="U294">
        <v>521840000</v>
      </c>
      <c r="V294">
        <v>690330000</v>
      </c>
      <c r="W294">
        <v>472390000</v>
      </c>
      <c r="X294">
        <v>861880000</v>
      </c>
    </row>
    <row r="295" spans="1:24">
      <c r="A295">
        <v>521</v>
      </c>
      <c r="B295" t="s">
        <v>808</v>
      </c>
      <c r="C295">
        <v>2</v>
      </c>
      <c r="D295" t="s">
        <v>809</v>
      </c>
      <c r="E295">
        <v>13</v>
      </c>
      <c r="F295">
        <v>13</v>
      </c>
      <c r="G295">
        <v>13</v>
      </c>
      <c r="H295" t="s">
        <v>810</v>
      </c>
      <c r="I295">
        <v>73.900000000000006</v>
      </c>
      <c r="J295">
        <v>22.088000000000001</v>
      </c>
      <c r="K295" t="str">
        <f>"GPX1"</f>
        <v>GPX1</v>
      </c>
      <c r="L295" t="str">
        <f>"GPX1"</f>
        <v>GPX1</v>
      </c>
      <c r="M295">
        <v>1500900000</v>
      </c>
      <c r="N295">
        <v>1169200000</v>
      </c>
      <c r="O295">
        <v>1129700000</v>
      </c>
      <c r="P295">
        <v>739830000</v>
      </c>
      <c r="Q295">
        <v>816780000</v>
      </c>
      <c r="R295">
        <v>1614700000</v>
      </c>
      <c r="S295" s="8">
        <v>1099000000</v>
      </c>
      <c r="T295">
        <v>1110400000</v>
      </c>
      <c r="U295">
        <v>1686400000</v>
      </c>
      <c r="V295" s="8">
        <v>1791000000</v>
      </c>
      <c r="W295">
        <v>2401800000</v>
      </c>
      <c r="X295">
        <v>1516200000</v>
      </c>
    </row>
    <row r="296" spans="1:24">
      <c r="A296">
        <v>660</v>
      </c>
      <c r="B296" t="s">
        <v>811</v>
      </c>
      <c r="C296">
        <v>2</v>
      </c>
      <c r="D296" t="s">
        <v>812</v>
      </c>
      <c r="E296">
        <v>6</v>
      </c>
      <c r="F296">
        <v>6</v>
      </c>
      <c r="G296">
        <v>6</v>
      </c>
      <c r="H296" t="s">
        <v>813</v>
      </c>
      <c r="I296">
        <v>24.8</v>
      </c>
      <c r="J296">
        <v>21.716999999999999</v>
      </c>
      <c r="K296" t="str">
        <f>"GP1BB"</f>
        <v>GP1BB</v>
      </c>
      <c r="L296" t="str">
        <f>"GP1BB"</f>
        <v>GP1BB</v>
      </c>
      <c r="M296">
        <v>5702500000</v>
      </c>
      <c r="N296">
        <v>4705300000</v>
      </c>
      <c r="O296">
        <v>3934900000</v>
      </c>
      <c r="P296" s="8">
        <v>7886000000</v>
      </c>
      <c r="Q296">
        <v>6141200000</v>
      </c>
      <c r="R296">
        <v>7303800000</v>
      </c>
      <c r="S296">
        <v>4180600000</v>
      </c>
      <c r="T296">
        <v>7987800000</v>
      </c>
      <c r="U296">
        <v>5822500000</v>
      </c>
      <c r="V296">
        <v>8728500000</v>
      </c>
      <c r="W296">
        <v>1569600000</v>
      </c>
      <c r="X296">
        <v>4333900000</v>
      </c>
    </row>
    <row r="297" spans="1:24">
      <c r="A297">
        <v>1256</v>
      </c>
      <c r="B297" t="s">
        <v>814</v>
      </c>
      <c r="C297">
        <v>3</v>
      </c>
      <c r="D297" t="s">
        <v>815</v>
      </c>
      <c r="E297">
        <v>18</v>
      </c>
      <c r="F297">
        <v>18</v>
      </c>
      <c r="G297">
        <v>6</v>
      </c>
      <c r="H297" t="s">
        <v>816</v>
      </c>
      <c r="I297">
        <v>47.9</v>
      </c>
      <c r="J297">
        <v>37.512</v>
      </c>
      <c r="K297" t="str">
        <f>"PPP1CA"</f>
        <v>PPP1CA</v>
      </c>
      <c r="L297" t="str">
        <f>"PPP1CA"</f>
        <v>PPP1CA</v>
      </c>
      <c r="M297">
        <v>427900000</v>
      </c>
      <c r="N297">
        <v>906870000</v>
      </c>
      <c r="O297">
        <v>846570000</v>
      </c>
      <c r="P297">
        <v>440490000</v>
      </c>
      <c r="Q297">
        <v>447630000</v>
      </c>
      <c r="R297">
        <v>681960000</v>
      </c>
      <c r="S297">
        <v>848570000</v>
      </c>
      <c r="T297">
        <v>563920000</v>
      </c>
      <c r="U297">
        <v>822510000</v>
      </c>
      <c r="V297">
        <v>708850000</v>
      </c>
      <c r="W297">
        <v>1077700000</v>
      </c>
      <c r="X297">
        <v>838370000</v>
      </c>
    </row>
    <row r="298" spans="1:24">
      <c r="A298">
        <v>143</v>
      </c>
      <c r="B298" t="s">
        <v>817</v>
      </c>
      <c r="C298">
        <v>2</v>
      </c>
      <c r="D298" t="s">
        <v>818</v>
      </c>
      <c r="E298">
        <v>14</v>
      </c>
      <c r="F298">
        <v>14</v>
      </c>
      <c r="G298">
        <v>14</v>
      </c>
      <c r="H298" t="s">
        <v>819</v>
      </c>
      <c r="I298">
        <v>49.1</v>
      </c>
      <c r="J298">
        <v>47.941000000000003</v>
      </c>
      <c r="K298" t="str">
        <f>"TGFB1I1"</f>
        <v>TGFB1I1</v>
      </c>
      <c r="L298" t="str">
        <f>"TGFB1I1"</f>
        <v>TGFB1I1</v>
      </c>
      <c r="M298" s="8">
        <v>699000000</v>
      </c>
      <c r="N298">
        <v>1142900000</v>
      </c>
      <c r="O298">
        <v>1087100000</v>
      </c>
      <c r="P298">
        <v>565810000</v>
      </c>
      <c r="Q298">
        <v>726280000</v>
      </c>
      <c r="R298">
        <v>797900000</v>
      </c>
      <c r="S298">
        <v>765740000</v>
      </c>
      <c r="T298">
        <v>678040000</v>
      </c>
      <c r="U298">
        <v>1010500000</v>
      </c>
      <c r="V298">
        <v>796450000</v>
      </c>
      <c r="W298">
        <v>871720000</v>
      </c>
      <c r="X298">
        <v>893330000</v>
      </c>
    </row>
    <row r="299" spans="1:24">
      <c r="A299">
        <v>506</v>
      </c>
      <c r="B299" t="s">
        <v>820</v>
      </c>
      <c r="C299">
        <v>3</v>
      </c>
      <c r="D299" t="s">
        <v>821</v>
      </c>
      <c r="E299">
        <v>19</v>
      </c>
      <c r="F299">
        <v>19</v>
      </c>
      <c r="G299">
        <v>19</v>
      </c>
      <c r="H299" t="s">
        <v>822</v>
      </c>
      <c r="I299">
        <v>28.2</v>
      </c>
      <c r="J299">
        <v>83.266999999999996</v>
      </c>
      <c r="K299" t="str">
        <f>"C2"</f>
        <v>C2</v>
      </c>
      <c r="L299" t="str">
        <f>"C2"</f>
        <v>C2</v>
      </c>
      <c r="M299">
        <v>774980000</v>
      </c>
      <c r="N299">
        <v>561880000</v>
      </c>
      <c r="O299">
        <v>500160000</v>
      </c>
      <c r="P299">
        <v>674910000</v>
      </c>
      <c r="Q299">
        <v>839840000</v>
      </c>
      <c r="R299">
        <v>390740000</v>
      </c>
      <c r="S299">
        <v>805900000</v>
      </c>
      <c r="T299">
        <v>660870000</v>
      </c>
      <c r="U299">
        <v>479550000</v>
      </c>
      <c r="V299">
        <v>443600000</v>
      </c>
      <c r="W299">
        <v>646520000</v>
      </c>
      <c r="X299">
        <v>451480000</v>
      </c>
    </row>
    <row r="300" spans="1:24">
      <c r="A300">
        <v>2375</v>
      </c>
      <c r="B300" t="s">
        <v>823</v>
      </c>
      <c r="C300">
        <v>2</v>
      </c>
      <c r="D300" t="s">
        <v>824</v>
      </c>
      <c r="E300">
        <v>14</v>
      </c>
      <c r="F300">
        <v>14</v>
      </c>
      <c r="G300">
        <v>14</v>
      </c>
      <c r="H300" t="s">
        <v>825</v>
      </c>
      <c r="I300">
        <v>45.8</v>
      </c>
      <c r="J300">
        <v>32.582999999999998</v>
      </c>
      <c r="K300" t="str">
        <f>"F11R"</f>
        <v>F11R</v>
      </c>
      <c r="L300" t="str">
        <f>"F11R"</f>
        <v>F11R</v>
      </c>
      <c r="M300">
        <v>700600000</v>
      </c>
      <c r="N300">
        <v>1083700000</v>
      </c>
      <c r="O300" s="8">
        <v>1131000000</v>
      </c>
      <c r="P300">
        <v>1339100000</v>
      </c>
      <c r="Q300">
        <v>1131900000</v>
      </c>
      <c r="R300">
        <v>1196200000</v>
      </c>
      <c r="S300">
        <v>1121500000</v>
      </c>
      <c r="T300">
        <v>910690000</v>
      </c>
      <c r="U300" s="8">
        <v>1047000000</v>
      </c>
      <c r="V300">
        <v>889130000</v>
      </c>
      <c r="W300">
        <v>860590000</v>
      </c>
      <c r="X300">
        <v>892510000</v>
      </c>
    </row>
    <row r="301" spans="1:24">
      <c r="A301">
        <v>1008</v>
      </c>
      <c r="B301" t="s">
        <v>826</v>
      </c>
      <c r="C301">
        <v>2</v>
      </c>
      <c r="D301" t="s">
        <v>827</v>
      </c>
      <c r="E301">
        <v>26</v>
      </c>
      <c r="F301">
        <v>26</v>
      </c>
      <c r="G301">
        <v>26</v>
      </c>
      <c r="H301" t="s">
        <v>828</v>
      </c>
      <c r="I301">
        <v>40.5</v>
      </c>
      <c r="J301">
        <v>82.998999999999995</v>
      </c>
      <c r="K301" t="str">
        <f>"HADHA"</f>
        <v>HADHA</v>
      </c>
      <c r="L301" t="str">
        <f>"HADHA"</f>
        <v>HADHA</v>
      </c>
      <c r="M301">
        <v>358360000</v>
      </c>
      <c r="N301">
        <v>492350000</v>
      </c>
      <c r="O301">
        <v>443140000</v>
      </c>
      <c r="P301">
        <v>283960000</v>
      </c>
      <c r="Q301">
        <v>418720000</v>
      </c>
      <c r="R301">
        <v>462270000</v>
      </c>
      <c r="S301">
        <v>571620000</v>
      </c>
      <c r="T301">
        <v>398720000</v>
      </c>
      <c r="U301">
        <v>542220000</v>
      </c>
      <c r="V301">
        <v>430800000</v>
      </c>
      <c r="W301">
        <v>368030000</v>
      </c>
      <c r="X301">
        <v>485570000</v>
      </c>
    </row>
    <row r="302" spans="1:24">
      <c r="A302">
        <v>1962</v>
      </c>
      <c r="B302" t="s">
        <v>829</v>
      </c>
      <c r="C302">
        <v>3</v>
      </c>
      <c r="D302" t="s">
        <v>830</v>
      </c>
      <c r="E302">
        <v>14</v>
      </c>
      <c r="F302">
        <v>14</v>
      </c>
      <c r="G302">
        <v>14</v>
      </c>
      <c r="H302" t="s">
        <v>831</v>
      </c>
      <c r="I302">
        <v>29</v>
      </c>
      <c r="J302">
        <v>62.216000000000001</v>
      </c>
      <c r="K302" t="str">
        <f>"PGLYRP2"</f>
        <v>PGLYRP2</v>
      </c>
      <c r="L302" t="str">
        <f>"PGLYRP2"</f>
        <v>PGLYRP2</v>
      </c>
      <c r="M302">
        <v>1854800000</v>
      </c>
      <c r="N302">
        <v>669410000</v>
      </c>
      <c r="O302">
        <v>1561100000</v>
      </c>
      <c r="P302">
        <v>1754100000</v>
      </c>
      <c r="Q302">
        <v>2423100000</v>
      </c>
      <c r="R302">
        <v>869800000</v>
      </c>
      <c r="S302">
        <v>698820000</v>
      </c>
      <c r="T302">
        <v>1869300000</v>
      </c>
      <c r="U302">
        <v>445370000</v>
      </c>
      <c r="V302">
        <v>1649500000</v>
      </c>
      <c r="W302">
        <v>1494900000</v>
      </c>
      <c r="X302">
        <v>411100000</v>
      </c>
    </row>
    <row r="303" spans="1:24">
      <c r="A303">
        <v>416</v>
      </c>
      <c r="B303" t="s">
        <v>832</v>
      </c>
      <c r="C303">
        <v>1</v>
      </c>
      <c r="D303" t="s">
        <v>833</v>
      </c>
      <c r="E303">
        <v>9</v>
      </c>
      <c r="F303">
        <v>9</v>
      </c>
      <c r="G303">
        <v>9</v>
      </c>
      <c r="H303" t="s">
        <v>832</v>
      </c>
      <c r="I303">
        <v>32.299999999999997</v>
      </c>
      <c r="J303">
        <v>38.177</v>
      </c>
      <c r="K303" t="str">
        <f>"LRG1"</f>
        <v>LRG1</v>
      </c>
      <c r="L303" t="str">
        <f>"LRG1"</f>
        <v>LRG1</v>
      </c>
      <c r="M303">
        <v>1323100000</v>
      </c>
      <c r="N303">
        <v>532860000</v>
      </c>
      <c r="O303">
        <v>572430000</v>
      </c>
      <c r="P303">
        <v>502510000</v>
      </c>
      <c r="Q303">
        <v>1843400000</v>
      </c>
      <c r="R303">
        <v>840590000</v>
      </c>
      <c r="S303">
        <v>1664700000</v>
      </c>
      <c r="T303" s="8">
        <v>938000000</v>
      </c>
      <c r="U303">
        <v>509170000</v>
      </c>
      <c r="V303">
        <v>567640000</v>
      </c>
      <c r="W303">
        <v>718150000</v>
      </c>
      <c r="X303">
        <v>956520000</v>
      </c>
    </row>
    <row r="304" spans="1:24">
      <c r="A304">
        <v>1474</v>
      </c>
      <c r="B304" t="s">
        <v>834</v>
      </c>
      <c r="C304">
        <v>3</v>
      </c>
      <c r="D304" t="s">
        <v>835</v>
      </c>
      <c r="E304">
        <v>53</v>
      </c>
      <c r="F304">
        <v>53</v>
      </c>
      <c r="G304">
        <v>53</v>
      </c>
      <c r="H304" t="s">
        <v>836</v>
      </c>
      <c r="I304">
        <v>31.4</v>
      </c>
      <c r="J304">
        <v>218.52</v>
      </c>
      <c r="K304" t="str">
        <f>"CKAP5"</f>
        <v>CKAP5</v>
      </c>
      <c r="L304" t="str">
        <f>"CKAP5"</f>
        <v>CKAP5</v>
      </c>
      <c r="M304">
        <v>195790000</v>
      </c>
      <c r="N304">
        <v>490860000</v>
      </c>
      <c r="O304">
        <v>292620000</v>
      </c>
      <c r="P304">
        <v>137530000</v>
      </c>
      <c r="Q304">
        <v>220100000</v>
      </c>
      <c r="R304">
        <v>316640000</v>
      </c>
      <c r="S304">
        <v>427440000</v>
      </c>
      <c r="T304">
        <v>0</v>
      </c>
      <c r="U304">
        <v>405510000</v>
      </c>
      <c r="V304">
        <v>254830000</v>
      </c>
      <c r="W304">
        <v>473800000</v>
      </c>
      <c r="X304">
        <v>412920000</v>
      </c>
    </row>
    <row r="305" spans="1:24">
      <c r="A305">
        <v>873</v>
      </c>
      <c r="B305" t="s">
        <v>837</v>
      </c>
      <c r="C305">
        <v>1</v>
      </c>
      <c r="D305" t="s">
        <v>838</v>
      </c>
      <c r="E305">
        <v>16</v>
      </c>
      <c r="F305">
        <v>16</v>
      </c>
      <c r="G305">
        <v>16</v>
      </c>
      <c r="H305" t="s">
        <v>837</v>
      </c>
      <c r="I305">
        <v>42.4</v>
      </c>
      <c r="J305">
        <v>48.540999999999997</v>
      </c>
      <c r="K305" t="str">
        <f>"SERPINA4"</f>
        <v>SERPINA4</v>
      </c>
      <c r="L305" t="str">
        <f>"SERPINA4"</f>
        <v>SERPINA4</v>
      </c>
      <c r="M305">
        <v>2880700000</v>
      </c>
      <c r="N305">
        <v>1092800000</v>
      </c>
      <c r="O305">
        <v>1282200000</v>
      </c>
      <c r="P305">
        <v>1003800000</v>
      </c>
      <c r="Q305">
        <v>1238300000</v>
      </c>
      <c r="R305">
        <v>634450000</v>
      </c>
      <c r="S305">
        <v>1197200000</v>
      </c>
      <c r="T305">
        <v>1222500000</v>
      </c>
      <c r="U305">
        <v>1205400000</v>
      </c>
      <c r="V305">
        <v>1226900000</v>
      </c>
      <c r="W305">
        <v>1325500000</v>
      </c>
      <c r="X305">
        <v>798330000</v>
      </c>
    </row>
    <row r="306" spans="1:24">
      <c r="A306">
        <v>733</v>
      </c>
      <c r="B306" t="s">
        <v>839</v>
      </c>
      <c r="C306">
        <v>1</v>
      </c>
      <c r="D306" t="s">
        <v>840</v>
      </c>
      <c r="E306">
        <v>22</v>
      </c>
      <c r="F306">
        <v>22</v>
      </c>
      <c r="G306">
        <v>22</v>
      </c>
      <c r="H306" t="s">
        <v>839</v>
      </c>
      <c r="I306">
        <v>46.4</v>
      </c>
      <c r="J306">
        <v>60.343000000000004</v>
      </c>
      <c r="K306" t="str">
        <f>"TCP1"</f>
        <v>TCP1</v>
      </c>
      <c r="L306" t="str">
        <f>"TCP1"</f>
        <v>TCP1</v>
      </c>
      <c r="M306">
        <v>486800000</v>
      </c>
      <c r="N306">
        <v>495720000</v>
      </c>
      <c r="O306">
        <v>480920000</v>
      </c>
      <c r="P306">
        <v>469920000</v>
      </c>
      <c r="Q306">
        <v>391080000</v>
      </c>
      <c r="R306">
        <v>622560000</v>
      </c>
      <c r="S306">
        <v>468870000</v>
      </c>
      <c r="T306">
        <v>444150000</v>
      </c>
      <c r="U306">
        <v>397480000</v>
      </c>
      <c r="V306">
        <v>460640000</v>
      </c>
      <c r="W306">
        <v>513130000</v>
      </c>
      <c r="X306">
        <v>620940000</v>
      </c>
    </row>
    <row r="307" spans="1:24">
      <c r="A307">
        <v>1280</v>
      </c>
      <c r="B307" t="s">
        <v>841</v>
      </c>
      <c r="C307">
        <v>2</v>
      </c>
      <c r="D307" t="s">
        <v>842</v>
      </c>
      <c r="E307">
        <v>18</v>
      </c>
      <c r="F307">
        <v>18</v>
      </c>
      <c r="G307">
        <v>18</v>
      </c>
      <c r="H307" t="s">
        <v>843</v>
      </c>
      <c r="I307">
        <v>67.7</v>
      </c>
      <c r="J307">
        <v>25.206</v>
      </c>
      <c r="K307" t="str">
        <f>"GRB2"</f>
        <v>GRB2</v>
      </c>
      <c r="L307" t="str">
        <f>"GRB2"</f>
        <v>GRB2</v>
      </c>
      <c r="M307">
        <v>508910000</v>
      </c>
      <c r="N307">
        <v>743470000</v>
      </c>
      <c r="O307">
        <v>734360000</v>
      </c>
      <c r="P307">
        <v>417290000</v>
      </c>
      <c r="Q307">
        <v>437980000</v>
      </c>
      <c r="R307">
        <v>1055400000</v>
      </c>
      <c r="S307">
        <v>696480000</v>
      </c>
      <c r="T307">
        <v>554570000</v>
      </c>
      <c r="U307">
        <v>445240000</v>
      </c>
      <c r="V307">
        <v>627950000</v>
      </c>
      <c r="W307">
        <v>952420000</v>
      </c>
      <c r="X307">
        <v>476800000</v>
      </c>
    </row>
    <row r="308" spans="1:24">
      <c r="A308">
        <v>1421</v>
      </c>
      <c r="B308" t="s">
        <v>844</v>
      </c>
      <c r="C308">
        <v>3</v>
      </c>
      <c r="D308" t="s">
        <v>845</v>
      </c>
      <c r="E308">
        <v>34</v>
      </c>
      <c r="F308">
        <v>34</v>
      </c>
      <c r="G308">
        <v>34</v>
      </c>
      <c r="H308" t="s">
        <v>846</v>
      </c>
      <c r="I308">
        <v>29.1</v>
      </c>
      <c r="J308">
        <v>144.75</v>
      </c>
      <c r="K308" t="str">
        <f>"FLII"</f>
        <v>FLII</v>
      </c>
      <c r="L308" t="str">
        <f>"FLII"</f>
        <v>FLII</v>
      </c>
      <c r="M308">
        <v>287210000</v>
      </c>
      <c r="N308">
        <v>597370000</v>
      </c>
      <c r="O308">
        <v>429740000</v>
      </c>
      <c r="P308">
        <v>323730000</v>
      </c>
      <c r="Q308">
        <v>299160000</v>
      </c>
      <c r="R308">
        <v>469080000</v>
      </c>
      <c r="S308">
        <v>571610000</v>
      </c>
      <c r="T308">
        <v>325670000</v>
      </c>
      <c r="U308">
        <v>699410000</v>
      </c>
      <c r="V308">
        <v>367660000</v>
      </c>
      <c r="W308">
        <v>569900000</v>
      </c>
      <c r="X308">
        <v>547490000</v>
      </c>
    </row>
    <row r="309" spans="1:24">
      <c r="A309">
        <v>1302</v>
      </c>
      <c r="B309" t="s">
        <v>847</v>
      </c>
      <c r="C309">
        <v>4</v>
      </c>
      <c r="D309" t="s">
        <v>848</v>
      </c>
      <c r="E309">
        <v>17</v>
      </c>
      <c r="F309">
        <v>17</v>
      </c>
      <c r="G309">
        <v>17</v>
      </c>
      <c r="H309" t="s">
        <v>849</v>
      </c>
      <c r="I309">
        <v>44.2</v>
      </c>
      <c r="J309">
        <v>50.14</v>
      </c>
      <c r="K309" t="str">
        <f>"EEF1A1;EEF1A1P5;EEF1A2"</f>
        <v>EEF1A1;EEF1A1P5;EEF1A2</v>
      </c>
      <c r="L309" t="str">
        <f>"EEF1A1;EEF1A1P5;EEF1A2"</f>
        <v>EEF1A1;EEF1A1P5;EEF1A2</v>
      </c>
      <c r="M309">
        <v>81962000</v>
      </c>
      <c r="N309">
        <v>833240000</v>
      </c>
      <c r="O309">
        <v>1648800000</v>
      </c>
      <c r="P309">
        <v>791200000</v>
      </c>
      <c r="Q309">
        <v>326700000</v>
      </c>
      <c r="R309" s="8">
        <v>1875000000</v>
      </c>
      <c r="S309">
        <v>1509800000</v>
      </c>
      <c r="T309">
        <v>639880000</v>
      </c>
      <c r="U309">
        <v>1791500000</v>
      </c>
      <c r="V309">
        <v>382800000</v>
      </c>
      <c r="W309">
        <v>1297100000</v>
      </c>
      <c r="X309">
        <v>1547200000</v>
      </c>
    </row>
    <row r="310" spans="1:24">
      <c r="A310">
        <v>1528</v>
      </c>
      <c r="B310" t="s">
        <v>850</v>
      </c>
      <c r="C310">
        <v>3</v>
      </c>
      <c r="D310" t="s">
        <v>851</v>
      </c>
      <c r="E310">
        <v>14</v>
      </c>
      <c r="F310">
        <v>14</v>
      </c>
      <c r="G310">
        <v>14</v>
      </c>
      <c r="H310" t="s">
        <v>852</v>
      </c>
      <c r="I310">
        <v>55.7</v>
      </c>
      <c r="J310">
        <v>41.487000000000002</v>
      </c>
      <c r="K310" t="str">
        <f>"SEPT2"</f>
        <v>SEPT2</v>
      </c>
      <c r="L310" t="str">
        <f>"SEPT2"</f>
        <v>SEPT2</v>
      </c>
      <c r="M310">
        <v>707410000</v>
      </c>
      <c r="N310">
        <v>511370000</v>
      </c>
      <c r="O310">
        <v>942900000</v>
      </c>
      <c r="P310">
        <v>596360000</v>
      </c>
      <c r="Q310">
        <v>518950000</v>
      </c>
      <c r="R310">
        <v>752600000</v>
      </c>
      <c r="S310">
        <v>967830000</v>
      </c>
      <c r="T310">
        <v>650880000</v>
      </c>
      <c r="U310">
        <v>714120000</v>
      </c>
      <c r="V310">
        <v>707200000</v>
      </c>
      <c r="W310">
        <v>823360000</v>
      </c>
      <c r="X310">
        <v>882770000</v>
      </c>
    </row>
    <row r="311" spans="1:24">
      <c r="A311">
        <v>720</v>
      </c>
      <c r="B311" t="s">
        <v>853</v>
      </c>
      <c r="C311">
        <v>4</v>
      </c>
      <c r="D311" t="s">
        <v>854</v>
      </c>
      <c r="E311">
        <v>15</v>
      </c>
      <c r="F311">
        <v>15</v>
      </c>
      <c r="G311">
        <v>15</v>
      </c>
      <c r="H311" t="s">
        <v>855</v>
      </c>
      <c r="I311">
        <v>30.7</v>
      </c>
      <c r="J311">
        <v>53.052999999999997</v>
      </c>
      <c r="K311" t="str">
        <f>"CD36"</f>
        <v>CD36</v>
      </c>
      <c r="L311" t="str">
        <f>"CD36"</f>
        <v>CD36</v>
      </c>
      <c r="M311">
        <v>242660000</v>
      </c>
      <c r="N311">
        <v>863050000</v>
      </c>
      <c r="O311">
        <v>693380000</v>
      </c>
      <c r="P311">
        <v>1611900000</v>
      </c>
      <c r="Q311">
        <v>1320500000</v>
      </c>
      <c r="R311">
        <v>1688900000</v>
      </c>
      <c r="S311">
        <v>2355500000</v>
      </c>
      <c r="T311" s="8">
        <v>1298000000</v>
      </c>
      <c r="U311">
        <v>2020400000</v>
      </c>
      <c r="V311">
        <v>2265800000</v>
      </c>
      <c r="W311">
        <v>0</v>
      </c>
      <c r="X311">
        <v>1882100000</v>
      </c>
    </row>
    <row r="312" spans="1:24">
      <c r="A312">
        <v>1108</v>
      </c>
      <c r="B312" t="s">
        <v>856</v>
      </c>
      <c r="C312">
        <v>2</v>
      </c>
      <c r="D312" t="s">
        <v>857</v>
      </c>
      <c r="E312">
        <v>18</v>
      </c>
      <c r="F312">
        <v>18</v>
      </c>
      <c r="G312">
        <v>15</v>
      </c>
      <c r="H312" t="s">
        <v>858</v>
      </c>
      <c r="I312">
        <v>52.6</v>
      </c>
      <c r="J312">
        <v>42.142000000000003</v>
      </c>
      <c r="K312" t="str">
        <f>"GNAQ;GNA11"</f>
        <v>GNAQ;GNA11</v>
      </c>
      <c r="L312" t="str">
        <f>"GNAQ;GNA11"</f>
        <v>GNAQ;GNA11</v>
      </c>
      <c r="M312">
        <v>592120000</v>
      </c>
      <c r="N312">
        <v>802260000</v>
      </c>
      <c r="O312">
        <v>898190000</v>
      </c>
      <c r="P312">
        <v>642050000</v>
      </c>
      <c r="Q312">
        <v>654840000</v>
      </c>
      <c r="R312">
        <v>670450000</v>
      </c>
      <c r="S312">
        <v>726860000</v>
      </c>
      <c r="T312">
        <v>733220000</v>
      </c>
      <c r="U312">
        <v>678960000</v>
      </c>
      <c r="V312">
        <v>618410000</v>
      </c>
      <c r="W312">
        <v>888230000</v>
      </c>
      <c r="X312">
        <v>1130900000</v>
      </c>
    </row>
    <row r="313" spans="1:24">
      <c r="A313">
        <v>618</v>
      </c>
      <c r="B313" t="s">
        <v>859</v>
      </c>
      <c r="C313">
        <v>2</v>
      </c>
      <c r="D313" t="s">
        <v>860</v>
      </c>
      <c r="E313">
        <v>21</v>
      </c>
      <c r="F313">
        <v>21</v>
      </c>
      <c r="G313">
        <v>16</v>
      </c>
      <c r="H313" t="s">
        <v>861</v>
      </c>
      <c r="I313">
        <v>54.1</v>
      </c>
      <c r="J313">
        <v>42.981000000000002</v>
      </c>
      <c r="K313" t="str">
        <f>"PRKAR1A"</f>
        <v>PRKAR1A</v>
      </c>
      <c r="L313" t="str">
        <f>"PRKAR1A"</f>
        <v>PRKAR1A</v>
      </c>
      <c r="M313">
        <v>646630000</v>
      </c>
      <c r="N313">
        <v>914920000</v>
      </c>
      <c r="O313">
        <v>957560000</v>
      </c>
      <c r="P313">
        <v>581440000</v>
      </c>
      <c r="Q313">
        <v>632900000</v>
      </c>
      <c r="R313">
        <v>889500000</v>
      </c>
      <c r="S313">
        <v>598610000</v>
      </c>
      <c r="T313">
        <v>678610000</v>
      </c>
      <c r="U313">
        <v>933560000</v>
      </c>
      <c r="V313">
        <v>749860000</v>
      </c>
      <c r="W313">
        <v>709480000</v>
      </c>
      <c r="X313">
        <v>1208500000</v>
      </c>
    </row>
    <row r="314" spans="1:24">
      <c r="A314">
        <v>727</v>
      </c>
      <c r="B314" t="s">
        <v>862</v>
      </c>
      <c r="C314">
        <v>1</v>
      </c>
      <c r="D314" t="s">
        <v>863</v>
      </c>
      <c r="E314">
        <v>25</v>
      </c>
      <c r="F314">
        <v>25</v>
      </c>
      <c r="G314">
        <v>25</v>
      </c>
      <c r="H314" t="s">
        <v>862</v>
      </c>
      <c r="I314">
        <v>30</v>
      </c>
      <c r="J314">
        <v>129.29</v>
      </c>
      <c r="K314" t="str">
        <f>"ITGA2"</f>
        <v>ITGA2</v>
      </c>
      <c r="L314" t="str">
        <f>"ITGA2"</f>
        <v>ITGA2</v>
      </c>
      <c r="M314">
        <v>181480000</v>
      </c>
      <c r="N314">
        <v>344830000</v>
      </c>
      <c r="O314">
        <v>277980000</v>
      </c>
      <c r="P314">
        <v>443050000</v>
      </c>
      <c r="Q314">
        <v>196570000</v>
      </c>
      <c r="R314">
        <v>335710000</v>
      </c>
      <c r="S314">
        <v>304100000</v>
      </c>
      <c r="T314">
        <v>278460000</v>
      </c>
      <c r="U314">
        <v>470770000</v>
      </c>
      <c r="V314">
        <v>362590000</v>
      </c>
      <c r="W314">
        <v>560890000</v>
      </c>
      <c r="X314">
        <v>619670000</v>
      </c>
    </row>
    <row r="315" spans="1:24">
      <c r="A315">
        <v>356</v>
      </c>
      <c r="B315" t="s">
        <v>864</v>
      </c>
      <c r="C315">
        <v>1</v>
      </c>
      <c r="D315" t="s">
        <v>865</v>
      </c>
      <c r="E315">
        <v>7</v>
      </c>
      <c r="F315">
        <v>7</v>
      </c>
      <c r="G315">
        <v>2</v>
      </c>
      <c r="H315" t="s">
        <v>864</v>
      </c>
      <c r="I315">
        <v>53.5</v>
      </c>
      <c r="J315">
        <v>12.64</v>
      </c>
      <c r="K315" t="s">
        <v>866</v>
      </c>
      <c r="L315" t="s">
        <v>866</v>
      </c>
      <c r="M315">
        <v>2742400000</v>
      </c>
      <c r="N315">
        <v>1352300000</v>
      </c>
      <c r="O315">
        <v>1716900000</v>
      </c>
      <c r="P315">
        <v>1052700000</v>
      </c>
      <c r="Q315">
        <v>1976600000</v>
      </c>
      <c r="R315">
        <v>595510000</v>
      </c>
      <c r="S315">
        <v>881110000</v>
      </c>
      <c r="T315">
        <v>2941400000</v>
      </c>
      <c r="U315">
        <v>599480000</v>
      </c>
      <c r="V315" s="8">
        <v>1283000000</v>
      </c>
      <c r="W315">
        <v>1998400000</v>
      </c>
      <c r="X315">
        <v>882710000</v>
      </c>
    </row>
    <row r="316" spans="1:24">
      <c r="A316">
        <v>1690</v>
      </c>
      <c r="B316" t="s">
        <v>867</v>
      </c>
      <c r="C316">
        <v>11</v>
      </c>
      <c r="D316" t="s">
        <v>868</v>
      </c>
      <c r="E316">
        <v>18</v>
      </c>
      <c r="F316">
        <v>4</v>
      </c>
      <c r="G316">
        <v>1</v>
      </c>
      <c r="H316" t="s">
        <v>869</v>
      </c>
      <c r="I316">
        <v>14.8</v>
      </c>
      <c r="J316">
        <v>121.36</v>
      </c>
      <c r="K316" t="str">
        <f>"POTEE;POTEF;POTEI;POTEA;POTEG;POTEM;POTEH"</f>
        <v>POTEE;POTEF;POTEI;POTEA;POTEG;POTEM;POTEH</v>
      </c>
      <c r="L316" t="str">
        <f>"POTEE;POTEF;POTEI;POTEA;POTEG;POTEM;POTEH"</f>
        <v>POTEE;POTEF;POTEI;POTEA;POTEG;POTEM;POTEH</v>
      </c>
      <c r="M316">
        <v>917220000</v>
      </c>
      <c r="N316">
        <v>2311400000</v>
      </c>
      <c r="O316">
        <v>1506800000</v>
      </c>
      <c r="P316">
        <v>2658500000</v>
      </c>
      <c r="Q316">
        <v>2791500000</v>
      </c>
      <c r="R316" s="8">
        <v>3299000000</v>
      </c>
      <c r="S316">
        <v>3578900000</v>
      </c>
      <c r="T316" s="8">
        <v>2145000000</v>
      </c>
      <c r="U316">
        <v>7068400000</v>
      </c>
      <c r="V316">
        <v>2510400000</v>
      </c>
      <c r="W316">
        <v>1440100000</v>
      </c>
      <c r="X316">
        <v>1587300000</v>
      </c>
    </row>
    <row r="317" spans="1:24">
      <c r="A317">
        <v>466</v>
      </c>
      <c r="B317" t="s">
        <v>870</v>
      </c>
      <c r="C317">
        <v>2</v>
      </c>
      <c r="D317" t="s">
        <v>871</v>
      </c>
      <c r="E317">
        <v>10</v>
      </c>
      <c r="F317">
        <v>10</v>
      </c>
      <c r="G317">
        <v>10</v>
      </c>
      <c r="H317" t="s">
        <v>872</v>
      </c>
      <c r="I317">
        <v>55.6</v>
      </c>
      <c r="J317">
        <v>28.315000000000001</v>
      </c>
      <c r="K317" t="str">
        <f>"CAPNS1;CAPNS2"</f>
        <v>CAPNS1;CAPNS2</v>
      </c>
      <c r="L317" t="str">
        <f>"CAPNS1;CAPNS2"</f>
        <v>CAPNS1;CAPNS2</v>
      </c>
      <c r="M317">
        <v>629090000</v>
      </c>
      <c r="N317">
        <v>495150000</v>
      </c>
      <c r="O317">
        <v>808430000</v>
      </c>
      <c r="P317">
        <v>821630000</v>
      </c>
      <c r="Q317">
        <v>417120000</v>
      </c>
      <c r="R317">
        <v>1026600000</v>
      </c>
      <c r="S317">
        <v>333700000</v>
      </c>
      <c r="T317">
        <v>637360000</v>
      </c>
      <c r="U317">
        <v>574080000</v>
      </c>
      <c r="V317">
        <v>799190000</v>
      </c>
      <c r="W317">
        <v>333660000</v>
      </c>
      <c r="X317">
        <v>668920000</v>
      </c>
    </row>
    <row r="318" spans="1:24">
      <c r="A318">
        <v>1393</v>
      </c>
      <c r="B318" t="s">
        <v>873</v>
      </c>
      <c r="C318">
        <v>4</v>
      </c>
      <c r="D318" t="s">
        <v>874</v>
      </c>
      <c r="E318">
        <v>16</v>
      </c>
      <c r="F318">
        <v>16</v>
      </c>
      <c r="G318">
        <v>16</v>
      </c>
      <c r="H318" t="s">
        <v>875</v>
      </c>
      <c r="I318">
        <v>44.4</v>
      </c>
      <c r="J318">
        <v>45.514000000000003</v>
      </c>
      <c r="K318" t="str">
        <f>"DMTN"</f>
        <v>DMTN</v>
      </c>
      <c r="L318" t="str">
        <f>"DMTN"</f>
        <v>DMTN</v>
      </c>
      <c r="M318">
        <v>304060000</v>
      </c>
      <c r="N318">
        <v>610660000</v>
      </c>
      <c r="O318">
        <v>700960000</v>
      </c>
      <c r="P318">
        <v>694260000</v>
      </c>
      <c r="Q318">
        <v>304190000</v>
      </c>
      <c r="R318">
        <v>605540000</v>
      </c>
      <c r="S318">
        <v>300290000</v>
      </c>
      <c r="T318">
        <v>372900000</v>
      </c>
      <c r="U318">
        <v>350690000</v>
      </c>
      <c r="V318">
        <v>537960000</v>
      </c>
      <c r="W318">
        <v>381030000</v>
      </c>
      <c r="X318">
        <v>417310000</v>
      </c>
    </row>
    <row r="319" spans="1:24">
      <c r="A319">
        <v>1699</v>
      </c>
      <c r="B319" t="s">
        <v>876</v>
      </c>
      <c r="C319">
        <v>3</v>
      </c>
      <c r="D319" t="s">
        <v>877</v>
      </c>
      <c r="E319">
        <v>47</v>
      </c>
      <c r="F319">
        <v>47</v>
      </c>
      <c r="G319">
        <v>47</v>
      </c>
      <c r="H319" t="s">
        <v>878</v>
      </c>
      <c r="I319">
        <v>23.9</v>
      </c>
      <c r="J319">
        <v>299.33999999999997</v>
      </c>
      <c r="K319" t="str">
        <f>"NBEAL2"</f>
        <v>NBEAL2</v>
      </c>
      <c r="L319" t="str">
        <f>"NBEAL2"</f>
        <v>NBEAL2</v>
      </c>
      <c r="M319">
        <v>223480000</v>
      </c>
      <c r="N319">
        <v>312830000</v>
      </c>
      <c r="O319">
        <v>429730000</v>
      </c>
      <c r="P319">
        <v>368040000</v>
      </c>
      <c r="Q319">
        <v>0</v>
      </c>
      <c r="R319">
        <v>476030000</v>
      </c>
      <c r="S319">
        <v>269480000</v>
      </c>
      <c r="T319">
        <v>93978000</v>
      </c>
      <c r="U319">
        <v>312020000</v>
      </c>
      <c r="V319">
        <v>284300000</v>
      </c>
      <c r="W319">
        <v>356030000</v>
      </c>
      <c r="X319">
        <v>295500000</v>
      </c>
    </row>
    <row r="320" spans="1:24">
      <c r="A320">
        <v>528</v>
      </c>
      <c r="B320" t="s">
        <v>879</v>
      </c>
      <c r="C320">
        <v>1</v>
      </c>
      <c r="D320" t="s">
        <v>880</v>
      </c>
      <c r="E320">
        <v>19</v>
      </c>
      <c r="F320">
        <v>19</v>
      </c>
      <c r="G320">
        <v>19</v>
      </c>
      <c r="H320" t="s">
        <v>879</v>
      </c>
      <c r="I320">
        <v>34.299999999999997</v>
      </c>
      <c r="J320">
        <v>67.046000000000006</v>
      </c>
      <c r="K320" t="str">
        <f>"C8B"</f>
        <v>C8B</v>
      </c>
      <c r="L320" t="str">
        <f>"C8B"</f>
        <v>C8B</v>
      </c>
      <c r="M320">
        <v>1547500000</v>
      </c>
      <c r="N320">
        <v>762190000</v>
      </c>
      <c r="O320">
        <v>786260000</v>
      </c>
      <c r="P320">
        <v>970130000</v>
      </c>
      <c r="Q320">
        <v>1313800000</v>
      </c>
      <c r="R320">
        <v>557260000</v>
      </c>
      <c r="S320">
        <v>911510000</v>
      </c>
      <c r="T320">
        <v>920080000</v>
      </c>
      <c r="U320">
        <v>281550000</v>
      </c>
      <c r="V320">
        <v>861630000</v>
      </c>
      <c r="W320">
        <v>965530000</v>
      </c>
      <c r="X320">
        <v>259500000</v>
      </c>
    </row>
    <row r="321" spans="1:24">
      <c r="A321">
        <v>890</v>
      </c>
      <c r="B321" t="s">
        <v>881</v>
      </c>
      <c r="C321">
        <v>6</v>
      </c>
      <c r="D321" t="s">
        <v>882</v>
      </c>
      <c r="E321">
        <v>25</v>
      </c>
      <c r="F321">
        <v>25</v>
      </c>
      <c r="G321">
        <v>25</v>
      </c>
      <c r="H321" t="s">
        <v>883</v>
      </c>
      <c r="I321">
        <v>47.7</v>
      </c>
      <c r="J321">
        <v>65.308000000000007</v>
      </c>
      <c r="K321" t="str">
        <f>"PPP2R1A;PPP2R1B"</f>
        <v>PPP2R1A;PPP2R1B</v>
      </c>
      <c r="L321" t="str">
        <f>"PPP2R1A;PPP2R1B"</f>
        <v>PPP2R1A;PPP2R1B</v>
      </c>
      <c r="M321">
        <v>590520000</v>
      </c>
      <c r="N321">
        <v>639690000</v>
      </c>
      <c r="O321">
        <v>858050000</v>
      </c>
      <c r="P321">
        <v>854230000</v>
      </c>
      <c r="Q321">
        <v>548900000</v>
      </c>
      <c r="R321">
        <v>737560000</v>
      </c>
      <c r="S321">
        <v>937320000</v>
      </c>
      <c r="T321">
        <v>591170000</v>
      </c>
      <c r="U321">
        <v>610630000</v>
      </c>
      <c r="V321">
        <v>637660000</v>
      </c>
      <c r="W321">
        <v>963100000</v>
      </c>
      <c r="X321">
        <v>807970000</v>
      </c>
    </row>
    <row r="322" spans="1:24">
      <c r="A322">
        <v>1166</v>
      </c>
      <c r="B322" t="s">
        <v>884</v>
      </c>
      <c r="C322">
        <v>2</v>
      </c>
      <c r="D322" t="s">
        <v>885</v>
      </c>
      <c r="E322">
        <v>44</v>
      </c>
      <c r="F322">
        <v>44</v>
      </c>
      <c r="G322">
        <v>44</v>
      </c>
      <c r="H322" t="s">
        <v>886</v>
      </c>
      <c r="I322">
        <v>44.2</v>
      </c>
      <c r="J322">
        <v>138.34</v>
      </c>
      <c r="K322" t="str">
        <f>"COPA"</f>
        <v>COPA</v>
      </c>
      <c r="L322" t="str">
        <f>"COPA"</f>
        <v>COPA</v>
      </c>
      <c r="M322">
        <v>260670000</v>
      </c>
      <c r="N322">
        <v>510240000</v>
      </c>
      <c r="O322">
        <v>526390000</v>
      </c>
      <c r="P322">
        <v>262090000</v>
      </c>
      <c r="Q322">
        <v>89106000</v>
      </c>
      <c r="R322">
        <v>387050000</v>
      </c>
      <c r="S322">
        <v>568970000</v>
      </c>
      <c r="T322">
        <v>283440000</v>
      </c>
      <c r="U322">
        <v>662470000</v>
      </c>
      <c r="V322">
        <v>310520000</v>
      </c>
      <c r="W322">
        <v>534060000</v>
      </c>
      <c r="X322">
        <v>646410000</v>
      </c>
    </row>
    <row r="323" spans="1:24">
      <c r="A323">
        <v>378</v>
      </c>
      <c r="B323" t="s">
        <v>887</v>
      </c>
      <c r="C323">
        <v>2</v>
      </c>
      <c r="D323" t="s">
        <v>888</v>
      </c>
      <c r="E323">
        <v>5</v>
      </c>
      <c r="F323">
        <v>5</v>
      </c>
      <c r="G323">
        <v>4</v>
      </c>
      <c r="H323" t="s">
        <v>889</v>
      </c>
      <c r="I323">
        <v>42.2</v>
      </c>
      <c r="J323">
        <v>11.771000000000001</v>
      </c>
      <c r="K323" t="s">
        <v>890</v>
      </c>
      <c r="L323" t="s">
        <v>890</v>
      </c>
      <c r="M323">
        <v>1437500000</v>
      </c>
      <c r="N323">
        <v>1170900000</v>
      </c>
      <c r="O323">
        <v>1029400000</v>
      </c>
      <c r="P323">
        <v>1639400000</v>
      </c>
      <c r="Q323">
        <v>2155500000</v>
      </c>
      <c r="R323">
        <v>868990000</v>
      </c>
      <c r="S323">
        <v>737160000</v>
      </c>
      <c r="T323">
        <v>1708900000</v>
      </c>
      <c r="U323">
        <v>656200000</v>
      </c>
      <c r="V323">
        <v>900780000</v>
      </c>
      <c r="W323">
        <v>1415300000</v>
      </c>
      <c r="X323">
        <v>831300000</v>
      </c>
    </row>
    <row r="324" spans="1:24">
      <c r="A324">
        <v>412</v>
      </c>
      <c r="B324" t="s">
        <v>891</v>
      </c>
      <c r="C324">
        <v>1</v>
      </c>
      <c r="D324" t="s">
        <v>892</v>
      </c>
      <c r="E324">
        <v>8</v>
      </c>
      <c r="F324">
        <v>8</v>
      </c>
      <c r="G324">
        <v>8</v>
      </c>
      <c r="H324" t="s">
        <v>891</v>
      </c>
      <c r="I324">
        <v>28.5</v>
      </c>
      <c r="J324">
        <v>26.721</v>
      </c>
      <c r="K324" t="str">
        <f>"C1QB"</f>
        <v>C1QB</v>
      </c>
      <c r="L324" t="str">
        <f>"C1QB"</f>
        <v>C1QB</v>
      </c>
      <c r="M324">
        <v>1177600000</v>
      </c>
      <c r="N324">
        <v>724190000</v>
      </c>
      <c r="O324">
        <v>872500000</v>
      </c>
      <c r="P324">
        <v>799550000</v>
      </c>
      <c r="Q324">
        <v>1199900000</v>
      </c>
      <c r="R324">
        <v>674610000</v>
      </c>
      <c r="S324">
        <v>430490000</v>
      </c>
      <c r="T324">
        <v>1234300000</v>
      </c>
      <c r="U324">
        <v>480440000</v>
      </c>
      <c r="V324">
        <v>902160000</v>
      </c>
      <c r="W324">
        <v>969870000</v>
      </c>
      <c r="X324">
        <v>385850000</v>
      </c>
    </row>
    <row r="325" spans="1:24">
      <c r="A325">
        <v>1037</v>
      </c>
      <c r="B325" t="s">
        <v>893</v>
      </c>
      <c r="C325">
        <v>6</v>
      </c>
      <c r="D325" t="s">
        <v>894</v>
      </c>
      <c r="E325">
        <v>25</v>
      </c>
      <c r="F325">
        <v>25</v>
      </c>
      <c r="G325">
        <v>25</v>
      </c>
      <c r="H325" t="s">
        <v>895</v>
      </c>
      <c r="I325">
        <v>55.9</v>
      </c>
      <c r="J325">
        <v>72.064999999999998</v>
      </c>
      <c r="K325" t="str">
        <f>"SYK;ZAP70;ANKK1"</f>
        <v>SYK;ZAP70;ANKK1</v>
      </c>
      <c r="L325" t="str">
        <f>"SYK;ZAP70;ANKK1"</f>
        <v>SYK;ZAP70;ANKK1</v>
      </c>
      <c r="M325">
        <v>737040000</v>
      </c>
      <c r="N325">
        <v>1100100000</v>
      </c>
      <c r="O325">
        <v>959570000</v>
      </c>
      <c r="P325">
        <v>694160000</v>
      </c>
      <c r="Q325">
        <v>221570000</v>
      </c>
      <c r="R325">
        <v>851930000</v>
      </c>
      <c r="S325" s="8">
        <v>1080000000</v>
      </c>
      <c r="T325">
        <v>720360000</v>
      </c>
      <c r="U325">
        <v>1148300000</v>
      </c>
      <c r="V325">
        <v>1133900000</v>
      </c>
      <c r="W325">
        <v>1138100000</v>
      </c>
      <c r="X325">
        <v>985400000</v>
      </c>
    </row>
    <row r="326" spans="1:24">
      <c r="A326">
        <v>316</v>
      </c>
      <c r="B326" t="s">
        <v>896</v>
      </c>
      <c r="C326">
        <v>1</v>
      </c>
      <c r="D326" t="s">
        <v>897</v>
      </c>
      <c r="E326">
        <v>14</v>
      </c>
      <c r="F326">
        <v>14</v>
      </c>
      <c r="G326">
        <v>14</v>
      </c>
      <c r="H326" t="s">
        <v>896</v>
      </c>
      <c r="I326">
        <v>73.900000000000006</v>
      </c>
      <c r="J326">
        <v>28.87</v>
      </c>
      <c r="K326" t="str">
        <f>"CA1"</f>
        <v>CA1</v>
      </c>
      <c r="L326" t="str">
        <f>"CA1"</f>
        <v>CA1</v>
      </c>
      <c r="M326">
        <v>257220000</v>
      </c>
      <c r="N326">
        <v>396190000</v>
      </c>
      <c r="O326">
        <v>690570000</v>
      </c>
      <c r="P326">
        <v>2071600000</v>
      </c>
      <c r="Q326">
        <v>635500000</v>
      </c>
      <c r="R326" s="8">
        <v>1758000000</v>
      </c>
      <c r="S326">
        <v>1217500000</v>
      </c>
      <c r="T326">
        <v>410200000</v>
      </c>
      <c r="U326">
        <v>587760000</v>
      </c>
      <c r="V326">
        <v>294560000</v>
      </c>
      <c r="W326">
        <v>423860000</v>
      </c>
      <c r="X326">
        <v>0</v>
      </c>
    </row>
    <row r="327" spans="1:24">
      <c r="A327">
        <v>1198</v>
      </c>
      <c r="B327" t="s">
        <v>898</v>
      </c>
      <c r="C327">
        <v>5</v>
      </c>
      <c r="D327" t="s">
        <v>899</v>
      </c>
      <c r="E327">
        <v>31</v>
      </c>
      <c r="F327">
        <v>31</v>
      </c>
      <c r="G327">
        <v>31</v>
      </c>
      <c r="H327" t="s">
        <v>900</v>
      </c>
      <c r="I327">
        <v>40.799999999999997</v>
      </c>
      <c r="J327">
        <v>103.28</v>
      </c>
      <c r="K327" t="str">
        <f>"NPEPPS;NPEPPSL1"</f>
        <v>NPEPPS;NPEPPSL1</v>
      </c>
      <c r="L327" t="str">
        <f>"NPEPPS;NPEPPSL1"</f>
        <v>NPEPPS;NPEPPSL1</v>
      </c>
      <c r="M327">
        <v>1025200000</v>
      </c>
      <c r="N327">
        <v>935630000</v>
      </c>
      <c r="O327">
        <v>1008400000</v>
      </c>
      <c r="P327">
        <v>1181400000</v>
      </c>
      <c r="Q327">
        <v>1306800000</v>
      </c>
      <c r="R327">
        <v>842620000</v>
      </c>
      <c r="S327">
        <v>1206400000</v>
      </c>
      <c r="T327">
        <v>1435600000</v>
      </c>
      <c r="U327">
        <v>966230000</v>
      </c>
      <c r="V327">
        <v>1137300000</v>
      </c>
      <c r="W327">
        <v>1275100000</v>
      </c>
      <c r="X327">
        <v>1379500000</v>
      </c>
    </row>
    <row r="328" spans="1:24">
      <c r="A328">
        <v>892</v>
      </c>
      <c r="B328" t="s">
        <v>901</v>
      </c>
      <c r="C328">
        <v>6</v>
      </c>
      <c r="D328" t="s">
        <v>902</v>
      </c>
      <c r="E328">
        <v>12</v>
      </c>
      <c r="F328">
        <v>12</v>
      </c>
      <c r="G328">
        <v>11</v>
      </c>
      <c r="H328" t="s">
        <v>903</v>
      </c>
      <c r="I328">
        <v>64.7</v>
      </c>
      <c r="J328">
        <v>22.04</v>
      </c>
      <c r="K328" t="str">
        <f>"PPIF;PPIE;RANBP2"</f>
        <v>PPIF;PPIE;RANBP2</v>
      </c>
      <c r="L328" t="str">
        <f>"PPIF;PPIE;RANBP2"</f>
        <v>PPIF;PPIE;RANBP2</v>
      </c>
      <c r="M328">
        <v>742790000</v>
      </c>
      <c r="N328">
        <v>699550000</v>
      </c>
      <c r="O328">
        <v>811390000</v>
      </c>
      <c r="P328">
        <v>393870000</v>
      </c>
      <c r="Q328">
        <v>572330000</v>
      </c>
      <c r="R328">
        <v>799010000</v>
      </c>
      <c r="S328">
        <v>832990000</v>
      </c>
      <c r="T328">
        <v>760870000</v>
      </c>
      <c r="U328">
        <v>983440000</v>
      </c>
      <c r="V328">
        <v>799430000</v>
      </c>
      <c r="W328">
        <v>770250000</v>
      </c>
      <c r="X328">
        <v>753890000</v>
      </c>
    </row>
    <row r="329" spans="1:24">
      <c r="A329">
        <v>1225</v>
      </c>
      <c r="B329" t="s">
        <v>904</v>
      </c>
      <c r="C329">
        <v>3</v>
      </c>
      <c r="D329" t="s">
        <v>905</v>
      </c>
      <c r="E329">
        <v>12</v>
      </c>
      <c r="F329">
        <v>11</v>
      </c>
      <c r="G329">
        <v>8</v>
      </c>
      <c r="H329" t="s">
        <v>906</v>
      </c>
      <c r="I329">
        <v>54.1</v>
      </c>
      <c r="J329">
        <v>23.667999999999999</v>
      </c>
      <c r="K329" t="str">
        <f>"RAB8A;RAB3B"</f>
        <v>RAB8A;RAB3B</v>
      </c>
      <c r="L329" t="str">
        <f>"RAB8A;RAB3B"</f>
        <v>RAB8A;RAB3B</v>
      </c>
      <c r="M329">
        <v>400370000</v>
      </c>
      <c r="N329">
        <v>272140000</v>
      </c>
      <c r="O329">
        <v>382200000</v>
      </c>
      <c r="P329">
        <v>421140000</v>
      </c>
      <c r="Q329">
        <v>305130000</v>
      </c>
      <c r="R329">
        <v>551500000</v>
      </c>
      <c r="S329">
        <v>1753500000</v>
      </c>
      <c r="T329">
        <v>388840000</v>
      </c>
      <c r="U329">
        <v>794810000</v>
      </c>
      <c r="V329">
        <v>381030000</v>
      </c>
      <c r="W329">
        <v>1131600000</v>
      </c>
      <c r="X329">
        <v>706720000</v>
      </c>
    </row>
    <row r="330" spans="1:24">
      <c r="A330">
        <v>1258</v>
      </c>
      <c r="B330" t="s">
        <v>907</v>
      </c>
      <c r="C330">
        <v>3</v>
      </c>
      <c r="D330" t="s">
        <v>908</v>
      </c>
      <c r="E330">
        <v>9</v>
      </c>
      <c r="F330">
        <v>9</v>
      </c>
      <c r="G330">
        <v>9</v>
      </c>
      <c r="H330" t="s">
        <v>909</v>
      </c>
      <c r="I330">
        <v>46.3</v>
      </c>
      <c r="J330">
        <v>16.837</v>
      </c>
      <c r="K330" t="str">
        <f>"CALM1;CALML3;TNNC2"</f>
        <v>CALM1;CALML3;TNNC2</v>
      </c>
      <c r="L330" t="str">
        <f>"CALM1;CALML3;TNNC2"</f>
        <v>CALM1;CALML3;TNNC2</v>
      </c>
      <c r="M330">
        <v>278290000</v>
      </c>
      <c r="N330">
        <v>693950000</v>
      </c>
      <c r="O330">
        <v>879940000</v>
      </c>
      <c r="P330">
        <v>1148800000</v>
      </c>
      <c r="Q330">
        <v>957780000</v>
      </c>
      <c r="R330">
        <v>1033800000</v>
      </c>
      <c r="S330">
        <v>1174700000</v>
      </c>
      <c r="T330">
        <v>803680000</v>
      </c>
      <c r="U330">
        <v>996280000</v>
      </c>
      <c r="V330">
        <v>767170000</v>
      </c>
      <c r="W330">
        <v>1413300000</v>
      </c>
      <c r="X330">
        <v>1816600000</v>
      </c>
    </row>
    <row r="331" spans="1:24">
      <c r="A331">
        <v>1123</v>
      </c>
      <c r="B331" t="s">
        <v>910</v>
      </c>
      <c r="C331">
        <v>2</v>
      </c>
      <c r="D331" t="s">
        <v>911</v>
      </c>
      <c r="E331">
        <v>24</v>
      </c>
      <c r="F331">
        <v>24</v>
      </c>
      <c r="G331">
        <v>24</v>
      </c>
      <c r="H331" t="s">
        <v>912</v>
      </c>
      <c r="I331">
        <v>46.2</v>
      </c>
      <c r="J331">
        <v>57.923999999999999</v>
      </c>
      <c r="K331" t="str">
        <f>"CCT4"</f>
        <v>CCT4</v>
      </c>
      <c r="L331" t="str">
        <f>"CCT4"</f>
        <v>CCT4</v>
      </c>
      <c r="M331">
        <v>561660000</v>
      </c>
      <c r="N331">
        <v>645680000</v>
      </c>
      <c r="O331">
        <v>623130000</v>
      </c>
      <c r="P331">
        <v>832870000</v>
      </c>
      <c r="Q331">
        <v>499530000</v>
      </c>
      <c r="R331">
        <v>1065300000</v>
      </c>
      <c r="S331">
        <v>891910000</v>
      </c>
      <c r="T331">
        <v>518240000</v>
      </c>
      <c r="U331">
        <v>718740000</v>
      </c>
      <c r="V331">
        <v>716400000</v>
      </c>
      <c r="W331">
        <v>606700000</v>
      </c>
      <c r="X331">
        <v>741290000</v>
      </c>
    </row>
    <row r="332" spans="1:24">
      <c r="A332">
        <v>1404</v>
      </c>
      <c r="B332" t="s">
        <v>913</v>
      </c>
      <c r="C332">
        <v>2</v>
      </c>
      <c r="D332" t="s">
        <v>914</v>
      </c>
      <c r="E332">
        <v>29</v>
      </c>
      <c r="F332">
        <v>29</v>
      </c>
      <c r="G332">
        <v>1</v>
      </c>
      <c r="H332" t="s">
        <v>915</v>
      </c>
      <c r="I332">
        <v>32.1</v>
      </c>
      <c r="J332">
        <v>103.92</v>
      </c>
      <c r="K332" t="str">
        <f>"AP1B1"</f>
        <v>AP1B1</v>
      </c>
      <c r="L332" t="str">
        <f>"AP1B1"</f>
        <v>AP1B1</v>
      </c>
      <c r="M332">
        <v>489180000</v>
      </c>
      <c r="N332">
        <v>418790000</v>
      </c>
      <c r="O332" s="8">
        <v>521000000</v>
      </c>
      <c r="P332">
        <v>266280000</v>
      </c>
      <c r="Q332">
        <v>109620000</v>
      </c>
      <c r="R332">
        <v>346050000</v>
      </c>
      <c r="S332">
        <v>316890000</v>
      </c>
      <c r="T332">
        <v>171190000</v>
      </c>
      <c r="U332">
        <v>442440000</v>
      </c>
      <c r="V332">
        <v>403290000</v>
      </c>
      <c r="W332">
        <v>372970000</v>
      </c>
      <c r="X332">
        <v>564870000</v>
      </c>
    </row>
    <row r="333" spans="1:24">
      <c r="A333">
        <v>1954</v>
      </c>
      <c r="B333" t="s">
        <v>916</v>
      </c>
      <c r="C333">
        <v>2</v>
      </c>
      <c r="D333" t="s">
        <v>917</v>
      </c>
      <c r="E333">
        <v>20</v>
      </c>
      <c r="F333">
        <v>20</v>
      </c>
      <c r="G333">
        <v>20</v>
      </c>
      <c r="H333" t="s">
        <v>918</v>
      </c>
      <c r="I333">
        <v>56</v>
      </c>
      <c r="J333">
        <v>52.878</v>
      </c>
      <c r="K333" t="str">
        <f>"CNDP2"</f>
        <v>CNDP2</v>
      </c>
      <c r="L333" t="str">
        <f>"CNDP2"</f>
        <v>CNDP2</v>
      </c>
      <c r="M333">
        <v>293630000</v>
      </c>
      <c r="N333">
        <v>391370000</v>
      </c>
      <c r="O333">
        <v>465590000</v>
      </c>
      <c r="P333">
        <v>232620000</v>
      </c>
      <c r="Q333">
        <v>267930000</v>
      </c>
      <c r="R333">
        <v>439100000</v>
      </c>
      <c r="S333">
        <v>446930000</v>
      </c>
      <c r="T333">
        <v>435980000</v>
      </c>
      <c r="U333">
        <v>408550000</v>
      </c>
      <c r="V333">
        <v>360840000</v>
      </c>
      <c r="W333">
        <v>161970000</v>
      </c>
      <c r="X333">
        <v>421730000</v>
      </c>
    </row>
    <row r="334" spans="1:24">
      <c r="A334">
        <v>2200</v>
      </c>
      <c r="B334" t="s">
        <v>919</v>
      </c>
      <c r="C334">
        <v>3</v>
      </c>
      <c r="D334" t="s">
        <v>920</v>
      </c>
      <c r="E334">
        <v>30</v>
      </c>
      <c r="F334">
        <v>30</v>
      </c>
      <c r="G334">
        <v>30</v>
      </c>
      <c r="H334" t="s">
        <v>921</v>
      </c>
      <c r="I334">
        <v>24</v>
      </c>
      <c r="J334">
        <v>174.97</v>
      </c>
      <c r="K334" t="str">
        <f>"UGGT1;UGGT2"</f>
        <v>UGGT1;UGGT2</v>
      </c>
      <c r="L334" t="str">
        <f>"UGGT1;UGGT2"</f>
        <v>UGGT1;UGGT2</v>
      </c>
      <c r="M334">
        <v>128070000</v>
      </c>
      <c r="N334">
        <v>678580000</v>
      </c>
      <c r="O334">
        <v>782500000</v>
      </c>
      <c r="P334">
        <v>361720000</v>
      </c>
      <c r="Q334">
        <v>253680000</v>
      </c>
      <c r="R334">
        <v>400560000</v>
      </c>
      <c r="S334">
        <v>516060000</v>
      </c>
      <c r="T334">
        <v>299830000</v>
      </c>
      <c r="U334">
        <v>576930000</v>
      </c>
      <c r="V334">
        <v>509920000</v>
      </c>
      <c r="W334">
        <v>423740000</v>
      </c>
      <c r="X334">
        <v>499150000</v>
      </c>
    </row>
    <row r="335" spans="1:24">
      <c r="A335">
        <v>2311</v>
      </c>
      <c r="B335" t="s">
        <v>922</v>
      </c>
      <c r="C335">
        <v>4</v>
      </c>
      <c r="D335" t="s">
        <v>923</v>
      </c>
      <c r="E335">
        <v>19</v>
      </c>
      <c r="F335">
        <v>19</v>
      </c>
      <c r="G335">
        <v>19</v>
      </c>
      <c r="H335" t="s">
        <v>924</v>
      </c>
      <c r="I335">
        <v>40.200000000000003</v>
      </c>
      <c r="J335">
        <v>54.732999999999997</v>
      </c>
      <c r="K335" t="str">
        <f>"HPSE"</f>
        <v>HPSE</v>
      </c>
      <c r="L335" t="str">
        <f>"HPSE"</f>
        <v>HPSE</v>
      </c>
      <c r="M335">
        <v>586050000</v>
      </c>
      <c r="N335">
        <v>813170000</v>
      </c>
      <c r="O335">
        <v>421650000</v>
      </c>
      <c r="P335">
        <v>795510000</v>
      </c>
      <c r="Q335">
        <v>458600000</v>
      </c>
      <c r="R335">
        <v>1068700000</v>
      </c>
      <c r="S335">
        <v>988530000</v>
      </c>
      <c r="T335">
        <v>527420000</v>
      </c>
      <c r="U335">
        <v>1452100000</v>
      </c>
      <c r="V335">
        <v>683140000</v>
      </c>
      <c r="W335">
        <v>532610000</v>
      </c>
      <c r="X335">
        <v>1040700000</v>
      </c>
    </row>
    <row r="336" spans="1:24">
      <c r="A336">
        <v>1567</v>
      </c>
      <c r="B336" t="s">
        <v>925</v>
      </c>
      <c r="C336">
        <v>1</v>
      </c>
      <c r="D336" t="s">
        <v>926</v>
      </c>
      <c r="E336">
        <v>17</v>
      </c>
      <c r="F336">
        <v>16</v>
      </c>
      <c r="G336">
        <v>15</v>
      </c>
      <c r="H336" t="s">
        <v>925</v>
      </c>
      <c r="I336">
        <v>64.599999999999994</v>
      </c>
      <c r="J336">
        <v>29.998999999999999</v>
      </c>
      <c r="K336" t="str">
        <f>"MAPRE1"</f>
        <v>MAPRE1</v>
      </c>
      <c r="L336" t="str">
        <f>"MAPRE1"</f>
        <v>MAPRE1</v>
      </c>
      <c r="M336">
        <v>554580000</v>
      </c>
      <c r="N336">
        <v>685890000</v>
      </c>
      <c r="O336">
        <v>869400000</v>
      </c>
      <c r="P336">
        <v>785010000</v>
      </c>
      <c r="Q336">
        <v>590620000</v>
      </c>
      <c r="R336">
        <v>786460000</v>
      </c>
      <c r="S336">
        <v>645370000</v>
      </c>
      <c r="T336">
        <v>586950000</v>
      </c>
      <c r="U336">
        <v>733740000</v>
      </c>
      <c r="V336">
        <v>696850000</v>
      </c>
      <c r="W336">
        <v>701810000</v>
      </c>
      <c r="X336">
        <v>771120000</v>
      </c>
    </row>
    <row r="337" spans="1:24">
      <c r="A337">
        <v>366</v>
      </c>
      <c r="B337" t="s">
        <v>927</v>
      </c>
      <c r="C337">
        <v>1</v>
      </c>
      <c r="D337" t="s">
        <v>928</v>
      </c>
      <c r="E337">
        <v>5</v>
      </c>
      <c r="F337">
        <v>4</v>
      </c>
      <c r="G337">
        <v>2</v>
      </c>
      <c r="H337" t="s">
        <v>927</v>
      </c>
      <c r="I337">
        <v>28.2</v>
      </c>
      <c r="J337">
        <v>12.582000000000001</v>
      </c>
      <c r="K337" t="str">
        <f>"IGHV3-23"</f>
        <v>IGHV3-23</v>
      </c>
      <c r="L337" t="str">
        <f>"IGHV3-23"</f>
        <v>IGHV3-23</v>
      </c>
      <c r="M337">
        <v>3847700000</v>
      </c>
      <c r="N337">
        <v>1566700000</v>
      </c>
      <c r="O337">
        <v>2212400000</v>
      </c>
      <c r="P337" s="8">
        <v>2050000000</v>
      </c>
      <c r="Q337">
        <v>2930800000</v>
      </c>
      <c r="R337">
        <v>997680000</v>
      </c>
      <c r="S337">
        <v>1155800000</v>
      </c>
      <c r="T337" s="8">
        <v>1947000000</v>
      </c>
      <c r="U337">
        <v>666190000</v>
      </c>
      <c r="V337">
        <v>909030000</v>
      </c>
      <c r="W337">
        <v>1153500000</v>
      </c>
      <c r="X337">
        <v>917770000</v>
      </c>
    </row>
    <row r="338" spans="1:24">
      <c r="A338">
        <v>1214</v>
      </c>
      <c r="B338" t="s">
        <v>929</v>
      </c>
      <c r="C338">
        <v>4</v>
      </c>
      <c r="D338" t="s">
        <v>930</v>
      </c>
      <c r="E338">
        <v>10</v>
      </c>
      <c r="F338">
        <v>10</v>
      </c>
      <c r="G338">
        <v>10</v>
      </c>
      <c r="H338" t="s">
        <v>931</v>
      </c>
      <c r="I338">
        <v>64.900000000000006</v>
      </c>
      <c r="J338">
        <v>19.667000000000002</v>
      </c>
      <c r="K338" t="str">
        <f>"ARPC4"</f>
        <v>ARPC4</v>
      </c>
      <c r="L338" t="str">
        <f>"ARPC4"</f>
        <v>ARPC4</v>
      </c>
      <c r="M338">
        <v>1952200000</v>
      </c>
      <c r="N338">
        <v>1033800000</v>
      </c>
      <c r="O338">
        <v>1450200000</v>
      </c>
      <c r="P338">
        <v>1767400000</v>
      </c>
      <c r="Q338">
        <v>1377800000</v>
      </c>
      <c r="R338">
        <v>1690900000</v>
      </c>
      <c r="S338">
        <v>2145600000</v>
      </c>
      <c r="T338">
        <v>1998100000</v>
      </c>
      <c r="U338">
        <v>2590200000</v>
      </c>
      <c r="V338">
        <v>1914800000</v>
      </c>
      <c r="W338">
        <v>1636200000</v>
      </c>
      <c r="X338">
        <v>2485100000</v>
      </c>
    </row>
    <row r="339" spans="1:24">
      <c r="A339">
        <v>2077</v>
      </c>
      <c r="B339" t="s">
        <v>932</v>
      </c>
      <c r="C339">
        <v>2</v>
      </c>
      <c r="D339" t="s">
        <v>933</v>
      </c>
      <c r="E339">
        <v>14</v>
      </c>
      <c r="F339">
        <v>14</v>
      </c>
      <c r="G339">
        <v>7</v>
      </c>
      <c r="H339" t="s">
        <v>934</v>
      </c>
      <c r="I339">
        <v>71.599999999999994</v>
      </c>
      <c r="J339">
        <v>22.170999999999999</v>
      </c>
      <c r="K339" t="str">
        <f>"RAB1B;RAB1C"</f>
        <v>RAB1B;RAB1C</v>
      </c>
      <c r="L339" t="str">
        <f>"RAB1B;RAB1C"</f>
        <v>RAB1B;RAB1C</v>
      </c>
      <c r="M339">
        <v>1652400000</v>
      </c>
      <c r="N339">
        <v>1580500000</v>
      </c>
      <c r="O339">
        <v>1522500000</v>
      </c>
      <c r="P339">
        <v>1443300000</v>
      </c>
      <c r="Q339">
        <v>1416300000</v>
      </c>
      <c r="R339">
        <v>2263300000</v>
      </c>
      <c r="S339">
        <v>1975900000</v>
      </c>
      <c r="T339">
        <v>1440600000</v>
      </c>
      <c r="U339" s="8">
        <v>1663000000</v>
      </c>
      <c r="V339">
        <v>1986400000</v>
      </c>
      <c r="W339">
        <v>1481100000</v>
      </c>
      <c r="X339">
        <v>2409300000</v>
      </c>
    </row>
    <row r="340" spans="1:24">
      <c r="A340">
        <v>222</v>
      </c>
      <c r="B340" t="s">
        <v>935</v>
      </c>
      <c r="C340">
        <v>1</v>
      </c>
      <c r="D340" t="s">
        <v>936</v>
      </c>
      <c r="E340">
        <v>16</v>
      </c>
      <c r="F340">
        <v>16</v>
      </c>
      <c r="G340">
        <v>16</v>
      </c>
      <c r="H340" t="s">
        <v>935</v>
      </c>
      <c r="I340">
        <v>36.799999999999997</v>
      </c>
      <c r="J340">
        <v>41.216000000000001</v>
      </c>
      <c r="K340" t="str">
        <f>"SKAP2"</f>
        <v>SKAP2</v>
      </c>
      <c r="L340" t="str">
        <f>"SKAP2"</f>
        <v>SKAP2</v>
      </c>
      <c r="M340">
        <v>557790000</v>
      </c>
      <c r="N340">
        <v>850290000</v>
      </c>
      <c r="O340">
        <v>841270000</v>
      </c>
      <c r="P340">
        <v>610800000</v>
      </c>
      <c r="Q340">
        <v>480050000</v>
      </c>
      <c r="R340">
        <v>566100000</v>
      </c>
      <c r="S340">
        <v>741580000</v>
      </c>
      <c r="T340">
        <v>324710000</v>
      </c>
      <c r="U340">
        <v>738660000</v>
      </c>
      <c r="V340">
        <v>492090000</v>
      </c>
      <c r="W340">
        <v>686920000</v>
      </c>
      <c r="X340">
        <v>717940000</v>
      </c>
    </row>
    <row r="341" spans="1:24">
      <c r="A341">
        <v>2382</v>
      </c>
      <c r="B341" t="s">
        <v>937</v>
      </c>
      <c r="C341">
        <v>5</v>
      </c>
      <c r="D341" t="s">
        <v>938</v>
      </c>
      <c r="E341">
        <v>18</v>
      </c>
      <c r="F341">
        <v>18</v>
      </c>
      <c r="G341">
        <v>10</v>
      </c>
      <c r="H341" t="s">
        <v>939</v>
      </c>
      <c r="I341">
        <v>44.5</v>
      </c>
      <c r="J341">
        <v>47.912999999999997</v>
      </c>
      <c r="K341" t="str">
        <f>"STK24;STK25"</f>
        <v>STK24;STK25</v>
      </c>
      <c r="L341" t="str">
        <f>"STK24;STK25"</f>
        <v>STK24;STK25</v>
      </c>
      <c r="M341">
        <v>441350000</v>
      </c>
      <c r="N341">
        <v>733640000</v>
      </c>
      <c r="O341">
        <v>710860000</v>
      </c>
      <c r="P341">
        <v>542150000</v>
      </c>
      <c r="Q341">
        <v>546350000</v>
      </c>
      <c r="R341">
        <v>702780000</v>
      </c>
      <c r="S341">
        <v>584750000</v>
      </c>
      <c r="T341">
        <v>531660000</v>
      </c>
      <c r="U341">
        <v>609970000</v>
      </c>
      <c r="V341">
        <v>620740000</v>
      </c>
      <c r="W341">
        <v>567090000</v>
      </c>
      <c r="X341">
        <v>735490000</v>
      </c>
    </row>
    <row r="342" spans="1:24">
      <c r="A342">
        <v>1002</v>
      </c>
      <c r="B342" t="s">
        <v>940</v>
      </c>
      <c r="C342">
        <v>2</v>
      </c>
      <c r="D342" t="s">
        <v>941</v>
      </c>
      <c r="E342">
        <v>23</v>
      </c>
      <c r="F342">
        <v>23</v>
      </c>
      <c r="G342">
        <v>18</v>
      </c>
      <c r="H342" t="s">
        <v>942</v>
      </c>
      <c r="I342">
        <v>41.8</v>
      </c>
      <c r="J342">
        <v>58.024000000000001</v>
      </c>
      <c r="K342" t="str">
        <f>"CCT6A"</f>
        <v>CCT6A</v>
      </c>
      <c r="L342" t="str">
        <f>"CCT6A"</f>
        <v>CCT6A</v>
      </c>
      <c r="M342">
        <v>367630000</v>
      </c>
      <c r="N342">
        <v>614920000</v>
      </c>
      <c r="O342">
        <v>602520000</v>
      </c>
      <c r="P342">
        <v>638780000</v>
      </c>
      <c r="Q342">
        <v>609570000</v>
      </c>
      <c r="R342">
        <v>529630000</v>
      </c>
      <c r="S342">
        <v>721940000</v>
      </c>
      <c r="T342">
        <v>316080000</v>
      </c>
      <c r="U342">
        <v>624260000</v>
      </c>
      <c r="V342">
        <v>525090000</v>
      </c>
      <c r="W342">
        <v>669880000</v>
      </c>
      <c r="X342">
        <v>724770000</v>
      </c>
    </row>
    <row r="343" spans="1:24">
      <c r="A343">
        <v>1255</v>
      </c>
      <c r="B343" t="s">
        <v>943</v>
      </c>
      <c r="C343">
        <v>1</v>
      </c>
      <c r="D343" t="s">
        <v>944</v>
      </c>
      <c r="E343">
        <v>17</v>
      </c>
      <c r="F343">
        <v>12</v>
      </c>
      <c r="G343">
        <v>10</v>
      </c>
      <c r="H343" t="s">
        <v>943</v>
      </c>
      <c r="I343">
        <v>59.1</v>
      </c>
      <c r="J343">
        <v>28.302</v>
      </c>
      <c r="K343" t="str">
        <f>"YWHAG"</f>
        <v>YWHAG</v>
      </c>
      <c r="L343" t="str">
        <f>"YWHAG"</f>
        <v>YWHAG</v>
      </c>
      <c r="M343">
        <v>298370000</v>
      </c>
      <c r="N343" s="8">
        <v>451000000</v>
      </c>
      <c r="O343">
        <v>439490000</v>
      </c>
      <c r="P343">
        <v>521460000</v>
      </c>
      <c r="Q343">
        <v>287430000</v>
      </c>
      <c r="R343">
        <v>512230000</v>
      </c>
      <c r="S343">
        <v>255250000</v>
      </c>
      <c r="T343">
        <v>335540000</v>
      </c>
      <c r="U343">
        <v>250050000</v>
      </c>
      <c r="V343">
        <v>471350000</v>
      </c>
      <c r="W343">
        <v>297050000</v>
      </c>
      <c r="X343">
        <v>256420000</v>
      </c>
    </row>
    <row r="344" spans="1:24">
      <c r="A344">
        <v>776</v>
      </c>
      <c r="B344" t="s">
        <v>945</v>
      </c>
      <c r="C344">
        <v>1</v>
      </c>
      <c r="D344" t="s">
        <v>946</v>
      </c>
      <c r="E344">
        <v>15</v>
      </c>
      <c r="F344">
        <v>15</v>
      </c>
      <c r="G344">
        <v>15</v>
      </c>
      <c r="H344" t="s">
        <v>945</v>
      </c>
      <c r="I344">
        <v>60.1</v>
      </c>
      <c r="J344">
        <v>30.771999999999998</v>
      </c>
      <c r="K344" t="str">
        <f>"VDAC1"</f>
        <v>VDAC1</v>
      </c>
      <c r="L344" t="str">
        <f>"VDAC1"</f>
        <v>VDAC1</v>
      </c>
      <c r="M344">
        <v>476450000</v>
      </c>
      <c r="N344">
        <v>987860000</v>
      </c>
      <c r="O344" s="8">
        <v>1078000000</v>
      </c>
      <c r="P344">
        <v>498850000</v>
      </c>
      <c r="Q344">
        <v>373520000</v>
      </c>
      <c r="R344">
        <v>508790000</v>
      </c>
      <c r="S344">
        <v>833110000</v>
      </c>
      <c r="T344">
        <v>474720000</v>
      </c>
      <c r="U344">
        <v>800870000</v>
      </c>
      <c r="V344">
        <v>489620000</v>
      </c>
      <c r="W344">
        <v>697560000</v>
      </c>
      <c r="X344">
        <v>925150000</v>
      </c>
    </row>
    <row r="345" spans="1:24">
      <c r="A345">
        <v>1379</v>
      </c>
      <c r="B345" t="s">
        <v>947</v>
      </c>
      <c r="C345">
        <v>18</v>
      </c>
      <c r="D345" t="s">
        <v>948</v>
      </c>
      <c r="E345">
        <v>30</v>
      </c>
      <c r="F345">
        <v>30</v>
      </c>
      <c r="G345">
        <v>29</v>
      </c>
      <c r="H345" t="s">
        <v>949</v>
      </c>
      <c r="I345">
        <v>51.4</v>
      </c>
      <c r="J345">
        <v>76.28</v>
      </c>
      <c r="K345" t="str">
        <f>"BTK;EPHA6;EPHB1;EPHA5;EPHA2;EPHA3;EPHB4;EPHA7;EPHB3;EPHA8"</f>
        <v>BTK;EPHA6;EPHB1;EPHA5;EPHA2;EPHA3;EPHB4;EPHA7;EPHB3;EPHA8</v>
      </c>
      <c r="L345" t="str">
        <f>"BTK;EPHA6;EPHB1;EPHA5;EPHA2;EPHA3;EPHB4;EPHA7;EPHB3;EPHA8"</f>
        <v>BTK;EPHA6;EPHB1;EPHA5;EPHA2;EPHA3;EPHB4;EPHA7;EPHB3;EPHA8</v>
      </c>
      <c r="M345">
        <v>289150000</v>
      </c>
      <c r="N345">
        <v>456010000</v>
      </c>
      <c r="O345">
        <v>555050000</v>
      </c>
      <c r="P345">
        <v>401220000</v>
      </c>
      <c r="Q345">
        <v>180660000</v>
      </c>
      <c r="R345">
        <v>345630000</v>
      </c>
      <c r="S345">
        <v>365950000</v>
      </c>
      <c r="T345">
        <v>281240000</v>
      </c>
      <c r="U345">
        <v>501910000</v>
      </c>
      <c r="V345">
        <v>399840000</v>
      </c>
      <c r="W345">
        <v>292750000</v>
      </c>
      <c r="X345">
        <v>461450000</v>
      </c>
    </row>
    <row r="346" spans="1:24">
      <c r="A346">
        <v>216</v>
      </c>
      <c r="B346" t="s">
        <v>950</v>
      </c>
      <c r="C346">
        <v>1</v>
      </c>
      <c r="D346" t="s">
        <v>951</v>
      </c>
      <c r="E346">
        <v>15</v>
      </c>
      <c r="F346">
        <v>15</v>
      </c>
      <c r="G346">
        <v>15</v>
      </c>
      <c r="H346" t="s">
        <v>950</v>
      </c>
      <c r="I346">
        <v>26.2</v>
      </c>
      <c r="J346">
        <v>51.712000000000003</v>
      </c>
      <c r="K346" t="str">
        <f>"CS"</f>
        <v>CS</v>
      </c>
      <c r="L346" t="str">
        <f>"CS"</f>
        <v>CS</v>
      </c>
      <c r="M346">
        <v>608550000</v>
      </c>
      <c r="N346">
        <v>478770000</v>
      </c>
      <c r="O346">
        <v>612960000</v>
      </c>
      <c r="P346">
        <v>616130000</v>
      </c>
      <c r="Q346">
        <v>578810000</v>
      </c>
      <c r="R346">
        <v>882230000</v>
      </c>
      <c r="S346">
        <v>473550000</v>
      </c>
      <c r="T346">
        <v>554450000</v>
      </c>
      <c r="U346">
        <v>760440000</v>
      </c>
      <c r="V346">
        <v>812430000</v>
      </c>
      <c r="W346">
        <v>627300000</v>
      </c>
      <c r="X346">
        <v>624300000</v>
      </c>
    </row>
    <row r="347" spans="1:24">
      <c r="A347">
        <v>2000</v>
      </c>
      <c r="B347" t="s">
        <v>952</v>
      </c>
      <c r="C347">
        <v>1</v>
      </c>
      <c r="D347" t="s">
        <v>953</v>
      </c>
      <c r="E347">
        <v>29</v>
      </c>
      <c r="F347">
        <v>29</v>
      </c>
      <c r="G347">
        <v>29</v>
      </c>
      <c r="H347" t="s">
        <v>952</v>
      </c>
      <c r="I347">
        <v>44.9</v>
      </c>
      <c r="J347">
        <v>85.424000000000007</v>
      </c>
      <c r="K347" t="str">
        <f>"ACO2"</f>
        <v>ACO2</v>
      </c>
      <c r="L347" t="str">
        <f>"ACO2"</f>
        <v>ACO2</v>
      </c>
      <c r="M347">
        <v>90087000</v>
      </c>
      <c r="N347">
        <v>523950000</v>
      </c>
      <c r="O347">
        <v>716910000</v>
      </c>
      <c r="P347">
        <v>532540000</v>
      </c>
      <c r="Q347">
        <v>332210000</v>
      </c>
      <c r="R347">
        <v>563400000</v>
      </c>
      <c r="S347">
        <v>292950000</v>
      </c>
      <c r="T347">
        <v>358880000</v>
      </c>
      <c r="U347">
        <v>488550000</v>
      </c>
      <c r="V347" s="8">
        <v>490000000</v>
      </c>
      <c r="W347">
        <v>499640000</v>
      </c>
      <c r="X347">
        <v>735950000</v>
      </c>
    </row>
    <row r="348" spans="1:24">
      <c r="A348">
        <v>845</v>
      </c>
      <c r="B348" t="s">
        <v>954</v>
      </c>
      <c r="C348">
        <v>4</v>
      </c>
      <c r="D348" t="s">
        <v>955</v>
      </c>
      <c r="E348">
        <v>26</v>
      </c>
      <c r="F348">
        <v>26</v>
      </c>
      <c r="G348">
        <v>26</v>
      </c>
      <c r="H348" t="s">
        <v>956</v>
      </c>
      <c r="I348">
        <v>52.5</v>
      </c>
      <c r="J348">
        <v>58.762</v>
      </c>
      <c r="K348" t="str">
        <f>"MAOB;MAOA"</f>
        <v>MAOB;MAOA</v>
      </c>
      <c r="L348" t="str">
        <f>"MAOB;MAOA"</f>
        <v>MAOB;MAOA</v>
      </c>
      <c r="M348">
        <v>479730000</v>
      </c>
      <c r="N348">
        <v>467570000</v>
      </c>
      <c r="O348">
        <v>554990000</v>
      </c>
      <c r="P348">
        <v>351830000</v>
      </c>
      <c r="Q348">
        <v>335700000</v>
      </c>
      <c r="R348">
        <v>394540000</v>
      </c>
      <c r="S348">
        <v>736420000</v>
      </c>
      <c r="T348">
        <v>586630000</v>
      </c>
      <c r="U348">
        <v>453690000</v>
      </c>
      <c r="V348">
        <v>217880000</v>
      </c>
      <c r="W348">
        <v>440290000</v>
      </c>
      <c r="X348">
        <v>483400000</v>
      </c>
    </row>
    <row r="349" spans="1:24">
      <c r="A349">
        <v>1837</v>
      </c>
      <c r="B349" t="s">
        <v>957</v>
      </c>
      <c r="C349">
        <v>1</v>
      </c>
      <c r="D349" t="s">
        <v>958</v>
      </c>
      <c r="E349">
        <v>23</v>
      </c>
      <c r="F349">
        <v>23</v>
      </c>
      <c r="G349">
        <v>23</v>
      </c>
      <c r="H349" t="s">
        <v>957</v>
      </c>
      <c r="I349">
        <v>45.9</v>
      </c>
      <c r="J349">
        <v>72.694999999999993</v>
      </c>
      <c r="K349" t="str">
        <f>"UBASH3B"</f>
        <v>UBASH3B</v>
      </c>
      <c r="L349" t="str">
        <f>"UBASH3B"</f>
        <v>UBASH3B</v>
      </c>
      <c r="M349">
        <v>444600000</v>
      </c>
      <c r="N349">
        <v>801200000</v>
      </c>
      <c r="O349">
        <v>596130000</v>
      </c>
      <c r="P349">
        <v>428540000</v>
      </c>
      <c r="Q349">
        <v>509440000</v>
      </c>
      <c r="R349">
        <v>633470000</v>
      </c>
      <c r="S349">
        <v>530830000</v>
      </c>
      <c r="T349">
        <v>633760000</v>
      </c>
      <c r="U349">
        <v>650960000</v>
      </c>
      <c r="V349">
        <v>632890000</v>
      </c>
      <c r="W349">
        <v>536990000</v>
      </c>
      <c r="X349">
        <v>621480000</v>
      </c>
    </row>
    <row r="350" spans="1:24">
      <c r="A350">
        <v>2379</v>
      </c>
      <c r="B350" t="s">
        <v>959</v>
      </c>
      <c r="C350">
        <v>2</v>
      </c>
      <c r="D350" t="s">
        <v>960</v>
      </c>
      <c r="E350">
        <v>28</v>
      </c>
      <c r="F350">
        <v>28</v>
      </c>
      <c r="G350">
        <v>28</v>
      </c>
      <c r="H350" t="s">
        <v>961</v>
      </c>
      <c r="I350">
        <v>35.1</v>
      </c>
      <c r="J350">
        <v>106.67</v>
      </c>
      <c r="K350" t="str">
        <f>"EMILIN1"</f>
        <v>EMILIN1</v>
      </c>
      <c r="L350" t="str">
        <f>"EMILIN1"</f>
        <v>EMILIN1</v>
      </c>
      <c r="M350">
        <v>135760000</v>
      </c>
      <c r="N350">
        <v>92881000</v>
      </c>
      <c r="O350">
        <v>110120000</v>
      </c>
      <c r="P350">
        <v>472100000</v>
      </c>
      <c r="Q350">
        <v>284180000</v>
      </c>
      <c r="R350">
        <v>491080000</v>
      </c>
      <c r="S350">
        <v>422410000</v>
      </c>
      <c r="T350">
        <v>418800000</v>
      </c>
      <c r="U350">
        <v>623950000</v>
      </c>
      <c r="V350">
        <v>370610000</v>
      </c>
      <c r="W350">
        <v>101300000</v>
      </c>
      <c r="X350">
        <v>306970000</v>
      </c>
    </row>
    <row r="351" spans="1:24">
      <c r="A351">
        <v>120</v>
      </c>
      <c r="B351" t="s">
        <v>962</v>
      </c>
      <c r="C351">
        <v>1</v>
      </c>
      <c r="D351" t="s">
        <v>963</v>
      </c>
      <c r="E351">
        <v>10</v>
      </c>
      <c r="F351">
        <v>10</v>
      </c>
      <c r="G351">
        <v>10</v>
      </c>
      <c r="H351" t="s">
        <v>962</v>
      </c>
      <c r="I351">
        <v>48.3</v>
      </c>
      <c r="J351">
        <v>20.545999999999999</v>
      </c>
      <c r="K351" t="str">
        <f>"ARPC3"</f>
        <v>ARPC3</v>
      </c>
      <c r="L351" t="str">
        <f>"ARPC3"</f>
        <v>ARPC3</v>
      </c>
      <c r="M351" s="8">
        <v>788000000</v>
      </c>
      <c r="N351">
        <v>750650000</v>
      </c>
      <c r="O351">
        <v>1047200000</v>
      </c>
      <c r="P351">
        <v>1138400000</v>
      </c>
      <c r="Q351">
        <v>1670200000</v>
      </c>
      <c r="R351">
        <v>1532700000</v>
      </c>
      <c r="S351">
        <v>718460000</v>
      </c>
      <c r="T351">
        <v>784210000</v>
      </c>
      <c r="U351">
        <v>610630000</v>
      </c>
      <c r="V351">
        <v>877030000</v>
      </c>
      <c r="W351">
        <v>871620000</v>
      </c>
      <c r="X351">
        <v>813990000</v>
      </c>
    </row>
    <row r="352" spans="1:24">
      <c r="A352">
        <v>420</v>
      </c>
      <c r="B352" t="s">
        <v>964</v>
      </c>
      <c r="C352">
        <v>1</v>
      </c>
      <c r="D352" t="s">
        <v>965</v>
      </c>
      <c r="E352">
        <v>9</v>
      </c>
      <c r="F352">
        <v>6</v>
      </c>
      <c r="G352">
        <v>6</v>
      </c>
      <c r="H352" t="s">
        <v>964</v>
      </c>
      <c r="I352">
        <v>45.3</v>
      </c>
      <c r="J352">
        <v>23.510999999999999</v>
      </c>
      <c r="K352" t="str">
        <f>"ORM1"</f>
        <v>ORM1</v>
      </c>
      <c r="L352" t="str">
        <f>"ORM1"</f>
        <v>ORM1</v>
      </c>
      <c r="M352">
        <v>623690000</v>
      </c>
      <c r="N352">
        <v>203250000</v>
      </c>
      <c r="O352">
        <v>0</v>
      </c>
      <c r="P352">
        <v>813440000</v>
      </c>
      <c r="Q352">
        <v>3292200000</v>
      </c>
      <c r="R352">
        <v>1440200000</v>
      </c>
      <c r="S352">
        <v>1492900000</v>
      </c>
      <c r="T352">
        <v>5434800000</v>
      </c>
      <c r="U352">
        <v>758700000</v>
      </c>
      <c r="V352">
        <v>3033400000</v>
      </c>
      <c r="W352">
        <v>0</v>
      </c>
      <c r="X352">
        <v>252980000</v>
      </c>
    </row>
    <row r="353" spans="1:24">
      <c r="A353">
        <v>1458</v>
      </c>
      <c r="B353" t="s">
        <v>966</v>
      </c>
      <c r="C353">
        <v>5</v>
      </c>
      <c r="D353" t="s">
        <v>967</v>
      </c>
      <c r="E353">
        <v>30</v>
      </c>
      <c r="F353">
        <v>30</v>
      </c>
      <c r="G353">
        <v>30</v>
      </c>
      <c r="H353" t="s">
        <v>968</v>
      </c>
      <c r="I353">
        <v>41.8</v>
      </c>
      <c r="J353">
        <v>77.421999999999997</v>
      </c>
      <c r="K353" t="str">
        <f>"STIM1;STIM2"</f>
        <v>STIM1;STIM2</v>
      </c>
      <c r="L353" t="str">
        <f>"STIM1;STIM2"</f>
        <v>STIM1;STIM2</v>
      </c>
      <c r="M353">
        <v>164850000</v>
      </c>
      <c r="N353">
        <v>392740000</v>
      </c>
      <c r="O353">
        <v>444580000</v>
      </c>
      <c r="P353" s="8">
        <v>518000000</v>
      </c>
      <c r="Q353">
        <v>326080000</v>
      </c>
      <c r="R353">
        <v>391090000</v>
      </c>
      <c r="S353">
        <v>418460000</v>
      </c>
      <c r="T353">
        <v>221540000</v>
      </c>
      <c r="U353">
        <v>451360000</v>
      </c>
      <c r="V353">
        <v>319520000</v>
      </c>
      <c r="W353">
        <v>448420000</v>
      </c>
      <c r="X353">
        <v>593650000</v>
      </c>
    </row>
    <row r="354" spans="1:24">
      <c r="A354">
        <v>1444</v>
      </c>
      <c r="B354" t="s">
        <v>969</v>
      </c>
      <c r="C354">
        <v>1</v>
      </c>
      <c r="D354" t="s">
        <v>970</v>
      </c>
      <c r="E354">
        <v>28</v>
      </c>
      <c r="F354">
        <v>28</v>
      </c>
      <c r="G354">
        <v>28</v>
      </c>
      <c r="H354" t="s">
        <v>969</v>
      </c>
      <c r="I354">
        <v>29.5</v>
      </c>
      <c r="J354">
        <v>113.89</v>
      </c>
      <c r="K354" t="str">
        <f>"NNT"</f>
        <v>NNT</v>
      </c>
      <c r="L354" t="str">
        <f>"NNT"</f>
        <v>NNT</v>
      </c>
      <c r="M354">
        <v>158440000</v>
      </c>
      <c r="N354">
        <v>253350000</v>
      </c>
      <c r="O354">
        <v>268960000</v>
      </c>
      <c r="P354">
        <v>211770000</v>
      </c>
      <c r="Q354">
        <v>0</v>
      </c>
      <c r="R354">
        <v>402360000</v>
      </c>
      <c r="S354">
        <v>307630000</v>
      </c>
      <c r="T354">
        <v>261700000</v>
      </c>
      <c r="U354">
        <v>236970000</v>
      </c>
      <c r="V354">
        <v>295610000</v>
      </c>
      <c r="W354">
        <v>359820000</v>
      </c>
      <c r="X354">
        <v>563730000</v>
      </c>
    </row>
    <row r="355" spans="1:24">
      <c r="A355">
        <v>474</v>
      </c>
      <c r="B355" t="s">
        <v>971</v>
      </c>
      <c r="C355">
        <v>1</v>
      </c>
      <c r="D355" t="s">
        <v>972</v>
      </c>
      <c r="E355">
        <v>11</v>
      </c>
      <c r="F355">
        <v>11</v>
      </c>
      <c r="G355">
        <v>11</v>
      </c>
      <c r="H355" t="s">
        <v>971</v>
      </c>
      <c r="I355">
        <v>39.200000000000003</v>
      </c>
      <c r="J355">
        <v>21.274999999999999</v>
      </c>
      <c r="K355" t="str">
        <f>"APOD"</f>
        <v>APOD</v>
      </c>
      <c r="L355" t="str">
        <f>"APOD"</f>
        <v>APOD</v>
      </c>
      <c r="M355">
        <v>1828800000</v>
      </c>
      <c r="N355">
        <v>473600000</v>
      </c>
      <c r="O355">
        <v>671190000</v>
      </c>
      <c r="P355">
        <v>1056800000</v>
      </c>
      <c r="Q355">
        <v>1053100000</v>
      </c>
      <c r="R355">
        <v>406330000</v>
      </c>
      <c r="S355">
        <v>1001300000</v>
      </c>
      <c r="T355">
        <v>1273300000</v>
      </c>
      <c r="U355">
        <v>0</v>
      </c>
      <c r="V355">
        <v>1749900000</v>
      </c>
      <c r="W355">
        <v>689140000</v>
      </c>
      <c r="X355">
        <v>413090000</v>
      </c>
    </row>
    <row r="356" spans="1:24">
      <c r="A356">
        <v>692</v>
      </c>
      <c r="B356" t="s">
        <v>973</v>
      </c>
      <c r="C356">
        <v>1</v>
      </c>
      <c r="D356" t="s">
        <v>974</v>
      </c>
      <c r="E356">
        <v>5</v>
      </c>
      <c r="F356">
        <v>5</v>
      </c>
      <c r="G356">
        <v>5</v>
      </c>
      <c r="H356" t="s">
        <v>973</v>
      </c>
      <c r="I356">
        <v>30.5</v>
      </c>
      <c r="J356">
        <v>19.045999999999999</v>
      </c>
      <c r="K356" t="str">
        <f>"GP9"</f>
        <v>GP9</v>
      </c>
      <c r="L356" t="str">
        <f>"GP9"</f>
        <v>GP9</v>
      </c>
      <c r="M356">
        <v>891940000</v>
      </c>
      <c r="N356">
        <v>1019500000</v>
      </c>
      <c r="O356">
        <v>1904900000</v>
      </c>
      <c r="P356">
        <v>1485100000</v>
      </c>
      <c r="Q356">
        <v>1364500000</v>
      </c>
      <c r="R356">
        <v>1436100000</v>
      </c>
      <c r="S356">
        <v>2541900000</v>
      </c>
      <c r="T356">
        <v>1136800000</v>
      </c>
      <c r="U356">
        <v>2599500000</v>
      </c>
      <c r="V356">
        <v>1655500000</v>
      </c>
      <c r="W356">
        <v>2007400000</v>
      </c>
      <c r="X356">
        <v>2093700000</v>
      </c>
    </row>
    <row r="357" spans="1:24">
      <c r="A357">
        <v>846</v>
      </c>
      <c r="B357" t="s">
        <v>975</v>
      </c>
      <c r="C357">
        <v>1</v>
      </c>
      <c r="D357" t="s">
        <v>976</v>
      </c>
      <c r="E357">
        <v>17</v>
      </c>
      <c r="F357">
        <v>12</v>
      </c>
      <c r="G357">
        <v>11</v>
      </c>
      <c r="H357" t="s">
        <v>975</v>
      </c>
      <c r="I357">
        <v>46.9</v>
      </c>
      <c r="J357">
        <v>27.763999999999999</v>
      </c>
      <c r="K357" t="str">
        <f>"YWHAQ"</f>
        <v>YWHAQ</v>
      </c>
      <c r="L357" t="str">
        <f>"YWHAQ"</f>
        <v>YWHAQ</v>
      </c>
      <c r="M357">
        <v>179510000</v>
      </c>
      <c r="N357">
        <v>225750000</v>
      </c>
      <c r="O357">
        <v>301030000</v>
      </c>
      <c r="P357">
        <v>304270000</v>
      </c>
      <c r="Q357">
        <v>115950000</v>
      </c>
      <c r="R357">
        <v>312490000</v>
      </c>
      <c r="S357">
        <v>142470000</v>
      </c>
      <c r="T357">
        <v>229160000</v>
      </c>
      <c r="U357">
        <v>123300000</v>
      </c>
      <c r="V357">
        <v>246660000</v>
      </c>
      <c r="W357">
        <v>176280000</v>
      </c>
      <c r="X357">
        <v>214100000</v>
      </c>
    </row>
    <row r="358" spans="1:24">
      <c r="A358">
        <v>866</v>
      </c>
      <c r="B358" t="s">
        <v>977</v>
      </c>
      <c r="C358">
        <v>2</v>
      </c>
      <c r="D358" t="s">
        <v>978</v>
      </c>
      <c r="E358">
        <v>19</v>
      </c>
      <c r="F358">
        <v>19</v>
      </c>
      <c r="G358">
        <v>19</v>
      </c>
      <c r="H358" t="s">
        <v>979</v>
      </c>
      <c r="I358">
        <v>47.5</v>
      </c>
      <c r="J358">
        <v>52.771000000000001</v>
      </c>
      <c r="K358" t="str">
        <f>"LAP3"</f>
        <v>LAP3</v>
      </c>
      <c r="L358" t="str">
        <f>"LAP3"</f>
        <v>LAP3</v>
      </c>
      <c r="M358">
        <v>0</v>
      </c>
      <c r="N358">
        <v>236960000</v>
      </c>
      <c r="O358">
        <v>294750000</v>
      </c>
      <c r="P358">
        <v>196260000</v>
      </c>
      <c r="Q358">
        <v>208860000</v>
      </c>
      <c r="R358">
        <v>299160000</v>
      </c>
      <c r="S358">
        <v>291320000</v>
      </c>
      <c r="T358">
        <v>277820000</v>
      </c>
      <c r="U358">
        <v>374610000</v>
      </c>
      <c r="V358">
        <v>299170000</v>
      </c>
      <c r="W358">
        <v>309870000</v>
      </c>
      <c r="X358">
        <v>392640000</v>
      </c>
    </row>
    <row r="359" spans="1:24">
      <c r="A359">
        <v>991</v>
      </c>
      <c r="B359" t="s">
        <v>980</v>
      </c>
      <c r="C359">
        <v>1</v>
      </c>
      <c r="D359" t="s">
        <v>981</v>
      </c>
      <c r="E359">
        <v>17</v>
      </c>
      <c r="F359">
        <v>17</v>
      </c>
      <c r="G359">
        <v>17</v>
      </c>
      <c r="H359" t="s">
        <v>980</v>
      </c>
      <c r="I359">
        <v>45.7</v>
      </c>
      <c r="J359">
        <v>37.54</v>
      </c>
      <c r="K359" t="str">
        <f>"TALDO1"</f>
        <v>TALDO1</v>
      </c>
      <c r="L359" t="str">
        <f>"TALDO1"</f>
        <v>TALDO1</v>
      </c>
      <c r="M359">
        <v>302470000</v>
      </c>
      <c r="N359">
        <v>544800000</v>
      </c>
      <c r="O359">
        <v>855510000</v>
      </c>
      <c r="P359">
        <v>833650000</v>
      </c>
      <c r="Q359">
        <v>665750000</v>
      </c>
      <c r="R359">
        <v>1121600000</v>
      </c>
      <c r="S359">
        <v>424900000</v>
      </c>
      <c r="T359">
        <v>765740000</v>
      </c>
      <c r="U359">
        <v>560910000</v>
      </c>
      <c r="V359">
        <v>919510000</v>
      </c>
      <c r="W359">
        <v>408060000</v>
      </c>
      <c r="X359">
        <v>584790000</v>
      </c>
    </row>
    <row r="360" spans="1:24">
      <c r="A360">
        <v>997</v>
      </c>
      <c r="B360" t="s">
        <v>982</v>
      </c>
      <c r="C360">
        <v>1</v>
      </c>
      <c r="D360" t="s">
        <v>983</v>
      </c>
      <c r="E360">
        <v>21</v>
      </c>
      <c r="F360">
        <v>20</v>
      </c>
      <c r="G360">
        <v>20</v>
      </c>
      <c r="H360" t="s">
        <v>982</v>
      </c>
      <c r="I360">
        <v>36.4</v>
      </c>
      <c r="J360">
        <v>73.680000000000007</v>
      </c>
      <c r="K360" t="str">
        <f>"HSPA9"</f>
        <v>HSPA9</v>
      </c>
      <c r="L360" t="str">
        <f>"HSPA9"</f>
        <v>HSPA9</v>
      </c>
      <c r="M360">
        <v>120420000</v>
      </c>
      <c r="N360">
        <v>247020000</v>
      </c>
      <c r="O360">
        <v>305330000</v>
      </c>
      <c r="P360">
        <v>204630000</v>
      </c>
      <c r="Q360">
        <v>219070000</v>
      </c>
      <c r="R360">
        <v>316110000</v>
      </c>
      <c r="S360">
        <v>447730000</v>
      </c>
      <c r="T360">
        <v>163120000</v>
      </c>
      <c r="U360">
        <v>168170000</v>
      </c>
      <c r="V360">
        <v>292460000</v>
      </c>
      <c r="W360">
        <v>276520000</v>
      </c>
      <c r="X360">
        <v>440380000</v>
      </c>
    </row>
    <row r="361" spans="1:24">
      <c r="A361">
        <v>2162</v>
      </c>
      <c r="B361" t="s">
        <v>984</v>
      </c>
      <c r="C361">
        <v>3</v>
      </c>
      <c r="D361" t="s">
        <v>985</v>
      </c>
      <c r="E361">
        <v>13</v>
      </c>
      <c r="F361">
        <v>13</v>
      </c>
      <c r="G361">
        <v>6</v>
      </c>
      <c r="H361" t="s">
        <v>986</v>
      </c>
      <c r="I361">
        <v>59.6</v>
      </c>
      <c r="J361">
        <v>23.460999999999999</v>
      </c>
      <c r="K361" t="str">
        <f>"RAB6B;RAB6C"</f>
        <v>RAB6B;RAB6C</v>
      </c>
      <c r="L361" t="str">
        <f>"RAB6B;RAB6C"</f>
        <v>RAB6B;RAB6C</v>
      </c>
      <c r="M361">
        <v>1555800000</v>
      </c>
      <c r="N361">
        <v>1037800000</v>
      </c>
      <c r="O361">
        <v>1230300000</v>
      </c>
      <c r="P361">
        <v>1174900000</v>
      </c>
      <c r="Q361">
        <v>1166800000</v>
      </c>
      <c r="R361">
        <v>1635200000</v>
      </c>
      <c r="S361">
        <v>1741500000</v>
      </c>
      <c r="T361">
        <v>2055400000</v>
      </c>
      <c r="U361">
        <v>1595800000</v>
      </c>
      <c r="V361">
        <v>1358900000</v>
      </c>
      <c r="W361" s="8">
        <v>1550000000</v>
      </c>
      <c r="X361">
        <v>1466900000</v>
      </c>
    </row>
    <row r="362" spans="1:24">
      <c r="A362">
        <v>481</v>
      </c>
      <c r="B362" t="s">
        <v>987</v>
      </c>
      <c r="C362">
        <v>2</v>
      </c>
      <c r="D362" t="s">
        <v>988</v>
      </c>
      <c r="E362">
        <v>19</v>
      </c>
      <c r="F362">
        <v>19</v>
      </c>
      <c r="G362">
        <v>19</v>
      </c>
      <c r="H362" t="s">
        <v>989</v>
      </c>
      <c r="I362">
        <v>33.4</v>
      </c>
      <c r="J362">
        <v>65.75</v>
      </c>
      <c r="K362" t="str">
        <f>"CFI"</f>
        <v>CFI</v>
      </c>
      <c r="L362" t="str">
        <f>"CFI"</f>
        <v>CFI</v>
      </c>
      <c r="M362">
        <v>937230000</v>
      </c>
      <c r="N362">
        <v>302550000</v>
      </c>
      <c r="O362">
        <v>366090000</v>
      </c>
      <c r="P362">
        <v>608990000</v>
      </c>
      <c r="Q362">
        <v>850470000</v>
      </c>
      <c r="R362">
        <v>447510000</v>
      </c>
      <c r="S362">
        <v>695510000</v>
      </c>
      <c r="T362">
        <v>694600000</v>
      </c>
      <c r="U362">
        <v>356590000</v>
      </c>
      <c r="V362">
        <v>524020000</v>
      </c>
      <c r="W362">
        <v>867870000</v>
      </c>
      <c r="X362">
        <v>409680000</v>
      </c>
    </row>
    <row r="363" spans="1:24">
      <c r="A363">
        <v>1138</v>
      </c>
      <c r="B363" t="s">
        <v>990</v>
      </c>
      <c r="C363">
        <v>1</v>
      </c>
      <c r="D363" t="s">
        <v>991</v>
      </c>
      <c r="E363">
        <v>20</v>
      </c>
      <c r="F363">
        <v>20</v>
      </c>
      <c r="G363">
        <v>5</v>
      </c>
      <c r="H363" t="s">
        <v>990</v>
      </c>
      <c r="I363">
        <v>29.5</v>
      </c>
      <c r="J363">
        <v>89.864999999999995</v>
      </c>
      <c r="K363" t="str">
        <f>"STAT5B"</f>
        <v>STAT5B</v>
      </c>
      <c r="L363" t="str">
        <f>"STAT5B"</f>
        <v>STAT5B</v>
      </c>
      <c r="M363">
        <v>169620000</v>
      </c>
      <c r="N363">
        <v>392670000</v>
      </c>
      <c r="O363">
        <v>413910000</v>
      </c>
      <c r="P363">
        <v>219130000</v>
      </c>
      <c r="Q363">
        <v>233710000</v>
      </c>
      <c r="R363">
        <v>374110000</v>
      </c>
      <c r="S363">
        <v>379240000</v>
      </c>
      <c r="T363">
        <v>303120000</v>
      </c>
      <c r="U363">
        <v>344280000</v>
      </c>
      <c r="V363">
        <v>281380000</v>
      </c>
      <c r="W363">
        <v>284140000</v>
      </c>
      <c r="X363">
        <v>375130000</v>
      </c>
    </row>
    <row r="364" spans="1:24">
      <c r="A364">
        <v>1373</v>
      </c>
      <c r="B364" t="s">
        <v>992</v>
      </c>
      <c r="C364">
        <v>3</v>
      </c>
      <c r="D364" t="s">
        <v>993</v>
      </c>
      <c r="E364">
        <v>25</v>
      </c>
      <c r="F364">
        <v>25</v>
      </c>
      <c r="G364">
        <v>25</v>
      </c>
      <c r="H364" t="s">
        <v>994</v>
      </c>
      <c r="I364">
        <v>42.7</v>
      </c>
      <c r="J364">
        <v>88.105000000000004</v>
      </c>
      <c r="K364" t="str">
        <f>"PTPN12"</f>
        <v>PTPN12</v>
      </c>
      <c r="L364" t="str">
        <f>"PTPN12"</f>
        <v>PTPN12</v>
      </c>
      <c r="M364">
        <v>267410000</v>
      </c>
      <c r="N364">
        <v>462610000</v>
      </c>
      <c r="O364">
        <v>575430000</v>
      </c>
      <c r="P364">
        <v>635380000</v>
      </c>
      <c r="Q364">
        <v>242380000</v>
      </c>
      <c r="R364">
        <v>561020000</v>
      </c>
      <c r="S364">
        <v>191380000</v>
      </c>
      <c r="T364">
        <v>388500000</v>
      </c>
      <c r="U364">
        <v>403190000</v>
      </c>
      <c r="V364">
        <v>400700000</v>
      </c>
      <c r="W364">
        <v>255080000</v>
      </c>
      <c r="X364">
        <v>447760000</v>
      </c>
    </row>
    <row r="365" spans="1:24">
      <c r="A365">
        <v>1012</v>
      </c>
      <c r="B365" t="s">
        <v>995</v>
      </c>
      <c r="C365">
        <v>4</v>
      </c>
      <c r="D365" t="s">
        <v>996</v>
      </c>
      <c r="E365">
        <v>18</v>
      </c>
      <c r="F365">
        <v>18</v>
      </c>
      <c r="G365">
        <v>18</v>
      </c>
      <c r="H365" t="s">
        <v>997</v>
      </c>
      <c r="I365">
        <v>43.8</v>
      </c>
      <c r="J365">
        <v>50.704000000000001</v>
      </c>
      <c r="K365" t="str">
        <f>"CSK;MATK"</f>
        <v>CSK;MATK</v>
      </c>
      <c r="L365" t="str">
        <f>"CSK;MATK"</f>
        <v>CSK;MATK</v>
      </c>
      <c r="M365">
        <v>354770000</v>
      </c>
      <c r="N365">
        <v>453610000</v>
      </c>
      <c r="O365">
        <v>493600000</v>
      </c>
      <c r="P365">
        <v>357040000</v>
      </c>
      <c r="Q365">
        <v>427620000</v>
      </c>
      <c r="R365">
        <v>561780000</v>
      </c>
      <c r="S365">
        <v>393740000</v>
      </c>
      <c r="T365">
        <v>438850000</v>
      </c>
      <c r="U365">
        <v>473720000</v>
      </c>
      <c r="V365">
        <v>395400000</v>
      </c>
      <c r="W365">
        <v>347610000</v>
      </c>
      <c r="X365">
        <v>486540000</v>
      </c>
    </row>
    <row r="366" spans="1:24">
      <c r="A366">
        <v>1119</v>
      </c>
      <c r="B366" t="s">
        <v>998</v>
      </c>
      <c r="C366">
        <v>5</v>
      </c>
      <c r="D366" t="s">
        <v>999</v>
      </c>
      <c r="E366">
        <v>25</v>
      </c>
      <c r="F366">
        <v>25</v>
      </c>
      <c r="G366">
        <v>14</v>
      </c>
      <c r="H366" t="s">
        <v>1000</v>
      </c>
      <c r="I366">
        <v>32.1</v>
      </c>
      <c r="J366">
        <v>97.975999999999999</v>
      </c>
      <c r="K366" t="str">
        <f>"DNM2"</f>
        <v>DNM2</v>
      </c>
      <c r="L366" t="str">
        <f>"DNM2"</f>
        <v>DNM2</v>
      </c>
      <c r="M366">
        <v>313270000</v>
      </c>
      <c r="N366">
        <v>535170000</v>
      </c>
      <c r="O366">
        <v>326520000</v>
      </c>
      <c r="P366">
        <v>217930000</v>
      </c>
      <c r="Q366">
        <v>300740000</v>
      </c>
      <c r="R366">
        <v>499700000</v>
      </c>
      <c r="S366">
        <v>437580000</v>
      </c>
      <c r="T366">
        <v>535930000</v>
      </c>
      <c r="U366">
        <v>387530000</v>
      </c>
      <c r="V366">
        <v>280490000</v>
      </c>
      <c r="W366">
        <v>152580000</v>
      </c>
      <c r="X366">
        <v>430480000</v>
      </c>
    </row>
    <row r="367" spans="1:24">
      <c r="A367">
        <v>1223</v>
      </c>
      <c r="B367" t="s">
        <v>1001</v>
      </c>
      <c r="C367">
        <v>5</v>
      </c>
      <c r="D367" t="s">
        <v>1002</v>
      </c>
      <c r="E367">
        <v>10</v>
      </c>
      <c r="F367">
        <v>9</v>
      </c>
      <c r="G367">
        <v>9</v>
      </c>
      <c r="H367" t="s">
        <v>1003</v>
      </c>
      <c r="I367">
        <v>49.2</v>
      </c>
      <c r="J367">
        <v>21.257999999999999</v>
      </c>
      <c r="K367" t="str">
        <f>"CDC42;RHOJ;RHOQ"</f>
        <v>CDC42;RHOJ;RHOQ</v>
      </c>
      <c r="L367" t="str">
        <f>"CDC42;RHOJ;RHOQ"</f>
        <v>CDC42;RHOJ;RHOQ</v>
      </c>
      <c r="M367">
        <v>385610000</v>
      </c>
      <c r="N367">
        <v>324030000</v>
      </c>
      <c r="O367">
        <v>491880000</v>
      </c>
      <c r="P367">
        <v>469780000</v>
      </c>
      <c r="Q367">
        <v>311840000</v>
      </c>
      <c r="R367">
        <v>413070000</v>
      </c>
      <c r="S367">
        <v>182230000</v>
      </c>
      <c r="T367">
        <v>259980000</v>
      </c>
      <c r="U367">
        <v>458100000</v>
      </c>
      <c r="V367">
        <v>419380000</v>
      </c>
      <c r="W367">
        <v>234290000</v>
      </c>
      <c r="X367">
        <v>391750000</v>
      </c>
    </row>
    <row r="368" spans="1:24">
      <c r="A368">
        <v>1936</v>
      </c>
      <c r="B368" t="s">
        <v>1004</v>
      </c>
      <c r="C368">
        <v>6</v>
      </c>
      <c r="D368" t="s">
        <v>1005</v>
      </c>
      <c r="E368">
        <v>21</v>
      </c>
      <c r="F368">
        <v>21</v>
      </c>
      <c r="G368">
        <v>21</v>
      </c>
      <c r="H368" t="s">
        <v>1006</v>
      </c>
      <c r="I368">
        <v>44.6</v>
      </c>
      <c r="J368">
        <v>63.944000000000003</v>
      </c>
      <c r="K368" t="str">
        <f>"PDLIM5"</f>
        <v>PDLIM5</v>
      </c>
      <c r="L368" t="str">
        <f>"PDLIM5"</f>
        <v>PDLIM5</v>
      </c>
      <c r="M368">
        <v>393170000</v>
      </c>
      <c r="N368">
        <v>615680000</v>
      </c>
      <c r="O368">
        <v>679800000</v>
      </c>
      <c r="P368">
        <v>625830000</v>
      </c>
      <c r="Q368">
        <v>376350000</v>
      </c>
      <c r="R368">
        <v>718110000</v>
      </c>
      <c r="S368">
        <v>342270000</v>
      </c>
      <c r="T368">
        <v>437800000</v>
      </c>
      <c r="U368">
        <v>433310000</v>
      </c>
      <c r="V368">
        <v>565750000</v>
      </c>
      <c r="W368">
        <v>397060000</v>
      </c>
      <c r="X368">
        <v>541050000</v>
      </c>
    </row>
    <row r="369" spans="1:24">
      <c r="A369">
        <v>668</v>
      </c>
      <c r="B369" t="s">
        <v>1007</v>
      </c>
      <c r="C369">
        <v>2</v>
      </c>
      <c r="D369" t="s">
        <v>1008</v>
      </c>
      <c r="E369">
        <v>14</v>
      </c>
      <c r="F369">
        <v>14</v>
      </c>
      <c r="G369">
        <v>14</v>
      </c>
      <c r="H369" t="s">
        <v>1009</v>
      </c>
      <c r="I369">
        <v>55.8</v>
      </c>
      <c r="J369">
        <v>36.293999999999997</v>
      </c>
      <c r="K369" t="str">
        <f>"ALAD"</f>
        <v>ALAD</v>
      </c>
      <c r="L369" t="str">
        <f>"ALAD"</f>
        <v>ALAD</v>
      </c>
      <c r="M369">
        <v>584250000</v>
      </c>
      <c r="N369">
        <v>546650000</v>
      </c>
      <c r="O369">
        <v>478230000</v>
      </c>
      <c r="P369">
        <v>484870000</v>
      </c>
      <c r="Q369">
        <v>596270000</v>
      </c>
      <c r="R369">
        <v>467960000</v>
      </c>
      <c r="S369">
        <v>758070000</v>
      </c>
      <c r="T369">
        <v>450260000</v>
      </c>
      <c r="U369">
        <v>914800000</v>
      </c>
      <c r="V369">
        <v>489240000</v>
      </c>
      <c r="W369">
        <v>601290000</v>
      </c>
      <c r="X369">
        <v>822140000</v>
      </c>
    </row>
    <row r="370" spans="1:24">
      <c r="A370">
        <v>2377</v>
      </c>
      <c r="B370" t="s">
        <v>1010</v>
      </c>
      <c r="C370">
        <v>2</v>
      </c>
      <c r="D370" t="s">
        <v>1011</v>
      </c>
      <c r="E370">
        <v>17</v>
      </c>
      <c r="F370">
        <v>17</v>
      </c>
      <c r="G370">
        <v>16</v>
      </c>
      <c r="H370" t="s">
        <v>1012</v>
      </c>
      <c r="I370">
        <v>81</v>
      </c>
      <c r="J370">
        <v>28.771999999999998</v>
      </c>
      <c r="K370" t="str">
        <f>"CLIC4;CLIC2"</f>
        <v>CLIC4;CLIC2</v>
      </c>
      <c r="L370" t="str">
        <f>"CLIC4;CLIC2"</f>
        <v>CLIC4;CLIC2</v>
      </c>
      <c r="M370">
        <v>253760000</v>
      </c>
      <c r="N370">
        <v>522090000</v>
      </c>
      <c r="O370">
        <v>563380000</v>
      </c>
      <c r="P370">
        <v>446990000</v>
      </c>
      <c r="Q370">
        <v>86722000</v>
      </c>
      <c r="R370">
        <v>516870000</v>
      </c>
      <c r="S370">
        <v>412790000</v>
      </c>
      <c r="T370">
        <v>407970000</v>
      </c>
      <c r="U370">
        <v>609570000</v>
      </c>
      <c r="V370">
        <v>400580000</v>
      </c>
      <c r="W370">
        <v>492260000</v>
      </c>
      <c r="X370">
        <v>525450000</v>
      </c>
    </row>
    <row r="371" spans="1:24">
      <c r="A371">
        <v>1175</v>
      </c>
      <c r="B371" t="s">
        <v>1013</v>
      </c>
      <c r="C371">
        <v>1</v>
      </c>
      <c r="D371" t="s">
        <v>1014</v>
      </c>
      <c r="E371">
        <v>30</v>
      </c>
      <c r="F371">
        <v>30</v>
      </c>
      <c r="G371">
        <v>30</v>
      </c>
      <c r="H371" t="s">
        <v>1013</v>
      </c>
      <c r="I371">
        <v>59.8</v>
      </c>
      <c r="J371">
        <v>59.143000000000001</v>
      </c>
      <c r="K371" t="str">
        <f>"YARS"</f>
        <v>YARS</v>
      </c>
      <c r="L371" t="str">
        <f>"YARS"</f>
        <v>YARS</v>
      </c>
      <c r="M371">
        <v>199480000</v>
      </c>
      <c r="N371">
        <v>393570000</v>
      </c>
      <c r="O371">
        <v>530010000</v>
      </c>
      <c r="P371">
        <v>361790000</v>
      </c>
      <c r="Q371">
        <v>118160000</v>
      </c>
      <c r="R371">
        <v>426700000</v>
      </c>
      <c r="S371">
        <v>284060000</v>
      </c>
      <c r="T371">
        <v>193390000</v>
      </c>
      <c r="U371">
        <v>209700000</v>
      </c>
      <c r="V371">
        <v>482920000</v>
      </c>
      <c r="W371">
        <v>319020000</v>
      </c>
      <c r="X371">
        <v>347170000</v>
      </c>
    </row>
    <row r="372" spans="1:24">
      <c r="A372">
        <v>1087</v>
      </c>
      <c r="B372" t="s">
        <v>1015</v>
      </c>
      <c r="C372">
        <v>8</v>
      </c>
      <c r="D372" t="s">
        <v>1016</v>
      </c>
      <c r="E372">
        <v>17</v>
      </c>
      <c r="F372">
        <v>17</v>
      </c>
      <c r="G372">
        <v>16</v>
      </c>
      <c r="H372" t="s">
        <v>1017</v>
      </c>
      <c r="I372">
        <v>43.7</v>
      </c>
      <c r="J372">
        <v>46.308</v>
      </c>
      <c r="K372" t="str">
        <f>"ARRB1;ARRB2;SAG"</f>
        <v>ARRB1;ARRB2;SAG</v>
      </c>
      <c r="L372" t="str">
        <f>"ARRB1;ARRB2;SAG"</f>
        <v>ARRB1;ARRB2;SAG</v>
      </c>
      <c r="M372">
        <v>249410000</v>
      </c>
      <c r="N372">
        <v>649250000</v>
      </c>
      <c r="O372">
        <v>550960000</v>
      </c>
      <c r="P372">
        <v>512660000</v>
      </c>
      <c r="Q372">
        <v>389020000</v>
      </c>
      <c r="R372">
        <v>505270000</v>
      </c>
      <c r="S372">
        <v>647450000</v>
      </c>
      <c r="T372">
        <v>321900000</v>
      </c>
      <c r="U372">
        <v>515020000</v>
      </c>
      <c r="V372">
        <v>377360000</v>
      </c>
      <c r="W372">
        <v>547420000</v>
      </c>
      <c r="X372">
        <v>573780000</v>
      </c>
    </row>
    <row r="373" spans="1:24">
      <c r="A373">
        <v>287</v>
      </c>
      <c r="B373" t="s">
        <v>1018</v>
      </c>
      <c r="C373">
        <v>2</v>
      </c>
      <c r="D373" t="s">
        <v>1019</v>
      </c>
      <c r="E373">
        <v>23</v>
      </c>
      <c r="F373">
        <v>23</v>
      </c>
      <c r="G373">
        <v>23</v>
      </c>
      <c r="H373" t="s">
        <v>1020</v>
      </c>
      <c r="I373">
        <v>46.1</v>
      </c>
      <c r="J373">
        <v>63.243000000000002</v>
      </c>
      <c r="K373" t="str">
        <f>"ABHD16A"</f>
        <v>ABHD16A</v>
      </c>
      <c r="L373" t="str">
        <f>"ABHD16A"</f>
        <v>ABHD16A</v>
      </c>
      <c r="M373">
        <v>320220000</v>
      </c>
      <c r="N373">
        <v>588180000</v>
      </c>
      <c r="O373">
        <v>487520000</v>
      </c>
      <c r="P373">
        <v>276190000</v>
      </c>
      <c r="Q373">
        <v>294480000</v>
      </c>
      <c r="R373">
        <v>468480000</v>
      </c>
      <c r="S373">
        <v>713650000</v>
      </c>
      <c r="T373">
        <v>403910000</v>
      </c>
      <c r="U373">
        <v>434450000</v>
      </c>
      <c r="V373">
        <v>429750000</v>
      </c>
      <c r="W373">
        <v>449640000</v>
      </c>
      <c r="X373">
        <v>573200000</v>
      </c>
    </row>
    <row r="374" spans="1:24">
      <c r="A374">
        <v>984</v>
      </c>
      <c r="B374" t="s">
        <v>1021</v>
      </c>
      <c r="C374">
        <v>2</v>
      </c>
      <c r="D374" t="s">
        <v>1022</v>
      </c>
      <c r="E374">
        <v>15</v>
      </c>
      <c r="F374">
        <v>15</v>
      </c>
      <c r="G374">
        <v>15</v>
      </c>
      <c r="H374" t="s">
        <v>1023</v>
      </c>
      <c r="I374">
        <v>40.700000000000003</v>
      </c>
      <c r="J374">
        <v>46.311999999999998</v>
      </c>
      <c r="K374" t="str">
        <f>"SERPINF1"</f>
        <v>SERPINF1</v>
      </c>
      <c r="L374" t="str">
        <f>"SERPINF1"</f>
        <v>SERPINF1</v>
      </c>
      <c r="M374">
        <v>1150700000</v>
      </c>
      <c r="N374">
        <v>787010000</v>
      </c>
      <c r="O374">
        <v>1188500000</v>
      </c>
      <c r="P374">
        <v>908060000</v>
      </c>
      <c r="Q374">
        <v>1193700000</v>
      </c>
      <c r="R374">
        <v>656430000</v>
      </c>
      <c r="S374">
        <v>566940000</v>
      </c>
      <c r="T374">
        <v>1123900000</v>
      </c>
      <c r="U374">
        <v>452440000</v>
      </c>
      <c r="V374">
        <v>975720000</v>
      </c>
      <c r="W374">
        <v>885520000</v>
      </c>
      <c r="X374">
        <v>368280000</v>
      </c>
    </row>
    <row r="375" spans="1:24">
      <c r="A375">
        <v>2012</v>
      </c>
      <c r="B375" t="s">
        <v>1024</v>
      </c>
      <c r="C375">
        <v>3</v>
      </c>
      <c r="D375" t="s">
        <v>1025</v>
      </c>
      <c r="E375">
        <v>14</v>
      </c>
      <c r="F375">
        <v>14</v>
      </c>
      <c r="G375">
        <v>14</v>
      </c>
      <c r="H375" t="s">
        <v>1026</v>
      </c>
      <c r="I375">
        <v>29.9</v>
      </c>
      <c r="J375">
        <v>54.234000000000002</v>
      </c>
      <c r="K375" t="str">
        <f>"CORO1B;FER1L4"</f>
        <v>CORO1B;FER1L4</v>
      </c>
      <c r="L375" t="str">
        <f>"CORO1B;FER1L4"</f>
        <v>CORO1B;FER1L4</v>
      </c>
      <c r="M375" s="8">
        <v>454000000</v>
      </c>
      <c r="N375">
        <v>722490000</v>
      </c>
      <c r="O375">
        <v>785390000</v>
      </c>
      <c r="P375">
        <v>582900000</v>
      </c>
      <c r="Q375">
        <v>432670000</v>
      </c>
      <c r="R375">
        <v>856130000</v>
      </c>
      <c r="S375">
        <v>717580000</v>
      </c>
      <c r="T375">
        <v>750940000</v>
      </c>
      <c r="U375">
        <v>724940000</v>
      </c>
      <c r="V375">
        <v>711060000</v>
      </c>
      <c r="W375">
        <v>354520000</v>
      </c>
      <c r="X375">
        <v>950770000</v>
      </c>
    </row>
    <row r="376" spans="1:24">
      <c r="A376">
        <v>1057</v>
      </c>
      <c r="B376" t="s">
        <v>1027</v>
      </c>
      <c r="C376">
        <v>2</v>
      </c>
      <c r="D376" t="s">
        <v>1028</v>
      </c>
      <c r="E376">
        <v>16</v>
      </c>
      <c r="F376">
        <v>13</v>
      </c>
      <c r="G376">
        <v>13</v>
      </c>
      <c r="H376" t="s">
        <v>1029</v>
      </c>
      <c r="I376">
        <v>73.400000000000006</v>
      </c>
      <c r="J376">
        <v>32.948999999999998</v>
      </c>
      <c r="K376" t="str">
        <f>"CAPZA2"</f>
        <v>CAPZA2</v>
      </c>
      <c r="L376" t="str">
        <f>"CAPZA2"</f>
        <v>CAPZA2</v>
      </c>
      <c r="M376">
        <v>872760000</v>
      </c>
      <c r="N376">
        <v>876400000</v>
      </c>
      <c r="O376">
        <v>864480000</v>
      </c>
      <c r="P376">
        <v>650980000</v>
      </c>
      <c r="Q376">
        <v>733710000</v>
      </c>
      <c r="R376">
        <v>718100000</v>
      </c>
      <c r="S376" s="8">
        <v>1427000000</v>
      </c>
      <c r="T376">
        <v>643310000</v>
      </c>
      <c r="U376">
        <v>1020800000</v>
      </c>
      <c r="V376">
        <v>650320000</v>
      </c>
      <c r="W376">
        <v>1635100000</v>
      </c>
      <c r="X376">
        <v>1370300000</v>
      </c>
    </row>
    <row r="377" spans="1:24">
      <c r="A377">
        <v>888</v>
      </c>
      <c r="B377" t="s">
        <v>1030</v>
      </c>
      <c r="C377">
        <v>1</v>
      </c>
      <c r="D377" t="s">
        <v>1031</v>
      </c>
      <c r="E377">
        <v>11</v>
      </c>
      <c r="F377">
        <v>11</v>
      </c>
      <c r="G377">
        <v>11</v>
      </c>
      <c r="H377" t="s">
        <v>1030</v>
      </c>
      <c r="I377">
        <v>80.7</v>
      </c>
      <c r="J377">
        <v>21.056999999999999</v>
      </c>
      <c r="K377" t="str">
        <f>"PEBP1"</f>
        <v>PEBP1</v>
      </c>
      <c r="L377" t="str">
        <f>"PEBP1"</f>
        <v>PEBP1</v>
      </c>
      <c r="M377">
        <v>701360000</v>
      </c>
      <c r="N377">
        <v>609710000</v>
      </c>
      <c r="O377">
        <v>643460000</v>
      </c>
      <c r="P377">
        <v>580540000</v>
      </c>
      <c r="Q377">
        <v>546180000</v>
      </c>
      <c r="R377">
        <v>1233300000</v>
      </c>
      <c r="S377">
        <v>467070000</v>
      </c>
      <c r="T377">
        <v>719140000</v>
      </c>
      <c r="U377">
        <v>682090000</v>
      </c>
      <c r="V377">
        <v>745260000</v>
      </c>
      <c r="W377">
        <v>568940000</v>
      </c>
      <c r="X377">
        <v>677960000</v>
      </c>
    </row>
    <row r="378" spans="1:24">
      <c r="A378">
        <v>1115</v>
      </c>
      <c r="B378" t="s">
        <v>1032</v>
      </c>
      <c r="C378">
        <v>2</v>
      </c>
      <c r="D378" t="s">
        <v>1033</v>
      </c>
      <c r="E378">
        <v>18</v>
      </c>
      <c r="F378">
        <v>17</v>
      </c>
      <c r="G378">
        <v>16</v>
      </c>
      <c r="H378" t="s">
        <v>1034</v>
      </c>
      <c r="I378">
        <v>51.6</v>
      </c>
      <c r="J378">
        <v>42.402999999999999</v>
      </c>
      <c r="K378" t="str">
        <f>"SERPINB9;SERPINB8"</f>
        <v>SERPINB9;SERPINB8</v>
      </c>
      <c r="L378" t="str">
        <f>"SERPINB9;SERPINB8"</f>
        <v>SERPINB9;SERPINB8</v>
      </c>
      <c r="M378">
        <v>638440000</v>
      </c>
      <c r="N378">
        <v>419810000</v>
      </c>
      <c r="O378">
        <v>660010000</v>
      </c>
      <c r="P378">
        <v>247170000</v>
      </c>
      <c r="Q378">
        <v>300020000</v>
      </c>
      <c r="R378">
        <v>508650000</v>
      </c>
      <c r="S378">
        <v>517650000</v>
      </c>
      <c r="T378">
        <v>416260000</v>
      </c>
      <c r="U378">
        <v>399650000</v>
      </c>
      <c r="V378">
        <v>462040000</v>
      </c>
      <c r="W378">
        <v>423010000</v>
      </c>
      <c r="X378">
        <v>548560000</v>
      </c>
    </row>
    <row r="379" spans="1:24">
      <c r="A379">
        <v>1423</v>
      </c>
      <c r="B379" t="s">
        <v>1035</v>
      </c>
      <c r="C379">
        <v>1</v>
      </c>
      <c r="D379" t="s">
        <v>1036</v>
      </c>
      <c r="E379">
        <v>19</v>
      </c>
      <c r="F379">
        <v>19</v>
      </c>
      <c r="G379">
        <v>19</v>
      </c>
      <c r="H379" t="s">
        <v>1035</v>
      </c>
      <c r="I379">
        <v>36.4</v>
      </c>
      <c r="J379">
        <v>60.186999999999998</v>
      </c>
      <c r="K379" t="str">
        <f>"LCP2"</f>
        <v>LCP2</v>
      </c>
      <c r="L379" t="str">
        <f>"LCP2"</f>
        <v>LCP2</v>
      </c>
      <c r="M379">
        <v>123600000</v>
      </c>
      <c r="N379">
        <v>565520000</v>
      </c>
      <c r="O379">
        <v>640690000</v>
      </c>
      <c r="P379">
        <v>502260000</v>
      </c>
      <c r="Q379">
        <v>341470000</v>
      </c>
      <c r="R379">
        <v>372310000</v>
      </c>
      <c r="S379">
        <v>548170000</v>
      </c>
      <c r="T379">
        <v>453850000</v>
      </c>
      <c r="U379" s="8">
        <v>655000000</v>
      </c>
      <c r="V379">
        <v>447860000</v>
      </c>
      <c r="W379">
        <v>563270000</v>
      </c>
      <c r="X379">
        <v>594020000</v>
      </c>
    </row>
    <row r="380" spans="1:24">
      <c r="A380">
        <v>433</v>
      </c>
      <c r="B380" t="s">
        <v>1037</v>
      </c>
      <c r="C380">
        <v>1</v>
      </c>
      <c r="D380" t="s">
        <v>1038</v>
      </c>
      <c r="E380">
        <v>25</v>
      </c>
      <c r="F380">
        <v>25</v>
      </c>
      <c r="G380">
        <v>23</v>
      </c>
      <c r="H380" t="s">
        <v>1037</v>
      </c>
      <c r="I380">
        <v>47.3</v>
      </c>
      <c r="J380">
        <v>71.369</v>
      </c>
      <c r="K380" t="str">
        <f>"KLKB1"</f>
        <v>KLKB1</v>
      </c>
      <c r="L380" t="str">
        <f>"KLKB1"</f>
        <v>KLKB1</v>
      </c>
      <c r="M380">
        <v>559710000</v>
      </c>
      <c r="N380">
        <v>309200000</v>
      </c>
      <c r="O380">
        <v>356510000</v>
      </c>
      <c r="P380">
        <v>509090000</v>
      </c>
      <c r="Q380">
        <v>609670000</v>
      </c>
      <c r="R380">
        <v>239610000</v>
      </c>
      <c r="S380">
        <v>365230000</v>
      </c>
      <c r="T380">
        <v>720690000</v>
      </c>
      <c r="U380">
        <v>0</v>
      </c>
      <c r="V380">
        <v>376820000</v>
      </c>
      <c r="W380">
        <v>612040000</v>
      </c>
      <c r="X380">
        <v>0</v>
      </c>
    </row>
    <row r="381" spans="1:24">
      <c r="A381">
        <v>1589</v>
      </c>
      <c r="B381" t="s">
        <v>1039</v>
      </c>
      <c r="C381">
        <v>6</v>
      </c>
      <c r="D381" t="s">
        <v>1040</v>
      </c>
      <c r="E381">
        <v>23</v>
      </c>
      <c r="F381">
        <v>23</v>
      </c>
      <c r="G381">
        <v>23</v>
      </c>
      <c r="H381" t="s">
        <v>1041</v>
      </c>
      <c r="I381">
        <v>55.8</v>
      </c>
      <c r="J381">
        <v>58.161999999999999</v>
      </c>
      <c r="K381" t="str">
        <f>"DPYSL2;DPYSL3;CRMP1"</f>
        <v>DPYSL2;DPYSL3;CRMP1</v>
      </c>
      <c r="L381" t="str">
        <f>"DPYSL2;DPYSL3;CRMP1"</f>
        <v>DPYSL2;DPYSL3;CRMP1</v>
      </c>
      <c r="M381">
        <v>546920000</v>
      </c>
      <c r="N381">
        <v>723200000</v>
      </c>
      <c r="O381">
        <v>813430000</v>
      </c>
      <c r="P381">
        <v>510210000</v>
      </c>
      <c r="Q381">
        <v>572580000</v>
      </c>
      <c r="R381">
        <v>619750000</v>
      </c>
      <c r="S381">
        <v>725540000</v>
      </c>
      <c r="T381">
        <v>298230000</v>
      </c>
      <c r="U381">
        <v>854870000</v>
      </c>
      <c r="V381">
        <v>602270000</v>
      </c>
      <c r="W381">
        <v>850400000</v>
      </c>
      <c r="X381">
        <v>959930000</v>
      </c>
    </row>
    <row r="382" spans="1:24">
      <c r="A382">
        <v>1619</v>
      </c>
      <c r="B382" t="s">
        <v>1042</v>
      </c>
      <c r="C382">
        <v>1</v>
      </c>
      <c r="D382" t="s">
        <v>1043</v>
      </c>
      <c r="E382">
        <v>12</v>
      </c>
      <c r="F382">
        <v>3</v>
      </c>
      <c r="G382">
        <v>3</v>
      </c>
      <c r="H382" t="s">
        <v>1042</v>
      </c>
      <c r="I382">
        <v>24.5</v>
      </c>
      <c r="J382">
        <v>49.774999999999999</v>
      </c>
      <c r="K382" t="str">
        <f>"TUBB8"</f>
        <v>TUBB8</v>
      </c>
      <c r="L382" t="str">
        <f>"TUBB8"</f>
        <v>TUBB8</v>
      </c>
      <c r="M382">
        <v>1471400000</v>
      </c>
      <c r="N382">
        <v>1293100000</v>
      </c>
      <c r="O382">
        <v>1542500000</v>
      </c>
      <c r="P382">
        <v>704950000</v>
      </c>
      <c r="Q382">
        <v>1098200000</v>
      </c>
      <c r="R382">
        <v>963250000</v>
      </c>
      <c r="S382">
        <v>1413400000</v>
      </c>
      <c r="T382">
        <v>957260000</v>
      </c>
      <c r="U382">
        <v>1192500000</v>
      </c>
      <c r="V382">
        <v>914480000</v>
      </c>
      <c r="W382">
        <v>1966400000</v>
      </c>
      <c r="X382">
        <v>1242400000</v>
      </c>
    </row>
    <row r="383" spans="1:24">
      <c r="A383">
        <v>2197</v>
      </c>
      <c r="B383" t="s">
        <v>1044</v>
      </c>
      <c r="C383">
        <v>2</v>
      </c>
      <c r="D383" t="s">
        <v>1045</v>
      </c>
      <c r="E383">
        <v>30</v>
      </c>
      <c r="F383">
        <v>10</v>
      </c>
      <c r="G383">
        <v>10</v>
      </c>
      <c r="H383" t="s">
        <v>1046</v>
      </c>
      <c r="I383">
        <v>62.1</v>
      </c>
      <c r="J383">
        <v>50.093000000000004</v>
      </c>
      <c r="K383" t="str">
        <f>"TUBA8"</f>
        <v>TUBA8</v>
      </c>
      <c r="L383" t="str">
        <f>"TUBA8"</f>
        <v>TUBA8</v>
      </c>
      <c r="M383">
        <v>520140000</v>
      </c>
      <c r="N383">
        <v>2766400000</v>
      </c>
      <c r="O383">
        <v>2331400000</v>
      </c>
      <c r="P383" s="8">
        <v>1636000000</v>
      </c>
      <c r="Q383">
        <v>1622200000</v>
      </c>
      <c r="R383" s="8">
        <v>1760000000</v>
      </c>
      <c r="S383">
        <v>2459700000</v>
      </c>
      <c r="T383">
        <v>2104700000</v>
      </c>
      <c r="U383">
        <v>1999100000</v>
      </c>
      <c r="V383">
        <v>2180100000</v>
      </c>
      <c r="W383">
        <v>1649700000</v>
      </c>
      <c r="X383">
        <v>1681400000</v>
      </c>
    </row>
    <row r="384" spans="1:24">
      <c r="A384">
        <v>1238</v>
      </c>
      <c r="B384" t="s">
        <v>1047</v>
      </c>
      <c r="C384">
        <v>1</v>
      </c>
      <c r="D384" t="s">
        <v>1048</v>
      </c>
      <c r="E384">
        <v>14</v>
      </c>
      <c r="F384">
        <v>14</v>
      </c>
      <c r="G384">
        <v>8</v>
      </c>
      <c r="H384" t="s">
        <v>1047</v>
      </c>
      <c r="I384">
        <v>45.7</v>
      </c>
      <c r="J384">
        <v>42.613</v>
      </c>
      <c r="K384" t="str">
        <f>"ACTR1A"</f>
        <v>ACTR1A</v>
      </c>
      <c r="L384" t="str">
        <f>"ACTR1A"</f>
        <v>ACTR1A</v>
      </c>
      <c r="M384">
        <v>366890000</v>
      </c>
      <c r="N384">
        <v>669690000</v>
      </c>
      <c r="O384">
        <v>533480000</v>
      </c>
      <c r="P384">
        <v>396820000</v>
      </c>
      <c r="Q384">
        <v>492630000</v>
      </c>
      <c r="R384">
        <v>524700000</v>
      </c>
      <c r="S384">
        <v>730810000</v>
      </c>
      <c r="T384">
        <v>504140000</v>
      </c>
      <c r="U384">
        <v>884650000</v>
      </c>
      <c r="V384">
        <v>421590000</v>
      </c>
      <c r="W384">
        <v>699340000</v>
      </c>
      <c r="X384" s="8">
        <v>645000000</v>
      </c>
    </row>
    <row r="385" spans="1:24">
      <c r="A385">
        <v>778</v>
      </c>
      <c r="B385" t="s">
        <v>1049</v>
      </c>
      <c r="C385">
        <v>1</v>
      </c>
      <c r="D385" t="s">
        <v>1050</v>
      </c>
      <c r="E385">
        <v>8</v>
      </c>
      <c r="F385">
        <v>8</v>
      </c>
      <c r="G385">
        <v>8</v>
      </c>
      <c r="H385" t="s">
        <v>1049</v>
      </c>
      <c r="I385">
        <v>22.4</v>
      </c>
      <c r="J385">
        <v>25.416</v>
      </c>
      <c r="K385" t="str">
        <f>"CD9"</f>
        <v>CD9</v>
      </c>
      <c r="L385" t="str">
        <f>"CD9"</f>
        <v>CD9</v>
      </c>
      <c r="M385">
        <v>2011800000</v>
      </c>
      <c r="N385">
        <v>1335300000</v>
      </c>
      <c r="O385">
        <v>1708500000</v>
      </c>
      <c r="P385">
        <v>2255100000</v>
      </c>
      <c r="Q385" s="8">
        <v>1776000000</v>
      </c>
      <c r="R385" s="8">
        <v>3953000000</v>
      </c>
      <c r="S385">
        <v>1823100000</v>
      </c>
      <c r="T385" s="8">
        <v>2986000000</v>
      </c>
      <c r="U385">
        <v>2285600000</v>
      </c>
      <c r="V385">
        <v>3573300000</v>
      </c>
      <c r="W385">
        <v>3486900000</v>
      </c>
      <c r="X385" s="8">
        <v>2531000000</v>
      </c>
    </row>
    <row r="386" spans="1:24">
      <c r="A386">
        <v>1230</v>
      </c>
      <c r="B386" t="s">
        <v>1051</v>
      </c>
      <c r="C386">
        <v>1</v>
      </c>
      <c r="D386" t="s">
        <v>1052</v>
      </c>
      <c r="E386">
        <v>13</v>
      </c>
      <c r="F386">
        <v>12</v>
      </c>
      <c r="G386">
        <v>11</v>
      </c>
      <c r="H386" t="s">
        <v>1051</v>
      </c>
      <c r="I386">
        <v>52</v>
      </c>
      <c r="J386">
        <v>22.541</v>
      </c>
      <c r="K386" t="str">
        <f>"RAB10"</f>
        <v>RAB10</v>
      </c>
      <c r="L386" t="str">
        <f>"RAB10"</f>
        <v>RAB10</v>
      </c>
      <c r="M386">
        <v>587340000</v>
      </c>
      <c r="N386">
        <v>602680000</v>
      </c>
      <c r="O386">
        <v>547490000</v>
      </c>
      <c r="P386">
        <v>792280000</v>
      </c>
      <c r="Q386">
        <v>640750000</v>
      </c>
      <c r="R386">
        <v>1031500000</v>
      </c>
      <c r="S386">
        <v>398250000</v>
      </c>
      <c r="T386">
        <v>565420000</v>
      </c>
      <c r="U386">
        <v>485780000</v>
      </c>
      <c r="V386">
        <v>730440000</v>
      </c>
      <c r="W386">
        <v>494470000</v>
      </c>
      <c r="X386">
        <v>606890000</v>
      </c>
    </row>
    <row r="387" spans="1:24">
      <c r="A387">
        <v>1047</v>
      </c>
      <c r="B387" t="s">
        <v>1053</v>
      </c>
      <c r="C387">
        <v>1</v>
      </c>
      <c r="D387" t="s">
        <v>1054</v>
      </c>
      <c r="E387">
        <v>17</v>
      </c>
      <c r="F387">
        <v>17</v>
      </c>
      <c r="G387">
        <v>17</v>
      </c>
      <c r="H387" t="s">
        <v>1053</v>
      </c>
      <c r="I387">
        <v>59.7</v>
      </c>
      <c r="J387">
        <v>33.777000000000001</v>
      </c>
      <c r="K387" t="str">
        <f>"CRKL"</f>
        <v>CRKL</v>
      </c>
      <c r="L387" t="str">
        <f>"CRKL"</f>
        <v>CRKL</v>
      </c>
      <c r="M387">
        <v>361100000</v>
      </c>
      <c r="N387">
        <v>713390000</v>
      </c>
      <c r="O387">
        <v>647400000</v>
      </c>
      <c r="P387">
        <v>478050000</v>
      </c>
      <c r="Q387" s="8">
        <v>452000000</v>
      </c>
      <c r="R387">
        <v>695870000</v>
      </c>
      <c r="S387">
        <v>554030000</v>
      </c>
      <c r="T387">
        <v>472360000</v>
      </c>
      <c r="U387">
        <v>458810000</v>
      </c>
      <c r="V387">
        <v>687350000</v>
      </c>
      <c r="W387">
        <v>693500000</v>
      </c>
      <c r="X387">
        <v>749480000</v>
      </c>
    </row>
    <row r="388" spans="1:24">
      <c r="A388">
        <v>177</v>
      </c>
      <c r="B388" t="s">
        <v>1055</v>
      </c>
      <c r="C388">
        <v>7</v>
      </c>
      <c r="D388" t="s">
        <v>1056</v>
      </c>
      <c r="E388">
        <v>21</v>
      </c>
      <c r="F388">
        <v>21</v>
      </c>
      <c r="G388">
        <v>20</v>
      </c>
      <c r="H388" t="s">
        <v>1057</v>
      </c>
      <c r="I388">
        <v>18.899999999999999</v>
      </c>
      <c r="J388">
        <v>141.16</v>
      </c>
      <c r="K388" t="str">
        <f>"KALRN;ARHGEF25"</f>
        <v>KALRN;ARHGEF25</v>
      </c>
      <c r="L388" t="str">
        <f>"KALRN;ARHGEF25"</f>
        <v>KALRN;ARHGEF25</v>
      </c>
      <c r="M388">
        <v>540740000</v>
      </c>
      <c r="N388">
        <v>949360000</v>
      </c>
      <c r="O388">
        <v>758860000</v>
      </c>
      <c r="P388">
        <v>493220000</v>
      </c>
      <c r="Q388">
        <v>401380000</v>
      </c>
      <c r="R388">
        <v>704880000</v>
      </c>
      <c r="S388">
        <v>858320000</v>
      </c>
      <c r="T388">
        <v>545430000</v>
      </c>
      <c r="U388">
        <v>925120000</v>
      </c>
      <c r="V388">
        <v>700300000</v>
      </c>
      <c r="W388">
        <v>909820000</v>
      </c>
      <c r="X388">
        <v>947490000</v>
      </c>
    </row>
    <row r="389" spans="1:24">
      <c r="A389">
        <v>694</v>
      </c>
      <c r="B389" t="s">
        <v>1058</v>
      </c>
      <c r="C389">
        <v>2</v>
      </c>
      <c r="D389" t="s">
        <v>1059</v>
      </c>
      <c r="E389">
        <v>22</v>
      </c>
      <c r="F389">
        <v>22</v>
      </c>
      <c r="G389">
        <v>22</v>
      </c>
      <c r="H389" t="s">
        <v>1060</v>
      </c>
      <c r="I389">
        <v>48.9</v>
      </c>
      <c r="J389">
        <v>57.136000000000003</v>
      </c>
      <c r="K389" t="str">
        <f>"DARS"</f>
        <v>DARS</v>
      </c>
      <c r="L389" t="str">
        <f>"DARS"</f>
        <v>DARS</v>
      </c>
      <c r="M389">
        <v>267360000</v>
      </c>
      <c r="N389">
        <v>373470000</v>
      </c>
      <c r="O389">
        <v>478650000</v>
      </c>
      <c r="P389">
        <v>292570000</v>
      </c>
      <c r="Q389">
        <v>235790000</v>
      </c>
      <c r="R389">
        <v>463330000</v>
      </c>
      <c r="S389">
        <v>262760000</v>
      </c>
      <c r="T389">
        <v>273560000</v>
      </c>
      <c r="U389">
        <v>475850000</v>
      </c>
      <c r="V389">
        <v>355170000</v>
      </c>
      <c r="W389">
        <v>312600000</v>
      </c>
      <c r="X389">
        <v>466230000</v>
      </c>
    </row>
    <row r="390" spans="1:24">
      <c r="A390">
        <v>1375</v>
      </c>
      <c r="B390" t="s">
        <v>1061</v>
      </c>
      <c r="C390">
        <v>2</v>
      </c>
      <c r="D390" t="s">
        <v>1062</v>
      </c>
      <c r="E390">
        <v>25</v>
      </c>
      <c r="F390">
        <v>25</v>
      </c>
      <c r="G390">
        <v>24</v>
      </c>
      <c r="H390" t="s">
        <v>1063</v>
      </c>
      <c r="I390">
        <v>35.9</v>
      </c>
      <c r="J390">
        <v>77.504000000000005</v>
      </c>
      <c r="K390" t="str">
        <f>"PRKCD"</f>
        <v>PRKCD</v>
      </c>
      <c r="L390" t="str">
        <f>"PRKCD"</f>
        <v>PRKCD</v>
      </c>
      <c r="M390">
        <v>49508000</v>
      </c>
      <c r="N390">
        <v>417900000</v>
      </c>
      <c r="O390">
        <v>370690000</v>
      </c>
      <c r="P390">
        <v>226010000</v>
      </c>
      <c r="Q390">
        <v>73641000</v>
      </c>
      <c r="R390">
        <v>267590000</v>
      </c>
      <c r="S390">
        <v>347930000</v>
      </c>
      <c r="T390">
        <v>188170000</v>
      </c>
      <c r="U390">
        <v>902070000</v>
      </c>
      <c r="V390">
        <v>271220000</v>
      </c>
      <c r="W390">
        <v>473570000</v>
      </c>
      <c r="X390">
        <v>580630000</v>
      </c>
    </row>
    <row r="391" spans="1:24">
      <c r="A391">
        <v>1463</v>
      </c>
      <c r="B391" t="s">
        <v>1064</v>
      </c>
      <c r="C391">
        <v>2</v>
      </c>
      <c r="D391" t="s">
        <v>1065</v>
      </c>
      <c r="E391">
        <v>12</v>
      </c>
      <c r="F391">
        <v>12</v>
      </c>
      <c r="G391">
        <v>11</v>
      </c>
      <c r="H391" t="s">
        <v>1066</v>
      </c>
      <c r="I391">
        <v>57.3</v>
      </c>
      <c r="J391">
        <v>24.997</v>
      </c>
      <c r="K391" t="str">
        <f>"RAB32;RAB29"</f>
        <v>RAB32;RAB29</v>
      </c>
      <c r="L391" t="str">
        <f>"RAB32;RAB29"</f>
        <v>RAB32;RAB29</v>
      </c>
      <c r="M391">
        <v>583900000</v>
      </c>
      <c r="N391">
        <v>649620000</v>
      </c>
      <c r="O391">
        <v>717780000</v>
      </c>
      <c r="P391">
        <v>632300000</v>
      </c>
      <c r="Q391">
        <v>297550000</v>
      </c>
      <c r="R391">
        <v>676930000</v>
      </c>
      <c r="S391">
        <v>754960000</v>
      </c>
      <c r="T391">
        <v>616520000</v>
      </c>
      <c r="U391">
        <v>1014300000</v>
      </c>
      <c r="V391">
        <v>473700000</v>
      </c>
      <c r="W391">
        <v>674970000</v>
      </c>
      <c r="X391">
        <v>1036500000</v>
      </c>
    </row>
    <row r="392" spans="1:24">
      <c r="A392">
        <v>252</v>
      </c>
      <c r="B392" t="s">
        <v>1067</v>
      </c>
      <c r="C392">
        <v>1</v>
      </c>
      <c r="D392" t="s">
        <v>1068</v>
      </c>
      <c r="E392">
        <v>14</v>
      </c>
      <c r="F392">
        <v>14</v>
      </c>
      <c r="G392">
        <v>14</v>
      </c>
      <c r="H392" t="s">
        <v>1067</v>
      </c>
      <c r="I392">
        <v>33.799999999999997</v>
      </c>
      <c r="J392">
        <v>55.015999999999998</v>
      </c>
      <c r="K392" t="str">
        <f>"ENDOD1"</f>
        <v>ENDOD1</v>
      </c>
      <c r="L392" t="str">
        <f>"ENDOD1"</f>
        <v>ENDOD1</v>
      </c>
      <c r="M392">
        <v>317780000</v>
      </c>
      <c r="N392">
        <v>616600000</v>
      </c>
      <c r="O392">
        <v>465360000</v>
      </c>
      <c r="P392">
        <v>442090000</v>
      </c>
      <c r="Q392">
        <v>378910000</v>
      </c>
      <c r="R392">
        <v>661740000</v>
      </c>
      <c r="S392">
        <v>466320000</v>
      </c>
      <c r="T392">
        <v>460160000</v>
      </c>
      <c r="U392">
        <v>738220000</v>
      </c>
      <c r="V392">
        <v>540590000</v>
      </c>
      <c r="W392">
        <v>466590000</v>
      </c>
      <c r="X392">
        <v>711860000</v>
      </c>
    </row>
    <row r="393" spans="1:24">
      <c r="A393">
        <v>605</v>
      </c>
      <c r="B393" t="s">
        <v>1069</v>
      </c>
      <c r="C393">
        <v>4</v>
      </c>
      <c r="D393" t="s">
        <v>1070</v>
      </c>
      <c r="E393">
        <v>17</v>
      </c>
      <c r="F393">
        <v>17</v>
      </c>
      <c r="G393">
        <v>7</v>
      </c>
      <c r="H393" t="s">
        <v>1071</v>
      </c>
      <c r="I393">
        <v>62</v>
      </c>
      <c r="J393">
        <v>34.195999999999998</v>
      </c>
      <c r="K393" t="str">
        <f>"SULT1A4;SULT1A3"</f>
        <v>SULT1A4;SULT1A3</v>
      </c>
      <c r="L393" t="str">
        <f>"SULT1A4;SULT1A3"</f>
        <v>SULT1A4;SULT1A3</v>
      </c>
      <c r="M393">
        <v>263460000</v>
      </c>
      <c r="N393">
        <v>384780000</v>
      </c>
      <c r="O393">
        <v>408910000</v>
      </c>
      <c r="P393">
        <v>347900000</v>
      </c>
      <c r="Q393">
        <v>197970000</v>
      </c>
      <c r="R393">
        <v>475460000</v>
      </c>
      <c r="S393">
        <v>475430000</v>
      </c>
      <c r="T393">
        <v>395730000</v>
      </c>
      <c r="U393">
        <v>593200000</v>
      </c>
      <c r="V393">
        <v>513360000</v>
      </c>
      <c r="W393">
        <v>414560000</v>
      </c>
      <c r="X393">
        <v>416550000</v>
      </c>
    </row>
    <row r="394" spans="1:24">
      <c r="A394">
        <v>530</v>
      </c>
      <c r="B394" t="s">
        <v>1072</v>
      </c>
      <c r="C394">
        <v>1</v>
      </c>
      <c r="D394" t="s">
        <v>1073</v>
      </c>
      <c r="E394">
        <v>8</v>
      </c>
      <c r="F394">
        <v>8</v>
      </c>
      <c r="G394">
        <v>8</v>
      </c>
      <c r="H394" t="s">
        <v>1072</v>
      </c>
      <c r="I394">
        <v>51</v>
      </c>
      <c r="J394">
        <v>22.277000000000001</v>
      </c>
      <c r="K394" t="str">
        <f>"C8G"</f>
        <v>C8G</v>
      </c>
      <c r="L394" t="str">
        <f>"C8G"</f>
        <v>C8G</v>
      </c>
      <c r="M394">
        <v>710950000</v>
      </c>
      <c r="N394">
        <v>509200000</v>
      </c>
      <c r="O394">
        <v>405450000</v>
      </c>
      <c r="P394">
        <v>411560000</v>
      </c>
      <c r="Q394">
        <v>600520000</v>
      </c>
      <c r="R394">
        <v>304330000</v>
      </c>
      <c r="S394" s="8">
        <v>1099000000</v>
      </c>
      <c r="T394">
        <v>666460000</v>
      </c>
      <c r="U394">
        <v>494930000</v>
      </c>
      <c r="V394">
        <v>556600000</v>
      </c>
      <c r="W394">
        <v>1050300000</v>
      </c>
      <c r="X394">
        <v>403520000</v>
      </c>
    </row>
    <row r="395" spans="1:24">
      <c r="A395">
        <v>1455</v>
      </c>
      <c r="B395" t="s">
        <v>1074</v>
      </c>
      <c r="C395">
        <v>3</v>
      </c>
      <c r="D395" t="s">
        <v>1075</v>
      </c>
      <c r="E395">
        <v>17</v>
      </c>
      <c r="F395">
        <v>17</v>
      </c>
      <c r="G395">
        <v>17</v>
      </c>
      <c r="H395" t="s">
        <v>1076</v>
      </c>
      <c r="I395">
        <v>49.1</v>
      </c>
      <c r="J395">
        <v>44.23</v>
      </c>
      <c r="K395" t="str">
        <f>"DCTN2"</f>
        <v>DCTN2</v>
      </c>
      <c r="L395" t="str">
        <f>"DCTN2"</f>
        <v>DCTN2</v>
      </c>
      <c r="M395">
        <v>259620000</v>
      </c>
      <c r="N395">
        <v>449700000</v>
      </c>
      <c r="O395">
        <v>494460000</v>
      </c>
      <c r="P395">
        <v>293610000</v>
      </c>
      <c r="Q395">
        <v>285170000</v>
      </c>
      <c r="R395">
        <v>528870000</v>
      </c>
      <c r="S395">
        <v>472620000</v>
      </c>
      <c r="T395">
        <v>274550000</v>
      </c>
      <c r="U395">
        <v>519350000</v>
      </c>
      <c r="V395">
        <v>578630000</v>
      </c>
      <c r="W395">
        <v>380880000</v>
      </c>
      <c r="X395">
        <v>531990000</v>
      </c>
    </row>
    <row r="396" spans="1:24">
      <c r="A396">
        <v>2358</v>
      </c>
      <c r="B396" t="s">
        <v>1077</v>
      </c>
      <c r="C396">
        <v>3</v>
      </c>
      <c r="D396" t="s">
        <v>1078</v>
      </c>
      <c r="E396">
        <v>27</v>
      </c>
      <c r="F396">
        <v>27</v>
      </c>
      <c r="G396">
        <v>27</v>
      </c>
      <c r="H396" t="s">
        <v>1079</v>
      </c>
      <c r="I396">
        <v>32.6</v>
      </c>
      <c r="J396">
        <v>111.33</v>
      </c>
      <c r="K396" t="str">
        <f>"HYOU1;TEX15"</f>
        <v>HYOU1;TEX15</v>
      </c>
      <c r="L396" t="str">
        <f>"HYOU1;TEX15"</f>
        <v>HYOU1;TEX15</v>
      </c>
      <c r="M396">
        <v>171960000</v>
      </c>
      <c r="N396">
        <v>302530000</v>
      </c>
      <c r="O396">
        <v>283110000</v>
      </c>
      <c r="P396">
        <v>219200000</v>
      </c>
      <c r="Q396">
        <v>173560000</v>
      </c>
      <c r="R396">
        <v>329320000</v>
      </c>
      <c r="S396">
        <v>318360000</v>
      </c>
      <c r="T396">
        <v>81952000</v>
      </c>
      <c r="U396">
        <v>502670000</v>
      </c>
      <c r="V396">
        <v>376160000</v>
      </c>
      <c r="W396">
        <v>222150000</v>
      </c>
      <c r="X396">
        <v>438160000</v>
      </c>
    </row>
    <row r="397" spans="1:24">
      <c r="A397">
        <v>820</v>
      </c>
      <c r="B397" t="s">
        <v>1080</v>
      </c>
      <c r="C397">
        <v>2</v>
      </c>
      <c r="D397" t="s">
        <v>1081</v>
      </c>
      <c r="E397">
        <v>12</v>
      </c>
      <c r="F397">
        <v>5</v>
      </c>
      <c r="G397">
        <v>5</v>
      </c>
      <c r="H397" t="s">
        <v>1082</v>
      </c>
      <c r="I397">
        <v>66.3</v>
      </c>
      <c r="J397">
        <v>19.827000000000002</v>
      </c>
      <c r="K397" t="str">
        <f>"MYL9"</f>
        <v>MYL9</v>
      </c>
      <c r="L397" t="str">
        <f>"MYL9"</f>
        <v>MYL9</v>
      </c>
      <c r="M397">
        <v>1498100000</v>
      </c>
      <c r="N397" s="8">
        <v>1472000000</v>
      </c>
      <c r="O397">
        <v>854780000</v>
      </c>
      <c r="P397">
        <v>949250000</v>
      </c>
      <c r="Q397">
        <v>1333300000</v>
      </c>
      <c r="R397">
        <v>1126400000</v>
      </c>
      <c r="S397">
        <v>2225600000</v>
      </c>
      <c r="T397" s="8">
        <v>1255000000</v>
      </c>
      <c r="U397">
        <v>1750400000</v>
      </c>
      <c r="V397">
        <v>912150000</v>
      </c>
      <c r="W397">
        <v>1630500000</v>
      </c>
      <c r="X397">
        <v>1117300000</v>
      </c>
    </row>
    <row r="398" spans="1:24">
      <c r="A398">
        <v>1640</v>
      </c>
      <c r="B398" t="s">
        <v>1083</v>
      </c>
      <c r="C398">
        <v>2</v>
      </c>
      <c r="D398" t="s">
        <v>1084</v>
      </c>
      <c r="E398">
        <v>8</v>
      </c>
      <c r="F398">
        <v>8</v>
      </c>
      <c r="G398">
        <v>8</v>
      </c>
      <c r="H398" t="s">
        <v>1085</v>
      </c>
      <c r="I398">
        <v>26.3</v>
      </c>
      <c r="J398">
        <v>32.463999999999999</v>
      </c>
      <c r="K398" t="str">
        <f>"LY6G6F"</f>
        <v>LY6G6F</v>
      </c>
      <c r="L398" t="str">
        <f>"LY6G6F"</f>
        <v>LY6G6F</v>
      </c>
      <c r="M398">
        <v>681730000</v>
      </c>
      <c r="N398" s="8">
        <v>1174000000</v>
      </c>
      <c r="O398">
        <v>1257200000</v>
      </c>
      <c r="P398">
        <v>556700000</v>
      </c>
      <c r="Q398">
        <v>579140000</v>
      </c>
      <c r="R398">
        <v>800950000</v>
      </c>
      <c r="S398">
        <v>1131500000</v>
      </c>
      <c r="T398">
        <v>936770000</v>
      </c>
      <c r="U398">
        <v>1118100000</v>
      </c>
      <c r="V398">
        <v>842350000</v>
      </c>
      <c r="W398">
        <v>1324600000</v>
      </c>
      <c r="X398">
        <v>1478800000</v>
      </c>
    </row>
    <row r="399" spans="1:24">
      <c r="A399">
        <v>681</v>
      </c>
      <c r="B399" t="s">
        <v>1086</v>
      </c>
      <c r="C399">
        <v>2</v>
      </c>
      <c r="D399" t="s">
        <v>1087</v>
      </c>
      <c r="E399">
        <v>12</v>
      </c>
      <c r="F399">
        <v>12</v>
      </c>
      <c r="G399">
        <v>12</v>
      </c>
      <c r="H399" t="s">
        <v>1088</v>
      </c>
      <c r="I399">
        <v>25</v>
      </c>
      <c r="J399">
        <v>59.177</v>
      </c>
      <c r="K399" t="str">
        <f>"PRKCSH"</f>
        <v>PRKCSH</v>
      </c>
      <c r="L399" t="str">
        <f>"PRKCSH"</f>
        <v>PRKCSH</v>
      </c>
      <c r="M399">
        <v>419510000</v>
      </c>
      <c r="N399">
        <v>882320000</v>
      </c>
      <c r="O399">
        <v>881490000</v>
      </c>
      <c r="P399">
        <v>372600000</v>
      </c>
      <c r="Q399">
        <v>0</v>
      </c>
      <c r="R399">
        <v>592430000</v>
      </c>
      <c r="S399">
        <v>441010000</v>
      </c>
      <c r="T399">
        <v>509930000</v>
      </c>
      <c r="U399">
        <v>590920000</v>
      </c>
      <c r="V399">
        <v>489460000</v>
      </c>
      <c r="W399">
        <v>503660000</v>
      </c>
      <c r="X399">
        <v>746360000</v>
      </c>
    </row>
    <row r="400" spans="1:24">
      <c r="A400">
        <v>719</v>
      </c>
      <c r="B400" t="s">
        <v>1089</v>
      </c>
      <c r="C400">
        <v>5</v>
      </c>
      <c r="D400" t="s">
        <v>1090</v>
      </c>
      <c r="E400">
        <v>30</v>
      </c>
      <c r="F400">
        <v>22</v>
      </c>
      <c r="G400">
        <v>16</v>
      </c>
      <c r="H400" t="s">
        <v>1091</v>
      </c>
      <c r="I400">
        <v>32.5</v>
      </c>
      <c r="J400">
        <v>114.76</v>
      </c>
      <c r="K400" t="str">
        <f>"ATP2A2"</f>
        <v>ATP2A2</v>
      </c>
      <c r="L400" t="str">
        <f>"ATP2A2"</f>
        <v>ATP2A2</v>
      </c>
      <c r="M400">
        <v>393950000</v>
      </c>
      <c r="N400">
        <v>604750000</v>
      </c>
      <c r="O400">
        <v>659540000</v>
      </c>
      <c r="P400">
        <v>219020000</v>
      </c>
      <c r="Q400">
        <v>354570000</v>
      </c>
      <c r="R400">
        <v>474620000</v>
      </c>
      <c r="S400">
        <v>399350000</v>
      </c>
      <c r="T400">
        <v>399790000</v>
      </c>
      <c r="U400">
        <v>301830000</v>
      </c>
      <c r="V400">
        <v>494240000</v>
      </c>
      <c r="W400">
        <v>500310000</v>
      </c>
      <c r="X400">
        <v>513250000</v>
      </c>
    </row>
    <row r="401" spans="1:24">
      <c r="A401">
        <v>1490</v>
      </c>
      <c r="B401" t="s">
        <v>1092</v>
      </c>
      <c r="C401">
        <v>6</v>
      </c>
      <c r="D401" t="s">
        <v>1093</v>
      </c>
      <c r="E401">
        <v>28</v>
      </c>
      <c r="F401">
        <v>28</v>
      </c>
      <c r="G401">
        <v>28</v>
      </c>
      <c r="H401" t="s">
        <v>1094</v>
      </c>
      <c r="I401">
        <v>29.6</v>
      </c>
      <c r="J401">
        <v>136.82</v>
      </c>
      <c r="K401" t="str">
        <f>"DCTN1"</f>
        <v>DCTN1</v>
      </c>
      <c r="L401" t="str">
        <f>"DCTN1"</f>
        <v>DCTN1</v>
      </c>
      <c r="M401">
        <v>0</v>
      </c>
      <c r="N401">
        <v>372490000</v>
      </c>
      <c r="O401">
        <v>451980000</v>
      </c>
      <c r="P401">
        <v>366140000</v>
      </c>
      <c r="Q401">
        <v>160790000</v>
      </c>
      <c r="R401">
        <v>519020000</v>
      </c>
      <c r="S401">
        <v>234340000</v>
      </c>
      <c r="T401">
        <v>243830000</v>
      </c>
      <c r="U401">
        <v>342370000</v>
      </c>
      <c r="V401">
        <v>279700000</v>
      </c>
      <c r="W401">
        <v>166760000</v>
      </c>
      <c r="X401">
        <v>500640000</v>
      </c>
    </row>
    <row r="402" spans="1:24">
      <c r="A402">
        <v>1688</v>
      </c>
      <c r="B402" t="s">
        <v>1095</v>
      </c>
      <c r="C402">
        <v>3</v>
      </c>
      <c r="D402" t="s">
        <v>1096</v>
      </c>
      <c r="E402">
        <v>16</v>
      </c>
      <c r="F402">
        <v>16</v>
      </c>
      <c r="G402">
        <v>16</v>
      </c>
      <c r="H402" t="s">
        <v>1097</v>
      </c>
      <c r="I402">
        <v>25.5</v>
      </c>
      <c r="J402">
        <v>79.596000000000004</v>
      </c>
      <c r="K402" t="str">
        <f>"CNST"</f>
        <v>CNST</v>
      </c>
      <c r="L402" t="str">
        <f>"CNST"</f>
        <v>CNST</v>
      </c>
      <c r="M402">
        <v>191140000</v>
      </c>
      <c r="N402">
        <v>189710000</v>
      </c>
      <c r="O402">
        <v>244970000</v>
      </c>
      <c r="P402">
        <v>182120000</v>
      </c>
      <c r="Q402">
        <v>159620000</v>
      </c>
      <c r="R402">
        <v>234720000</v>
      </c>
      <c r="S402">
        <v>141680000</v>
      </c>
      <c r="T402">
        <v>139570000</v>
      </c>
      <c r="U402">
        <v>156050000</v>
      </c>
      <c r="V402">
        <v>170840000</v>
      </c>
      <c r="W402">
        <v>177750000</v>
      </c>
      <c r="X402">
        <v>232780000</v>
      </c>
    </row>
    <row r="403" spans="1:24">
      <c r="A403">
        <v>164</v>
      </c>
      <c r="B403" t="s">
        <v>1098</v>
      </c>
      <c r="C403">
        <v>2</v>
      </c>
      <c r="D403" t="s">
        <v>1099</v>
      </c>
      <c r="E403">
        <v>21</v>
      </c>
      <c r="F403">
        <v>21</v>
      </c>
      <c r="G403">
        <v>21</v>
      </c>
      <c r="H403" t="s">
        <v>1100</v>
      </c>
      <c r="I403">
        <v>31.3</v>
      </c>
      <c r="J403">
        <v>91.35</v>
      </c>
      <c r="K403" t="str">
        <f>"AP1G1"</f>
        <v>AP1G1</v>
      </c>
      <c r="L403" t="str">
        <f>"AP1G1"</f>
        <v>AP1G1</v>
      </c>
      <c r="M403">
        <v>144600000</v>
      </c>
      <c r="N403">
        <v>263620000</v>
      </c>
      <c r="O403">
        <v>210410000</v>
      </c>
      <c r="P403">
        <v>139570000</v>
      </c>
      <c r="Q403">
        <v>0</v>
      </c>
      <c r="R403">
        <v>262700000</v>
      </c>
      <c r="S403">
        <v>242650000</v>
      </c>
      <c r="T403">
        <v>178240000</v>
      </c>
      <c r="U403">
        <v>173590000</v>
      </c>
      <c r="V403">
        <v>170030000</v>
      </c>
      <c r="W403">
        <v>192110000</v>
      </c>
      <c r="X403">
        <v>200990000</v>
      </c>
    </row>
    <row r="404" spans="1:24">
      <c r="A404">
        <v>549</v>
      </c>
      <c r="B404" t="s">
        <v>1101</v>
      </c>
      <c r="C404">
        <v>1</v>
      </c>
      <c r="D404" t="s">
        <v>1102</v>
      </c>
      <c r="E404">
        <v>9</v>
      </c>
      <c r="F404">
        <v>9</v>
      </c>
      <c r="G404">
        <v>9</v>
      </c>
      <c r="H404" t="s">
        <v>1101</v>
      </c>
      <c r="I404">
        <v>27.9</v>
      </c>
      <c r="J404">
        <v>45.14</v>
      </c>
      <c r="K404" t="str">
        <f>"SERPINA6"</f>
        <v>SERPINA6</v>
      </c>
      <c r="L404" t="str">
        <f>"SERPINA6"</f>
        <v>SERPINA6</v>
      </c>
      <c r="M404">
        <v>3116900000</v>
      </c>
      <c r="N404">
        <v>816480000</v>
      </c>
      <c r="O404">
        <v>829700000</v>
      </c>
      <c r="P404">
        <v>843610000</v>
      </c>
      <c r="Q404">
        <v>1080400000</v>
      </c>
      <c r="R404">
        <v>466200000</v>
      </c>
      <c r="S404">
        <v>1962500000</v>
      </c>
      <c r="T404">
        <v>921970000</v>
      </c>
      <c r="U404" s="8">
        <v>1300000000</v>
      </c>
      <c r="V404">
        <v>803830000</v>
      </c>
      <c r="W404">
        <v>1371800000</v>
      </c>
      <c r="X404">
        <v>2255300000</v>
      </c>
    </row>
    <row r="405" spans="1:24">
      <c r="A405">
        <v>410</v>
      </c>
      <c r="B405" t="s">
        <v>1103</v>
      </c>
      <c r="C405">
        <v>1</v>
      </c>
      <c r="D405" t="s">
        <v>1104</v>
      </c>
      <c r="E405">
        <v>9</v>
      </c>
      <c r="F405">
        <v>9</v>
      </c>
      <c r="G405">
        <v>9</v>
      </c>
      <c r="H405" t="s">
        <v>1103</v>
      </c>
      <c r="I405">
        <v>34.1</v>
      </c>
      <c r="J405">
        <v>25.387</v>
      </c>
      <c r="K405" t="str">
        <f>"APCS"</f>
        <v>APCS</v>
      </c>
      <c r="L405" t="str">
        <f>"APCS"</f>
        <v>APCS</v>
      </c>
      <c r="M405">
        <v>2317800000</v>
      </c>
      <c r="N405">
        <v>928190000</v>
      </c>
      <c r="O405">
        <v>1404400000</v>
      </c>
      <c r="P405">
        <v>2277100000</v>
      </c>
      <c r="Q405">
        <v>1748400000</v>
      </c>
      <c r="R405">
        <v>1476900000</v>
      </c>
      <c r="S405">
        <v>935130000</v>
      </c>
      <c r="T405">
        <v>2393100000</v>
      </c>
      <c r="U405">
        <v>872420000</v>
      </c>
      <c r="V405">
        <v>2063700000</v>
      </c>
      <c r="W405">
        <v>1423600000</v>
      </c>
      <c r="X405">
        <v>1131400000</v>
      </c>
    </row>
    <row r="406" spans="1:24">
      <c r="A406">
        <v>1331</v>
      </c>
      <c r="B406" t="s">
        <v>1105</v>
      </c>
      <c r="C406">
        <v>3</v>
      </c>
      <c r="D406" t="s">
        <v>1106</v>
      </c>
      <c r="E406">
        <v>21</v>
      </c>
      <c r="F406">
        <v>21</v>
      </c>
      <c r="G406">
        <v>21</v>
      </c>
      <c r="H406" t="s">
        <v>1107</v>
      </c>
      <c r="I406">
        <v>60.9</v>
      </c>
      <c r="J406">
        <v>52.295999999999999</v>
      </c>
      <c r="K406" t="str">
        <f>"MPP1"</f>
        <v>MPP1</v>
      </c>
      <c r="L406" t="str">
        <f>"MPP1"</f>
        <v>MPP1</v>
      </c>
      <c r="M406">
        <v>285480000</v>
      </c>
      <c r="N406">
        <v>402270000</v>
      </c>
      <c r="O406">
        <v>470500000</v>
      </c>
      <c r="P406">
        <v>353170000</v>
      </c>
      <c r="Q406">
        <v>187500000</v>
      </c>
      <c r="R406">
        <v>435690000</v>
      </c>
      <c r="S406">
        <v>521220000</v>
      </c>
      <c r="T406">
        <v>350450000</v>
      </c>
      <c r="U406">
        <v>559130000</v>
      </c>
      <c r="V406">
        <v>310960000</v>
      </c>
      <c r="W406">
        <v>478980000</v>
      </c>
      <c r="X406">
        <v>484410000</v>
      </c>
    </row>
    <row r="407" spans="1:24">
      <c r="A407">
        <v>1473</v>
      </c>
      <c r="B407" t="s">
        <v>1108</v>
      </c>
      <c r="C407">
        <v>5</v>
      </c>
      <c r="D407" t="s">
        <v>1109</v>
      </c>
      <c r="E407">
        <v>22</v>
      </c>
      <c r="F407">
        <v>22</v>
      </c>
      <c r="G407">
        <v>22</v>
      </c>
      <c r="H407" t="s">
        <v>1110</v>
      </c>
      <c r="I407">
        <v>29.7</v>
      </c>
      <c r="J407">
        <v>77.802999999999997</v>
      </c>
      <c r="K407" t="str">
        <f>"PRKG1;PRKG2"</f>
        <v>PRKG1;PRKG2</v>
      </c>
      <c r="L407" t="str">
        <f>"PRKG1;PRKG2"</f>
        <v>PRKG1;PRKG2</v>
      </c>
      <c r="M407">
        <v>208380000</v>
      </c>
      <c r="N407" s="8">
        <v>337000000</v>
      </c>
      <c r="O407">
        <v>347750000</v>
      </c>
      <c r="P407">
        <v>140660000</v>
      </c>
      <c r="Q407">
        <v>230480000</v>
      </c>
      <c r="R407">
        <v>216470000</v>
      </c>
      <c r="S407">
        <v>296740000</v>
      </c>
      <c r="T407">
        <v>355320000</v>
      </c>
      <c r="U407">
        <v>383870000</v>
      </c>
      <c r="V407">
        <v>237240000</v>
      </c>
      <c r="W407">
        <v>345740000</v>
      </c>
      <c r="X407">
        <v>406290000</v>
      </c>
    </row>
    <row r="408" spans="1:24">
      <c r="A408">
        <v>1960</v>
      </c>
      <c r="B408" t="s">
        <v>1111</v>
      </c>
      <c r="C408">
        <v>7</v>
      </c>
      <c r="D408" t="s">
        <v>1112</v>
      </c>
      <c r="E408">
        <v>20</v>
      </c>
      <c r="F408">
        <v>20</v>
      </c>
      <c r="G408">
        <v>20</v>
      </c>
      <c r="H408" t="s">
        <v>1113</v>
      </c>
      <c r="I408">
        <v>18.600000000000001</v>
      </c>
      <c r="J408">
        <v>160.99</v>
      </c>
      <c r="K408" t="str">
        <f>"ARAP1"</f>
        <v>ARAP1</v>
      </c>
      <c r="L408" t="str">
        <f>"ARAP1"</f>
        <v>ARAP1</v>
      </c>
      <c r="M408">
        <v>192100000</v>
      </c>
      <c r="N408">
        <v>272830000</v>
      </c>
      <c r="O408">
        <v>157940000</v>
      </c>
      <c r="P408">
        <v>139100000</v>
      </c>
      <c r="Q408">
        <v>0</v>
      </c>
      <c r="R408">
        <v>234440000</v>
      </c>
      <c r="S408" s="8">
        <v>146000000</v>
      </c>
      <c r="T408">
        <v>238250000</v>
      </c>
      <c r="U408">
        <v>359730000</v>
      </c>
      <c r="V408">
        <v>208830000</v>
      </c>
      <c r="W408">
        <v>229920000</v>
      </c>
      <c r="X408">
        <v>353550000</v>
      </c>
    </row>
    <row r="409" spans="1:24">
      <c r="A409">
        <v>2048</v>
      </c>
      <c r="B409" t="s">
        <v>1114</v>
      </c>
      <c r="C409">
        <v>4</v>
      </c>
      <c r="D409" t="s">
        <v>1115</v>
      </c>
      <c r="E409">
        <v>14</v>
      </c>
      <c r="F409">
        <v>14</v>
      </c>
      <c r="G409">
        <v>14</v>
      </c>
      <c r="H409" t="s">
        <v>1116</v>
      </c>
      <c r="I409">
        <v>41.4</v>
      </c>
      <c r="J409">
        <v>48.585999999999999</v>
      </c>
      <c r="K409" t="str">
        <f>"AP1M1;AP1M2"</f>
        <v>AP1M1;AP1M2</v>
      </c>
      <c r="L409" t="str">
        <f>"AP1M1;AP1M2"</f>
        <v>AP1M1;AP1M2</v>
      </c>
      <c r="M409">
        <v>276500000</v>
      </c>
      <c r="N409">
        <v>341890000</v>
      </c>
      <c r="O409">
        <v>357810000</v>
      </c>
      <c r="P409">
        <v>255390000</v>
      </c>
      <c r="Q409">
        <v>274540000</v>
      </c>
      <c r="R409">
        <v>335420000</v>
      </c>
      <c r="S409">
        <v>534340000</v>
      </c>
      <c r="T409">
        <v>242170000</v>
      </c>
      <c r="U409">
        <v>410270000</v>
      </c>
      <c r="V409">
        <v>320980000</v>
      </c>
      <c r="W409">
        <v>391320000</v>
      </c>
      <c r="X409">
        <v>501200000</v>
      </c>
    </row>
    <row r="410" spans="1:24">
      <c r="A410">
        <v>221</v>
      </c>
      <c r="B410" t="s">
        <v>1117</v>
      </c>
      <c r="C410">
        <v>1</v>
      </c>
      <c r="D410" t="s">
        <v>1118</v>
      </c>
      <c r="E410">
        <v>16</v>
      </c>
      <c r="F410">
        <v>16</v>
      </c>
      <c r="G410">
        <v>16</v>
      </c>
      <c r="H410" t="s">
        <v>1117</v>
      </c>
      <c r="I410">
        <v>53.3</v>
      </c>
      <c r="J410">
        <v>33.195</v>
      </c>
      <c r="K410" t="str">
        <f>"STX11"</f>
        <v>STX11</v>
      </c>
      <c r="L410" t="str">
        <f>"STX11"</f>
        <v>STX11</v>
      </c>
      <c r="M410">
        <v>194860000</v>
      </c>
      <c r="N410">
        <v>255870000</v>
      </c>
      <c r="O410">
        <v>385910000</v>
      </c>
      <c r="P410">
        <v>383810000</v>
      </c>
      <c r="Q410">
        <v>253280000</v>
      </c>
      <c r="R410">
        <v>293450000</v>
      </c>
      <c r="S410">
        <v>357700000</v>
      </c>
      <c r="T410">
        <v>220730000</v>
      </c>
      <c r="U410">
        <v>302140000</v>
      </c>
      <c r="V410">
        <v>340700000</v>
      </c>
      <c r="W410">
        <v>469440000</v>
      </c>
      <c r="X410">
        <v>561050000</v>
      </c>
    </row>
    <row r="411" spans="1:24">
      <c r="A411">
        <v>1521</v>
      </c>
      <c r="B411" t="s">
        <v>1119</v>
      </c>
      <c r="C411">
        <v>2</v>
      </c>
      <c r="D411" t="s">
        <v>1120</v>
      </c>
      <c r="E411">
        <v>22</v>
      </c>
      <c r="F411">
        <v>22</v>
      </c>
      <c r="G411">
        <v>22</v>
      </c>
      <c r="H411" t="s">
        <v>1121</v>
      </c>
      <c r="I411">
        <v>30.4</v>
      </c>
      <c r="J411">
        <v>97.168999999999997</v>
      </c>
      <c r="K411" t="str">
        <f>"KPNB1"</f>
        <v>KPNB1</v>
      </c>
      <c r="L411" t="str">
        <f>"KPNB1"</f>
        <v>KPNB1</v>
      </c>
      <c r="M411">
        <v>97663000</v>
      </c>
      <c r="N411">
        <v>352080000</v>
      </c>
      <c r="O411">
        <v>418990000</v>
      </c>
      <c r="P411">
        <v>204150000</v>
      </c>
      <c r="Q411">
        <v>0</v>
      </c>
      <c r="R411">
        <v>238830000</v>
      </c>
      <c r="S411">
        <v>557430000</v>
      </c>
      <c r="T411">
        <v>149470000</v>
      </c>
      <c r="U411">
        <v>302510000</v>
      </c>
      <c r="V411">
        <v>263610000</v>
      </c>
      <c r="W411">
        <v>426590000</v>
      </c>
      <c r="X411">
        <v>368310000</v>
      </c>
    </row>
    <row r="412" spans="1:24">
      <c r="A412">
        <v>864</v>
      </c>
      <c r="B412" t="s">
        <v>1122</v>
      </c>
      <c r="C412">
        <v>2</v>
      </c>
      <c r="D412" t="s">
        <v>1123</v>
      </c>
      <c r="E412">
        <v>13</v>
      </c>
      <c r="F412">
        <v>13</v>
      </c>
      <c r="G412">
        <v>11</v>
      </c>
      <c r="H412" t="s">
        <v>1124</v>
      </c>
      <c r="I412">
        <v>43.1</v>
      </c>
      <c r="J412">
        <v>41.389000000000003</v>
      </c>
      <c r="K412" t="str">
        <f>"MAPK1"</f>
        <v>MAPK1</v>
      </c>
      <c r="L412" t="str">
        <f>"MAPK1"</f>
        <v>MAPK1</v>
      </c>
      <c r="M412">
        <v>323030000</v>
      </c>
      <c r="N412">
        <v>504090000</v>
      </c>
      <c r="O412">
        <v>643570000</v>
      </c>
      <c r="P412">
        <v>412170000</v>
      </c>
      <c r="Q412">
        <v>297690000</v>
      </c>
      <c r="R412">
        <v>571700000</v>
      </c>
      <c r="S412">
        <v>359120000</v>
      </c>
      <c r="T412">
        <v>349260000</v>
      </c>
      <c r="U412">
        <v>252610000</v>
      </c>
      <c r="V412">
        <v>386900000</v>
      </c>
      <c r="W412">
        <v>525160000</v>
      </c>
      <c r="X412">
        <v>503850000</v>
      </c>
    </row>
    <row r="413" spans="1:24">
      <c r="A413">
        <v>1344</v>
      </c>
      <c r="B413" t="s">
        <v>1125</v>
      </c>
      <c r="C413">
        <v>5</v>
      </c>
      <c r="D413" t="s">
        <v>1126</v>
      </c>
      <c r="E413">
        <v>27</v>
      </c>
      <c r="F413">
        <v>27</v>
      </c>
      <c r="G413">
        <v>26</v>
      </c>
      <c r="H413" t="s">
        <v>1127</v>
      </c>
      <c r="I413">
        <v>31.3</v>
      </c>
      <c r="J413">
        <v>100.69</v>
      </c>
      <c r="K413" t="str">
        <f>"AMPD2"</f>
        <v>AMPD2</v>
      </c>
      <c r="L413" t="str">
        <f>"AMPD2"</f>
        <v>AMPD2</v>
      </c>
      <c r="M413">
        <v>173480000</v>
      </c>
      <c r="N413">
        <v>586430000</v>
      </c>
      <c r="O413">
        <v>426610000</v>
      </c>
      <c r="P413">
        <v>360670000</v>
      </c>
      <c r="Q413">
        <v>185800000</v>
      </c>
      <c r="R413">
        <v>293770000</v>
      </c>
      <c r="S413">
        <v>324790000</v>
      </c>
      <c r="T413">
        <v>265460000</v>
      </c>
      <c r="U413">
        <v>265870000</v>
      </c>
      <c r="V413">
        <v>344090000</v>
      </c>
      <c r="W413">
        <v>242380000</v>
      </c>
      <c r="X413">
        <v>372740000</v>
      </c>
    </row>
    <row r="414" spans="1:24">
      <c r="A414">
        <v>1550</v>
      </c>
      <c r="B414" t="s">
        <v>1128</v>
      </c>
      <c r="C414">
        <v>3</v>
      </c>
      <c r="D414" t="s">
        <v>1129</v>
      </c>
      <c r="E414">
        <v>13</v>
      </c>
      <c r="F414">
        <v>13</v>
      </c>
      <c r="G414">
        <v>9</v>
      </c>
      <c r="H414" t="s">
        <v>1130</v>
      </c>
      <c r="I414">
        <v>63.5</v>
      </c>
      <c r="J414">
        <v>37.497</v>
      </c>
      <c r="K414" t="str">
        <f>"PCBP1;PCBP4"</f>
        <v>PCBP1;PCBP4</v>
      </c>
      <c r="L414" t="str">
        <f>"PCBP1;PCBP4"</f>
        <v>PCBP1;PCBP4</v>
      </c>
      <c r="M414">
        <v>339520000</v>
      </c>
      <c r="N414">
        <v>449720000</v>
      </c>
      <c r="O414">
        <v>557230000</v>
      </c>
      <c r="P414">
        <v>490480000</v>
      </c>
      <c r="Q414">
        <v>292230000</v>
      </c>
      <c r="R414">
        <v>801260000</v>
      </c>
      <c r="S414">
        <v>342550000</v>
      </c>
      <c r="T414">
        <v>425880000</v>
      </c>
      <c r="U414">
        <v>470160000</v>
      </c>
      <c r="V414">
        <v>461840000</v>
      </c>
      <c r="W414">
        <v>402300000</v>
      </c>
      <c r="X414">
        <v>522970000</v>
      </c>
    </row>
    <row r="415" spans="1:24">
      <c r="A415">
        <v>635</v>
      </c>
      <c r="B415" t="s">
        <v>1131</v>
      </c>
      <c r="C415">
        <v>3</v>
      </c>
      <c r="D415" t="s">
        <v>1132</v>
      </c>
      <c r="E415">
        <v>8</v>
      </c>
      <c r="F415">
        <v>8</v>
      </c>
      <c r="G415">
        <v>5</v>
      </c>
      <c r="H415" t="s">
        <v>1133</v>
      </c>
      <c r="I415">
        <v>30.6</v>
      </c>
      <c r="J415">
        <v>23.408000000000001</v>
      </c>
      <c r="K415" t="str">
        <f>"RALB"</f>
        <v>RALB</v>
      </c>
      <c r="L415" t="str">
        <f>"RALB"</f>
        <v>RALB</v>
      </c>
      <c r="M415">
        <v>582870000</v>
      </c>
      <c r="N415">
        <v>625460000</v>
      </c>
      <c r="O415">
        <v>771870000</v>
      </c>
      <c r="P415">
        <v>550960000</v>
      </c>
      <c r="Q415">
        <v>482150000</v>
      </c>
      <c r="R415">
        <v>721480000</v>
      </c>
      <c r="S415">
        <v>856160000</v>
      </c>
      <c r="T415">
        <v>737170000</v>
      </c>
      <c r="U415">
        <v>730420000</v>
      </c>
      <c r="V415">
        <v>691020000</v>
      </c>
      <c r="W415">
        <v>618810000</v>
      </c>
      <c r="X415">
        <v>1074300000</v>
      </c>
    </row>
    <row r="416" spans="1:24">
      <c r="A416">
        <v>152</v>
      </c>
      <c r="B416" t="s">
        <v>1134</v>
      </c>
      <c r="C416">
        <v>2</v>
      </c>
      <c r="D416" t="s">
        <v>1135</v>
      </c>
      <c r="E416">
        <v>9</v>
      </c>
      <c r="F416">
        <v>9</v>
      </c>
      <c r="G416">
        <v>9</v>
      </c>
      <c r="H416" t="s">
        <v>1136</v>
      </c>
      <c r="I416">
        <v>37</v>
      </c>
      <c r="J416">
        <v>39.588999999999999</v>
      </c>
      <c r="K416" t="str">
        <f>"AKR7A2;AKR7L"</f>
        <v>AKR7A2;AKR7L</v>
      </c>
      <c r="L416" t="str">
        <f>"AKR7A2;AKR7L"</f>
        <v>AKR7A2;AKR7L</v>
      </c>
      <c r="M416">
        <v>531290000</v>
      </c>
      <c r="N416">
        <v>683780000</v>
      </c>
      <c r="O416">
        <v>747900000</v>
      </c>
      <c r="P416">
        <v>430060000</v>
      </c>
      <c r="Q416">
        <v>511730000</v>
      </c>
      <c r="R416">
        <v>603270000</v>
      </c>
      <c r="S416">
        <v>505890000</v>
      </c>
      <c r="T416">
        <v>428410000</v>
      </c>
      <c r="U416">
        <v>490690000</v>
      </c>
      <c r="V416">
        <v>527890000</v>
      </c>
      <c r="W416">
        <v>763380000</v>
      </c>
      <c r="X416">
        <v>700970000</v>
      </c>
    </row>
    <row r="417" spans="1:24">
      <c r="A417">
        <v>2017</v>
      </c>
      <c r="B417" t="s">
        <v>1137</v>
      </c>
      <c r="C417">
        <v>1</v>
      </c>
      <c r="D417" t="s">
        <v>1138</v>
      </c>
      <c r="E417">
        <v>13</v>
      </c>
      <c r="F417">
        <v>13</v>
      </c>
      <c r="G417">
        <v>13</v>
      </c>
      <c r="H417" t="s">
        <v>1137</v>
      </c>
      <c r="I417">
        <v>36.200000000000003</v>
      </c>
      <c r="J417">
        <v>46.970999999999997</v>
      </c>
      <c r="K417" t="str">
        <f>"ERP44"</f>
        <v>ERP44</v>
      </c>
      <c r="L417" t="str">
        <f>"ERP44"</f>
        <v>ERP44</v>
      </c>
      <c r="M417">
        <v>330990000</v>
      </c>
      <c r="N417">
        <v>543360000</v>
      </c>
      <c r="O417">
        <v>588810000</v>
      </c>
      <c r="P417">
        <v>367170000</v>
      </c>
      <c r="Q417">
        <v>226680000</v>
      </c>
      <c r="R417">
        <v>426160000</v>
      </c>
      <c r="S417">
        <v>356830000</v>
      </c>
      <c r="T417">
        <v>388090000</v>
      </c>
      <c r="U417">
        <v>528020000</v>
      </c>
      <c r="V417">
        <v>330320000</v>
      </c>
      <c r="W417">
        <v>476190000</v>
      </c>
      <c r="X417">
        <v>525350000</v>
      </c>
    </row>
    <row r="418" spans="1:24">
      <c r="A418">
        <v>970</v>
      </c>
      <c r="B418" t="s">
        <v>1139</v>
      </c>
      <c r="C418">
        <v>2</v>
      </c>
      <c r="D418" t="s">
        <v>1140</v>
      </c>
      <c r="E418">
        <v>19</v>
      </c>
      <c r="F418">
        <v>19</v>
      </c>
      <c r="G418">
        <v>19</v>
      </c>
      <c r="H418" t="s">
        <v>1141</v>
      </c>
      <c r="I418">
        <v>35.700000000000003</v>
      </c>
      <c r="J418">
        <v>66.034000000000006</v>
      </c>
      <c r="K418" t="str">
        <f>"IGFALS"</f>
        <v>IGFALS</v>
      </c>
      <c r="L418" t="str">
        <f>"IGFALS"</f>
        <v>IGFALS</v>
      </c>
      <c r="M418">
        <v>1270900000</v>
      </c>
      <c r="N418">
        <v>298640000</v>
      </c>
      <c r="O418">
        <v>122670000</v>
      </c>
      <c r="P418">
        <v>380040000</v>
      </c>
      <c r="Q418">
        <v>483430000</v>
      </c>
      <c r="R418">
        <v>72604000</v>
      </c>
      <c r="S418">
        <v>321370000</v>
      </c>
      <c r="T418">
        <v>792840000</v>
      </c>
      <c r="U418">
        <v>144830000</v>
      </c>
      <c r="V418">
        <v>416980000</v>
      </c>
      <c r="W418">
        <v>893650000</v>
      </c>
      <c r="X418">
        <v>362230000</v>
      </c>
    </row>
    <row r="419" spans="1:24">
      <c r="A419">
        <v>1098</v>
      </c>
      <c r="B419" t="s">
        <v>1142</v>
      </c>
      <c r="C419">
        <v>3</v>
      </c>
      <c r="D419" t="s">
        <v>1143</v>
      </c>
      <c r="E419">
        <v>21</v>
      </c>
      <c r="F419">
        <v>21</v>
      </c>
      <c r="G419">
        <v>21</v>
      </c>
      <c r="H419" t="s">
        <v>1144</v>
      </c>
      <c r="I419">
        <v>41.1</v>
      </c>
      <c r="J419">
        <v>68.058000000000007</v>
      </c>
      <c r="K419" t="str">
        <f>"ACADVL"</f>
        <v>ACADVL</v>
      </c>
      <c r="L419" t="str">
        <f>"ACADVL"</f>
        <v>ACADVL</v>
      </c>
      <c r="M419">
        <v>391490000</v>
      </c>
      <c r="N419">
        <v>306200000</v>
      </c>
      <c r="O419">
        <v>398690000</v>
      </c>
      <c r="P419">
        <v>292330000</v>
      </c>
      <c r="Q419">
        <v>0</v>
      </c>
      <c r="R419">
        <v>371770000</v>
      </c>
      <c r="S419">
        <v>430040000</v>
      </c>
      <c r="T419">
        <v>230700000</v>
      </c>
      <c r="U419">
        <v>668490000</v>
      </c>
      <c r="V419">
        <v>307580000</v>
      </c>
      <c r="W419">
        <v>615900000</v>
      </c>
      <c r="X419">
        <v>526780000</v>
      </c>
    </row>
    <row r="420" spans="1:24">
      <c r="A420">
        <v>1377</v>
      </c>
      <c r="B420" t="s">
        <v>1145</v>
      </c>
      <c r="C420">
        <v>3</v>
      </c>
      <c r="D420" t="s">
        <v>1146</v>
      </c>
      <c r="E420">
        <v>16</v>
      </c>
      <c r="F420">
        <v>16</v>
      </c>
      <c r="G420">
        <v>16</v>
      </c>
      <c r="H420" t="s">
        <v>1147</v>
      </c>
      <c r="I420">
        <v>21.8</v>
      </c>
      <c r="J420">
        <v>99.325999999999993</v>
      </c>
      <c r="K420" t="str">
        <f>"ITIH3"</f>
        <v>ITIH3</v>
      </c>
      <c r="L420" t="str">
        <f>"ITIH3"</f>
        <v>ITIH3</v>
      </c>
      <c r="M420">
        <v>0</v>
      </c>
      <c r="N420">
        <v>340640000</v>
      </c>
      <c r="O420" s="8">
        <v>393000000</v>
      </c>
      <c r="P420">
        <v>608210000</v>
      </c>
      <c r="Q420">
        <v>1647200000</v>
      </c>
      <c r="R420">
        <v>496580000</v>
      </c>
      <c r="S420">
        <v>1072100000</v>
      </c>
      <c r="T420">
        <v>598460000</v>
      </c>
      <c r="U420">
        <v>743030000</v>
      </c>
      <c r="V420">
        <v>491290000</v>
      </c>
      <c r="W420">
        <v>387670000</v>
      </c>
      <c r="X420">
        <v>166560000</v>
      </c>
    </row>
    <row r="421" spans="1:24">
      <c r="A421">
        <v>2062</v>
      </c>
      <c r="B421" t="s">
        <v>1148</v>
      </c>
      <c r="C421">
        <v>1</v>
      </c>
      <c r="D421" t="s">
        <v>1149</v>
      </c>
      <c r="E421">
        <v>20</v>
      </c>
      <c r="F421">
        <v>20</v>
      </c>
      <c r="G421">
        <v>20</v>
      </c>
      <c r="H421" t="s">
        <v>1148</v>
      </c>
      <c r="I421">
        <v>20.6</v>
      </c>
      <c r="J421">
        <v>141.29</v>
      </c>
      <c r="K421" t="str">
        <f>"UBE2O"</f>
        <v>UBE2O</v>
      </c>
      <c r="L421" t="str">
        <f>"UBE2O"</f>
        <v>UBE2O</v>
      </c>
      <c r="M421">
        <v>224410000</v>
      </c>
      <c r="N421">
        <v>378370000</v>
      </c>
      <c r="O421">
        <v>326600000</v>
      </c>
      <c r="P421">
        <v>198890000</v>
      </c>
      <c r="Q421">
        <v>109550000</v>
      </c>
      <c r="R421">
        <v>306630000</v>
      </c>
      <c r="S421">
        <v>489720000</v>
      </c>
      <c r="T421">
        <v>234730000</v>
      </c>
      <c r="U421">
        <v>367890000</v>
      </c>
      <c r="V421">
        <v>240760000</v>
      </c>
      <c r="W421">
        <v>432640000</v>
      </c>
      <c r="X421">
        <v>428610000</v>
      </c>
    </row>
    <row r="422" spans="1:24">
      <c r="A422">
        <v>565</v>
      </c>
      <c r="B422" t="s">
        <v>1150</v>
      </c>
      <c r="C422">
        <v>11</v>
      </c>
      <c r="D422" t="s">
        <v>1151</v>
      </c>
      <c r="E422">
        <v>30</v>
      </c>
      <c r="F422">
        <v>30</v>
      </c>
      <c r="G422">
        <v>26</v>
      </c>
      <c r="H422" t="s">
        <v>1152</v>
      </c>
      <c r="I422">
        <v>60.9</v>
      </c>
      <c r="J422">
        <v>53.651000000000003</v>
      </c>
      <c r="K422" t="str">
        <f>"VIM;DES;PRPH;GFAP;INA;NEFM;NEFL"</f>
        <v>VIM;DES;PRPH;GFAP;INA;NEFM;NEFL</v>
      </c>
      <c r="L422" t="str">
        <f>"VIM;DES;PRPH;GFAP;INA;NEFM;NEFL"</f>
        <v>VIM;DES;PRPH;GFAP;INA;NEFM;NEFL</v>
      </c>
      <c r="M422">
        <v>418780000</v>
      </c>
      <c r="N422">
        <v>345740000</v>
      </c>
      <c r="O422">
        <v>373980000</v>
      </c>
      <c r="P422">
        <v>154090000</v>
      </c>
      <c r="Q422">
        <v>62944000</v>
      </c>
      <c r="R422">
        <v>1818800000</v>
      </c>
      <c r="S422">
        <v>258960000</v>
      </c>
      <c r="T422">
        <v>0</v>
      </c>
      <c r="U422">
        <v>513730000</v>
      </c>
      <c r="V422">
        <v>239820000</v>
      </c>
      <c r="W422">
        <v>300630000</v>
      </c>
      <c r="X422">
        <v>224060000</v>
      </c>
    </row>
    <row r="423" spans="1:24">
      <c r="A423">
        <v>661</v>
      </c>
      <c r="B423" t="s">
        <v>1153</v>
      </c>
      <c r="C423">
        <v>1</v>
      </c>
      <c r="D423" t="s">
        <v>1154</v>
      </c>
      <c r="E423">
        <v>18</v>
      </c>
      <c r="F423">
        <v>18</v>
      </c>
      <c r="G423">
        <v>18</v>
      </c>
      <c r="H423" t="s">
        <v>1153</v>
      </c>
      <c r="I423">
        <v>52.1</v>
      </c>
      <c r="J423">
        <v>49.972999999999999</v>
      </c>
      <c r="K423" t="str">
        <f>"RNH1"</f>
        <v>RNH1</v>
      </c>
      <c r="L423" t="str">
        <f>"RNH1"</f>
        <v>RNH1</v>
      </c>
      <c r="M423">
        <v>221990000</v>
      </c>
      <c r="N423">
        <v>291830000</v>
      </c>
      <c r="O423">
        <v>259130000</v>
      </c>
      <c r="P423">
        <v>366350000</v>
      </c>
      <c r="Q423">
        <v>310010000</v>
      </c>
      <c r="R423">
        <v>291140000</v>
      </c>
      <c r="S423">
        <v>445270000</v>
      </c>
      <c r="T423">
        <v>207250000</v>
      </c>
      <c r="U423">
        <v>282210000</v>
      </c>
      <c r="V423">
        <v>277590000</v>
      </c>
      <c r="W423">
        <v>578260000</v>
      </c>
      <c r="X423">
        <v>404850000</v>
      </c>
    </row>
    <row r="424" spans="1:24">
      <c r="A424">
        <v>1128</v>
      </c>
      <c r="B424" t="s">
        <v>1155</v>
      </c>
      <c r="C424">
        <v>2</v>
      </c>
      <c r="D424" t="s">
        <v>1156</v>
      </c>
      <c r="E424">
        <v>9</v>
      </c>
      <c r="F424">
        <v>9</v>
      </c>
      <c r="G424">
        <v>9</v>
      </c>
      <c r="H424" t="s">
        <v>1157</v>
      </c>
      <c r="I424">
        <v>61.6</v>
      </c>
      <c r="J424">
        <v>20.478000000000002</v>
      </c>
      <c r="K424" t="str">
        <f>"DUSP3"</f>
        <v>DUSP3</v>
      </c>
      <c r="L424" t="str">
        <f>"DUSP3"</f>
        <v>DUSP3</v>
      </c>
      <c r="M424">
        <v>176320000</v>
      </c>
      <c r="N424">
        <v>281990000</v>
      </c>
      <c r="O424">
        <v>303580000</v>
      </c>
      <c r="P424">
        <v>252250000</v>
      </c>
      <c r="Q424">
        <v>282660000</v>
      </c>
      <c r="R424">
        <v>365200000</v>
      </c>
      <c r="S424">
        <v>260380000</v>
      </c>
      <c r="T424">
        <v>273690000</v>
      </c>
      <c r="U424">
        <v>443730000</v>
      </c>
      <c r="V424">
        <v>352650000</v>
      </c>
      <c r="W424">
        <v>279760000</v>
      </c>
      <c r="X424">
        <v>453620000</v>
      </c>
    </row>
    <row r="425" spans="1:24">
      <c r="A425">
        <v>792</v>
      </c>
      <c r="B425" t="s">
        <v>1158</v>
      </c>
      <c r="C425">
        <v>1</v>
      </c>
      <c r="D425" t="s">
        <v>1159</v>
      </c>
      <c r="E425">
        <v>14</v>
      </c>
      <c r="F425">
        <v>14</v>
      </c>
      <c r="G425">
        <v>14</v>
      </c>
      <c r="H425" t="s">
        <v>1158</v>
      </c>
      <c r="I425">
        <v>39.5</v>
      </c>
      <c r="J425">
        <v>48.442</v>
      </c>
      <c r="K425" t="str">
        <f>"UQCRC2"</f>
        <v>UQCRC2</v>
      </c>
      <c r="L425" t="str">
        <f>"UQCRC2"</f>
        <v>UQCRC2</v>
      </c>
      <c r="M425">
        <v>310560000</v>
      </c>
      <c r="N425">
        <v>443130000</v>
      </c>
      <c r="O425">
        <v>609830000</v>
      </c>
      <c r="P425">
        <v>363820000</v>
      </c>
      <c r="Q425">
        <v>341950000</v>
      </c>
      <c r="R425">
        <v>477990000</v>
      </c>
      <c r="S425">
        <v>675330000</v>
      </c>
      <c r="T425">
        <v>346480000</v>
      </c>
      <c r="U425">
        <v>566270000</v>
      </c>
      <c r="V425">
        <v>550900000</v>
      </c>
      <c r="W425">
        <v>646930000</v>
      </c>
      <c r="X425">
        <v>763250000</v>
      </c>
    </row>
    <row r="426" spans="1:24">
      <c r="A426">
        <v>932</v>
      </c>
      <c r="B426" t="s">
        <v>1160</v>
      </c>
      <c r="C426">
        <v>1</v>
      </c>
      <c r="D426" t="s">
        <v>1161</v>
      </c>
      <c r="E426">
        <v>16</v>
      </c>
      <c r="F426">
        <v>6</v>
      </c>
      <c r="G426">
        <v>1</v>
      </c>
      <c r="H426" t="s">
        <v>1160</v>
      </c>
      <c r="I426">
        <v>58.2</v>
      </c>
      <c r="J426">
        <v>27.85</v>
      </c>
      <c r="K426" t="str">
        <f>"YWHAB"</f>
        <v>YWHAB</v>
      </c>
      <c r="L426" t="str">
        <f>"YWHAB"</f>
        <v>YWHAB</v>
      </c>
      <c r="M426">
        <v>227420000</v>
      </c>
      <c r="N426">
        <v>236930000</v>
      </c>
      <c r="O426">
        <v>311260000</v>
      </c>
      <c r="P426">
        <v>213690000</v>
      </c>
      <c r="Q426">
        <v>165490000</v>
      </c>
      <c r="R426">
        <v>388960000</v>
      </c>
      <c r="S426">
        <v>178800000</v>
      </c>
      <c r="T426">
        <v>278620000</v>
      </c>
      <c r="U426">
        <v>139670000</v>
      </c>
      <c r="V426">
        <v>207500000</v>
      </c>
      <c r="W426">
        <v>186330000</v>
      </c>
      <c r="X426">
        <v>175400000</v>
      </c>
    </row>
    <row r="427" spans="1:24">
      <c r="A427">
        <v>964</v>
      </c>
      <c r="B427" t="s">
        <v>1162</v>
      </c>
      <c r="C427">
        <v>2</v>
      </c>
      <c r="D427" t="s">
        <v>1163</v>
      </c>
      <c r="E427">
        <v>27</v>
      </c>
      <c r="F427">
        <v>27</v>
      </c>
      <c r="G427">
        <v>27</v>
      </c>
      <c r="H427" t="s">
        <v>1164</v>
      </c>
      <c r="I427">
        <v>39.299999999999997</v>
      </c>
      <c r="J427">
        <v>99.045000000000002</v>
      </c>
      <c r="K427" t="str">
        <f>"COPB2"</f>
        <v>COPB2</v>
      </c>
      <c r="L427" t="str">
        <f>"COPB2"</f>
        <v>COPB2</v>
      </c>
      <c r="M427">
        <v>0</v>
      </c>
      <c r="N427">
        <v>311710000</v>
      </c>
      <c r="O427">
        <v>344980000</v>
      </c>
      <c r="P427">
        <v>144740000</v>
      </c>
      <c r="Q427">
        <v>80168000</v>
      </c>
      <c r="R427">
        <v>277300000</v>
      </c>
      <c r="S427">
        <v>213140000</v>
      </c>
      <c r="T427">
        <v>145320000</v>
      </c>
      <c r="U427">
        <v>345300000</v>
      </c>
      <c r="V427">
        <v>210120000</v>
      </c>
      <c r="W427">
        <v>141900000</v>
      </c>
      <c r="X427">
        <v>330240000</v>
      </c>
    </row>
    <row r="428" spans="1:24">
      <c r="A428">
        <v>1728</v>
      </c>
      <c r="B428" t="s">
        <v>1165</v>
      </c>
      <c r="C428">
        <v>5</v>
      </c>
      <c r="D428" t="s">
        <v>1166</v>
      </c>
      <c r="E428">
        <v>16</v>
      </c>
      <c r="F428">
        <v>3</v>
      </c>
      <c r="G428">
        <v>3</v>
      </c>
      <c r="H428" t="s">
        <v>1167</v>
      </c>
      <c r="I428">
        <v>6.6</v>
      </c>
      <c r="J428">
        <v>227.87</v>
      </c>
      <c r="K428" t="str">
        <f>"MYH14"</f>
        <v>MYH14</v>
      </c>
      <c r="L428" t="str">
        <f>"MYH14"</f>
        <v>MYH14</v>
      </c>
      <c r="M428">
        <v>0</v>
      </c>
      <c r="N428">
        <v>957220000</v>
      </c>
      <c r="O428">
        <v>785850000</v>
      </c>
      <c r="P428">
        <v>1154400000</v>
      </c>
      <c r="Q428">
        <v>951260000</v>
      </c>
      <c r="R428">
        <v>0</v>
      </c>
      <c r="S428">
        <v>1151500000</v>
      </c>
      <c r="T428">
        <v>783980000</v>
      </c>
      <c r="U428">
        <v>682520000</v>
      </c>
      <c r="V428">
        <v>698840000</v>
      </c>
      <c r="W428">
        <v>1454500000</v>
      </c>
      <c r="X428">
        <v>1839400000</v>
      </c>
    </row>
    <row r="429" spans="1:24">
      <c r="A429">
        <v>2010</v>
      </c>
      <c r="B429" t="s">
        <v>1168</v>
      </c>
      <c r="C429">
        <v>1</v>
      </c>
      <c r="D429" t="s">
        <v>1169</v>
      </c>
      <c r="E429">
        <v>37</v>
      </c>
      <c r="F429">
        <v>2</v>
      </c>
      <c r="G429">
        <v>2</v>
      </c>
      <c r="H429" t="s">
        <v>1168</v>
      </c>
      <c r="I429">
        <v>73.900000000000006</v>
      </c>
      <c r="J429">
        <v>49.895000000000003</v>
      </c>
      <c r="K429" t="str">
        <f>"TUBA1C"</f>
        <v>TUBA1C</v>
      </c>
      <c r="L429" t="str">
        <f>"TUBA1C"</f>
        <v>TUBA1C</v>
      </c>
      <c r="M429">
        <v>559470000</v>
      </c>
      <c r="N429">
        <v>473010000</v>
      </c>
      <c r="O429">
        <v>456080000</v>
      </c>
      <c r="P429">
        <v>265370000</v>
      </c>
      <c r="Q429">
        <v>400110000</v>
      </c>
      <c r="R429">
        <v>111740000</v>
      </c>
      <c r="S429">
        <v>562930000</v>
      </c>
      <c r="T429">
        <v>0</v>
      </c>
      <c r="U429">
        <v>488660000</v>
      </c>
      <c r="V429">
        <v>0</v>
      </c>
      <c r="W429">
        <v>342600000</v>
      </c>
      <c r="X429">
        <v>476320000</v>
      </c>
    </row>
    <row r="430" spans="1:24">
      <c r="A430">
        <v>235</v>
      </c>
      <c r="B430" t="s">
        <v>1170</v>
      </c>
      <c r="C430">
        <v>1</v>
      </c>
      <c r="D430" t="s">
        <v>1171</v>
      </c>
      <c r="E430">
        <v>15</v>
      </c>
      <c r="F430">
        <v>14</v>
      </c>
      <c r="G430">
        <v>14</v>
      </c>
      <c r="H430" t="s">
        <v>1170</v>
      </c>
      <c r="I430">
        <v>36.700000000000003</v>
      </c>
      <c r="J430">
        <v>46.658999999999999</v>
      </c>
      <c r="K430" t="str">
        <f>"IDH1"</f>
        <v>IDH1</v>
      </c>
      <c r="L430" t="str">
        <f>"IDH1"</f>
        <v>IDH1</v>
      </c>
      <c r="M430">
        <v>208760000</v>
      </c>
      <c r="N430">
        <v>249660000</v>
      </c>
      <c r="O430">
        <v>219510000</v>
      </c>
      <c r="P430">
        <v>203650000</v>
      </c>
      <c r="Q430">
        <v>195040000</v>
      </c>
      <c r="R430">
        <v>332350000</v>
      </c>
      <c r="S430">
        <v>357710000</v>
      </c>
      <c r="T430">
        <v>204090000</v>
      </c>
      <c r="U430">
        <v>303600000</v>
      </c>
      <c r="V430">
        <v>202330000</v>
      </c>
      <c r="W430">
        <v>196480000</v>
      </c>
      <c r="X430">
        <v>334360000</v>
      </c>
    </row>
    <row r="431" spans="1:24">
      <c r="A431">
        <v>495</v>
      </c>
      <c r="B431" t="s">
        <v>1172</v>
      </c>
      <c r="C431">
        <v>1</v>
      </c>
      <c r="D431" t="s">
        <v>1173</v>
      </c>
      <c r="E431">
        <v>10</v>
      </c>
      <c r="F431">
        <v>10</v>
      </c>
      <c r="G431">
        <v>10</v>
      </c>
      <c r="H431" t="s">
        <v>1172</v>
      </c>
      <c r="I431">
        <v>35.4</v>
      </c>
      <c r="J431">
        <v>40.786000000000001</v>
      </c>
      <c r="K431" t="str">
        <f>"UROD"</f>
        <v>UROD</v>
      </c>
      <c r="L431" t="str">
        <f>"UROD"</f>
        <v>UROD</v>
      </c>
      <c r="M431">
        <v>206350000</v>
      </c>
      <c r="N431">
        <v>341470000</v>
      </c>
      <c r="O431">
        <v>572130000</v>
      </c>
      <c r="P431">
        <v>400300000</v>
      </c>
      <c r="Q431">
        <v>175980000</v>
      </c>
      <c r="R431">
        <v>319480000</v>
      </c>
      <c r="S431">
        <v>421860000</v>
      </c>
      <c r="T431">
        <v>382100000</v>
      </c>
      <c r="U431">
        <v>451450000</v>
      </c>
      <c r="V431">
        <v>293790000</v>
      </c>
      <c r="W431">
        <v>371050000</v>
      </c>
      <c r="X431">
        <v>364780000</v>
      </c>
    </row>
    <row r="432" spans="1:24">
      <c r="A432">
        <v>2307</v>
      </c>
      <c r="B432" t="s">
        <v>1174</v>
      </c>
      <c r="C432">
        <v>2</v>
      </c>
      <c r="D432" t="s">
        <v>1175</v>
      </c>
      <c r="E432">
        <v>20</v>
      </c>
      <c r="F432">
        <v>20</v>
      </c>
      <c r="G432">
        <v>20</v>
      </c>
      <c r="H432" t="s">
        <v>1176</v>
      </c>
      <c r="I432">
        <v>60.6</v>
      </c>
      <c r="J432">
        <v>38.058999999999997</v>
      </c>
      <c r="K432" t="str">
        <f>"PA2G4"</f>
        <v>PA2G4</v>
      </c>
      <c r="L432" t="str">
        <f>"PA2G4"</f>
        <v>PA2G4</v>
      </c>
      <c r="M432">
        <v>180380000</v>
      </c>
      <c r="N432">
        <v>337400000</v>
      </c>
      <c r="O432">
        <v>415410000</v>
      </c>
      <c r="P432">
        <v>147280000</v>
      </c>
      <c r="Q432">
        <v>0</v>
      </c>
      <c r="R432">
        <v>482300000</v>
      </c>
      <c r="S432">
        <v>283070000</v>
      </c>
      <c r="T432">
        <v>260400000</v>
      </c>
      <c r="U432">
        <v>224220000</v>
      </c>
      <c r="V432">
        <v>222260000</v>
      </c>
      <c r="W432">
        <v>304370000</v>
      </c>
      <c r="X432">
        <v>354580000</v>
      </c>
    </row>
    <row r="433" spans="1:24">
      <c r="A433">
        <v>1487</v>
      </c>
      <c r="B433" t="s">
        <v>1177</v>
      </c>
      <c r="C433">
        <v>1</v>
      </c>
      <c r="D433" t="s">
        <v>1178</v>
      </c>
      <c r="E433">
        <v>13</v>
      </c>
      <c r="F433">
        <v>13</v>
      </c>
      <c r="G433">
        <v>13</v>
      </c>
      <c r="H433" t="s">
        <v>1177</v>
      </c>
      <c r="I433">
        <v>48.6</v>
      </c>
      <c r="J433">
        <v>32.232999999999997</v>
      </c>
      <c r="K433" t="str">
        <f>"MLEC"</f>
        <v>MLEC</v>
      </c>
      <c r="L433" t="str">
        <f>"MLEC"</f>
        <v>MLEC</v>
      </c>
      <c r="M433">
        <v>286400000</v>
      </c>
      <c r="N433">
        <v>390380000</v>
      </c>
      <c r="O433">
        <v>380150000</v>
      </c>
      <c r="P433">
        <v>362680000</v>
      </c>
      <c r="Q433">
        <v>237150000</v>
      </c>
      <c r="R433">
        <v>402710000</v>
      </c>
      <c r="S433">
        <v>418580000</v>
      </c>
      <c r="T433">
        <v>397850000</v>
      </c>
      <c r="U433">
        <v>390340000</v>
      </c>
      <c r="V433">
        <v>413250000</v>
      </c>
      <c r="W433">
        <v>450260000</v>
      </c>
      <c r="X433">
        <v>390360000</v>
      </c>
    </row>
    <row r="434" spans="1:24">
      <c r="A434">
        <v>527</v>
      </c>
      <c r="B434" t="s">
        <v>1179</v>
      </c>
      <c r="C434">
        <v>1</v>
      </c>
      <c r="D434" t="s">
        <v>1180</v>
      </c>
      <c r="E434">
        <v>16</v>
      </c>
      <c r="F434">
        <v>16</v>
      </c>
      <c r="G434">
        <v>16</v>
      </c>
      <c r="H434" t="s">
        <v>1179</v>
      </c>
      <c r="I434">
        <v>26.9</v>
      </c>
      <c r="J434">
        <v>65.162999999999997</v>
      </c>
      <c r="K434" t="str">
        <f>"C8A"</f>
        <v>C8A</v>
      </c>
      <c r="L434" t="str">
        <f>"C8A"</f>
        <v>C8A</v>
      </c>
      <c r="M434">
        <v>569200000</v>
      </c>
      <c r="N434">
        <v>321550000</v>
      </c>
      <c r="O434">
        <v>280550000</v>
      </c>
      <c r="P434">
        <v>286230000</v>
      </c>
      <c r="Q434">
        <v>450460000</v>
      </c>
      <c r="R434">
        <v>243200000</v>
      </c>
      <c r="S434">
        <v>239870000</v>
      </c>
      <c r="T434">
        <v>321550000</v>
      </c>
      <c r="U434">
        <v>85975000</v>
      </c>
      <c r="V434">
        <v>315490000</v>
      </c>
      <c r="W434">
        <v>405520000</v>
      </c>
      <c r="X434">
        <v>61424000</v>
      </c>
    </row>
    <row r="435" spans="1:24">
      <c r="A435">
        <v>887</v>
      </c>
      <c r="B435" t="s">
        <v>1181</v>
      </c>
      <c r="C435">
        <v>2</v>
      </c>
      <c r="D435" t="s">
        <v>1182</v>
      </c>
      <c r="E435">
        <v>9</v>
      </c>
      <c r="F435">
        <v>9</v>
      </c>
      <c r="G435">
        <v>9</v>
      </c>
      <c r="H435" t="s">
        <v>1183</v>
      </c>
      <c r="I435">
        <v>45.4</v>
      </c>
      <c r="J435">
        <v>22.222000000000001</v>
      </c>
      <c r="K435" t="str">
        <f>"CMPK1"</f>
        <v>CMPK1</v>
      </c>
      <c r="L435" t="str">
        <f>"CMPK1"</f>
        <v>CMPK1</v>
      </c>
      <c r="M435">
        <v>230810000</v>
      </c>
      <c r="N435">
        <v>332270000</v>
      </c>
      <c r="O435">
        <v>336380000</v>
      </c>
      <c r="P435">
        <v>263790000</v>
      </c>
      <c r="Q435">
        <v>271540000</v>
      </c>
      <c r="R435">
        <v>345950000</v>
      </c>
      <c r="S435">
        <v>501730000</v>
      </c>
      <c r="T435">
        <v>302310000</v>
      </c>
      <c r="U435">
        <v>412530000</v>
      </c>
      <c r="V435">
        <v>337060000</v>
      </c>
      <c r="W435">
        <v>357870000</v>
      </c>
      <c r="X435">
        <v>373440000</v>
      </c>
    </row>
    <row r="436" spans="1:24">
      <c r="A436">
        <v>88</v>
      </c>
      <c r="B436" t="s">
        <v>1184</v>
      </c>
      <c r="C436">
        <v>2</v>
      </c>
      <c r="D436" t="s">
        <v>1185</v>
      </c>
      <c r="E436">
        <v>16</v>
      </c>
      <c r="F436">
        <v>16</v>
      </c>
      <c r="G436">
        <v>16</v>
      </c>
      <c r="H436" t="s">
        <v>1186</v>
      </c>
      <c r="I436">
        <v>23.8</v>
      </c>
      <c r="J436">
        <v>84.141000000000005</v>
      </c>
      <c r="K436" t="str">
        <f>"ADAM10"</f>
        <v>ADAM10</v>
      </c>
      <c r="L436" t="str">
        <f>"ADAM10"</f>
        <v>ADAM10</v>
      </c>
      <c r="M436">
        <v>166440000</v>
      </c>
      <c r="N436">
        <v>436130000</v>
      </c>
      <c r="O436">
        <v>309450000</v>
      </c>
      <c r="P436">
        <v>311710000</v>
      </c>
      <c r="Q436">
        <v>229230000</v>
      </c>
      <c r="R436">
        <v>271300000</v>
      </c>
      <c r="S436">
        <v>296610000</v>
      </c>
      <c r="T436">
        <v>263700000</v>
      </c>
      <c r="U436">
        <v>400550000</v>
      </c>
      <c r="V436">
        <v>272740000</v>
      </c>
      <c r="W436">
        <v>285890000</v>
      </c>
      <c r="X436">
        <v>630650000</v>
      </c>
    </row>
    <row r="437" spans="1:24">
      <c r="A437">
        <v>305</v>
      </c>
      <c r="B437" t="s">
        <v>1187</v>
      </c>
      <c r="C437">
        <v>4</v>
      </c>
      <c r="D437" t="s">
        <v>1188</v>
      </c>
      <c r="E437">
        <v>14</v>
      </c>
      <c r="F437">
        <v>14</v>
      </c>
      <c r="G437">
        <v>14</v>
      </c>
      <c r="H437" t="s">
        <v>1189</v>
      </c>
      <c r="I437">
        <v>67.5</v>
      </c>
      <c r="J437">
        <v>21.635000000000002</v>
      </c>
      <c r="K437" t="str">
        <f>"AK1;AK5"</f>
        <v>AK1;AK5</v>
      </c>
      <c r="L437" t="str">
        <f>"AK1;AK5"</f>
        <v>AK1;AK5</v>
      </c>
      <c r="M437">
        <v>131300000</v>
      </c>
      <c r="N437">
        <v>387800000</v>
      </c>
      <c r="O437">
        <v>443520000</v>
      </c>
      <c r="P437">
        <v>321490000</v>
      </c>
      <c r="Q437">
        <v>311490000</v>
      </c>
      <c r="R437">
        <v>290070000</v>
      </c>
      <c r="S437">
        <v>177240000</v>
      </c>
      <c r="T437">
        <v>297260000</v>
      </c>
      <c r="U437">
        <v>310880000</v>
      </c>
      <c r="V437">
        <v>489090000</v>
      </c>
      <c r="W437">
        <v>107150000</v>
      </c>
      <c r="X437">
        <v>238880000</v>
      </c>
    </row>
    <row r="438" spans="1:24">
      <c r="A438">
        <v>1718</v>
      </c>
      <c r="B438" t="s">
        <v>1190</v>
      </c>
      <c r="C438">
        <v>1</v>
      </c>
      <c r="D438" t="s">
        <v>1191</v>
      </c>
      <c r="E438">
        <v>14</v>
      </c>
      <c r="F438">
        <v>14</v>
      </c>
      <c r="G438">
        <v>7</v>
      </c>
      <c r="H438" t="s">
        <v>1190</v>
      </c>
      <c r="I438">
        <v>43.8</v>
      </c>
      <c r="J438">
        <v>53.287999999999997</v>
      </c>
      <c r="K438" t="str">
        <f>"DOK3"</f>
        <v>DOK3</v>
      </c>
      <c r="L438" t="str">
        <f>"DOK3"</f>
        <v>DOK3</v>
      </c>
      <c r="M438">
        <v>273330000</v>
      </c>
      <c r="N438">
        <v>468130000</v>
      </c>
      <c r="O438">
        <v>360350000</v>
      </c>
      <c r="P438">
        <v>149300000</v>
      </c>
      <c r="Q438">
        <v>206500000</v>
      </c>
      <c r="R438">
        <v>303720000</v>
      </c>
      <c r="S438">
        <v>366500000</v>
      </c>
      <c r="T438">
        <v>293200000</v>
      </c>
      <c r="U438">
        <v>362290000</v>
      </c>
      <c r="V438">
        <v>338870000</v>
      </c>
      <c r="W438">
        <v>235830000</v>
      </c>
      <c r="X438">
        <v>352190000</v>
      </c>
    </row>
    <row r="439" spans="1:24">
      <c r="A439">
        <v>345</v>
      </c>
      <c r="B439" t="s">
        <v>1192</v>
      </c>
      <c r="C439">
        <v>1</v>
      </c>
      <c r="D439" t="s">
        <v>1193</v>
      </c>
      <c r="E439">
        <v>3</v>
      </c>
      <c r="F439">
        <v>3</v>
      </c>
      <c r="G439">
        <v>2</v>
      </c>
      <c r="H439" t="s">
        <v>1192</v>
      </c>
      <c r="I439">
        <v>31.5</v>
      </c>
      <c r="J439">
        <v>11.84</v>
      </c>
      <c r="K439" t="s">
        <v>1194</v>
      </c>
      <c r="L439" t="s">
        <v>1194</v>
      </c>
      <c r="M439">
        <v>648020000</v>
      </c>
      <c r="N439">
        <v>320560000</v>
      </c>
      <c r="O439">
        <v>520730000</v>
      </c>
      <c r="P439">
        <v>974170000</v>
      </c>
      <c r="Q439">
        <v>815930000</v>
      </c>
      <c r="R439">
        <v>287990000</v>
      </c>
      <c r="S439">
        <v>339110000</v>
      </c>
      <c r="T439">
        <v>659740000</v>
      </c>
      <c r="U439">
        <v>303600000</v>
      </c>
      <c r="V439">
        <v>646590000</v>
      </c>
      <c r="W439">
        <v>575330000</v>
      </c>
      <c r="X439">
        <v>357760000</v>
      </c>
    </row>
    <row r="440" spans="1:24">
      <c r="A440">
        <v>477</v>
      </c>
      <c r="B440" t="s">
        <v>1195</v>
      </c>
      <c r="C440">
        <v>2</v>
      </c>
      <c r="D440" t="s">
        <v>1196</v>
      </c>
      <c r="E440">
        <v>10</v>
      </c>
      <c r="F440">
        <v>10</v>
      </c>
      <c r="G440">
        <v>10</v>
      </c>
      <c r="H440" t="s">
        <v>1197</v>
      </c>
      <c r="I440">
        <v>33.299999999999997</v>
      </c>
      <c r="J440">
        <v>45.058999999999997</v>
      </c>
      <c r="K440" t="str">
        <f>"SERPINE1"</f>
        <v>SERPINE1</v>
      </c>
      <c r="L440" t="str">
        <f>"SERPINE1"</f>
        <v>SERPINE1</v>
      </c>
      <c r="M440">
        <v>130110000</v>
      </c>
      <c r="N440">
        <v>355740000</v>
      </c>
      <c r="O440">
        <v>351520000</v>
      </c>
      <c r="P440">
        <v>207190000</v>
      </c>
      <c r="Q440">
        <v>0</v>
      </c>
      <c r="R440">
        <v>330290000</v>
      </c>
      <c r="S440">
        <v>429950000</v>
      </c>
      <c r="T440">
        <v>147850000</v>
      </c>
      <c r="U440">
        <v>496490000</v>
      </c>
      <c r="V440">
        <v>254380000</v>
      </c>
      <c r="W440">
        <v>307290000</v>
      </c>
      <c r="X440">
        <v>278530000</v>
      </c>
    </row>
    <row r="441" spans="1:24">
      <c r="A441">
        <v>594</v>
      </c>
      <c r="B441" t="s">
        <v>1198</v>
      </c>
      <c r="C441">
        <v>1</v>
      </c>
      <c r="D441" t="s">
        <v>1199</v>
      </c>
      <c r="E441">
        <v>10</v>
      </c>
      <c r="F441">
        <v>3</v>
      </c>
      <c r="G441">
        <v>3</v>
      </c>
      <c r="H441" t="s">
        <v>1198</v>
      </c>
      <c r="I441">
        <v>23.6</v>
      </c>
      <c r="J441">
        <v>39.454999999999998</v>
      </c>
      <c r="K441" t="str">
        <f>"ALDOC"</f>
        <v>ALDOC</v>
      </c>
      <c r="L441" t="str">
        <f>"ALDOC"</f>
        <v>ALDOC</v>
      </c>
      <c r="M441">
        <v>150030000</v>
      </c>
      <c r="N441">
        <v>362720000</v>
      </c>
      <c r="O441">
        <v>432050000</v>
      </c>
      <c r="P441">
        <v>483200000</v>
      </c>
      <c r="Q441">
        <v>0</v>
      </c>
      <c r="R441">
        <v>380190000</v>
      </c>
      <c r="S441">
        <v>274020000</v>
      </c>
      <c r="T441">
        <v>256200000</v>
      </c>
      <c r="U441">
        <v>433210000</v>
      </c>
      <c r="V441">
        <v>401010000</v>
      </c>
      <c r="W441">
        <v>565370000</v>
      </c>
      <c r="X441">
        <v>733420000</v>
      </c>
    </row>
    <row r="442" spans="1:24">
      <c r="A442">
        <v>1511</v>
      </c>
      <c r="B442" t="s">
        <v>1200</v>
      </c>
      <c r="C442">
        <v>3</v>
      </c>
      <c r="D442" t="s">
        <v>1201</v>
      </c>
      <c r="E442">
        <v>19</v>
      </c>
      <c r="F442">
        <v>19</v>
      </c>
      <c r="G442">
        <v>19</v>
      </c>
      <c r="H442" t="s">
        <v>1202</v>
      </c>
      <c r="I442">
        <v>31.4</v>
      </c>
      <c r="J442">
        <v>68.259</v>
      </c>
      <c r="K442" t="str">
        <f>"CLINT1"</f>
        <v>CLINT1</v>
      </c>
      <c r="L442" t="str">
        <f>"CLINT1"</f>
        <v>CLINT1</v>
      </c>
      <c r="M442">
        <v>0</v>
      </c>
      <c r="N442">
        <v>242740000</v>
      </c>
      <c r="O442">
        <v>296060000</v>
      </c>
      <c r="P442">
        <v>272920000</v>
      </c>
      <c r="Q442">
        <v>190160000</v>
      </c>
      <c r="R442">
        <v>296730000</v>
      </c>
      <c r="S442">
        <v>149790000</v>
      </c>
      <c r="T442">
        <v>168730000</v>
      </c>
      <c r="U442">
        <v>283530000</v>
      </c>
      <c r="V442">
        <v>286490000</v>
      </c>
      <c r="W442">
        <v>158260000</v>
      </c>
      <c r="X442">
        <v>236250000</v>
      </c>
    </row>
    <row r="443" spans="1:24">
      <c r="A443">
        <v>568</v>
      </c>
      <c r="B443" t="s">
        <v>1203</v>
      </c>
      <c r="C443">
        <v>1</v>
      </c>
      <c r="D443" t="s">
        <v>1204</v>
      </c>
      <c r="E443">
        <v>12</v>
      </c>
      <c r="F443">
        <v>12</v>
      </c>
      <c r="G443">
        <v>12</v>
      </c>
      <c r="H443" t="s">
        <v>1203</v>
      </c>
      <c r="I443">
        <v>29.7</v>
      </c>
      <c r="J443">
        <v>35.936</v>
      </c>
      <c r="K443" t="str">
        <f>"ANXA5"</f>
        <v>ANXA5</v>
      </c>
      <c r="L443" t="str">
        <f>"ANXA5"</f>
        <v>ANXA5</v>
      </c>
      <c r="M443">
        <v>203300000</v>
      </c>
      <c r="N443">
        <v>463430000</v>
      </c>
      <c r="O443">
        <v>359140000</v>
      </c>
      <c r="P443">
        <v>235750000</v>
      </c>
      <c r="Q443">
        <v>526390000</v>
      </c>
      <c r="R443">
        <v>409190000</v>
      </c>
      <c r="S443">
        <v>276720000</v>
      </c>
      <c r="T443">
        <v>394810000</v>
      </c>
      <c r="U443">
        <v>904700000</v>
      </c>
      <c r="V443">
        <v>312710000</v>
      </c>
      <c r="W443">
        <v>346260000</v>
      </c>
      <c r="X443">
        <v>355620000</v>
      </c>
    </row>
    <row r="444" spans="1:24">
      <c r="A444">
        <v>1165</v>
      </c>
      <c r="B444" t="s">
        <v>1205</v>
      </c>
      <c r="C444">
        <v>1</v>
      </c>
      <c r="D444" t="s">
        <v>1206</v>
      </c>
      <c r="E444">
        <v>23</v>
      </c>
      <c r="F444">
        <v>23</v>
      </c>
      <c r="G444">
        <v>23</v>
      </c>
      <c r="H444" t="s">
        <v>1205</v>
      </c>
      <c r="I444">
        <v>33.700000000000003</v>
      </c>
      <c r="J444">
        <v>107.14</v>
      </c>
      <c r="K444" t="str">
        <f>"COPB1"</f>
        <v>COPB1</v>
      </c>
      <c r="L444" t="str">
        <f>"COPB1"</f>
        <v>COPB1</v>
      </c>
      <c r="M444">
        <v>233120000</v>
      </c>
      <c r="N444">
        <v>204990000</v>
      </c>
      <c r="O444">
        <v>387360000</v>
      </c>
      <c r="P444">
        <v>159390000</v>
      </c>
      <c r="Q444">
        <v>177560000</v>
      </c>
      <c r="R444">
        <v>361230000</v>
      </c>
      <c r="S444">
        <v>270240000</v>
      </c>
      <c r="T444">
        <v>0</v>
      </c>
      <c r="U444">
        <v>490120000</v>
      </c>
      <c r="V444">
        <v>332700000</v>
      </c>
      <c r="W444">
        <v>500110000</v>
      </c>
      <c r="X444">
        <v>310740000</v>
      </c>
    </row>
    <row r="445" spans="1:24">
      <c r="A445">
        <v>755</v>
      </c>
      <c r="B445" t="s">
        <v>1207</v>
      </c>
      <c r="C445">
        <v>2</v>
      </c>
      <c r="D445" t="s">
        <v>1208</v>
      </c>
      <c r="E445">
        <v>19</v>
      </c>
      <c r="F445">
        <v>19</v>
      </c>
      <c r="G445">
        <v>19</v>
      </c>
      <c r="H445" t="s">
        <v>1209</v>
      </c>
      <c r="I445">
        <v>49.6</v>
      </c>
      <c r="J445">
        <v>49.954999999999998</v>
      </c>
      <c r="K445" t="str">
        <f>"TYMP"</f>
        <v>TYMP</v>
      </c>
      <c r="L445" t="str">
        <f>"TYMP"</f>
        <v>TYMP</v>
      </c>
      <c r="M445">
        <v>222320000</v>
      </c>
      <c r="N445">
        <v>213940000</v>
      </c>
      <c r="O445">
        <v>316060000</v>
      </c>
      <c r="P445">
        <v>384790000</v>
      </c>
      <c r="Q445">
        <v>393080000</v>
      </c>
      <c r="R445">
        <v>529920000</v>
      </c>
      <c r="S445">
        <v>200690000</v>
      </c>
      <c r="T445">
        <v>310970000</v>
      </c>
      <c r="U445">
        <v>517420000</v>
      </c>
      <c r="V445">
        <v>0</v>
      </c>
      <c r="W445">
        <v>288250000</v>
      </c>
      <c r="X445">
        <v>628140000</v>
      </c>
    </row>
    <row r="446" spans="1:24">
      <c r="A446">
        <v>804</v>
      </c>
      <c r="B446" t="s">
        <v>1210</v>
      </c>
      <c r="C446">
        <v>4</v>
      </c>
      <c r="D446" t="s">
        <v>1211</v>
      </c>
      <c r="E446">
        <v>16</v>
      </c>
      <c r="F446">
        <v>16</v>
      </c>
      <c r="G446">
        <v>16</v>
      </c>
      <c r="H446" t="s">
        <v>1212</v>
      </c>
      <c r="I446">
        <v>31.5</v>
      </c>
      <c r="J446">
        <v>65.442999999999998</v>
      </c>
      <c r="K446" t="str">
        <f>"ME2;ME3"</f>
        <v>ME2;ME3</v>
      </c>
      <c r="L446" t="str">
        <f>"ME2;ME3"</f>
        <v>ME2;ME3</v>
      </c>
      <c r="M446">
        <v>0</v>
      </c>
      <c r="N446">
        <v>442410000</v>
      </c>
      <c r="O446">
        <v>326270000</v>
      </c>
      <c r="P446">
        <v>228520000</v>
      </c>
      <c r="Q446">
        <v>174180000</v>
      </c>
      <c r="R446">
        <v>332520000</v>
      </c>
      <c r="S446">
        <v>1013700000</v>
      </c>
      <c r="T446">
        <v>321300000</v>
      </c>
      <c r="U446">
        <v>630140000</v>
      </c>
      <c r="V446">
        <v>346260000</v>
      </c>
      <c r="W446">
        <v>231340000</v>
      </c>
      <c r="X446">
        <v>894280000</v>
      </c>
    </row>
    <row r="447" spans="1:24">
      <c r="A447">
        <v>1431</v>
      </c>
      <c r="B447" t="s">
        <v>1213</v>
      </c>
      <c r="C447">
        <v>1</v>
      </c>
      <c r="D447" t="s">
        <v>1214</v>
      </c>
      <c r="E447">
        <v>13</v>
      </c>
      <c r="F447">
        <v>10</v>
      </c>
      <c r="G447">
        <v>10</v>
      </c>
      <c r="H447" t="s">
        <v>1213</v>
      </c>
      <c r="I447">
        <v>57.6</v>
      </c>
      <c r="J447">
        <v>30.54</v>
      </c>
      <c r="K447" t="str">
        <f>"PRDX4"</f>
        <v>PRDX4</v>
      </c>
      <c r="L447" t="str">
        <f>"PRDX4"</f>
        <v>PRDX4</v>
      </c>
      <c r="M447">
        <v>257660000</v>
      </c>
      <c r="N447">
        <v>441730000</v>
      </c>
      <c r="O447">
        <v>482860000</v>
      </c>
      <c r="P447">
        <v>254760000</v>
      </c>
      <c r="Q447">
        <v>0</v>
      </c>
      <c r="R447">
        <v>320380000</v>
      </c>
      <c r="S447">
        <v>280510000</v>
      </c>
      <c r="T447">
        <v>252180000</v>
      </c>
      <c r="U447">
        <v>479350000</v>
      </c>
      <c r="V447">
        <v>242290000</v>
      </c>
      <c r="W447">
        <v>431750000</v>
      </c>
      <c r="X447">
        <v>473800000</v>
      </c>
    </row>
    <row r="448" spans="1:24">
      <c r="A448">
        <v>648</v>
      </c>
      <c r="B448" t="s">
        <v>1215</v>
      </c>
      <c r="C448">
        <v>3</v>
      </c>
      <c r="D448" t="s">
        <v>1216</v>
      </c>
      <c r="E448">
        <v>15</v>
      </c>
      <c r="F448">
        <v>15</v>
      </c>
      <c r="G448">
        <v>6</v>
      </c>
      <c r="H448" t="s">
        <v>1217</v>
      </c>
      <c r="I448">
        <v>49.3</v>
      </c>
      <c r="J448">
        <v>32.866</v>
      </c>
      <c r="K448" t="str">
        <f>"SLC25A6;SLC25A4;SLC25A31"</f>
        <v>SLC25A6;SLC25A4;SLC25A31</v>
      </c>
      <c r="L448" t="str">
        <f>"SLC25A6;SLC25A4;SLC25A31"</f>
        <v>SLC25A6;SLC25A4;SLC25A31</v>
      </c>
      <c r="M448">
        <v>462380000</v>
      </c>
      <c r="N448">
        <v>683150000</v>
      </c>
      <c r="O448">
        <v>548820000</v>
      </c>
      <c r="P448">
        <v>488840000</v>
      </c>
      <c r="Q448">
        <v>493710000</v>
      </c>
      <c r="R448">
        <v>984620000</v>
      </c>
      <c r="S448" s="8">
        <v>1102000000</v>
      </c>
      <c r="T448">
        <v>1007300000</v>
      </c>
      <c r="U448">
        <v>1295300000</v>
      </c>
      <c r="V448">
        <v>700520000</v>
      </c>
      <c r="W448">
        <v>600820000</v>
      </c>
      <c r="X448">
        <v>822370000</v>
      </c>
    </row>
    <row r="449" spans="1:24">
      <c r="A449">
        <v>884</v>
      </c>
      <c r="B449" t="s">
        <v>1218</v>
      </c>
      <c r="C449">
        <v>2</v>
      </c>
      <c r="D449" t="s">
        <v>1219</v>
      </c>
      <c r="E449">
        <v>9</v>
      </c>
      <c r="F449">
        <v>9</v>
      </c>
      <c r="G449">
        <v>9</v>
      </c>
      <c r="H449" t="s">
        <v>1220</v>
      </c>
      <c r="I449">
        <v>46.6</v>
      </c>
      <c r="J449">
        <v>25.838000000000001</v>
      </c>
      <c r="K449" t="str">
        <f>"PRDX3"</f>
        <v>PRDX3</v>
      </c>
      <c r="L449" t="str">
        <f>"PRDX3"</f>
        <v>PRDX3</v>
      </c>
      <c r="M449">
        <v>263240000</v>
      </c>
      <c r="N449">
        <v>528780000</v>
      </c>
      <c r="O449">
        <v>477580000</v>
      </c>
      <c r="P449">
        <v>371650000</v>
      </c>
      <c r="Q449">
        <v>529400000</v>
      </c>
      <c r="R449">
        <v>417220000</v>
      </c>
      <c r="S449">
        <v>693280000</v>
      </c>
      <c r="T449">
        <v>577140000</v>
      </c>
      <c r="U449">
        <v>733030000</v>
      </c>
      <c r="V449">
        <v>399310000</v>
      </c>
      <c r="W449">
        <v>661630000</v>
      </c>
      <c r="X449">
        <v>750960000</v>
      </c>
    </row>
    <row r="450" spans="1:24">
      <c r="A450">
        <v>969</v>
      </c>
      <c r="B450" t="s">
        <v>1221</v>
      </c>
      <c r="C450">
        <v>3</v>
      </c>
      <c r="D450" t="s">
        <v>1222</v>
      </c>
      <c r="E450">
        <v>13</v>
      </c>
      <c r="F450">
        <v>13</v>
      </c>
      <c r="G450">
        <v>12</v>
      </c>
      <c r="H450" t="s">
        <v>1223</v>
      </c>
      <c r="I450">
        <v>42.9</v>
      </c>
      <c r="J450">
        <v>42.447000000000003</v>
      </c>
      <c r="K450" t="str">
        <f>"PPM1A"</f>
        <v>PPM1A</v>
      </c>
      <c r="L450" t="str">
        <f>"PPM1A"</f>
        <v>PPM1A</v>
      </c>
      <c r="M450">
        <v>0</v>
      </c>
      <c r="N450">
        <v>319040000</v>
      </c>
      <c r="O450">
        <v>300100000</v>
      </c>
      <c r="P450">
        <v>347970000</v>
      </c>
      <c r="Q450">
        <v>197740000</v>
      </c>
      <c r="R450">
        <v>308400000</v>
      </c>
      <c r="S450">
        <v>417190000</v>
      </c>
      <c r="T450" s="8">
        <v>297000000</v>
      </c>
      <c r="U450">
        <v>274480000</v>
      </c>
      <c r="V450">
        <v>241670000</v>
      </c>
      <c r="W450">
        <v>475160000</v>
      </c>
      <c r="X450">
        <v>249730000</v>
      </c>
    </row>
    <row r="451" spans="1:24">
      <c r="A451">
        <v>1066</v>
      </c>
      <c r="B451" t="s">
        <v>1224</v>
      </c>
      <c r="C451">
        <v>2</v>
      </c>
      <c r="D451" t="s">
        <v>1225</v>
      </c>
      <c r="E451">
        <v>18</v>
      </c>
      <c r="F451">
        <v>18</v>
      </c>
      <c r="G451">
        <v>18</v>
      </c>
      <c r="H451" t="s">
        <v>1226</v>
      </c>
      <c r="I451">
        <v>38</v>
      </c>
      <c r="J451">
        <v>57.21</v>
      </c>
      <c r="K451" t="str">
        <f>"ARCN1"</f>
        <v>ARCN1</v>
      </c>
      <c r="L451" t="str">
        <f>"ARCN1"</f>
        <v>ARCN1</v>
      </c>
      <c r="M451">
        <v>113820000</v>
      </c>
      <c r="N451">
        <v>252410000</v>
      </c>
      <c r="O451">
        <v>246910000</v>
      </c>
      <c r="P451">
        <v>144390000</v>
      </c>
      <c r="Q451">
        <v>161900000</v>
      </c>
      <c r="R451">
        <v>185550000</v>
      </c>
      <c r="S451">
        <v>308460000</v>
      </c>
      <c r="T451">
        <v>84156000</v>
      </c>
      <c r="U451">
        <v>343460000</v>
      </c>
      <c r="V451">
        <v>142810000</v>
      </c>
      <c r="W451">
        <v>261330000</v>
      </c>
      <c r="X451">
        <v>333160000</v>
      </c>
    </row>
    <row r="452" spans="1:24">
      <c r="A452">
        <v>1333</v>
      </c>
      <c r="B452" t="s">
        <v>1227</v>
      </c>
      <c r="C452">
        <v>2</v>
      </c>
      <c r="D452" t="s">
        <v>1228</v>
      </c>
      <c r="E452">
        <v>15</v>
      </c>
      <c r="F452">
        <v>15</v>
      </c>
      <c r="G452">
        <v>15</v>
      </c>
      <c r="H452" t="s">
        <v>1229</v>
      </c>
      <c r="I452">
        <v>36.6</v>
      </c>
      <c r="J452">
        <v>39.957999999999998</v>
      </c>
      <c r="K452" t="str">
        <f>"SLC25A3"</f>
        <v>SLC25A3</v>
      </c>
      <c r="L452" t="str">
        <f>"SLC25A3"</f>
        <v>SLC25A3</v>
      </c>
      <c r="M452">
        <v>383380000</v>
      </c>
      <c r="N452">
        <v>426860000</v>
      </c>
      <c r="O452">
        <v>285060000</v>
      </c>
      <c r="P452">
        <v>201880000</v>
      </c>
      <c r="Q452">
        <v>255340000</v>
      </c>
      <c r="R452">
        <v>365370000</v>
      </c>
      <c r="S452">
        <v>359320000</v>
      </c>
      <c r="T452">
        <v>392850000</v>
      </c>
      <c r="U452">
        <v>346560000</v>
      </c>
      <c r="V452">
        <v>288440000</v>
      </c>
      <c r="W452">
        <v>491270000</v>
      </c>
      <c r="X452">
        <v>444820000</v>
      </c>
    </row>
    <row r="453" spans="1:24">
      <c r="A453">
        <v>1909</v>
      </c>
      <c r="B453" t="s">
        <v>1230</v>
      </c>
      <c r="C453">
        <v>1</v>
      </c>
      <c r="D453" t="s">
        <v>1231</v>
      </c>
      <c r="E453">
        <v>8</v>
      </c>
      <c r="F453">
        <v>8</v>
      </c>
      <c r="G453">
        <v>8</v>
      </c>
      <c r="H453" t="s">
        <v>1230</v>
      </c>
      <c r="I453">
        <v>35.4</v>
      </c>
      <c r="J453">
        <v>41.176000000000002</v>
      </c>
      <c r="K453" t="str">
        <f>"ESAM"</f>
        <v>ESAM</v>
      </c>
      <c r="L453" t="str">
        <f>"ESAM"</f>
        <v>ESAM</v>
      </c>
      <c r="M453">
        <v>350580000</v>
      </c>
      <c r="N453">
        <v>501050000</v>
      </c>
      <c r="O453">
        <v>699450000</v>
      </c>
      <c r="P453">
        <v>459080000</v>
      </c>
      <c r="Q453">
        <v>327670000</v>
      </c>
      <c r="R453">
        <v>618040000</v>
      </c>
      <c r="S453">
        <v>380560000</v>
      </c>
      <c r="T453">
        <v>352800000</v>
      </c>
      <c r="U453">
        <v>678520000</v>
      </c>
      <c r="V453">
        <v>735080000</v>
      </c>
      <c r="W453">
        <v>572810000</v>
      </c>
      <c r="X453">
        <v>690280000</v>
      </c>
    </row>
    <row r="454" spans="1:24">
      <c r="A454">
        <v>2150</v>
      </c>
      <c r="B454" t="s">
        <v>1232</v>
      </c>
      <c r="C454">
        <v>3</v>
      </c>
      <c r="D454" t="s">
        <v>1233</v>
      </c>
      <c r="E454">
        <v>15</v>
      </c>
      <c r="F454">
        <v>15</v>
      </c>
      <c r="G454">
        <v>15</v>
      </c>
      <c r="H454" t="s">
        <v>1234</v>
      </c>
      <c r="I454">
        <v>57.1</v>
      </c>
      <c r="J454">
        <v>22.367000000000001</v>
      </c>
      <c r="K454" t="str">
        <f>"SAR1A;SAR1B"</f>
        <v>SAR1A;SAR1B</v>
      </c>
      <c r="L454" t="str">
        <f>"SAR1A;SAR1B"</f>
        <v>SAR1A;SAR1B</v>
      </c>
      <c r="M454">
        <v>590290000</v>
      </c>
      <c r="N454">
        <v>510810000</v>
      </c>
      <c r="O454">
        <v>501710000</v>
      </c>
      <c r="P454">
        <v>473090000</v>
      </c>
      <c r="Q454">
        <v>327340000</v>
      </c>
      <c r="R454">
        <v>968220000</v>
      </c>
      <c r="S454">
        <v>816990000</v>
      </c>
      <c r="T454">
        <v>875640000</v>
      </c>
      <c r="U454">
        <v>860750000</v>
      </c>
      <c r="V454">
        <v>776910000</v>
      </c>
      <c r="W454">
        <v>626090000</v>
      </c>
      <c r="X454">
        <v>941910000</v>
      </c>
    </row>
    <row r="455" spans="1:24">
      <c r="A455">
        <v>1013</v>
      </c>
      <c r="B455" t="s">
        <v>1235</v>
      </c>
      <c r="C455">
        <v>1</v>
      </c>
      <c r="D455" t="s">
        <v>1236</v>
      </c>
      <c r="E455">
        <v>20</v>
      </c>
      <c r="F455">
        <v>20</v>
      </c>
      <c r="G455">
        <v>20</v>
      </c>
      <c r="H455" t="s">
        <v>1235</v>
      </c>
      <c r="I455">
        <v>31.7</v>
      </c>
      <c r="J455">
        <v>83.165000000000006</v>
      </c>
      <c r="K455" t="str">
        <f>"GARS"</f>
        <v>GARS</v>
      </c>
      <c r="L455" t="str">
        <f>"GARS"</f>
        <v>GARS</v>
      </c>
      <c r="M455">
        <v>231180000</v>
      </c>
      <c r="N455">
        <v>263640000</v>
      </c>
      <c r="O455">
        <v>293040000</v>
      </c>
      <c r="P455">
        <v>175880000</v>
      </c>
      <c r="Q455">
        <v>242720000</v>
      </c>
      <c r="R455">
        <v>282970000</v>
      </c>
      <c r="S455">
        <v>259400000</v>
      </c>
      <c r="T455">
        <v>228080000</v>
      </c>
      <c r="U455">
        <v>155220000</v>
      </c>
      <c r="V455">
        <v>210880000</v>
      </c>
      <c r="W455">
        <v>188390000</v>
      </c>
      <c r="X455">
        <v>279670000</v>
      </c>
    </row>
    <row r="456" spans="1:24">
      <c r="A456">
        <v>878</v>
      </c>
      <c r="B456" t="s">
        <v>1237</v>
      </c>
      <c r="C456">
        <v>2</v>
      </c>
      <c r="D456" t="s">
        <v>1238</v>
      </c>
      <c r="E456">
        <v>9</v>
      </c>
      <c r="F456">
        <v>9</v>
      </c>
      <c r="G456">
        <v>9</v>
      </c>
      <c r="H456" t="s">
        <v>1239</v>
      </c>
      <c r="I456">
        <v>34.5</v>
      </c>
      <c r="J456">
        <v>28.992999999999999</v>
      </c>
      <c r="K456" t="str">
        <f>"ERP29"</f>
        <v>ERP29</v>
      </c>
      <c r="L456" t="str">
        <f>"ERP29"</f>
        <v>ERP29</v>
      </c>
      <c r="M456">
        <v>248600000</v>
      </c>
      <c r="N456">
        <v>456010000</v>
      </c>
      <c r="O456">
        <v>471200000</v>
      </c>
      <c r="P456">
        <v>192790000</v>
      </c>
      <c r="Q456">
        <v>413460000</v>
      </c>
      <c r="R456">
        <v>462760000</v>
      </c>
      <c r="S456">
        <v>424670000</v>
      </c>
      <c r="T456">
        <v>339460000</v>
      </c>
      <c r="U456">
        <v>596450000</v>
      </c>
      <c r="V456">
        <v>331330000</v>
      </c>
      <c r="W456">
        <v>289050000</v>
      </c>
      <c r="X456">
        <v>506780000</v>
      </c>
    </row>
    <row r="457" spans="1:24">
      <c r="A457">
        <v>929</v>
      </c>
      <c r="B457" t="s">
        <v>1240</v>
      </c>
      <c r="C457">
        <v>2</v>
      </c>
      <c r="D457" t="s">
        <v>1241</v>
      </c>
      <c r="E457">
        <v>19</v>
      </c>
      <c r="F457">
        <v>19</v>
      </c>
      <c r="G457">
        <v>19</v>
      </c>
      <c r="H457" t="s">
        <v>1242</v>
      </c>
      <c r="I457">
        <v>39.9</v>
      </c>
      <c r="J457">
        <v>64.522999999999996</v>
      </c>
      <c r="K457" t="str">
        <f>"ATIC"</f>
        <v>ATIC</v>
      </c>
      <c r="L457" t="str">
        <f>"ATIC"</f>
        <v>ATIC</v>
      </c>
      <c r="M457">
        <v>278530000</v>
      </c>
      <c r="N457">
        <v>385230000</v>
      </c>
      <c r="O457">
        <v>379950000</v>
      </c>
      <c r="P457">
        <v>268490000</v>
      </c>
      <c r="Q457">
        <v>304750000</v>
      </c>
      <c r="R457">
        <v>383760000</v>
      </c>
      <c r="S457">
        <v>323380000</v>
      </c>
      <c r="T457">
        <v>294330000</v>
      </c>
      <c r="U457">
        <v>327870000</v>
      </c>
      <c r="V457">
        <v>341170000</v>
      </c>
      <c r="W457">
        <v>167440000</v>
      </c>
      <c r="X457">
        <v>269280000</v>
      </c>
    </row>
    <row r="458" spans="1:24">
      <c r="A458">
        <v>296</v>
      </c>
      <c r="B458" t="s">
        <v>1243</v>
      </c>
      <c r="C458">
        <v>5</v>
      </c>
      <c r="D458" t="s">
        <v>1244</v>
      </c>
      <c r="E458">
        <v>14</v>
      </c>
      <c r="F458">
        <v>14</v>
      </c>
      <c r="G458">
        <v>14</v>
      </c>
      <c r="H458" t="s">
        <v>1245</v>
      </c>
      <c r="I458">
        <v>36.5</v>
      </c>
      <c r="J458">
        <v>51.7</v>
      </c>
      <c r="K458" t="str">
        <f>"GSR"</f>
        <v>GSR</v>
      </c>
      <c r="L458" t="str">
        <f>"GSR"</f>
        <v>GSR</v>
      </c>
      <c r="M458">
        <v>325200000</v>
      </c>
      <c r="N458">
        <v>484320000</v>
      </c>
      <c r="O458">
        <v>370630000</v>
      </c>
      <c r="P458">
        <v>541960000</v>
      </c>
      <c r="Q458">
        <v>319040000</v>
      </c>
      <c r="R458">
        <v>648400000</v>
      </c>
      <c r="S458">
        <v>604160000</v>
      </c>
      <c r="T458">
        <v>444060000</v>
      </c>
      <c r="U458">
        <v>662250000</v>
      </c>
      <c r="V458">
        <v>657660000</v>
      </c>
      <c r="W458">
        <v>589870000</v>
      </c>
      <c r="X458">
        <v>659540000</v>
      </c>
    </row>
    <row r="459" spans="1:24">
      <c r="A459">
        <v>743</v>
      </c>
      <c r="B459" t="s">
        <v>1246</v>
      </c>
      <c r="C459">
        <v>3</v>
      </c>
      <c r="D459" t="s">
        <v>1247</v>
      </c>
      <c r="E459">
        <v>13</v>
      </c>
      <c r="F459">
        <v>13</v>
      </c>
      <c r="G459">
        <v>13</v>
      </c>
      <c r="H459" t="s">
        <v>1248</v>
      </c>
      <c r="I459">
        <v>54.3</v>
      </c>
      <c r="J459">
        <v>28.803999999999998</v>
      </c>
      <c r="K459" t="str">
        <f>"PGAM1;PGAM2;PGAM4"</f>
        <v>PGAM1;PGAM2;PGAM4</v>
      </c>
      <c r="L459" t="str">
        <f>"PGAM1;PGAM2;PGAM4"</f>
        <v>PGAM1;PGAM2;PGAM4</v>
      </c>
      <c r="M459">
        <v>495910000</v>
      </c>
      <c r="N459">
        <v>457180000</v>
      </c>
      <c r="O459">
        <v>499200000</v>
      </c>
      <c r="P459">
        <v>432920000</v>
      </c>
      <c r="Q459">
        <v>377490000</v>
      </c>
      <c r="R459">
        <v>572600000</v>
      </c>
      <c r="S459">
        <v>326260000</v>
      </c>
      <c r="T459">
        <v>362340000</v>
      </c>
      <c r="U459">
        <v>423340000</v>
      </c>
      <c r="V459">
        <v>534960000</v>
      </c>
      <c r="W459">
        <v>298520000</v>
      </c>
      <c r="X459">
        <v>381170000</v>
      </c>
    </row>
    <row r="460" spans="1:24">
      <c r="A460">
        <v>1006</v>
      </c>
      <c r="B460" t="s">
        <v>1249</v>
      </c>
      <c r="C460">
        <v>3</v>
      </c>
      <c r="D460" t="s">
        <v>1250</v>
      </c>
      <c r="E460">
        <v>12</v>
      </c>
      <c r="F460">
        <v>12</v>
      </c>
      <c r="G460">
        <v>12</v>
      </c>
      <c r="H460" t="s">
        <v>1251</v>
      </c>
      <c r="I460">
        <v>44.3</v>
      </c>
      <c r="J460">
        <v>36.426000000000002</v>
      </c>
      <c r="K460" t="str">
        <f>"MDH1"</f>
        <v>MDH1</v>
      </c>
      <c r="L460" t="str">
        <f>"MDH1"</f>
        <v>MDH1</v>
      </c>
      <c r="M460">
        <v>361070000</v>
      </c>
      <c r="N460">
        <v>342130000</v>
      </c>
      <c r="O460">
        <v>422230000</v>
      </c>
      <c r="P460">
        <v>443830000</v>
      </c>
      <c r="Q460">
        <v>531620000</v>
      </c>
      <c r="R460">
        <v>524250000</v>
      </c>
      <c r="S460">
        <v>343530000</v>
      </c>
      <c r="T460">
        <v>309480000</v>
      </c>
      <c r="U460">
        <v>394330000</v>
      </c>
      <c r="V460">
        <v>443540000</v>
      </c>
      <c r="W460">
        <v>345800000</v>
      </c>
      <c r="X460">
        <v>377800000</v>
      </c>
    </row>
    <row r="461" spans="1:24">
      <c r="A461">
        <v>1273</v>
      </c>
      <c r="B461" t="s">
        <v>1252</v>
      </c>
      <c r="C461">
        <v>1</v>
      </c>
      <c r="D461" t="s">
        <v>1253</v>
      </c>
      <c r="E461">
        <v>12</v>
      </c>
      <c r="F461">
        <v>12</v>
      </c>
      <c r="G461">
        <v>12</v>
      </c>
      <c r="H461" t="s">
        <v>1252</v>
      </c>
      <c r="I461">
        <v>48.6</v>
      </c>
      <c r="J461">
        <v>24.422999999999998</v>
      </c>
      <c r="K461" t="str">
        <f>"RAN"</f>
        <v>RAN</v>
      </c>
      <c r="L461" t="str">
        <f>"RAN"</f>
        <v>RAN</v>
      </c>
      <c r="M461">
        <v>708130000</v>
      </c>
      <c r="N461">
        <v>561100000</v>
      </c>
      <c r="O461">
        <v>816080000</v>
      </c>
      <c r="P461">
        <v>689900000</v>
      </c>
      <c r="Q461">
        <v>443990000</v>
      </c>
      <c r="R461">
        <v>718120000</v>
      </c>
      <c r="S461">
        <v>1636100000</v>
      </c>
      <c r="T461">
        <v>865370000</v>
      </c>
      <c r="U461">
        <v>555240000</v>
      </c>
      <c r="V461">
        <v>625930000</v>
      </c>
      <c r="W461">
        <v>1373200000</v>
      </c>
      <c r="X461">
        <v>977420000</v>
      </c>
    </row>
    <row r="462" spans="1:24">
      <c r="A462">
        <v>1392</v>
      </c>
      <c r="B462" t="s">
        <v>1254</v>
      </c>
      <c r="C462">
        <v>1</v>
      </c>
      <c r="D462" t="s">
        <v>1255</v>
      </c>
      <c r="E462">
        <v>19</v>
      </c>
      <c r="F462">
        <v>19</v>
      </c>
      <c r="G462">
        <v>19</v>
      </c>
      <c r="H462" t="s">
        <v>1254</v>
      </c>
      <c r="I462">
        <v>38.799999999999997</v>
      </c>
      <c r="J462">
        <v>65.33</v>
      </c>
      <c r="K462" t="str">
        <f>"LGALS3BP"</f>
        <v>LGALS3BP</v>
      </c>
      <c r="L462" t="str">
        <f>"LGALS3BP"</f>
        <v>LGALS3BP</v>
      </c>
      <c r="M462">
        <v>509730000</v>
      </c>
      <c r="N462">
        <v>0</v>
      </c>
      <c r="O462">
        <v>127610000</v>
      </c>
      <c r="P462">
        <v>261210000</v>
      </c>
      <c r="Q462">
        <v>559950000</v>
      </c>
      <c r="R462">
        <v>999180000</v>
      </c>
      <c r="S462">
        <v>1088400000</v>
      </c>
      <c r="T462">
        <v>782500000</v>
      </c>
      <c r="U462">
        <v>200920000</v>
      </c>
      <c r="V462">
        <v>249090000</v>
      </c>
      <c r="W462">
        <v>256040000</v>
      </c>
      <c r="X462">
        <v>215410000</v>
      </c>
    </row>
    <row r="463" spans="1:24">
      <c r="A463">
        <v>395</v>
      </c>
      <c r="B463" t="s">
        <v>1256</v>
      </c>
      <c r="C463">
        <v>1</v>
      </c>
      <c r="D463" t="s">
        <v>1257</v>
      </c>
      <c r="E463">
        <v>15</v>
      </c>
      <c r="F463">
        <v>8</v>
      </c>
      <c r="G463">
        <v>8</v>
      </c>
      <c r="H463" t="s">
        <v>1256</v>
      </c>
      <c r="I463">
        <v>95.2</v>
      </c>
      <c r="J463">
        <v>16.055</v>
      </c>
      <c r="K463" t="str">
        <f>"HBD"</f>
        <v>HBD</v>
      </c>
      <c r="L463" t="str">
        <f>"HBD"</f>
        <v>HBD</v>
      </c>
      <c r="M463">
        <v>439290000</v>
      </c>
      <c r="N463">
        <v>145980000</v>
      </c>
      <c r="O463">
        <v>0</v>
      </c>
      <c r="P463">
        <v>1776900000</v>
      </c>
      <c r="Q463">
        <v>763970000</v>
      </c>
      <c r="R463">
        <v>2467400000</v>
      </c>
      <c r="S463">
        <v>1272400000</v>
      </c>
      <c r="T463" s="8">
        <v>700000000</v>
      </c>
      <c r="U463">
        <v>759620000</v>
      </c>
      <c r="V463">
        <v>396190000</v>
      </c>
      <c r="W463">
        <v>0</v>
      </c>
      <c r="X463">
        <v>0</v>
      </c>
    </row>
    <row r="464" spans="1:24">
      <c r="A464">
        <v>489</v>
      </c>
      <c r="B464" t="s">
        <v>1258</v>
      </c>
      <c r="C464">
        <v>2</v>
      </c>
      <c r="D464" t="s">
        <v>1259</v>
      </c>
      <c r="E464">
        <v>11</v>
      </c>
      <c r="F464">
        <v>11</v>
      </c>
      <c r="G464">
        <v>11</v>
      </c>
      <c r="H464" t="s">
        <v>1260</v>
      </c>
      <c r="I464">
        <v>33.299999999999997</v>
      </c>
      <c r="J464">
        <v>46.323999999999998</v>
      </c>
      <c r="K464" t="str">
        <f>"SERPINA7"</f>
        <v>SERPINA7</v>
      </c>
      <c r="L464" t="str">
        <f>"SERPINA7"</f>
        <v>SERPINA7</v>
      </c>
      <c r="M464">
        <v>417040000</v>
      </c>
      <c r="N464">
        <v>206510000</v>
      </c>
      <c r="O464">
        <v>232190000</v>
      </c>
      <c r="P464">
        <v>229100000</v>
      </c>
      <c r="Q464">
        <v>674910000</v>
      </c>
      <c r="R464">
        <v>168340000</v>
      </c>
      <c r="S464">
        <v>337140000</v>
      </c>
      <c r="T464">
        <v>436840000</v>
      </c>
      <c r="U464">
        <v>181120000</v>
      </c>
      <c r="V464">
        <v>281570000</v>
      </c>
      <c r="W464">
        <v>470780000</v>
      </c>
      <c r="X464">
        <v>477540000</v>
      </c>
    </row>
    <row r="465" spans="1:24">
      <c r="A465">
        <v>616</v>
      </c>
      <c r="B465" t="s">
        <v>1261</v>
      </c>
      <c r="C465">
        <v>2</v>
      </c>
      <c r="D465" t="s">
        <v>1262</v>
      </c>
      <c r="E465">
        <v>12</v>
      </c>
      <c r="F465">
        <v>12</v>
      </c>
      <c r="G465">
        <v>12</v>
      </c>
      <c r="H465" t="s">
        <v>1263</v>
      </c>
      <c r="I465">
        <v>31.7</v>
      </c>
      <c r="J465">
        <v>52.488</v>
      </c>
      <c r="K465" t="str">
        <f>"CTSA"</f>
        <v>CTSA</v>
      </c>
      <c r="L465" t="str">
        <f>"CTSA"</f>
        <v>CTSA</v>
      </c>
      <c r="M465">
        <v>201210000</v>
      </c>
      <c r="N465">
        <v>413820000</v>
      </c>
      <c r="O465">
        <v>281430000</v>
      </c>
      <c r="P465">
        <v>188810000</v>
      </c>
      <c r="Q465">
        <v>0</v>
      </c>
      <c r="R465">
        <v>355310000</v>
      </c>
      <c r="S465">
        <v>856330000</v>
      </c>
      <c r="T465">
        <v>192410000</v>
      </c>
      <c r="U465">
        <v>452690000</v>
      </c>
      <c r="V465">
        <v>239450000</v>
      </c>
      <c r="W465">
        <v>641930000</v>
      </c>
      <c r="X465">
        <v>485280000</v>
      </c>
    </row>
    <row r="466" spans="1:24">
      <c r="A466">
        <v>1930</v>
      </c>
      <c r="B466" t="s">
        <v>1264</v>
      </c>
      <c r="C466">
        <v>2</v>
      </c>
      <c r="D466" t="s">
        <v>1265</v>
      </c>
      <c r="E466">
        <v>13</v>
      </c>
      <c r="F466">
        <v>13</v>
      </c>
      <c r="G466">
        <v>13</v>
      </c>
      <c r="H466" t="s">
        <v>1266</v>
      </c>
      <c r="I466">
        <v>50.6</v>
      </c>
      <c r="J466">
        <v>31.283999999999999</v>
      </c>
      <c r="K466" t="str">
        <f>"OTUB1"</f>
        <v>OTUB1</v>
      </c>
      <c r="L466" t="str">
        <f>"OTUB1"</f>
        <v>OTUB1</v>
      </c>
      <c r="M466">
        <v>292840000</v>
      </c>
      <c r="N466">
        <v>348640000</v>
      </c>
      <c r="O466">
        <v>397890000</v>
      </c>
      <c r="P466">
        <v>202960000</v>
      </c>
      <c r="Q466">
        <v>277550000</v>
      </c>
      <c r="R466">
        <v>454710000</v>
      </c>
      <c r="S466">
        <v>361240000</v>
      </c>
      <c r="T466">
        <v>421260000</v>
      </c>
      <c r="U466">
        <v>567730000</v>
      </c>
      <c r="V466">
        <v>310980000</v>
      </c>
      <c r="W466">
        <v>290550000</v>
      </c>
      <c r="X466">
        <v>361900000</v>
      </c>
    </row>
    <row r="467" spans="1:24">
      <c r="A467">
        <v>413</v>
      </c>
      <c r="B467" t="s">
        <v>1267</v>
      </c>
      <c r="C467">
        <v>1</v>
      </c>
      <c r="D467" t="s">
        <v>1268</v>
      </c>
      <c r="E467">
        <v>6</v>
      </c>
      <c r="F467">
        <v>6</v>
      </c>
      <c r="G467">
        <v>6</v>
      </c>
      <c r="H467" t="s">
        <v>1267</v>
      </c>
      <c r="I467">
        <v>26.1</v>
      </c>
      <c r="J467">
        <v>25.773</v>
      </c>
      <c r="K467" t="str">
        <f>"C1QC"</f>
        <v>C1QC</v>
      </c>
      <c r="L467" t="str">
        <f>"C1QC"</f>
        <v>C1QC</v>
      </c>
      <c r="M467">
        <v>881690000</v>
      </c>
      <c r="N467">
        <v>570810000</v>
      </c>
      <c r="O467">
        <v>890700000</v>
      </c>
      <c r="P467">
        <v>1010800000</v>
      </c>
      <c r="Q467" s="8">
        <v>1192000000</v>
      </c>
      <c r="R467">
        <v>439640000</v>
      </c>
      <c r="S467">
        <v>430110000</v>
      </c>
      <c r="T467">
        <v>925610000</v>
      </c>
      <c r="U467">
        <v>419070000</v>
      </c>
      <c r="V467">
        <v>699020000</v>
      </c>
      <c r="W467">
        <v>766290000</v>
      </c>
      <c r="X467">
        <v>271540000</v>
      </c>
    </row>
    <row r="468" spans="1:24">
      <c r="A468">
        <v>1088</v>
      </c>
      <c r="B468" t="s">
        <v>1269</v>
      </c>
      <c r="C468">
        <v>1</v>
      </c>
      <c r="D468" t="s">
        <v>1270</v>
      </c>
      <c r="E468">
        <v>16</v>
      </c>
      <c r="F468">
        <v>16</v>
      </c>
      <c r="G468">
        <v>16</v>
      </c>
      <c r="H468" t="s">
        <v>1269</v>
      </c>
      <c r="I468">
        <v>39.4</v>
      </c>
      <c r="J468">
        <v>49.540999999999997</v>
      </c>
      <c r="K468" t="str">
        <f>"TUFM"</f>
        <v>TUFM</v>
      </c>
      <c r="L468" t="str">
        <f>"TUFM"</f>
        <v>TUFM</v>
      </c>
      <c r="M468">
        <v>188260000</v>
      </c>
      <c r="N468">
        <v>181210000</v>
      </c>
      <c r="O468">
        <v>223150000</v>
      </c>
      <c r="P468">
        <v>250980000</v>
      </c>
      <c r="Q468">
        <v>150620000</v>
      </c>
      <c r="R468">
        <v>271740000</v>
      </c>
      <c r="S468">
        <v>108520000</v>
      </c>
      <c r="T468">
        <v>0</v>
      </c>
      <c r="U468">
        <v>239250000</v>
      </c>
      <c r="V468">
        <v>201040000</v>
      </c>
      <c r="W468">
        <v>180510000</v>
      </c>
      <c r="X468">
        <v>204480000</v>
      </c>
    </row>
    <row r="469" spans="1:24">
      <c r="A469">
        <v>1811</v>
      </c>
      <c r="B469" t="s">
        <v>1271</v>
      </c>
      <c r="C469">
        <v>3</v>
      </c>
      <c r="D469" t="s">
        <v>1272</v>
      </c>
      <c r="E469">
        <v>26</v>
      </c>
      <c r="F469">
        <v>26</v>
      </c>
      <c r="G469">
        <v>25</v>
      </c>
      <c r="H469" t="s">
        <v>1273</v>
      </c>
      <c r="I469">
        <v>49.5</v>
      </c>
      <c r="J469">
        <v>74.492999999999995</v>
      </c>
      <c r="K469" t="str">
        <f>"APPL2"</f>
        <v>APPL2</v>
      </c>
      <c r="L469" t="str">
        <f>"APPL2"</f>
        <v>APPL2</v>
      </c>
      <c r="M469">
        <v>149010000</v>
      </c>
      <c r="N469">
        <v>375940000</v>
      </c>
      <c r="O469">
        <v>614270000</v>
      </c>
      <c r="P469">
        <v>177010000</v>
      </c>
      <c r="Q469">
        <v>0</v>
      </c>
      <c r="R469">
        <v>345590000</v>
      </c>
      <c r="S469">
        <v>164790000</v>
      </c>
      <c r="T469">
        <v>160890000</v>
      </c>
      <c r="U469">
        <v>224720000</v>
      </c>
      <c r="V469">
        <v>391130000</v>
      </c>
      <c r="W469">
        <v>238940000</v>
      </c>
      <c r="X469">
        <v>276950000</v>
      </c>
    </row>
    <row r="470" spans="1:24">
      <c r="A470">
        <v>160</v>
      </c>
      <c r="B470" t="s">
        <v>1274</v>
      </c>
      <c r="C470">
        <v>3</v>
      </c>
      <c r="D470" t="s">
        <v>1275</v>
      </c>
      <c r="E470">
        <v>9</v>
      </c>
      <c r="F470">
        <v>9</v>
      </c>
      <c r="G470">
        <v>9</v>
      </c>
      <c r="H470" t="s">
        <v>1276</v>
      </c>
      <c r="I470">
        <v>61.3</v>
      </c>
      <c r="J470">
        <v>21.21</v>
      </c>
      <c r="K470" t="str">
        <f>"RGS10"</f>
        <v>RGS10</v>
      </c>
      <c r="L470" t="str">
        <f>"RGS10"</f>
        <v>RGS10</v>
      </c>
      <c r="M470">
        <v>342380000</v>
      </c>
      <c r="N470">
        <v>374910000</v>
      </c>
      <c r="O470">
        <v>379480000</v>
      </c>
      <c r="P470">
        <v>227360000</v>
      </c>
      <c r="Q470">
        <v>529770000</v>
      </c>
      <c r="R470">
        <v>479980000</v>
      </c>
      <c r="S470">
        <v>393480000</v>
      </c>
      <c r="T470">
        <v>415850000</v>
      </c>
      <c r="U470">
        <v>315820000</v>
      </c>
      <c r="V470">
        <v>516080000</v>
      </c>
      <c r="W470">
        <v>344090000</v>
      </c>
      <c r="X470">
        <v>410620000</v>
      </c>
    </row>
    <row r="471" spans="1:24">
      <c r="A471">
        <v>1824</v>
      </c>
      <c r="B471" t="s">
        <v>1277</v>
      </c>
      <c r="C471">
        <v>4</v>
      </c>
      <c r="D471" t="s">
        <v>1278</v>
      </c>
      <c r="E471">
        <v>14</v>
      </c>
      <c r="F471">
        <v>14</v>
      </c>
      <c r="G471">
        <v>14</v>
      </c>
      <c r="H471" t="s">
        <v>1279</v>
      </c>
      <c r="I471">
        <v>51.6</v>
      </c>
      <c r="J471">
        <v>35.386000000000003</v>
      </c>
      <c r="K471" t="str">
        <f>"RDH11;RDH12"</f>
        <v>RDH11;RDH12</v>
      </c>
      <c r="L471" t="str">
        <f>"RDH11;RDH12"</f>
        <v>RDH11;RDH12</v>
      </c>
      <c r="M471">
        <v>186610000</v>
      </c>
      <c r="N471">
        <v>121410000</v>
      </c>
      <c r="O471">
        <v>211290000</v>
      </c>
      <c r="P471">
        <v>387910000</v>
      </c>
      <c r="Q471">
        <v>181420000</v>
      </c>
      <c r="R471">
        <v>235540000</v>
      </c>
      <c r="S471">
        <v>137880000</v>
      </c>
      <c r="T471">
        <v>226130000</v>
      </c>
      <c r="U471">
        <v>260480000</v>
      </c>
      <c r="V471">
        <v>352130000</v>
      </c>
      <c r="W471">
        <v>214860000</v>
      </c>
      <c r="X471">
        <v>227920000</v>
      </c>
    </row>
    <row r="472" spans="1:24">
      <c r="A472">
        <v>482</v>
      </c>
      <c r="B472" t="s">
        <v>1280</v>
      </c>
      <c r="C472">
        <v>2</v>
      </c>
      <c r="D472" t="s">
        <v>1281</v>
      </c>
      <c r="E472">
        <v>17</v>
      </c>
      <c r="F472">
        <v>17</v>
      </c>
      <c r="G472">
        <v>17</v>
      </c>
      <c r="H472" t="s">
        <v>1282</v>
      </c>
      <c r="I472">
        <v>34</v>
      </c>
      <c r="J472">
        <v>75.510000000000005</v>
      </c>
      <c r="K472" t="str">
        <f>"F13B"</f>
        <v>F13B</v>
      </c>
      <c r="L472" t="str">
        <f>"F13B"</f>
        <v>F13B</v>
      </c>
      <c r="M472">
        <v>820540000</v>
      </c>
      <c r="N472">
        <v>344770000</v>
      </c>
      <c r="O472">
        <v>307220000</v>
      </c>
      <c r="P472">
        <v>272230000</v>
      </c>
      <c r="Q472">
        <v>462300000</v>
      </c>
      <c r="R472">
        <v>238890000</v>
      </c>
      <c r="S472">
        <v>339540000</v>
      </c>
      <c r="T472">
        <v>573070000</v>
      </c>
      <c r="U472">
        <v>150370000</v>
      </c>
      <c r="V472">
        <v>430410000</v>
      </c>
      <c r="W472">
        <v>377290000</v>
      </c>
      <c r="X472">
        <v>245160000</v>
      </c>
    </row>
    <row r="473" spans="1:24">
      <c r="A473">
        <v>731</v>
      </c>
      <c r="B473" t="s">
        <v>1283</v>
      </c>
      <c r="C473">
        <v>2</v>
      </c>
      <c r="D473" t="s">
        <v>1284</v>
      </c>
      <c r="E473">
        <v>20</v>
      </c>
      <c r="F473">
        <v>16</v>
      </c>
      <c r="G473">
        <v>16</v>
      </c>
      <c r="H473" t="s">
        <v>1285</v>
      </c>
      <c r="I473">
        <v>34.9</v>
      </c>
      <c r="J473">
        <v>85.018000000000001</v>
      </c>
      <c r="K473" t="str">
        <f>"PFKL"</f>
        <v>PFKL</v>
      </c>
      <c r="L473" t="str">
        <f>"PFKL"</f>
        <v>PFKL</v>
      </c>
      <c r="M473">
        <v>184710000</v>
      </c>
      <c r="N473">
        <v>467700000</v>
      </c>
      <c r="O473">
        <v>436200000</v>
      </c>
      <c r="P473">
        <v>267900000</v>
      </c>
      <c r="Q473">
        <v>303740000</v>
      </c>
      <c r="R473">
        <v>315830000</v>
      </c>
      <c r="S473">
        <v>355960000</v>
      </c>
      <c r="T473">
        <v>380300000</v>
      </c>
      <c r="U473">
        <v>407270000</v>
      </c>
      <c r="V473">
        <v>410380000</v>
      </c>
      <c r="W473">
        <v>383790000</v>
      </c>
      <c r="X473">
        <v>411590000</v>
      </c>
    </row>
    <row r="474" spans="1:24">
      <c r="A474">
        <v>711</v>
      </c>
      <c r="B474" t="s">
        <v>1286</v>
      </c>
      <c r="C474">
        <v>2</v>
      </c>
      <c r="D474" t="s">
        <v>1287</v>
      </c>
      <c r="E474">
        <v>15</v>
      </c>
      <c r="F474">
        <v>15</v>
      </c>
      <c r="G474">
        <v>13</v>
      </c>
      <c r="H474" t="s">
        <v>1288</v>
      </c>
      <c r="I474">
        <v>75.099999999999994</v>
      </c>
      <c r="J474">
        <v>30.375</v>
      </c>
      <c r="K474" t="str">
        <f>"CBR1"</f>
        <v>CBR1</v>
      </c>
      <c r="L474" t="str">
        <f>"CBR1"</f>
        <v>CBR1</v>
      </c>
      <c r="M474">
        <v>251020000</v>
      </c>
      <c r="N474">
        <v>188600000</v>
      </c>
      <c r="O474">
        <v>293230000</v>
      </c>
      <c r="P474">
        <v>180460000</v>
      </c>
      <c r="Q474">
        <v>248020000</v>
      </c>
      <c r="R474">
        <v>300910000</v>
      </c>
      <c r="S474">
        <v>0</v>
      </c>
      <c r="T474">
        <v>328100000</v>
      </c>
      <c r="U474">
        <v>404160000</v>
      </c>
      <c r="V474">
        <v>270930000</v>
      </c>
      <c r="W474">
        <v>202200000</v>
      </c>
      <c r="X474">
        <v>479090000</v>
      </c>
    </row>
    <row r="475" spans="1:24">
      <c r="A475">
        <v>744</v>
      </c>
      <c r="B475" t="s">
        <v>1289</v>
      </c>
      <c r="C475">
        <v>4</v>
      </c>
      <c r="D475" t="s">
        <v>1290</v>
      </c>
      <c r="E475">
        <v>14</v>
      </c>
      <c r="F475">
        <v>13</v>
      </c>
      <c r="G475">
        <v>13</v>
      </c>
      <c r="H475" t="s">
        <v>1291</v>
      </c>
      <c r="I475">
        <v>45.1</v>
      </c>
      <c r="J475">
        <v>40.923000000000002</v>
      </c>
      <c r="K475" t="str">
        <f>"GNAZ;GNA12"</f>
        <v>GNAZ;GNA12</v>
      </c>
      <c r="L475" t="str">
        <f>"GNAZ;GNA12"</f>
        <v>GNAZ;GNA12</v>
      </c>
      <c r="M475">
        <v>175440000</v>
      </c>
      <c r="N475">
        <v>271360000</v>
      </c>
      <c r="O475">
        <v>193500000</v>
      </c>
      <c r="P475">
        <v>198410000</v>
      </c>
      <c r="Q475">
        <v>163700000</v>
      </c>
      <c r="R475">
        <v>179830000</v>
      </c>
      <c r="S475">
        <v>171580000</v>
      </c>
      <c r="T475">
        <v>275280000</v>
      </c>
      <c r="U475">
        <v>276680000</v>
      </c>
      <c r="V475">
        <v>247210000</v>
      </c>
      <c r="W475">
        <v>438150000</v>
      </c>
      <c r="X475">
        <v>287090000</v>
      </c>
    </row>
    <row r="476" spans="1:24">
      <c r="A476">
        <v>1932</v>
      </c>
      <c r="B476" t="s">
        <v>1292</v>
      </c>
      <c r="C476">
        <v>2</v>
      </c>
      <c r="D476" t="s">
        <v>1293</v>
      </c>
      <c r="E476">
        <v>18</v>
      </c>
      <c r="F476">
        <v>18</v>
      </c>
      <c r="G476">
        <v>18</v>
      </c>
      <c r="H476" t="s">
        <v>1294</v>
      </c>
      <c r="I476">
        <v>38.1</v>
      </c>
      <c r="J476">
        <v>68.283000000000001</v>
      </c>
      <c r="K476" t="str">
        <f>"PGM2"</f>
        <v>PGM2</v>
      </c>
      <c r="L476" t="str">
        <f>"PGM2"</f>
        <v>PGM2</v>
      </c>
      <c r="M476">
        <v>0</v>
      </c>
      <c r="N476">
        <v>444530000</v>
      </c>
      <c r="O476">
        <v>316650000</v>
      </c>
      <c r="P476">
        <v>274750000</v>
      </c>
      <c r="Q476">
        <v>200550000</v>
      </c>
      <c r="R476">
        <v>293410000</v>
      </c>
      <c r="S476">
        <v>512650000</v>
      </c>
      <c r="T476">
        <v>169220000</v>
      </c>
      <c r="U476">
        <v>381110000</v>
      </c>
      <c r="V476">
        <v>303820000</v>
      </c>
      <c r="W476">
        <v>409830000</v>
      </c>
      <c r="X476" s="8">
        <v>331000000</v>
      </c>
    </row>
    <row r="477" spans="1:24">
      <c r="A477">
        <v>139</v>
      </c>
      <c r="B477" t="s">
        <v>1295</v>
      </c>
      <c r="C477">
        <v>2</v>
      </c>
      <c r="D477" t="s">
        <v>1296</v>
      </c>
      <c r="E477">
        <v>25</v>
      </c>
      <c r="F477">
        <v>25</v>
      </c>
      <c r="G477">
        <v>21</v>
      </c>
      <c r="H477" t="s">
        <v>1297</v>
      </c>
      <c r="I477">
        <v>31.3</v>
      </c>
      <c r="J477">
        <v>111.65</v>
      </c>
      <c r="K477" t="str">
        <f>"ASAP2"</f>
        <v>ASAP2</v>
      </c>
      <c r="L477" t="str">
        <f>"ASAP2"</f>
        <v>ASAP2</v>
      </c>
      <c r="M477">
        <v>233070000</v>
      </c>
      <c r="N477">
        <v>489590000</v>
      </c>
      <c r="O477">
        <v>339670000</v>
      </c>
      <c r="P477">
        <v>243190000</v>
      </c>
      <c r="Q477">
        <v>0</v>
      </c>
      <c r="R477">
        <v>249230000</v>
      </c>
      <c r="S477">
        <v>309380000</v>
      </c>
      <c r="T477">
        <v>0</v>
      </c>
      <c r="U477">
        <v>516490000</v>
      </c>
      <c r="V477">
        <v>266230000</v>
      </c>
      <c r="W477">
        <v>298120000</v>
      </c>
      <c r="X477">
        <v>412290000</v>
      </c>
    </row>
    <row r="478" spans="1:24">
      <c r="A478">
        <v>351</v>
      </c>
      <c r="B478" t="s">
        <v>1298</v>
      </c>
      <c r="C478">
        <v>3</v>
      </c>
      <c r="D478" t="s">
        <v>1299</v>
      </c>
      <c r="E478">
        <v>4</v>
      </c>
      <c r="F478">
        <v>3</v>
      </c>
      <c r="G478">
        <v>3</v>
      </c>
      <c r="H478" t="s">
        <v>1300</v>
      </c>
      <c r="I478">
        <v>38.9</v>
      </c>
      <c r="J478">
        <v>12.058999999999999</v>
      </c>
      <c r="K478" t="s">
        <v>1301</v>
      </c>
      <c r="L478" t="s">
        <v>1301</v>
      </c>
      <c r="M478">
        <v>702730000</v>
      </c>
      <c r="N478">
        <v>520350000</v>
      </c>
      <c r="O478">
        <v>387480000</v>
      </c>
      <c r="P478">
        <v>502150000</v>
      </c>
      <c r="Q478">
        <v>1695600000</v>
      </c>
      <c r="R478">
        <v>271400000</v>
      </c>
      <c r="S478">
        <v>273140000</v>
      </c>
      <c r="T478">
        <v>574360000</v>
      </c>
      <c r="U478">
        <v>420680000</v>
      </c>
      <c r="V478">
        <v>659810000</v>
      </c>
      <c r="W478">
        <v>649750000</v>
      </c>
      <c r="X478">
        <v>630230000</v>
      </c>
    </row>
    <row r="479" spans="1:24">
      <c r="A479">
        <v>750</v>
      </c>
      <c r="B479" t="s">
        <v>1302</v>
      </c>
      <c r="C479">
        <v>1</v>
      </c>
      <c r="D479" t="s">
        <v>1303</v>
      </c>
      <c r="E479">
        <v>10</v>
      </c>
      <c r="F479">
        <v>10</v>
      </c>
      <c r="G479">
        <v>7</v>
      </c>
      <c r="H479" t="s">
        <v>1302</v>
      </c>
      <c r="I479">
        <v>40.299999999999997</v>
      </c>
      <c r="J479">
        <v>23.602</v>
      </c>
      <c r="K479" t="str">
        <f>"ORM2"</f>
        <v>ORM2</v>
      </c>
      <c r="L479" t="str">
        <f>"ORM2"</f>
        <v>ORM2</v>
      </c>
      <c r="M479">
        <v>559910000</v>
      </c>
      <c r="N479">
        <v>157620000</v>
      </c>
      <c r="O479">
        <v>0</v>
      </c>
      <c r="P479">
        <v>1147800000</v>
      </c>
      <c r="Q479" s="8">
        <v>4131000000</v>
      </c>
      <c r="R479">
        <v>846820000</v>
      </c>
      <c r="S479">
        <v>1491900000</v>
      </c>
      <c r="T479">
        <v>4953800000</v>
      </c>
      <c r="U479">
        <v>636830000</v>
      </c>
      <c r="V479">
        <v>3327300000</v>
      </c>
      <c r="W479">
        <v>0</v>
      </c>
      <c r="X479">
        <v>340180000</v>
      </c>
    </row>
    <row r="480" spans="1:24">
      <c r="A480">
        <v>367</v>
      </c>
      <c r="B480" t="s">
        <v>1304</v>
      </c>
      <c r="C480">
        <v>2</v>
      </c>
      <c r="D480" t="s">
        <v>1305</v>
      </c>
      <c r="E480">
        <v>4</v>
      </c>
      <c r="F480">
        <v>2</v>
      </c>
      <c r="G480">
        <v>1</v>
      </c>
      <c r="H480" t="s">
        <v>1306</v>
      </c>
      <c r="I480">
        <v>35.700000000000003</v>
      </c>
      <c r="J480">
        <v>11.612</v>
      </c>
      <c r="K480" t="s">
        <v>1307</v>
      </c>
      <c r="L480" t="s">
        <v>1307</v>
      </c>
      <c r="M480">
        <v>1594100000</v>
      </c>
      <c r="N480">
        <v>1232200000</v>
      </c>
      <c r="O480">
        <v>1116700000</v>
      </c>
      <c r="P480">
        <v>2136300000</v>
      </c>
      <c r="Q480">
        <v>964210000</v>
      </c>
      <c r="R480">
        <v>463190000</v>
      </c>
      <c r="S480">
        <v>1518200000</v>
      </c>
      <c r="T480">
        <v>658650000</v>
      </c>
      <c r="U480">
        <v>902380000</v>
      </c>
      <c r="V480">
        <v>75723000</v>
      </c>
      <c r="W480">
        <v>973140000</v>
      </c>
      <c r="X480">
        <v>0</v>
      </c>
    </row>
    <row r="481" spans="1:24">
      <c r="A481">
        <v>454</v>
      </c>
      <c r="B481" t="s">
        <v>1308</v>
      </c>
      <c r="C481">
        <v>1</v>
      </c>
      <c r="D481" t="s">
        <v>1309</v>
      </c>
      <c r="E481">
        <v>20</v>
      </c>
      <c r="F481">
        <v>2</v>
      </c>
      <c r="G481">
        <v>2</v>
      </c>
      <c r="H481" t="s">
        <v>1308</v>
      </c>
      <c r="I481">
        <v>61.4</v>
      </c>
      <c r="J481">
        <v>43.057000000000002</v>
      </c>
      <c r="K481" t="s">
        <v>1310</v>
      </c>
      <c r="L481" t="s">
        <v>1310</v>
      </c>
      <c r="M481" s="8">
        <v>2388000000</v>
      </c>
      <c r="N481">
        <v>762860000</v>
      </c>
      <c r="O481">
        <v>489820000</v>
      </c>
      <c r="P481">
        <v>0</v>
      </c>
      <c r="Q481">
        <v>683450000</v>
      </c>
      <c r="R481">
        <v>426360000</v>
      </c>
      <c r="S481">
        <v>657510000</v>
      </c>
      <c r="T481">
        <v>0</v>
      </c>
      <c r="U481">
        <v>0</v>
      </c>
      <c r="V481">
        <v>467240000</v>
      </c>
      <c r="W481">
        <v>637130000</v>
      </c>
      <c r="X481">
        <v>0</v>
      </c>
    </row>
    <row r="482" spans="1:24">
      <c r="A482">
        <v>999</v>
      </c>
      <c r="B482" t="s">
        <v>1311</v>
      </c>
      <c r="C482">
        <v>3</v>
      </c>
      <c r="D482" t="s">
        <v>1312</v>
      </c>
      <c r="E482">
        <v>10</v>
      </c>
      <c r="F482">
        <v>10</v>
      </c>
      <c r="G482">
        <v>10</v>
      </c>
      <c r="H482" t="s">
        <v>1313</v>
      </c>
      <c r="I482">
        <v>29.9</v>
      </c>
      <c r="J482">
        <v>49.018999999999998</v>
      </c>
      <c r="K482" t="str">
        <f>"DDOST"</f>
        <v>DDOST</v>
      </c>
      <c r="L482" t="str">
        <f>"DDOST"</f>
        <v>DDOST</v>
      </c>
      <c r="M482">
        <v>332800000</v>
      </c>
      <c r="N482">
        <v>548950000</v>
      </c>
      <c r="O482">
        <v>565920000</v>
      </c>
      <c r="P482">
        <v>335790000</v>
      </c>
      <c r="Q482">
        <v>349770000</v>
      </c>
      <c r="R482">
        <v>363370000</v>
      </c>
      <c r="S482">
        <v>736910000</v>
      </c>
      <c r="T482">
        <v>495910000</v>
      </c>
      <c r="U482">
        <v>478240000</v>
      </c>
      <c r="V482">
        <v>449290000</v>
      </c>
      <c r="W482">
        <v>721600000</v>
      </c>
      <c r="X482">
        <v>727160000</v>
      </c>
    </row>
    <row r="483" spans="1:24">
      <c r="A483">
        <v>1190</v>
      </c>
      <c r="B483" t="s">
        <v>1314</v>
      </c>
      <c r="C483">
        <v>1</v>
      </c>
      <c r="D483" t="s">
        <v>1315</v>
      </c>
      <c r="E483">
        <v>12</v>
      </c>
      <c r="F483">
        <v>12</v>
      </c>
      <c r="G483">
        <v>12</v>
      </c>
      <c r="H483" t="s">
        <v>1314</v>
      </c>
      <c r="I483">
        <v>52.2</v>
      </c>
      <c r="J483">
        <v>20.7</v>
      </c>
      <c r="K483" t="str">
        <f>"MANF"</f>
        <v>MANF</v>
      </c>
      <c r="L483" t="str">
        <f>"MANF"</f>
        <v>MANF</v>
      </c>
      <c r="M483">
        <v>187220000</v>
      </c>
      <c r="N483">
        <v>250480000</v>
      </c>
      <c r="O483">
        <v>446090000</v>
      </c>
      <c r="P483">
        <v>147310000</v>
      </c>
      <c r="Q483">
        <v>132310000</v>
      </c>
      <c r="R483">
        <v>414500000</v>
      </c>
      <c r="S483">
        <v>293910000</v>
      </c>
      <c r="T483">
        <v>214370000</v>
      </c>
      <c r="U483">
        <v>135260000</v>
      </c>
      <c r="V483">
        <v>304770000</v>
      </c>
      <c r="W483">
        <v>127890000</v>
      </c>
      <c r="X483">
        <v>251810000</v>
      </c>
    </row>
    <row r="484" spans="1:24">
      <c r="A484">
        <v>1499</v>
      </c>
      <c r="B484" t="s">
        <v>1316</v>
      </c>
      <c r="C484">
        <v>2</v>
      </c>
      <c r="D484" t="s">
        <v>1317</v>
      </c>
      <c r="E484">
        <v>14</v>
      </c>
      <c r="F484">
        <v>13</v>
      </c>
      <c r="G484">
        <v>13</v>
      </c>
      <c r="H484" t="s">
        <v>1318</v>
      </c>
      <c r="I484">
        <v>45.6</v>
      </c>
      <c r="J484">
        <v>44.048999999999999</v>
      </c>
      <c r="K484" t="str">
        <f>"GNA13"</f>
        <v>GNA13</v>
      </c>
      <c r="L484" t="str">
        <f>"GNA13"</f>
        <v>GNA13</v>
      </c>
      <c r="M484">
        <v>352670000</v>
      </c>
      <c r="N484">
        <v>438160000</v>
      </c>
      <c r="O484">
        <v>448640000</v>
      </c>
      <c r="P484">
        <v>329240000</v>
      </c>
      <c r="Q484">
        <v>485600000</v>
      </c>
      <c r="R484">
        <v>430930000</v>
      </c>
      <c r="S484">
        <v>359560000</v>
      </c>
      <c r="T484">
        <v>324010000</v>
      </c>
      <c r="U484">
        <v>229710000</v>
      </c>
      <c r="V484">
        <v>553080000</v>
      </c>
      <c r="W484">
        <v>190160000</v>
      </c>
      <c r="X484">
        <v>325400000</v>
      </c>
    </row>
    <row r="485" spans="1:24">
      <c r="A485">
        <v>1778</v>
      </c>
      <c r="B485" t="s">
        <v>1319</v>
      </c>
      <c r="C485">
        <v>16</v>
      </c>
      <c r="D485" t="s">
        <v>1320</v>
      </c>
      <c r="E485">
        <v>11</v>
      </c>
      <c r="F485">
        <v>11</v>
      </c>
      <c r="G485">
        <v>11</v>
      </c>
      <c r="H485" t="s">
        <v>1321</v>
      </c>
      <c r="I485">
        <v>31.7</v>
      </c>
      <c r="J485">
        <v>42.667000000000002</v>
      </c>
      <c r="K485" t="str">
        <f>"ABI1;ABI2"</f>
        <v>ABI1;ABI2</v>
      </c>
      <c r="L485" t="str">
        <f>"ABI1;ABI2"</f>
        <v>ABI1;ABI2</v>
      </c>
      <c r="M485">
        <v>133830000</v>
      </c>
      <c r="N485">
        <v>308510000</v>
      </c>
      <c r="O485">
        <v>348500000</v>
      </c>
      <c r="P485">
        <v>302950000</v>
      </c>
      <c r="Q485">
        <v>175420000</v>
      </c>
      <c r="R485">
        <v>396220000</v>
      </c>
      <c r="S485">
        <v>347030000</v>
      </c>
      <c r="T485">
        <v>181340000</v>
      </c>
      <c r="U485">
        <v>397610000</v>
      </c>
      <c r="V485">
        <v>314150000</v>
      </c>
      <c r="W485">
        <v>282770000</v>
      </c>
      <c r="X485">
        <v>260940000</v>
      </c>
    </row>
    <row r="486" spans="1:24">
      <c r="A486">
        <v>303</v>
      </c>
      <c r="B486" t="s">
        <v>1322</v>
      </c>
      <c r="C486">
        <v>2</v>
      </c>
      <c r="D486" t="s">
        <v>1323</v>
      </c>
      <c r="E486">
        <v>18</v>
      </c>
      <c r="F486">
        <v>18</v>
      </c>
      <c r="G486">
        <v>18</v>
      </c>
      <c r="H486" t="s">
        <v>1324</v>
      </c>
      <c r="I486">
        <v>49.5</v>
      </c>
      <c r="J486">
        <v>47.517000000000003</v>
      </c>
      <c r="K486" t="str">
        <f>"GOT2"</f>
        <v>GOT2</v>
      </c>
      <c r="L486" t="str">
        <f>"GOT2"</f>
        <v>GOT2</v>
      </c>
      <c r="M486">
        <v>612010000</v>
      </c>
      <c r="N486">
        <v>227280000</v>
      </c>
      <c r="O486">
        <v>360770000</v>
      </c>
      <c r="P486">
        <v>342440000</v>
      </c>
      <c r="Q486">
        <v>217830000</v>
      </c>
      <c r="R486">
        <v>455890000</v>
      </c>
      <c r="S486">
        <v>0</v>
      </c>
      <c r="T486">
        <v>525970000</v>
      </c>
      <c r="U486">
        <v>407070000</v>
      </c>
      <c r="V486">
        <v>374140000</v>
      </c>
      <c r="W486">
        <v>551040000</v>
      </c>
      <c r="X486">
        <v>416920000</v>
      </c>
    </row>
    <row r="487" spans="1:24">
      <c r="A487">
        <v>1234</v>
      </c>
      <c r="B487" t="s">
        <v>1325</v>
      </c>
      <c r="C487">
        <v>2</v>
      </c>
      <c r="D487" t="s">
        <v>1326</v>
      </c>
      <c r="E487">
        <v>7</v>
      </c>
      <c r="F487">
        <v>7</v>
      </c>
      <c r="G487">
        <v>7</v>
      </c>
      <c r="H487" t="s">
        <v>1327</v>
      </c>
      <c r="I487">
        <v>48</v>
      </c>
      <c r="J487">
        <v>17.138000000000002</v>
      </c>
      <c r="K487" t="str">
        <f>"UBE2N;UBE2NL"</f>
        <v>UBE2N;UBE2NL</v>
      </c>
      <c r="L487" t="str">
        <f>"UBE2N;UBE2NL"</f>
        <v>UBE2N;UBE2NL</v>
      </c>
      <c r="M487">
        <v>196790000</v>
      </c>
      <c r="N487">
        <v>188760000</v>
      </c>
      <c r="O487">
        <v>278070000</v>
      </c>
      <c r="P487">
        <v>229040000</v>
      </c>
      <c r="Q487">
        <v>164030000</v>
      </c>
      <c r="R487">
        <v>314590000</v>
      </c>
      <c r="S487">
        <v>275390000</v>
      </c>
      <c r="T487">
        <v>243220000</v>
      </c>
      <c r="U487">
        <v>342170000</v>
      </c>
      <c r="V487">
        <v>309960000</v>
      </c>
      <c r="W487">
        <v>266860000</v>
      </c>
      <c r="X487">
        <v>303290000</v>
      </c>
    </row>
    <row r="488" spans="1:24">
      <c r="A488">
        <v>1810</v>
      </c>
      <c r="B488" t="s">
        <v>1328</v>
      </c>
      <c r="C488">
        <v>3</v>
      </c>
      <c r="D488" t="s">
        <v>1329</v>
      </c>
      <c r="E488">
        <v>15</v>
      </c>
      <c r="F488">
        <v>15</v>
      </c>
      <c r="G488">
        <v>15</v>
      </c>
      <c r="H488" t="s">
        <v>1330</v>
      </c>
      <c r="I488">
        <v>49</v>
      </c>
      <c r="J488">
        <v>35.158000000000001</v>
      </c>
      <c r="K488" t="str">
        <f>"MCU"</f>
        <v>MCU</v>
      </c>
      <c r="L488" t="str">
        <f>"MCU"</f>
        <v>MCU</v>
      </c>
      <c r="M488">
        <v>426310000</v>
      </c>
      <c r="N488">
        <v>487140000</v>
      </c>
      <c r="O488">
        <v>467740000</v>
      </c>
      <c r="P488">
        <v>315620000</v>
      </c>
      <c r="Q488">
        <v>315420000</v>
      </c>
      <c r="R488">
        <v>417150000</v>
      </c>
      <c r="S488">
        <v>600910000</v>
      </c>
      <c r="T488">
        <v>396870000</v>
      </c>
      <c r="U488">
        <v>450080000</v>
      </c>
      <c r="V488">
        <v>259580000</v>
      </c>
      <c r="W488">
        <v>595460000</v>
      </c>
      <c r="X488">
        <v>479030000</v>
      </c>
    </row>
    <row r="489" spans="1:24">
      <c r="A489">
        <v>2195</v>
      </c>
      <c r="B489" t="s">
        <v>1331</v>
      </c>
      <c r="C489">
        <v>1</v>
      </c>
      <c r="D489" t="s">
        <v>1332</v>
      </c>
      <c r="E489">
        <v>16</v>
      </c>
      <c r="F489">
        <v>16</v>
      </c>
      <c r="G489">
        <v>16</v>
      </c>
      <c r="H489" t="s">
        <v>1331</v>
      </c>
      <c r="I489">
        <v>47.8</v>
      </c>
      <c r="J489">
        <v>46.914000000000001</v>
      </c>
      <c r="K489" t="str">
        <f>"TOR4A"</f>
        <v>TOR4A</v>
      </c>
      <c r="L489" t="str">
        <f>"TOR4A"</f>
        <v>TOR4A</v>
      </c>
      <c r="M489">
        <v>162240000</v>
      </c>
      <c r="N489">
        <v>238360000</v>
      </c>
      <c r="O489">
        <v>163880000</v>
      </c>
      <c r="P489">
        <v>120530000</v>
      </c>
      <c r="Q489">
        <v>0</v>
      </c>
      <c r="R489">
        <v>262680000</v>
      </c>
      <c r="S489">
        <v>200850000</v>
      </c>
      <c r="T489">
        <v>173340000</v>
      </c>
      <c r="U489">
        <v>129260000</v>
      </c>
      <c r="V489">
        <v>210470000</v>
      </c>
      <c r="W489">
        <v>163390000</v>
      </c>
      <c r="X489">
        <v>279130000</v>
      </c>
    </row>
    <row r="490" spans="1:24">
      <c r="A490">
        <v>52</v>
      </c>
      <c r="B490" t="s">
        <v>1333</v>
      </c>
      <c r="C490">
        <v>2</v>
      </c>
      <c r="D490" t="s">
        <v>1334</v>
      </c>
      <c r="E490">
        <v>12</v>
      </c>
      <c r="F490">
        <v>12</v>
      </c>
      <c r="G490">
        <v>12</v>
      </c>
      <c r="H490" t="s">
        <v>1335</v>
      </c>
      <c r="I490">
        <v>58.8</v>
      </c>
      <c r="J490">
        <v>23.353999999999999</v>
      </c>
      <c r="K490" t="str">
        <f>"SNAP23"</f>
        <v>SNAP23</v>
      </c>
      <c r="L490" t="str">
        <f>"SNAP23"</f>
        <v>SNAP23</v>
      </c>
      <c r="M490">
        <v>246310000</v>
      </c>
      <c r="N490">
        <v>232540000</v>
      </c>
      <c r="O490">
        <v>224400000</v>
      </c>
      <c r="P490">
        <v>399270000</v>
      </c>
      <c r="Q490">
        <v>207620000</v>
      </c>
      <c r="R490">
        <v>275980000</v>
      </c>
      <c r="S490">
        <v>301860000</v>
      </c>
      <c r="T490">
        <v>217620000</v>
      </c>
      <c r="U490">
        <v>250780000</v>
      </c>
      <c r="V490">
        <v>294590000</v>
      </c>
      <c r="W490">
        <v>238490000</v>
      </c>
      <c r="X490">
        <v>211500000</v>
      </c>
    </row>
    <row r="491" spans="1:24">
      <c r="A491">
        <v>700</v>
      </c>
      <c r="B491" t="s">
        <v>1336</v>
      </c>
      <c r="C491">
        <v>4</v>
      </c>
      <c r="D491" t="s">
        <v>1337</v>
      </c>
      <c r="E491">
        <v>14</v>
      </c>
      <c r="F491">
        <v>14</v>
      </c>
      <c r="G491">
        <v>14</v>
      </c>
      <c r="H491" t="s">
        <v>1338</v>
      </c>
      <c r="I491">
        <v>24.7</v>
      </c>
      <c r="J491">
        <v>68.599999999999994</v>
      </c>
      <c r="K491" t="str">
        <f>"GSPT1;GSPT2"</f>
        <v>GSPT1;GSPT2</v>
      </c>
      <c r="L491" t="str">
        <f>"GSPT1;GSPT2"</f>
        <v>GSPT1;GSPT2</v>
      </c>
      <c r="M491">
        <v>107080000</v>
      </c>
      <c r="N491">
        <v>228520000</v>
      </c>
      <c r="O491">
        <v>188800000</v>
      </c>
      <c r="P491">
        <v>218450000</v>
      </c>
      <c r="Q491">
        <v>0</v>
      </c>
      <c r="R491">
        <v>194030000</v>
      </c>
      <c r="S491">
        <v>164150000</v>
      </c>
      <c r="T491">
        <v>119120000</v>
      </c>
      <c r="U491">
        <v>225710000</v>
      </c>
      <c r="V491">
        <v>160200000</v>
      </c>
      <c r="W491">
        <v>213690000</v>
      </c>
      <c r="X491">
        <v>213910000</v>
      </c>
    </row>
    <row r="492" spans="1:24">
      <c r="A492">
        <v>388</v>
      </c>
      <c r="B492" t="s">
        <v>1339</v>
      </c>
      <c r="C492">
        <v>1</v>
      </c>
      <c r="D492" t="s">
        <v>1340</v>
      </c>
      <c r="E492">
        <v>20</v>
      </c>
      <c r="F492">
        <v>4</v>
      </c>
      <c r="G492">
        <v>4</v>
      </c>
      <c r="H492" t="s">
        <v>1339</v>
      </c>
      <c r="I492">
        <v>67.900000000000006</v>
      </c>
      <c r="J492">
        <v>36.526000000000003</v>
      </c>
      <c r="K492" t="str">
        <f>"IGHA2"</f>
        <v>IGHA2</v>
      </c>
      <c r="L492" t="str">
        <f>"IGHA2"</f>
        <v>IGHA2</v>
      </c>
      <c r="M492">
        <v>1872300000</v>
      </c>
      <c r="N492">
        <v>429840000</v>
      </c>
      <c r="O492">
        <v>834390000</v>
      </c>
      <c r="P492">
        <v>1208100000</v>
      </c>
      <c r="Q492">
        <v>500680000</v>
      </c>
      <c r="R492">
        <v>0</v>
      </c>
      <c r="S492">
        <v>651190000</v>
      </c>
      <c r="T492">
        <v>1364100000</v>
      </c>
      <c r="U492">
        <v>394070000</v>
      </c>
      <c r="V492">
        <v>737630000</v>
      </c>
      <c r="W492">
        <v>676290000</v>
      </c>
      <c r="X492">
        <v>532650000</v>
      </c>
    </row>
    <row r="493" spans="1:24">
      <c r="A493">
        <v>589</v>
      </c>
      <c r="B493" t="s">
        <v>1341</v>
      </c>
      <c r="C493">
        <v>3</v>
      </c>
      <c r="D493" t="s">
        <v>1342</v>
      </c>
      <c r="E493">
        <v>13</v>
      </c>
      <c r="F493">
        <v>13</v>
      </c>
      <c r="G493">
        <v>13</v>
      </c>
      <c r="H493" t="s">
        <v>1343</v>
      </c>
      <c r="I493">
        <v>29.1</v>
      </c>
      <c r="J493">
        <v>54.177</v>
      </c>
      <c r="K493" t="str">
        <f>"DLD"</f>
        <v>DLD</v>
      </c>
      <c r="L493" t="str">
        <f>"DLD"</f>
        <v>DLD</v>
      </c>
      <c r="M493">
        <v>271740000</v>
      </c>
      <c r="N493">
        <v>209300000</v>
      </c>
      <c r="O493">
        <v>242350000</v>
      </c>
      <c r="P493">
        <v>128940000</v>
      </c>
      <c r="Q493">
        <v>117430000</v>
      </c>
      <c r="R493">
        <v>306090000</v>
      </c>
      <c r="S493">
        <v>79247000</v>
      </c>
      <c r="T493">
        <v>243120000</v>
      </c>
      <c r="U493">
        <v>166480000</v>
      </c>
      <c r="V493">
        <v>312760000</v>
      </c>
      <c r="W493">
        <v>125690000</v>
      </c>
      <c r="X493">
        <v>116740000</v>
      </c>
    </row>
    <row r="494" spans="1:24">
      <c r="A494">
        <v>1596</v>
      </c>
      <c r="B494" t="s">
        <v>1344</v>
      </c>
      <c r="C494">
        <v>1</v>
      </c>
      <c r="D494" t="s">
        <v>1345</v>
      </c>
      <c r="E494">
        <v>13</v>
      </c>
      <c r="F494">
        <v>13</v>
      </c>
      <c r="G494">
        <v>13</v>
      </c>
      <c r="H494" t="s">
        <v>1344</v>
      </c>
      <c r="I494">
        <v>51.5</v>
      </c>
      <c r="J494">
        <v>33.429000000000002</v>
      </c>
      <c r="K494" t="str">
        <f>"TST"</f>
        <v>TST</v>
      </c>
      <c r="L494" t="str">
        <f>"TST"</f>
        <v>TST</v>
      </c>
      <c r="M494">
        <v>307980000</v>
      </c>
      <c r="N494">
        <v>369300000</v>
      </c>
      <c r="O494">
        <v>321500000</v>
      </c>
      <c r="P494">
        <v>420390000</v>
      </c>
      <c r="Q494">
        <v>427070000</v>
      </c>
      <c r="R494">
        <v>544600000</v>
      </c>
      <c r="S494">
        <v>512170000</v>
      </c>
      <c r="T494">
        <v>427540000</v>
      </c>
      <c r="U494">
        <v>354900000</v>
      </c>
      <c r="V494">
        <v>458270000</v>
      </c>
      <c r="W494">
        <v>507360000</v>
      </c>
      <c r="X494">
        <v>529650000</v>
      </c>
    </row>
    <row r="495" spans="1:24">
      <c r="A495">
        <v>1606</v>
      </c>
      <c r="B495" t="s">
        <v>1346</v>
      </c>
      <c r="C495">
        <v>4</v>
      </c>
      <c r="D495" t="s">
        <v>1347</v>
      </c>
      <c r="E495">
        <v>24</v>
      </c>
      <c r="F495">
        <v>24</v>
      </c>
      <c r="G495">
        <v>24</v>
      </c>
      <c r="H495" t="s">
        <v>1348</v>
      </c>
      <c r="I495">
        <v>36.1</v>
      </c>
      <c r="J495">
        <v>80.025999999999996</v>
      </c>
      <c r="K495" t="str">
        <f>"IMMT"</f>
        <v>IMMT</v>
      </c>
      <c r="L495" t="str">
        <f>"IMMT"</f>
        <v>IMMT</v>
      </c>
      <c r="M495">
        <v>185260000</v>
      </c>
      <c r="N495">
        <v>182850000</v>
      </c>
      <c r="O495">
        <v>227760000</v>
      </c>
      <c r="P495">
        <v>177730000</v>
      </c>
      <c r="Q495">
        <v>89518000</v>
      </c>
      <c r="R495">
        <v>150680000</v>
      </c>
      <c r="S495">
        <v>240970000</v>
      </c>
      <c r="T495">
        <v>146550000</v>
      </c>
      <c r="U495">
        <v>225800000</v>
      </c>
      <c r="V495">
        <v>192390000</v>
      </c>
      <c r="W495">
        <v>210890000</v>
      </c>
      <c r="X495">
        <v>258230000</v>
      </c>
    </row>
    <row r="496" spans="1:24">
      <c r="A496">
        <v>1908</v>
      </c>
      <c r="B496" t="s">
        <v>1349</v>
      </c>
      <c r="C496">
        <v>1</v>
      </c>
      <c r="D496" t="s">
        <v>1350</v>
      </c>
      <c r="E496">
        <v>8</v>
      </c>
      <c r="F496">
        <v>8</v>
      </c>
      <c r="G496">
        <v>8</v>
      </c>
      <c r="H496" t="s">
        <v>1349</v>
      </c>
      <c r="I496">
        <v>32.6</v>
      </c>
      <c r="J496">
        <v>34.93</v>
      </c>
      <c r="K496" t="str">
        <f>"LRRC59"</f>
        <v>LRRC59</v>
      </c>
      <c r="L496" t="str">
        <f>"LRRC59"</f>
        <v>LRRC59</v>
      </c>
      <c r="M496">
        <v>354410000</v>
      </c>
      <c r="N496" s="8">
        <v>471000000</v>
      </c>
      <c r="O496">
        <v>342050000</v>
      </c>
      <c r="P496">
        <v>341680000</v>
      </c>
      <c r="Q496">
        <v>406510000</v>
      </c>
      <c r="R496" s="8">
        <v>652000000</v>
      </c>
      <c r="S496">
        <v>659830000</v>
      </c>
      <c r="T496">
        <v>348070000</v>
      </c>
      <c r="U496">
        <v>581370000</v>
      </c>
      <c r="V496">
        <v>415230000</v>
      </c>
      <c r="W496">
        <v>638430000</v>
      </c>
      <c r="X496">
        <v>519540000</v>
      </c>
    </row>
    <row r="497" spans="1:24">
      <c r="A497">
        <v>92</v>
      </c>
      <c r="B497" t="s">
        <v>1351</v>
      </c>
      <c r="C497">
        <v>2</v>
      </c>
      <c r="D497" t="s">
        <v>1352</v>
      </c>
      <c r="E497">
        <v>11</v>
      </c>
      <c r="F497">
        <v>11</v>
      </c>
      <c r="G497">
        <v>11</v>
      </c>
      <c r="H497" t="s">
        <v>1353</v>
      </c>
      <c r="I497">
        <v>34.4</v>
      </c>
      <c r="J497">
        <v>38.868000000000002</v>
      </c>
      <c r="K497" t="str">
        <f>"SLC9A3R1"</f>
        <v>SLC9A3R1</v>
      </c>
      <c r="L497" t="str">
        <f>"SLC9A3R1"</f>
        <v>SLC9A3R1</v>
      </c>
      <c r="M497">
        <v>209380000</v>
      </c>
      <c r="N497">
        <v>387570000</v>
      </c>
      <c r="O497">
        <v>347320000</v>
      </c>
      <c r="P497">
        <v>437540000</v>
      </c>
      <c r="Q497">
        <v>281350000</v>
      </c>
      <c r="R497">
        <v>316440000</v>
      </c>
      <c r="S497">
        <v>214160000</v>
      </c>
      <c r="T497">
        <v>269170000</v>
      </c>
      <c r="U497">
        <v>241940000</v>
      </c>
      <c r="V497">
        <v>451390000</v>
      </c>
      <c r="W497">
        <v>246540000</v>
      </c>
      <c r="X497">
        <v>231740000</v>
      </c>
    </row>
    <row r="498" spans="1:24">
      <c r="A498">
        <v>2202</v>
      </c>
      <c r="B498" t="s">
        <v>1354</v>
      </c>
      <c r="C498">
        <v>2</v>
      </c>
      <c r="D498" t="s">
        <v>1355</v>
      </c>
      <c r="E498">
        <v>31</v>
      </c>
      <c r="F498">
        <v>31</v>
      </c>
      <c r="G498">
        <v>31</v>
      </c>
      <c r="H498" t="s">
        <v>1356</v>
      </c>
      <c r="I498">
        <v>36.1</v>
      </c>
      <c r="J498">
        <v>107.23</v>
      </c>
      <c r="K498" t="str">
        <f>"ERAP1"</f>
        <v>ERAP1</v>
      </c>
      <c r="L498" t="str">
        <f>"ERAP1"</f>
        <v>ERAP1</v>
      </c>
      <c r="M498">
        <v>22692000</v>
      </c>
      <c r="N498">
        <v>155080000</v>
      </c>
      <c r="O498">
        <v>269990000</v>
      </c>
      <c r="P498">
        <v>23057000</v>
      </c>
      <c r="Q498">
        <v>0</v>
      </c>
      <c r="R498">
        <v>31951000</v>
      </c>
      <c r="S498">
        <v>588160000</v>
      </c>
      <c r="T498">
        <v>0</v>
      </c>
      <c r="U498">
        <v>0</v>
      </c>
      <c r="V498">
        <v>73784000</v>
      </c>
      <c r="W498">
        <v>217180000</v>
      </c>
      <c r="X498">
        <v>586460000</v>
      </c>
    </row>
    <row r="499" spans="1:24">
      <c r="A499">
        <v>96</v>
      </c>
      <c r="B499" t="s">
        <v>1357</v>
      </c>
      <c r="C499">
        <v>3</v>
      </c>
      <c r="D499" t="s">
        <v>1358</v>
      </c>
      <c r="E499">
        <v>14</v>
      </c>
      <c r="F499">
        <v>14</v>
      </c>
      <c r="G499">
        <v>14</v>
      </c>
      <c r="H499" t="s">
        <v>1359</v>
      </c>
      <c r="I499">
        <v>33.4</v>
      </c>
      <c r="J499">
        <v>42.158000000000001</v>
      </c>
      <c r="K499" t="str">
        <f>"APOL1"</f>
        <v>APOL1</v>
      </c>
      <c r="L499" t="str">
        <f>"APOL1"</f>
        <v>APOL1</v>
      </c>
      <c r="M499" s="8">
        <v>1480000000</v>
      </c>
      <c r="N499">
        <v>225110000</v>
      </c>
      <c r="O499">
        <v>255350000</v>
      </c>
      <c r="P499">
        <v>774110000</v>
      </c>
      <c r="Q499">
        <v>534890000</v>
      </c>
      <c r="R499">
        <v>142870000</v>
      </c>
      <c r="S499">
        <v>0</v>
      </c>
      <c r="T499">
        <v>900780000</v>
      </c>
      <c r="U499">
        <v>0</v>
      </c>
      <c r="V499">
        <v>561910000</v>
      </c>
      <c r="W499">
        <v>635500000</v>
      </c>
      <c r="X499">
        <v>399060000</v>
      </c>
    </row>
    <row r="500" spans="1:24">
      <c r="A500">
        <v>159</v>
      </c>
      <c r="B500" t="s">
        <v>1360</v>
      </c>
      <c r="C500">
        <v>1</v>
      </c>
      <c r="D500" t="s">
        <v>1361</v>
      </c>
      <c r="E500">
        <v>17</v>
      </c>
      <c r="F500">
        <v>17</v>
      </c>
      <c r="G500">
        <v>15</v>
      </c>
      <c r="H500" t="s">
        <v>1360</v>
      </c>
      <c r="I500">
        <v>45.3</v>
      </c>
      <c r="J500">
        <v>42.914999999999999</v>
      </c>
      <c r="K500" t="str">
        <f>"NCK2"</f>
        <v>NCK2</v>
      </c>
      <c r="L500" t="str">
        <f>"NCK2"</f>
        <v>NCK2</v>
      </c>
      <c r="M500">
        <v>120010000</v>
      </c>
      <c r="N500">
        <v>412030000</v>
      </c>
      <c r="O500">
        <v>226700000</v>
      </c>
      <c r="P500">
        <v>246180000</v>
      </c>
      <c r="Q500">
        <v>129350000</v>
      </c>
      <c r="R500">
        <v>247780000</v>
      </c>
      <c r="S500">
        <v>328320000</v>
      </c>
      <c r="T500">
        <v>144510000</v>
      </c>
      <c r="U500">
        <v>263560000</v>
      </c>
      <c r="V500">
        <v>253560000</v>
      </c>
      <c r="W500">
        <v>0</v>
      </c>
      <c r="X500">
        <v>253310000</v>
      </c>
    </row>
    <row r="501" spans="1:24">
      <c r="A501">
        <v>217</v>
      </c>
      <c r="B501" t="s">
        <v>1362</v>
      </c>
      <c r="C501">
        <v>1</v>
      </c>
      <c r="D501" t="s">
        <v>1363</v>
      </c>
      <c r="E501">
        <v>10</v>
      </c>
      <c r="F501">
        <v>10</v>
      </c>
      <c r="G501">
        <v>10</v>
      </c>
      <c r="H501" t="s">
        <v>1362</v>
      </c>
      <c r="I501">
        <v>51.6</v>
      </c>
      <c r="J501">
        <v>24.593</v>
      </c>
      <c r="K501" t="str">
        <f>"SEC22B"</f>
        <v>SEC22B</v>
      </c>
      <c r="L501" t="str">
        <f>"SEC22B"</f>
        <v>SEC22B</v>
      </c>
      <c r="M501">
        <v>254550000</v>
      </c>
      <c r="N501">
        <v>143820000</v>
      </c>
      <c r="O501">
        <v>191210000</v>
      </c>
      <c r="P501">
        <v>233680000</v>
      </c>
      <c r="Q501">
        <v>0</v>
      </c>
      <c r="R501">
        <v>353810000</v>
      </c>
      <c r="S501">
        <v>376180000</v>
      </c>
      <c r="T501">
        <v>268400000</v>
      </c>
      <c r="U501">
        <v>182350000</v>
      </c>
      <c r="V501">
        <v>276210000</v>
      </c>
      <c r="W501">
        <v>199500000</v>
      </c>
      <c r="X501">
        <v>280540000</v>
      </c>
    </row>
    <row r="502" spans="1:24">
      <c r="A502">
        <v>309</v>
      </c>
      <c r="B502" t="s">
        <v>1364</v>
      </c>
      <c r="C502">
        <v>2</v>
      </c>
      <c r="D502" t="s">
        <v>1365</v>
      </c>
      <c r="E502">
        <v>26</v>
      </c>
      <c r="F502">
        <v>6</v>
      </c>
      <c r="G502">
        <v>6</v>
      </c>
      <c r="H502" t="s">
        <v>1366</v>
      </c>
      <c r="I502">
        <v>55.5</v>
      </c>
      <c r="J502">
        <v>39.029000000000003</v>
      </c>
      <c r="K502" t="str">
        <f>"HPR"</f>
        <v>HPR</v>
      </c>
      <c r="L502" t="str">
        <f>"HPR"</f>
        <v>HPR</v>
      </c>
      <c r="M502">
        <v>2409900000</v>
      </c>
      <c r="N502">
        <v>207750000</v>
      </c>
      <c r="O502">
        <v>567520000</v>
      </c>
      <c r="P502">
        <v>1595900000</v>
      </c>
      <c r="Q502">
        <v>1241700000</v>
      </c>
      <c r="R502">
        <v>550510000</v>
      </c>
      <c r="S502">
        <v>769580000</v>
      </c>
      <c r="T502">
        <v>2356500000</v>
      </c>
      <c r="U502">
        <v>0</v>
      </c>
      <c r="V502">
        <v>1447700000</v>
      </c>
      <c r="W502">
        <v>2061100000</v>
      </c>
      <c r="X502" s="8">
        <v>1663000000</v>
      </c>
    </row>
    <row r="503" spans="1:24">
      <c r="A503">
        <v>1481</v>
      </c>
      <c r="B503" t="s">
        <v>1367</v>
      </c>
      <c r="C503">
        <v>4</v>
      </c>
      <c r="D503" t="s">
        <v>1368</v>
      </c>
      <c r="E503">
        <v>20</v>
      </c>
      <c r="F503">
        <v>10</v>
      </c>
      <c r="G503">
        <v>10</v>
      </c>
      <c r="H503" t="s">
        <v>1369</v>
      </c>
      <c r="I503">
        <v>52</v>
      </c>
      <c r="J503">
        <v>48.872</v>
      </c>
      <c r="K503" t="str">
        <f>"SEPT6"</f>
        <v>SEPT6</v>
      </c>
      <c r="L503" t="str">
        <f>"SEPT6"</f>
        <v>SEPT6</v>
      </c>
      <c r="M503">
        <v>299860000</v>
      </c>
      <c r="N503">
        <v>368190000</v>
      </c>
      <c r="O503">
        <v>522870000</v>
      </c>
      <c r="P503">
        <v>377420000</v>
      </c>
      <c r="Q503">
        <v>342970000</v>
      </c>
      <c r="R503">
        <v>353820000</v>
      </c>
      <c r="S503">
        <v>380050000</v>
      </c>
      <c r="T503">
        <v>287300000</v>
      </c>
      <c r="U503">
        <v>565790000</v>
      </c>
      <c r="V503">
        <v>203660000</v>
      </c>
      <c r="W503">
        <v>385300000</v>
      </c>
      <c r="X503">
        <v>657230000</v>
      </c>
    </row>
    <row r="504" spans="1:24">
      <c r="A504">
        <v>793</v>
      </c>
      <c r="B504" t="s">
        <v>1370</v>
      </c>
      <c r="C504">
        <v>1</v>
      </c>
      <c r="D504" t="s">
        <v>1371</v>
      </c>
      <c r="E504">
        <v>12</v>
      </c>
      <c r="F504">
        <v>12</v>
      </c>
      <c r="G504">
        <v>12</v>
      </c>
      <c r="H504" t="s">
        <v>1370</v>
      </c>
      <c r="I504">
        <v>28.1</v>
      </c>
      <c r="J504">
        <v>60.555999999999997</v>
      </c>
      <c r="K504" t="str">
        <f>"CPN2"</f>
        <v>CPN2</v>
      </c>
      <c r="L504" t="str">
        <f>"CPN2"</f>
        <v>CPN2</v>
      </c>
      <c r="M504">
        <v>1127300000</v>
      </c>
      <c r="N504">
        <v>384880000</v>
      </c>
      <c r="O504">
        <v>0</v>
      </c>
      <c r="P504">
        <v>504240000</v>
      </c>
      <c r="Q504">
        <v>541390000</v>
      </c>
      <c r="R504">
        <v>252570000</v>
      </c>
      <c r="S504">
        <v>965840000</v>
      </c>
      <c r="T504">
        <v>671250000</v>
      </c>
      <c r="U504">
        <v>390410000</v>
      </c>
      <c r="V504">
        <v>354750000</v>
      </c>
      <c r="W504">
        <v>782050000</v>
      </c>
      <c r="X504">
        <v>304240000</v>
      </c>
    </row>
    <row r="505" spans="1:24">
      <c r="A505">
        <v>882</v>
      </c>
      <c r="B505" t="s">
        <v>1372</v>
      </c>
      <c r="C505">
        <v>4</v>
      </c>
      <c r="D505" t="s">
        <v>1373</v>
      </c>
      <c r="E505">
        <v>8</v>
      </c>
      <c r="F505">
        <v>8</v>
      </c>
      <c r="G505">
        <v>8</v>
      </c>
      <c r="H505" t="s">
        <v>1374</v>
      </c>
      <c r="I505">
        <v>49.4</v>
      </c>
      <c r="J505">
        <v>17.030999999999999</v>
      </c>
      <c r="K505" t="str">
        <f>"PRDX5"</f>
        <v>PRDX5</v>
      </c>
      <c r="L505" t="str">
        <f>"PRDX5"</f>
        <v>PRDX5</v>
      </c>
      <c r="M505">
        <v>364890000</v>
      </c>
      <c r="N505">
        <v>312410000</v>
      </c>
      <c r="O505">
        <v>335550000</v>
      </c>
      <c r="P505">
        <v>543790000</v>
      </c>
      <c r="Q505">
        <v>393060000</v>
      </c>
      <c r="R505">
        <v>469140000</v>
      </c>
      <c r="S505">
        <v>772140000</v>
      </c>
      <c r="T505">
        <v>511860000</v>
      </c>
      <c r="U505">
        <v>771270000</v>
      </c>
      <c r="V505">
        <v>457140000</v>
      </c>
      <c r="W505">
        <v>463050000</v>
      </c>
      <c r="X505">
        <v>724220000</v>
      </c>
    </row>
    <row r="506" spans="1:24">
      <c r="A506">
        <v>1091</v>
      </c>
      <c r="B506" t="s">
        <v>1375</v>
      </c>
      <c r="C506">
        <v>1</v>
      </c>
      <c r="D506" t="s">
        <v>1376</v>
      </c>
      <c r="E506">
        <v>11</v>
      </c>
      <c r="F506">
        <v>11</v>
      </c>
      <c r="G506">
        <v>11</v>
      </c>
      <c r="H506" t="s">
        <v>1375</v>
      </c>
      <c r="I506">
        <v>28.4</v>
      </c>
      <c r="J506">
        <v>58.777000000000001</v>
      </c>
      <c r="K506" t="str">
        <f>"SARS"</f>
        <v>SARS</v>
      </c>
      <c r="L506" t="str">
        <f>"SARS"</f>
        <v>SARS</v>
      </c>
      <c r="M506">
        <v>0</v>
      </c>
      <c r="N506">
        <v>397320000</v>
      </c>
      <c r="O506">
        <v>345460000</v>
      </c>
      <c r="P506">
        <v>280270000</v>
      </c>
      <c r="Q506">
        <v>158890000</v>
      </c>
      <c r="R506">
        <v>300290000</v>
      </c>
      <c r="S506">
        <v>340490000</v>
      </c>
      <c r="T506">
        <v>271970000</v>
      </c>
      <c r="U506">
        <v>400250000</v>
      </c>
      <c r="V506">
        <v>304600000</v>
      </c>
      <c r="W506">
        <v>391630000</v>
      </c>
      <c r="X506">
        <v>357450000</v>
      </c>
    </row>
    <row r="507" spans="1:24">
      <c r="A507">
        <v>1736</v>
      </c>
      <c r="B507" t="s">
        <v>1377</v>
      </c>
      <c r="C507">
        <v>7</v>
      </c>
      <c r="D507" t="s">
        <v>1378</v>
      </c>
      <c r="E507">
        <v>13</v>
      </c>
      <c r="F507">
        <v>13</v>
      </c>
      <c r="G507">
        <v>13</v>
      </c>
      <c r="H507" t="s">
        <v>1379</v>
      </c>
      <c r="I507">
        <v>31.8</v>
      </c>
      <c r="J507">
        <v>50.198999999999998</v>
      </c>
      <c r="K507" t="str">
        <f>"PRUNE"</f>
        <v>PRUNE</v>
      </c>
      <c r="L507" t="str">
        <f>"PRUNE"</f>
        <v>PRUNE</v>
      </c>
      <c r="M507">
        <v>180580000</v>
      </c>
      <c r="N507">
        <v>150130000</v>
      </c>
      <c r="O507">
        <v>148190000</v>
      </c>
      <c r="P507">
        <v>112230000</v>
      </c>
      <c r="Q507">
        <v>175950000</v>
      </c>
      <c r="R507">
        <v>127560000</v>
      </c>
      <c r="S507">
        <v>177170000</v>
      </c>
      <c r="T507">
        <v>132920000</v>
      </c>
      <c r="U507">
        <v>219300000</v>
      </c>
      <c r="V507">
        <v>192110000</v>
      </c>
      <c r="W507">
        <v>250920000</v>
      </c>
      <c r="X507">
        <v>211260000</v>
      </c>
    </row>
    <row r="508" spans="1:24">
      <c r="A508">
        <v>286</v>
      </c>
      <c r="B508" t="s">
        <v>1380</v>
      </c>
      <c r="C508">
        <v>3</v>
      </c>
      <c r="D508" t="s">
        <v>1381</v>
      </c>
      <c r="E508">
        <v>9</v>
      </c>
      <c r="F508">
        <v>9</v>
      </c>
      <c r="G508">
        <v>3</v>
      </c>
      <c r="H508" t="s">
        <v>1382</v>
      </c>
      <c r="I508">
        <v>49.8</v>
      </c>
      <c r="J508">
        <v>25.003</v>
      </c>
      <c r="K508" t="str">
        <f>"G6B"</f>
        <v>G6B</v>
      </c>
      <c r="L508" t="str">
        <f>"C6orf25"</f>
        <v>C6orf25</v>
      </c>
      <c r="M508">
        <v>353290000</v>
      </c>
      <c r="N508">
        <v>508320000</v>
      </c>
      <c r="O508">
        <v>453650000</v>
      </c>
      <c r="P508">
        <v>521810000</v>
      </c>
      <c r="Q508">
        <v>231150000</v>
      </c>
      <c r="R508">
        <v>854890000</v>
      </c>
      <c r="S508">
        <v>298510000</v>
      </c>
      <c r="T508">
        <v>386830000</v>
      </c>
      <c r="U508">
        <v>362420000</v>
      </c>
      <c r="V508">
        <v>447280000</v>
      </c>
      <c r="W508">
        <v>399690000</v>
      </c>
      <c r="X508">
        <v>447260000</v>
      </c>
    </row>
    <row r="509" spans="1:24">
      <c r="A509">
        <v>1158</v>
      </c>
      <c r="B509" t="s">
        <v>1383</v>
      </c>
      <c r="C509">
        <v>1</v>
      </c>
      <c r="D509" t="s">
        <v>1384</v>
      </c>
      <c r="E509">
        <v>14</v>
      </c>
      <c r="F509">
        <v>14</v>
      </c>
      <c r="G509">
        <v>14</v>
      </c>
      <c r="H509" t="s">
        <v>1383</v>
      </c>
      <c r="I509">
        <v>46.6</v>
      </c>
      <c r="J509">
        <v>33.427999999999997</v>
      </c>
      <c r="K509" t="str">
        <f>"BLVRA"</f>
        <v>BLVRA</v>
      </c>
      <c r="L509" t="str">
        <f>"BLVRA"</f>
        <v>BLVRA</v>
      </c>
      <c r="M509">
        <v>91789000</v>
      </c>
      <c r="N509">
        <v>234140000</v>
      </c>
      <c r="O509">
        <v>229600000</v>
      </c>
      <c r="P509">
        <v>171920000</v>
      </c>
      <c r="Q509">
        <v>0</v>
      </c>
      <c r="R509">
        <v>205570000</v>
      </c>
      <c r="S509">
        <v>0</v>
      </c>
      <c r="T509">
        <v>183090000</v>
      </c>
      <c r="U509">
        <v>258850000</v>
      </c>
      <c r="V509">
        <v>143140000</v>
      </c>
      <c r="W509">
        <v>0</v>
      </c>
      <c r="X509">
        <v>140700000</v>
      </c>
    </row>
    <row r="510" spans="1:24">
      <c r="A510">
        <v>781</v>
      </c>
      <c r="B510" t="s">
        <v>1385</v>
      </c>
      <c r="C510">
        <v>2</v>
      </c>
      <c r="D510" t="s">
        <v>1386</v>
      </c>
      <c r="E510">
        <v>10</v>
      </c>
      <c r="F510">
        <v>10</v>
      </c>
      <c r="G510">
        <v>10</v>
      </c>
      <c r="H510" t="s">
        <v>1387</v>
      </c>
      <c r="I510">
        <v>65.599999999999994</v>
      </c>
      <c r="J510">
        <v>24.635999999999999</v>
      </c>
      <c r="K510" t="str">
        <f>"PCMT1"</f>
        <v>PCMT1</v>
      </c>
      <c r="L510" t="str">
        <f>"PCMT1"</f>
        <v>PCMT1</v>
      </c>
      <c r="M510">
        <v>335450000</v>
      </c>
      <c r="N510">
        <v>229340000</v>
      </c>
      <c r="O510">
        <v>221270000</v>
      </c>
      <c r="P510">
        <v>209710000</v>
      </c>
      <c r="Q510">
        <v>270400000</v>
      </c>
      <c r="R510">
        <v>275220000</v>
      </c>
      <c r="S510">
        <v>268950000</v>
      </c>
      <c r="T510">
        <v>153950000</v>
      </c>
      <c r="U510">
        <v>330160000</v>
      </c>
      <c r="V510">
        <v>266360000</v>
      </c>
      <c r="W510">
        <v>222510000</v>
      </c>
      <c r="X510">
        <v>142160000</v>
      </c>
    </row>
    <row r="511" spans="1:24">
      <c r="A511">
        <v>907</v>
      </c>
      <c r="B511" t="s">
        <v>1388</v>
      </c>
      <c r="C511">
        <v>2</v>
      </c>
      <c r="D511" t="s">
        <v>1389</v>
      </c>
      <c r="E511">
        <v>19</v>
      </c>
      <c r="F511">
        <v>13</v>
      </c>
      <c r="G511">
        <v>1</v>
      </c>
      <c r="H511" t="s">
        <v>1390</v>
      </c>
      <c r="I511">
        <v>54.4</v>
      </c>
      <c r="J511">
        <v>40.362000000000002</v>
      </c>
      <c r="K511" t="str">
        <f>"HLA-B"</f>
        <v>HLA-B</v>
      </c>
      <c r="L511" t="str">
        <f>"HLA-B"</f>
        <v>HLA-B</v>
      </c>
      <c r="M511">
        <v>199250000</v>
      </c>
      <c r="N511">
        <v>157910000</v>
      </c>
      <c r="O511">
        <v>434070000</v>
      </c>
      <c r="P511">
        <v>291320000</v>
      </c>
      <c r="Q511">
        <v>140750000</v>
      </c>
      <c r="R511">
        <v>257230000</v>
      </c>
      <c r="S511">
        <v>213960000</v>
      </c>
      <c r="T511">
        <v>344330000</v>
      </c>
      <c r="U511">
        <v>751880000</v>
      </c>
      <c r="V511">
        <v>298440000</v>
      </c>
      <c r="W511">
        <v>105650000</v>
      </c>
      <c r="X511">
        <v>418770000</v>
      </c>
    </row>
    <row r="512" spans="1:24">
      <c r="A512">
        <v>1996</v>
      </c>
      <c r="B512" t="s">
        <v>1391</v>
      </c>
      <c r="C512">
        <v>1</v>
      </c>
      <c r="D512" t="s">
        <v>1392</v>
      </c>
      <c r="E512">
        <v>16</v>
      </c>
      <c r="F512">
        <v>16</v>
      </c>
      <c r="G512">
        <v>5</v>
      </c>
      <c r="H512" t="s">
        <v>1391</v>
      </c>
      <c r="I512">
        <v>48.2</v>
      </c>
      <c r="J512">
        <v>42.777000000000001</v>
      </c>
      <c r="K512" t="str">
        <f>"SEPT5"</f>
        <v>SEPT5</v>
      </c>
      <c r="L512" t="str">
        <f>"SEPT5"</f>
        <v>SEPT5</v>
      </c>
      <c r="M512">
        <v>574080000</v>
      </c>
      <c r="N512">
        <v>267930000</v>
      </c>
      <c r="O512">
        <v>524620000</v>
      </c>
      <c r="P512">
        <v>413630000</v>
      </c>
      <c r="Q512">
        <v>232770000</v>
      </c>
      <c r="R512">
        <v>376850000</v>
      </c>
      <c r="S512">
        <v>461150000</v>
      </c>
      <c r="T512">
        <v>448420000</v>
      </c>
      <c r="U512">
        <v>506460000</v>
      </c>
      <c r="V512">
        <v>251430000</v>
      </c>
      <c r="W512">
        <v>307860000</v>
      </c>
      <c r="X512">
        <v>510830000</v>
      </c>
    </row>
    <row r="513" spans="1:24">
      <c r="A513">
        <v>602</v>
      </c>
      <c r="B513" t="s">
        <v>1393</v>
      </c>
      <c r="C513">
        <v>4</v>
      </c>
      <c r="D513" t="s">
        <v>1394</v>
      </c>
      <c r="E513">
        <v>5</v>
      </c>
      <c r="F513">
        <v>5</v>
      </c>
      <c r="G513">
        <v>5</v>
      </c>
      <c r="H513" t="s">
        <v>1395</v>
      </c>
      <c r="I513">
        <v>36.700000000000003</v>
      </c>
      <c r="J513">
        <v>14.728</v>
      </c>
      <c r="K513" t="str">
        <f>"UBA52;RPS27A;UBB;UBC"</f>
        <v>UBA52;RPS27A;UBB;UBC</v>
      </c>
      <c r="L513" t="str">
        <f>"UBA52;RPS27A;UBB;UBC"</f>
        <v>UBA52;RPS27A;UBB;UBC</v>
      </c>
      <c r="M513">
        <v>276830000</v>
      </c>
      <c r="N513">
        <v>382610000</v>
      </c>
      <c r="O513">
        <v>486840000</v>
      </c>
      <c r="P513">
        <v>429220000</v>
      </c>
      <c r="Q513">
        <v>227640000</v>
      </c>
      <c r="R513">
        <v>583250000</v>
      </c>
      <c r="S513">
        <v>373520000</v>
      </c>
      <c r="T513">
        <v>292680000</v>
      </c>
      <c r="U513">
        <v>464390000</v>
      </c>
      <c r="V513">
        <v>366080000</v>
      </c>
      <c r="W513">
        <v>408540000</v>
      </c>
      <c r="X513">
        <v>336250000</v>
      </c>
    </row>
    <row r="514" spans="1:24">
      <c r="A514">
        <v>643</v>
      </c>
      <c r="B514" t="s">
        <v>1396</v>
      </c>
      <c r="C514">
        <v>1</v>
      </c>
      <c r="D514" t="s">
        <v>1397</v>
      </c>
      <c r="E514">
        <v>13</v>
      </c>
      <c r="F514">
        <v>13</v>
      </c>
      <c r="G514">
        <v>13</v>
      </c>
      <c r="H514" t="s">
        <v>1396</v>
      </c>
      <c r="I514">
        <v>43</v>
      </c>
      <c r="J514">
        <v>39.723999999999997</v>
      </c>
      <c r="K514" t="str">
        <f>"ADH5"</f>
        <v>ADH5</v>
      </c>
      <c r="L514" t="str">
        <f>"ADH5"</f>
        <v>ADH5</v>
      </c>
      <c r="M514">
        <v>157690000</v>
      </c>
      <c r="N514">
        <v>502480000</v>
      </c>
      <c r="O514">
        <v>278500000</v>
      </c>
      <c r="P514">
        <v>229700000</v>
      </c>
      <c r="Q514">
        <v>0</v>
      </c>
      <c r="R514">
        <v>357110000</v>
      </c>
      <c r="S514">
        <v>101940000</v>
      </c>
      <c r="T514">
        <v>225970000</v>
      </c>
      <c r="U514">
        <v>506870000</v>
      </c>
      <c r="V514">
        <v>244850000</v>
      </c>
      <c r="W514">
        <v>457780000</v>
      </c>
      <c r="X514">
        <v>527240000</v>
      </c>
    </row>
    <row r="515" spans="1:24">
      <c r="A515">
        <v>805</v>
      </c>
      <c r="B515" t="s">
        <v>1398</v>
      </c>
      <c r="C515">
        <v>2</v>
      </c>
      <c r="D515" t="s">
        <v>1399</v>
      </c>
      <c r="E515">
        <v>15</v>
      </c>
      <c r="F515">
        <v>15</v>
      </c>
      <c r="G515">
        <v>15</v>
      </c>
      <c r="H515" t="s">
        <v>1400</v>
      </c>
      <c r="I515">
        <v>40.799999999999997</v>
      </c>
      <c r="J515">
        <v>53.164999999999999</v>
      </c>
      <c r="K515" t="str">
        <f>"WARS"</f>
        <v>WARS</v>
      </c>
      <c r="L515" t="str">
        <f>"WARS"</f>
        <v>WARS</v>
      </c>
      <c r="M515">
        <v>166270000</v>
      </c>
      <c r="N515">
        <v>192990000</v>
      </c>
      <c r="O515">
        <v>352130000</v>
      </c>
      <c r="P515">
        <v>122080000</v>
      </c>
      <c r="Q515">
        <v>135110000</v>
      </c>
      <c r="R515">
        <v>229770000</v>
      </c>
      <c r="S515">
        <v>293130000</v>
      </c>
      <c r="T515">
        <v>175450000</v>
      </c>
      <c r="U515">
        <v>402330000</v>
      </c>
      <c r="V515">
        <v>246450000</v>
      </c>
      <c r="W515">
        <v>234820000</v>
      </c>
      <c r="X515">
        <v>264090000</v>
      </c>
    </row>
    <row r="516" spans="1:24">
      <c r="A516">
        <v>1603</v>
      </c>
      <c r="B516" t="s">
        <v>1401</v>
      </c>
      <c r="C516">
        <v>3</v>
      </c>
      <c r="D516" t="s">
        <v>1402</v>
      </c>
      <c r="E516">
        <v>8</v>
      </c>
      <c r="F516">
        <v>8</v>
      </c>
      <c r="G516">
        <v>8</v>
      </c>
      <c r="H516" t="s">
        <v>1403</v>
      </c>
      <c r="I516">
        <v>30.6</v>
      </c>
      <c r="J516">
        <v>34.292999999999999</v>
      </c>
      <c r="K516" t="str">
        <f>"HADH"</f>
        <v>HADH</v>
      </c>
      <c r="L516" t="str">
        <f>"HADH"</f>
        <v>HADH</v>
      </c>
      <c r="M516">
        <v>405890000</v>
      </c>
      <c r="N516">
        <v>269460000</v>
      </c>
      <c r="O516">
        <v>441530000</v>
      </c>
      <c r="P516">
        <v>316200000</v>
      </c>
      <c r="Q516">
        <v>289510000</v>
      </c>
      <c r="R516">
        <v>474200000</v>
      </c>
      <c r="S516">
        <v>633350000</v>
      </c>
      <c r="T516">
        <v>267750000</v>
      </c>
      <c r="U516">
        <v>556330000</v>
      </c>
      <c r="V516">
        <v>500410000</v>
      </c>
      <c r="W516">
        <v>754680000</v>
      </c>
      <c r="X516">
        <v>493640000</v>
      </c>
    </row>
    <row r="517" spans="1:24">
      <c r="A517">
        <v>1847</v>
      </c>
      <c r="B517" t="s">
        <v>1404</v>
      </c>
      <c r="C517">
        <v>3</v>
      </c>
      <c r="D517" t="s">
        <v>1405</v>
      </c>
      <c r="E517">
        <v>8</v>
      </c>
      <c r="F517">
        <v>8</v>
      </c>
      <c r="G517">
        <v>8</v>
      </c>
      <c r="H517" t="s">
        <v>1406</v>
      </c>
      <c r="I517">
        <v>52.8</v>
      </c>
      <c r="J517">
        <v>25.495000000000001</v>
      </c>
      <c r="K517" t="str">
        <f>"TMEM40"</f>
        <v>TMEM40</v>
      </c>
      <c r="L517" t="str">
        <f>"TMEM40"</f>
        <v>TMEM40</v>
      </c>
      <c r="M517">
        <v>104860000</v>
      </c>
      <c r="N517" s="8">
        <v>323000000</v>
      </c>
      <c r="O517" s="8">
        <v>223000000</v>
      </c>
      <c r="P517">
        <v>262450000</v>
      </c>
      <c r="Q517">
        <v>123820000</v>
      </c>
      <c r="R517">
        <v>240650000</v>
      </c>
      <c r="S517">
        <v>169050000</v>
      </c>
      <c r="T517">
        <v>197020000</v>
      </c>
      <c r="U517">
        <v>177630000</v>
      </c>
      <c r="V517">
        <v>224010000</v>
      </c>
      <c r="W517">
        <v>205020000</v>
      </c>
      <c r="X517">
        <v>267850000</v>
      </c>
    </row>
    <row r="518" spans="1:24">
      <c r="A518">
        <v>1998</v>
      </c>
      <c r="B518" t="s">
        <v>1407</v>
      </c>
      <c r="C518">
        <v>2</v>
      </c>
      <c r="D518" t="s">
        <v>1408</v>
      </c>
      <c r="E518">
        <v>12</v>
      </c>
      <c r="F518">
        <v>12</v>
      </c>
      <c r="G518">
        <v>10</v>
      </c>
      <c r="H518" t="s">
        <v>1409</v>
      </c>
      <c r="I518">
        <v>26.1</v>
      </c>
      <c r="J518">
        <v>42.823</v>
      </c>
      <c r="K518" t="str">
        <f>"NAP1L4"</f>
        <v>NAP1L4</v>
      </c>
      <c r="L518" t="str">
        <f>"NAP1L4"</f>
        <v>NAP1L4</v>
      </c>
      <c r="M518">
        <v>0</v>
      </c>
      <c r="N518">
        <v>308080000</v>
      </c>
      <c r="O518">
        <v>380050000</v>
      </c>
      <c r="P518">
        <v>492150000</v>
      </c>
      <c r="Q518">
        <v>326900000</v>
      </c>
      <c r="R518">
        <v>466080000</v>
      </c>
      <c r="S518">
        <v>468400000</v>
      </c>
      <c r="T518">
        <v>356560000</v>
      </c>
      <c r="U518">
        <v>604040000</v>
      </c>
      <c r="V518">
        <v>374810000</v>
      </c>
      <c r="W518">
        <v>459090000</v>
      </c>
      <c r="X518">
        <v>349300000</v>
      </c>
    </row>
    <row r="519" spans="1:24">
      <c r="A519">
        <v>757</v>
      </c>
      <c r="B519" t="s">
        <v>1410</v>
      </c>
      <c r="C519">
        <v>2</v>
      </c>
      <c r="D519" t="s">
        <v>1411</v>
      </c>
      <c r="E519">
        <v>20</v>
      </c>
      <c r="F519">
        <v>20</v>
      </c>
      <c r="G519">
        <v>20</v>
      </c>
      <c r="H519" t="s">
        <v>1412</v>
      </c>
      <c r="I519">
        <v>46.4</v>
      </c>
      <c r="J519">
        <v>50.314999999999998</v>
      </c>
      <c r="K519" t="str">
        <f>"ANXA7"</f>
        <v>ANXA7</v>
      </c>
      <c r="L519" t="str">
        <f>"ANXA7"</f>
        <v>ANXA7</v>
      </c>
      <c r="M519">
        <v>192770000</v>
      </c>
      <c r="N519">
        <v>335260000</v>
      </c>
      <c r="O519">
        <v>320070000</v>
      </c>
      <c r="P519">
        <v>232700000</v>
      </c>
      <c r="Q519">
        <v>0</v>
      </c>
      <c r="R519">
        <v>292850000</v>
      </c>
      <c r="S519">
        <v>334970000</v>
      </c>
      <c r="T519">
        <v>0</v>
      </c>
      <c r="U519">
        <v>220970000</v>
      </c>
      <c r="V519">
        <v>255250000</v>
      </c>
      <c r="W519">
        <v>204100000</v>
      </c>
      <c r="X519">
        <v>373250000</v>
      </c>
    </row>
    <row r="520" spans="1:24">
      <c r="A520">
        <v>2376</v>
      </c>
      <c r="B520" t="s">
        <v>1413</v>
      </c>
      <c r="C520">
        <v>1</v>
      </c>
      <c r="D520" t="s">
        <v>1414</v>
      </c>
      <c r="E520">
        <v>22</v>
      </c>
      <c r="F520">
        <v>22</v>
      </c>
      <c r="G520">
        <v>20</v>
      </c>
      <c r="H520" t="s">
        <v>1413</v>
      </c>
      <c r="I520">
        <v>33.299999999999997</v>
      </c>
      <c r="J520">
        <v>97.716999999999999</v>
      </c>
      <c r="K520" t="str">
        <f>"COPG1"</f>
        <v>COPG1</v>
      </c>
      <c r="L520" t="str">
        <f>"COPG1"</f>
        <v>COPG1</v>
      </c>
      <c r="M520">
        <v>111270000</v>
      </c>
      <c r="N520">
        <v>119290000</v>
      </c>
      <c r="O520">
        <v>259800000</v>
      </c>
      <c r="P520">
        <v>0</v>
      </c>
      <c r="Q520">
        <v>0</v>
      </c>
      <c r="R520">
        <v>209380000</v>
      </c>
      <c r="S520">
        <v>107460000</v>
      </c>
      <c r="T520">
        <v>115590000</v>
      </c>
      <c r="U520">
        <v>155690000</v>
      </c>
      <c r="V520">
        <v>194440000</v>
      </c>
      <c r="W520">
        <v>106700000</v>
      </c>
      <c r="X520">
        <v>247670000</v>
      </c>
    </row>
    <row r="521" spans="1:24">
      <c r="A521">
        <v>1099</v>
      </c>
      <c r="B521" t="s">
        <v>1415</v>
      </c>
      <c r="C521">
        <v>1</v>
      </c>
      <c r="D521" t="s">
        <v>1416</v>
      </c>
      <c r="E521">
        <v>8</v>
      </c>
      <c r="F521">
        <v>8</v>
      </c>
      <c r="G521">
        <v>8</v>
      </c>
      <c r="H521" t="s">
        <v>1415</v>
      </c>
      <c r="I521">
        <v>35.6</v>
      </c>
      <c r="J521">
        <v>24.975999999999999</v>
      </c>
      <c r="K521" t="str">
        <f>"TMED10"</f>
        <v>TMED10</v>
      </c>
      <c r="L521" t="str">
        <f>"TMED10"</f>
        <v>TMED10</v>
      </c>
      <c r="M521">
        <v>175430000</v>
      </c>
      <c r="N521">
        <v>161540000</v>
      </c>
      <c r="O521">
        <v>245620000</v>
      </c>
      <c r="P521">
        <v>180800000</v>
      </c>
      <c r="Q521" s="8">
        <v>150000000</v>
      </c>
      <c r="R521">
        <v>357780000</v>
      </c>
      <c r="S521">
        <v>324600000</v>
      </c>
      <c r="T521">
        <v>222480000</v>
      </c>
      <c r="U521">
        <v>277010000</v>
      </c>
      <c r="V521">
        <v>208670000</v>
      </c>
      <c r="W521">
        <v>253920000</v>
      </c>
      <c r="X521">
        <v>207170000</v>
      </c>
    </row>
    <row r="522" spans="1:24">
      <c r="A522">
        <v>1124</v>
      </c>
      <c r="B522" t="s">
        <v>1417</v>
      </c>
      <c r="C522">
        <v>2</v>
      </c>
      <c r="D522" t="s">
        <v>1418</v>
      </c>
      <c r="E522">
        <v>16</v>
      </c>
      <c r="F522">
        <v>16</v>
      </c>
      <c r="G522">
        <v>16</v>
      </c>
      <c r="H522" t="s">
        <v>1419</v>
      </c>
      <c r="I522">
        <v>33.299999999999997</v>
      </c>
      <c r="J522">
        <v>51.241999999999997</v>
      </c>
      <c r="K522" t="str">
        <f>"ANXA11"</f>
        <v>ANXA11</v>
      </c>
      <c r="L522" t="str">
        <f>"ANXA11"</f>
        <v>ANXA11</v>
      </c>
      <c r="M522">
        <v>0</v>
      </c>
      <c r="N522">
        <v>277010000</v>
      </c>
      <c r="O522">
        <v>356120000</v>
      </c>
      <c r="P522">
        <v>195410000</v>
      </c>
      <c r="Q522">
        <v>0</v>
      </c>
      <c r="R522">
        <v>239460000</v>
      </c>
      <c r="S522">
        <v>463730000</v>
      </c>
      <c r="T522">
        <v>196940000</v>
      </c>
      <c r="U522">
        <v>336590000</v>
      </c>
      <c r="V522">
        <v>179950000</v>
      </c>
      <c r="W522">
        <v>126450000</v>
      </c>
      <c r="X522">
        <v>399900000</v>
      </c>
    </row>
    <row r="523" spans="1:24">
      <c r="A523">
        <v>1125</v>
      </c>
      <c r="B523" t="s">
        <v>1420</v>
      </c>
      <c r="C523">
        <v>2</v>
      </c>
      <c r="D523" t="s">
        <v>1421</v>
      </c>
      <c r="E523">
        <v>7</v>
      </c>
      <c r="F523">
        <v>7</v>
      </c>
      <c r="G523">
        <v>4</v>
      </c>
      <c r="H523" t="s">
        <v>1422</v>
      </c>
      <c r="I523">
        <v>38.9</v>
      </c>
      <c r="J523">
        <v>23.481999999999999</v>
      </c>
      <c r="K523" t="str">
        <f>"RAB5C"</f>
        <v>RAB5C</v>
      </c>
      <c r="L523" t="str">
        <f>"RAB5C"</f>
        <v>RAB5C</v>
      </c>
      <c r="M523">
        <v>219190000</v>
      </c>
      <c r="N523">
        <v>125560000</v>
      </c>
      <c r="O523">
        <v>158620000</v>
      </c>
      <c r="P523">
        <v>198660000</v>
      </c>
      <c r="Q523">
        <v>237600000</v>
      </c>
      <c r="R523">
        <v>312880000</v>
      </c>
      <c r="S523">
        <v>205620000</v>
      </c>
      <c r="T523">
        <v>243450000</v>
      </c>
      <c r="U523">
        <v>183070000</v>
      </c>
      <c r="V523">
        <v>231740000</v>
      </c>
      <c r="W523">
        <v>162430000</v>
      </c>
      <c r="X523">
        <v>248490000</v>
      </c>
    </row>
    <row r="524" spans="1:24">
      <c r="A524">
        <v>1585</v>
      </c>
      <c r="B524" t="s">
        <v>1423</v>
      </c>
      <c r="C524">
        <v>2</v>
      </c>
      <c r="D524" t="s">
        <v>1424</v>
      </c>
      <c r="E524">
        <v>19</v>
      </c>
      <c r="F524">
        <v>19</v>
      </c>
      <c r="G524">
        <v>19</v>
      </c>
      <c r="H524" t="s">
        <v>1425</v>
      </c>
      <c r="I524">
        <v>20.8</v>
      </c>
      <c r="J524">
        <v>126.97</v>
      </c>
      <c r="K524" t="str">
        <f>"DDB1"</f>
        <v>DDB1</v>
      </c>
      <c r="L524" t="str">
        <f>"DDB1"</f>
        <v>DDB1</v>
      </c>
      <c r="M524">
        <v>78321000</v>
      </c>
      <c r="N524">
        <v>213850000</v>
      </c>
      <c r="O524">
        <v>184720000</v>
      </c>
      <c r="P524">
        <v>105080000</v>
      </c>
      <c r="Q524">
        <v>110620000</v>
      </c>
      <c r="R524">
        <v>189980000</v>
      </c>
      <c r="S524">
        <v>179270000</v>
      </c>
      <c r="T524">
        <v>138330000</v>
      </c>
      <c r="U524">
        <v>219620000</v>
      </c>
      <c r="V524">
        <v>122530000</v>
      </c>
      <c r="W524">
        <v>131980000</v>
      </c>
      <c r="X524">
        <v>209160000</v>
      </c>
    </row>
    <row r="525" spans="1:24">
      <c r="A525">
        <v>2293</v>
      </c>
      <c r="B525" t="s">
        <v>1426</v>
      </c>
      <c r="C525">
        <v>2</v>
      </c>
      <c r="D525" t="s">
        <v>1427</v>
      </c>
      <c r="E525">
        <v>15</v>
      </c>
      <c r="F525">
        <v>15</v>
      </c>
      <c r="G525">
        <v>15</v>
      </c>
      <c r="H525" t="s">
        <v>1428</v>
      </c>
      <c r="I525">
        <v>33.5</v>
      </c>
      <c r="J525">
        <v>55.738</v>
      </c>
      <c r="K525" t="str">
        <f>"PACSIN2"</f>
        <v>PACSIN2</v>
      </c>
      <c r="L525" t="str">
        <f>"PACSIN2"</f>
        <v>PACSIN2</v>
      </c>
      <c r="M525">
        <v>223110000</v>
      </c>
      <c r="N525">
        <v>190660000</v>
      </c>
      <c r="O525">
        <v>254040000</v>
      </c>
      <c r="P525">
        <v>220620000</v>
      </c>
      <c r="Q525">
        <v>0</v>
      </c>
      <c r="R525">
        <v>312240000</v>
      </c>
      <c r="S525">
        <v>93213000</v>
      </c>
      <c r="T525">
        <v>0</v>
      </c>
      <c r="U525">
        <v>163780000</v>
      </c>
      <c r="V525">
        <v>280350000</v>
      </c>
      <c r="W525">
        <v>108290000</v>
      </c>
      <c r="X525">
        <v>214040000</v>
      </c>
    </row>
    <row r="526" spans="1:24">
      <c r="A526">
        <v>97</v>
      </c>
      <c r="B526" t="s">
        <v>1429</v>
      </c>
      <c r="C526">
        <v>6</v>
      </c>
      <c r="D526" t="s">
        <v>1430</v>
      </c>
      <c r="E526">
        <v>9</v>
      </c>
      <c r="F526">
        <v>9</v>
      </c>
      <c r="G526">
        <v>9</v>
      </c>
      <c r="H526" t="s">
        <v>1431</v>
      </c>
      <c r="I526">
        <v>42.7</v>
      </c>
      <c r="J526">
        <v>27.887</v>
      </c>
      <c r="K526" t="str">
        <f>"PSMA7;PSMA8"</f>
        <v>PSMA7;PSMA8</v>
      </c>
      <c r="L526" t="str">
        <f>"PSMA7;PSMA8"</f>
        <v>PSMA7;PSMA8</v>
      </c>
      <c r="M526">
        <v>219670000</v>
      </c>
      <c r="N526">
        <v>277560000</v>
      </c>
      <c r="O526">
        <v>306510000</v>
      </c>
      <c r="P526">
        <v>208900000</v>
      </c>
      <c r="Q526">
        <v>223340000</v>
      </c>
      <c r="R526">
        <v>332240000</v>
      </c>
      <c r="S526">
        <v>272140000</v>
      </c>
      <c r="T526">
        <v>233240000</v>
      </c>
      <c r="U526">
        <v>463410000</v>
      </c>
      <c r="V526">
        <v>267860000</v>
      </c>
      <c r="W526">
        <v>345390000</v>
      </c>
      <c r="X526">
        <v>308760000</v>
      </c>
    </row>
    <row r="527" spans="1:24">
      <c r="A527">
        <v>68</v>
      </c>
      <c r="B527" t="s">
        <v>1432</v>
      </c>
      <c r="C527">
        <v>4</v>
      </c>
      <c r="D527" t="s">
        <v>1433</v>
      </c>
      <c r="E527">
        <v>14</v>
      </c>
      <c r="F527">
        <v>14</v>
      </c>
      <c r="G527">
        <v>14</v>
      </c>
      <c r="H527" t="s">
        <v>1434</v>
      </c>
      <c r="I527">
        <v>16.8</v>
      </c>
      <c r="J527">
        <v>123.63</v>
      </c>
      <c r="K527" t="str">
        <f>"IPO5;RANBP6"</f>
        <v>IPO5;RANBP6</v>
      </c>
      <c r="L527" t="str">
        <f>"IPO5;RANBP6"</f>
        <v>IPO5;RANBP6</v>
      </c>
      <c r="M527">
        <v>168190000</v>
      </c>
      <c r="N527">
        <v>175350000</v>
      </c>
      <c r="O527">
        <v>133040000</v>
      </c>
      <c r="P527">
        <v>64042000</v>
      </c>
      <c r="Q527">
        <v>122250000</v>
      </c>
      <c r="R527">
        <v>121920000</v>
      </c>
      <c r="S527">
        <v>152770000</v>
      </c>
      <c r="T527">
        <v>87624000</v>
      </c>
      <c r="U527">
        <v>178810000</v>
      </c>
      <c r="V527">
        <v>94583000</v>
      </c>
      <c r="W527">
        <v>375900000</v>
      </c>
      <c r="X527">
        <v>158830000</v>
      </c>
    </row>
    <row r="528" spans="1:24">
      <c r="A528">
        <v>1176</v>
      </c>
      <c r="B528" t="s">
        <v>1435</v>
      </c>
      <c r="C528">
        <v>3</v>
      </c>
      <c r="D528" t="s">
        <v>1436</v>
      </c>
      <c r="E528">
        <v>12</v>
      </c>
      <c r="F528">
        <v>12</v>
      </c>
      <c r="G528">
        <v>12</v>
      </c>
      <c r="H528" t="s">
        <v>1437</v>
      </c>
      <c r="I528">
        <v>29.8</v>
      </c>
      <c r="J528">
        <v>52.384999999999998</v>
      </c>
      <c r="K528" t="str">
        <f>"USP14"</f>
        <v>USP14</v>
      </c>
      <c r="L528" t="str">
        <f>"USP14"</f>
        <v>USP14</v>
      </c>
      <c r="M528">
        <v>153070000</v>
      </c>
      <c r="N528">
        <v>242340000</v>
      </c>
      <c r="O528">
        <v>229020000</v>
      </c>
      <c r="P528">
        <v>177410000</v>
      </c>
      <c r="Q528">
        <v>144150000</v>
      </c>
      <c r="R528">
        <v>210500000</v>
      </c>
      <c r="S528">
        <v>243400000</v>
      </c>
      <c r="T528">
        <v>228840000</v>
      </c>
      <c r="U528">
        <v>187550000</v>
      </c>
      <c r="V528">
        <v>190200000</v>
      </c>
      <c r="W528">
        <v>122940000</v>
      </c>
      <c r="X528">
        <v>226870000</v>
      </c>
    </row>
    <row r="529" spans="1:24">
      <c r="A529">
        <v>1989</v>
      </c>
      <c r="B529" t="s">
        <v>1438</v>
      </c>
      <c r="C529">
        <v>2</v>
      </c>
      <c r="D529" t="s">
        <v>1439</v>
      </c>
      <c r="E529">
        <v>12</v>
      </c>
      <c r="F529">
        <v>12</v>
      </c>
      <c r="G529">
        <v>12</v>
      </c>
      <c r="H529" t="s">
        <v>1440</v>
      </c>
      <c r="I529">
        <v>44.1</v>
      </c>
      <c r="J529">
        <v>33.295999999999999</v>
      </c>
      <c r="K529" t="str">
        <f>"PHB2"</f>
        <v>PHB2</v>
      </c>
      <c r="L529" t="str">
        <f>"PHB2"</f>
        <v>PHB2</v>
      </c>
      <c r="M529">
        <v>264720000</v>
      </c>
      <c r="N529">
        <v>178980000</v>
      </c>
      <c r="O529">
        <v>226200000</v>
      </c>
      <c r="P529">
        <v>205650000</v>
      </c>
      <c r="Q529">
        <v>252920000</v>
      </c>
      <c r="R529">
        <v>199430000</v>
      </c>
      <c r="S529">
        <v>456460000</v>
      </c>
      <c r="T529">
        <v>191800000</v>
      </c>
      <c r="U529">
        <v>377220000</v>
      </c>
      <c r="V529">
        <v>260430000</v>
      </c>
      <c r="W529">
        <v>442770000</v>
      </c>
      <c r="X529">
        <v>336630000</v>
      </c>
    </row>
    <row r="530" spans="1:24">
      <c r="A530">
        <v>2329</v>
      </c>
      <c r="B530" t="s">
        <v>1441</v>
      </c>
      <c r="C530">
        <v>4</v>
      </c>
      <c r="D530" t="s">
        <v>1442</v>
      </c>
      <c r="E530">
        <v>10</v>
      </c>
      <c r="F530">
        <v>10</v>
      </c>
      <c r="G530">
        <v>10</v>
      </c>
      <c r="H530" t="s">
        <v>1443</v>
      </c>
      <c r="I530">
        <v>63.7</v>
      </c>
      <c r="J530">
        <v>25.497</v>
      </c>
      <c r="K530" t="str">
        <f>"GSTK1"</f>
        <v>GSTK1</v>
      </c>
      <c r="L530" t="str">
        <f>"GSTK1"</f>
        <v>GSTK1</v>
      </c>
      <c r="M530">
        <v>170080000</v>
      </c>
      <c r="N530">
        <v>114940000</v>
      </c>
      <c r="O530">
        <v>131090000</v>
      </c>
      <c r="P530">
        <v>111620000</v>
      </c>
      <c r="Q530">
        <v>243510000</v>
      </c>
      <c r="R530">
        <v>225540000</v>
      </c>
      <c r="S530">
        <v>261540000</v>
      </c>
      <c r="T530">
        <v>101340000</v>
      </c>
      <c r="U530">
        <v>255790000</v>
      </c>
      <c r="V530">
        <v>137290000</v>
      </c>
      <c r="W530">
        <v>315200000</v>
      </c>
      <c r="X530">
        <v>260690000</v>
      </c>
    </row>
    <row r="531" spans="1:24">
      <c r="A531">
        <v>135</v>
      </c>
      <c r="B531" t="s">
        <v>1444</v>
      </c>
      <c r="C531">
        <v>3</v>
      </c>
      <c r="D531" t="s">
        <v>1445</v>
      </c>
      <c r="E531">
        <v>7</v>
      </c>
      <c r="F531">
        <v>7</v>
      </c>
      <c r="G531">
        <v>7</v>
      </c>
      <c r="H531" t="s">
        <v>1446</v>
      </c>
      <c r="I531">
        <v>62.3</v>
      </c>
      <c r="J531">
        <v>16.32</v>
      </c>
      <c r="K531" t="str">
        <f>"ARPC5;ARPC5L"</f>
        <v>ARPC5;ARPC5L</v>
      </c>
      <c r="L531" t="str">
        <f>"ARPC5;ARPC5L"</f>
        <v>ARPC5;ARPC5L</v>
      </c>
      <c r="M531">
        <v>399330000</v>
      </c>
      <c r="N531">
        <v>543770000</v>
      </c>
      <c r="O531">
        <v>702680000</v>
      </c>
      <c r="P531">
        <v>596650000</v>
      </c>
      <c r="Q531">
        <v>0</v>
      </c>
      <c r="R531">
        <v>803930000</v>
      </c>
      <c r="S531">
        <v>209060000</v>
      </c>
      <c r="T531">
        <v>443860000</v>
      </c>
      <c r="U531">
        <v>617510000</v>
      </c>
      <c r="V531">
        <v>675590000</v>
      </c>
      <c r="W531">
        <v>277630000</v>
      </c>
      <c r="X531">
        <v>490430000</v>
      </c>
    </row>
    <row r="532" spans="1:24">
      <c r="A532">
        <v>333</v>
      </c>
      <c r="B532" t="s">
        <v>1447</v>
      </c>
      <c r="C532">
        <v>1</v>
      </c>
      <c r="D532" t="s">
        <v>1448</v>
      </c>
      <c r="E532">
        <v>7</v>
      </c>
      <c r="F532">
        <v>7</v>
      </c>
      <c r="G532">
        <v>7</v>
      </c>
      <c r="H532" t="s">
        <v>1447</v>
      </c>
      <c r="I532">
        <v>34</v>
      </c>
      <c r="J532">
        <v>18.097999999999999</v>
      </c>
      <c r="K532" t="str">
        <f>"IGJ"</f>
        <v>IGJ</v>
      </c>
      <c r="L532" t="str">
        <f>"JCHAIN"</f>
        <v>JCHAIN</v>
      </c>
      <c r="M532">
        <v>315720000</v>
      </c>
      <c r="N532">
        <v>183380000</v>
      </c>
      <c r="O532">
        <v>200780000</v>
      </c>
      <c r="P532">
        <v>375470000</v>
      </c>
      <c r="Q532">
        <v>342060000</v>
      </c>
      <c r="R532">
        <v>349620000</v>
      </c>
      <c r="S532">
        <v>250560000</v>
      </c>
      <c r="T532">
        <v>347260000</v>
      </c>
      <c r="U532">
        <v>175060000</v>
      </c>
      <c r="V532">
        <v>333290000</v>
      </c>
      <c r="W532">
        <v>445180000</v>
      </c>
      <c r="X532">
        <v>124040000</v>
      </c>
    </row>
    <row r="533" spans="1:24">
      <c r="A533">
        <v>2213</v>
      </c>
      <c r="B533" t="s">
        <v>1449</v>
      </c>
      <c r="C533">
        <v>2</v>
      </c>
      <c r="D533" t="s">
        <v>1450</v>
      </c>
      <c r="E533">
        <v>8</v>
      </c>
      <c r="F533">
        <v>8</v>
      </c>
      <c r="G533">
        <v>8</v>
      </c>
      <c r="H533" t="s">
        <v>1451</v>
      </c>
      <c r="I533">
        <v>36.5</v>
      </c>
      <c r="J533">
        <v>27.893000000000001</v>
      </c>
      <c r="K533" t="str">
        <f>"VAPA"</f>
        <v>VAPA</v>
      </c>
      <c r="L533" t="str">
        <f>"VAPA"</f>
        <v>VAPA</v>
      </c>
      <c r="M533">
        <v>243640000</v>
      </c>
      <c r="N533">
        <v>300890000</v>
      </c>
      <c r="O533">
        <v>277320000</v>
      </c>
      <c r="P533">
        <v>235300000</v>
      </c>
      <c r="Q533">
        <v>164870000</v>
      </c>
      <c r="R533">
        <v>406370000</v>
      </c>
      <c r="S533">
        <v>553770000</v>
      </c>
      <c r="T533">
        <v>348550000</v>
      </c>
      <c r="U533">
        <v>536270000</v>
      </c>
      <c r="V533">
        <v>336060000</v>
      </c>
      <c r="W533">
        <v>479230000</v>
      </c>
      <c r="X533">
        <v>608970000</v>
      </c>
    </row>
    <row r="534" spans="1:24">
      <c r="A534">
        <v>722</v>
      </c>
      <c r="B534" t="s">
        <v>1452</v>
      </c>
      <c r="C534">
        <v>2</v>
      </c>
      <c r="D534" t="s">
        <v>1453</v>
      </c>
      <c r="E534">
        <v>12</v>
      </c>
      <c r="F534">
        <v>12</v>
      </c>
      <c r="G534">
        <v>12</v>
      </c>
      <c r="H534" t="s">
        <v>1454</v>
      </c>
      <c r="I534">
        <v>33.200000000000003</v>
      </c>
      <c r="J534">
        <v>46.374000000000002</v>
      </c>
      <c r="K534" t="str">
        <f>"FAH"</f>
        <v>FAH</v>
      </c>
      <c r="L534" t="str">
        <f>"FAH"</f>
        <v>FAH</v>
      </c>
      <c r="M534">
        <v>160810000</v>
      </c>
      <c r="N534">
        <v>175830000</v>
      </c>
      <c r="O534">
        <v>256750000</v>
      </c>
      <c r="P534">
        <v>132360000</v>
      </c>
      <c r="Q534">
        <v>102290000</v>
      </c>
      <c r="R534">
        <v>173130000</v>
      </c>
      <c r="S534">
        <v>238420000</v>
      </c>
      <c r="T534">
        <v>139630000</v>
      </c>
      <c r="U534">
        <v>206370000</v>
      </c>
      <c r="V534">
        <v>118930000</v>
      </c>
      <c r="W534">
        <v>0</v>
      </c>
      <c r="X534">
        <v>190280000</v>
      </c>
    </row>
    <row r="535" spans="1:24">
      <c r="A535">
        <v>1224</v>
      </c>
      <c r="B535" t="s">
        <v>1455</v>
      </c>
      <c r="C535">
        <v>2</v>
      </c>
      <c r="D535" t="s">
        <v>1456</v>
      </c>
      <c r="E535">
        <v>12</v>
      </c>
      <c r="F535">
        <v>10</v>
      </c>
      <c r="G535">
        <v>10</v>
      </c>
      <c r="H535" t="s">
        <v>1457</v>
      </c>
      <c r="I535">
        <v>57</v>
      </c>
      <c r="J535">
        <v>18.506</v>
      </c>
      <c r="K535" t="str">
        <f>"DSTN"</f>
        <v>DSTN</v>
      </c>
      <c r="L535" t="str">
        <f>"DSTN"</f>
        <v>DSTN</v>
      </c>
      <c r="M535">
        <v>292480000</v>
      </c>
      <c r="N535">
        <v>288950000</v>
      </c>
      <c r="O535">
        <v>380490000</v>
      </c>
      <c r="P535">
        <v>292730000</v>
      </c>
      <c r="Q535">
        <v>275400000</v>
      </c>
      <c r="R535">
        <v>253380000</v>
      </c>
      <c r="S535">
        <v>449530000</v>
      </c>
      <c r="T535">
        <v>210930000</v>
      </c>
      <c r="U535">
        <v>458920000</v>
      </c>
      <c r="V535">
        <v>205360000</v>
      </c>
      <c r="W535">
        <v>283470000</v>
      </c>
      <c r="X535">
        <v>382090000</v>
      </c>
    </row>
    <row r="536" spans="1:24">
      <c r="A536">
        <v>1330</v>
      </c>
      <c r="B536" t="s">
        <v>1458</v>
      </c>
      <c r="C536">
        <v>2</v>
      </c>
      <c r="D536" t="s">
        <v>1459</v>
      </c>
      <c r="E536">
        <v>7</v>
      </c>
      <c r="F536">
        <v>7</v>
      </c>
      <c r="G536">
        <v>7</v>
      </c>
      <c r="H536" t="s">
        <v>1460</v>
      </c>
      <c r="I536">
        <v>58.1</v>
      </c>
      <c r="J536">
        <v>11.749000000000001</v>
      </c>
      <c r="K536" t="str">
        <f>"CYCS"</f>
        <v>CYCS</v>
      </c>
      <c r="L536" t="str">
        <f>"CYCS"</f>
        <v>CYCS</v>
      </c>
      <c r="M536">
        <v>289480000</v>
      </c>
      <c r="N536">
        <v>287980000</v>
      </c>
      <c r="O536">
        <v>351370000</v>
      </c>
      <c r="P536">
        <v>496110000</v>
      </c>
      <c r="Q536">
        <v>281170000</v>
      </c>
      <c r="R536">
        <v>507910000</v>
      </c>
      <c r="S536">
        <v>510920000</v>
      </c>
      <c r="T536">
        <v>0</v>
      </c>
      <c r="U536">
        <v>364240000</v>
      </c>
      <c r="V536">
        <v>362330000</v>
      </c>
      <c r="W536">
        <v>285630000</v>
      </c>
      <c r="X536">
        <v>219420000</v>
      </c>
    </row>
    <row r="537" spans="1:24">
      <c r="A537">
        <v>147</v>
      </c>
      <c r="B537" t="s">
        <v>1461</v>
      </c>
      <c r="C537">
        <v>1</v>
      </c>
      <c r="D537" t="s">
        <v>1462</v>
      </c>
      <c r="E537">
        <v>12</v>
      </c>
      <c r="F537">
        <v>12</v>
      </c>
      <c r="G537">
        <v>12</v>
      </c>
      <c r="H537" t="s">
        <v>1461</v>
      </c>
      <c r="I537">
        <v>55</v>
      </c>
      <c r="J537">
        <v>32.250999999999998</v>
      </c>
      <c r="K537" t="str">
        <f>"TXNL1"</f>
        <v>TXNL1</v>
      </c>
      <c r="L537" t="str">
        <f>"TXNL1"</f>
        <v>TXNL1</v>
      </c>
      <c r="M537">
        <v>0</v>
      </c>
      <c r="N537">
        <v>238900000</v>
      </c>
      <c r="O537">
        <v>417490000</v>
      </c>
      <c r="P537">
        <v>249590000</v>
      </c>
      <c r="Q537">
        <v>191110000</v>
      </c>
      <c r="R537">
        <v>430660000</v>
      </c>
      <c r="S537">
        <v>506800000</v>
      </c>
      <c r="T537">
        <v>223810000</v>
      </c>
      <c r="U537">
        <v>371880000</v>
      </c>
      <c r="V537">
        <v>328010000</v>
      </c>
      <c r="W537">
        <v>412730000</v>
      </c>
      <c r="X537">
        <v>623760000</v>
      </c>
    </row>
    <row r="538" spans="1:24">
      <c r="A538">
        <v>242</v>
      </c>
      <c r="B538" t="s">
        <v>1463</v>
      </c>
      <c r="C538">
        <v>2</v>
      </c>
      <c r="D538" t="s">
        <v>1464</v>
      </c>
      <c r="E538">
        <v>15</v>
      </c>
      <c r="F538">
        <v>15</v>
      </c>
      <c r="G538">
        <v>15</v>
      </c>
      <c r="H538" t="s">
        <v>1465</v>
      </c>
      <c r="I538">
        <v>41.7</v>
      </c>
      <c r="J538">
        <v>47.354999999999997</v>
      </c>
      <c r="K538" t="str">
        <f>"FLOT1"</f>
        <v>FLOT1</v>
      </c>
      <c r="L538" t="str">
        <f>"FLOT1"</f>
        <v>FLOT1</v>
      </c>
      <c r="M538">
        <v>70247000</v>
      </c>
      <c r="N538">
        <v>198890000</v>
      </c>
      <c r="O538">
        <v>154010000</v>
      </c>
      <c r="P538">
        <v>0</v>
      </c>
      <c r="Q538">
        <v>0</v>
      </c>
      <c r="R538">
        <v>164400000</v>
      </c>
      <c r="S538">
        <v>157950000</v>
      </c>
      <c r="T538">
        <v>105950000</v>
      </c>
      <c r="U538">
        <v>149750000</v>
      </c>
      <c r="V538">
        <v>156130000</v>
      </c>
      <c r="W538">
        <v>160980000</v>
      </c>
      <c r="X538">
        <v>291200000</v>
      </c>
    </row>
    <row r="539" spans="1:24">
      <c r="A539">
        <v>180</v>
      </c>
      <c r="B539" t="s">
        <v>1466</v>
      </c>
      <c r="C539">
        <v>3</v>
      </c>
      <c r="D539" t="s">
        <v>1467</v>
      </c>
      <c r="E539">
        <v>15</v>
      </c>
      <c r="F539">
        <v>15</v>
      </c>
      <c r="G539">
        <v>15</v>
      </c>
      <c r="H539" t="s">
        <v>1468</v>
      </c>
      <c r="I539">
        <v>33.4</v>
      </c>
      <c r="J539">
        <v>45.536999999999999</v>
      </c>
      <c r="K539" t="str">
        <f>"KIAA0513"</f>
        <v>KIAA0513</v>
      </c>
      <c r="L539" t="str">
        <f>"KIAA0513"</f>
        <v>KIAA0513</v>
      </c>
      <c r="M539">
        <v>67491000</v>
      </c>
      <c r="N539">
        <v>242420000</v>
      </c>
      <c r="O539">
        <v>195870000</v>
      </c>
      <c r="P539">
        <v>187670000</v>
      </c>
      <c r="Q539">
        <v>0</v>
      </c>
      <c r="R539">
        <v>189340000</v>
      </c>
      <c r="S539">
        <v>142520000</v>
      </c>
      <c r="T539">
        <v>82608000</v>
      </c>
      <c r="U539">
        <v>120650000</v>
      </c>
      <c r="V539">
        <v>128910000</v>
      </c>
      <c r="W539">
        <v>101110000</v>
      </c>
      <c r="X539">
        <v>113980000</v>
      </c>
    </row>
    <row r="540" spans="1:24">
      <c r="A540">
        <v>503</v>
      </c>
      <c r="B540" t="s">
        <v>1469</v>
      </c>
      <c r="C540">
        <v>5</v>
      </c>
      <c r="D540" t="s">
        <v>1470</v>
      </c>
      <c r="E540">
        <v>51</v>
      </c>
      <c r="F540">
        <v>1</v>
      </c>
      <c r="G540">
        <v>1</v>
      </c>
      <c r="H540" t="s">
        <v>1471</v>
      </c>
      <c r="I540">
        <v>57</v>
      </c>
      <c r="J540">
        <v>80.64</v>
      </c>
      <c r="K540" t="str">
        <f>"GSN"</f>
        <v>GSN</v>
      </c>
      <c r="L540" t="str">
        <f>"GSN"</f>
        <v>GSN</v>
      </c>
      <c r="M540">
        <v>603750000</v>
      </c>
      <c r="N540">
        <v>1532500000</v>
      </c>
      <c r="O540">
        <v>1018500000</v>
      </c>
      <c r="P540">
        <v>1438300000</v>
      </c>
      <c r="Q540">
        <v>780550000</v>
      </c>
      <c r="R540">
        <v>1512500000</v>
      </c>
      <c r="S540">
        <v>967730000</v>
      </c>
      <c r="T540">
        <v>867600000</v>
      </c>
      <c r="U540">
        <v>1389100000</v>
      </c>
      <c r="V540">
        <v>1438800000</v>
      </c>
      <c r="W540">
        <v>1128800000</v>
      </c>
      <c r="X540">
        <v>1172800000</v>
      </c>
    </row>
    <row r="541" spans="1:24">
      <c r="A541">
        <v>765</v>
      </c>
      <c r="B541" t="s">
        <v>1472</v>
      </c>
      <c r="C541">
        <v>2</v>
      </c>
      <c r="D541" t="s">
        <v>1473</v>
      </c>
      <c r="E541">
        <v>43</v>
      </c>
      <c r="F541">
        <v>34</v>
      </c>
      <c r="G541">
        <v>33</v>
      </c>
      <c r="H541" t="s">
        <v>1474</v>
      </c>
      <c r="I541">
        <v>40.4</v>
      </c>
      <c r="J541">
        <v>163.86</v>
      </c>
      <c r="K541" t="str">
        <f>"PZP"</f>
        <v>PZP</v>
      </c>
      <c r="L541" t="str">
        <f>"PZP"</f>
        <v>PZP</v>
      </c>
      <c r="M541">
        <v>0</v>
      </c>
      <c r="N541">
        <v>0</v>
      </c>
      <c r="O541">
        <v>357250000</v>
      </c>
      <c r="P541">
        <v>0</v>
      </c>
      <c r="Q541">
        <v>131250000</v>
      </c>
      <c r="R541">
        <v>0</v>
      </c>
      <c r="S541">
        <v>0</v>
      </c>
      <c r="T541">
        <v>230840000</v>
      </c>
      <c r="U541">
        <v>0</v>
      </c>
      <c r="V541">
        <v>50650000</v>
      </c>
      <c r="W541">
        <v>412820000</v>
      </c>
      <c r="X541">
        <v>8385800000</v>
      </c>
    </row>
    <row r="542" spans="1:24">
      <c r="A542">
        <v>783</v>
      </c>
      <c r="B542" t="s">
        <v>1475</v>
      </c>
      <c r="C542">
        <v>2</v>
      </c>
      <c r="D542" t="s">
        <v>1476</v>
      </c>
      <c r="E542">
        <v>18</v>
      </c>
      <c r="F542">
        <v>18</v>
      </c>
      <c r="G542">
        <v>18</v>
      </c>
      <c r="H542" t="s">
        <v>1477</v>
      </c>
      <c r="I542">
        <v>43.8</v>
      </c>
      <c r="J542">
        <v>47.079000000000001</v>
      </c>
      <c r="K542" t="str">
        <f>"PAICS"</f>
        <v>PAICS</v>
      </c>
      <c r="L542" t="str">
        <f>"PAICS"</f>
        <v>PAICS</v>
      </c>
      <c r="M542">
        <v>84815000</v>
      </c>
      <c r="N542">
        <v>193950000</v>
      </c>
      <c r="O542">
        <v>242460000</v>
      </c>
      <c r="P542">
        <v>153110000</v>
      </c>
      <c r="Q542">
        <v>113720000</v>
      </c>
      <c r="R542">
        <v>316090000</v>
      </c>
      <c r="S542">
        <v>176340000</v>
      </c>
      <c r="T542">
        <v>0</v>
      </c>
      <c r="U542">
        <v>116840000</v>
      </c>
      <c r="V542" s="8">
        <v>178000000</v>
      </c>
      <c r="W542">
        <v>0</v>
      </c>
      <c r="X542">
        <v>218880000</v>
      </c>
    </row>
    <row r="543" spans="1:24">
      <c r="A543">
        <v>2260</v>
      </c>
      <c r="B543" t="s">
        <v>1478</v>
      </c>
      <c r="C543">
        <v>7</v>
      </c>
      <c r="D543" t="s">
        <v>1479</v>
      </c>
      <c r="E543">
        <v>9</v>
      </c>
      <c r="F543">
        <v>9</v>
      </c>
      <c r="G543">
        <v>9</v>
      </c>
      <c r="H543" t="s">
        <v>1480</v>
      </c>
      <c r="I543">
        <v>38.4</v>
      </c>
      <c r="J543">
        <v>36.869999999999997</v>
      </c>
      <c r="K543" t="str">
        <f>"CD84"</f>
        <v>CD84</v>
      </c>
      <c r="L543" t="str">
        <f>"CD84"</f>
        <v>CD84</v>
      </c>
      <c r="M543">
        <v>124940000</v>
      </c>
      <c r="N543">
        <v>259360000</v>
      </c>
      <c r="O543">
        <v>200340000</v>
      </c>
      <c r="P543">
        <v>612260000</v>
      </c>
      <c r="Q543">
        <v>343860000</v>
      </c>
      <c r="R543">
        <v>454070000</v>
      </c>
      <c r="S543">
        <v>411020000</v>
      </c>
      <c r="T543">
        <v>583010000</v>
      </c>
      <c r="U543">
        <v>904600000</v>
      </c>
      <c r="V543">
        <v>308860000</v>
      </c>
      <c r="W543">
        <v>72703000</v>
      </c>
      <c r="X543">
        <v>435020000</v>
      </c>
    </row>
    <row r="544" spans="1:24">
      <c r="A544">
        <v>238</v>
      </c>
      <c r="B544" t="s">
        <v>1481</v>
      </c>
      <c r="C544">
        <v>1</v>
      </c>
      <c r="D544" t="s">
        <v>1482</v>
      </c>
      <c r="E544">
        <v>7</v>
      </c>
      <c r="F544">
        <v>7</v>
      </c>
      <c r="G544">
        <v>7</v>
      </c>
      <c r="H544" t="s">
        <v>1481</v>
      </c>
      <c r="I544">
        <v>32.4</v>
      </c>
      <c r="J544">
        <v>21.614000000000001</v>
      </c>
      <c r="K544" t="str">
        <f>"ARL6IP5"</f>
        <v>ARL6IP5</v>
      </c>
      <c r="L544" t="str">
        <f>"ARL6IP5"</f>
        <v>ARL6IP5</v>
      </c>
      <c r="M544">
        <v>119430000</v>
      </c>
      <c r="N544">
        <v>158300000</v>
      </c>
      <c r="O544">
        <v>180300000</v>
      </c>
      <c r="P544">
        <v>259180000</v>
      </c>
      <c r="Q544">
        <v>0</v>
      </c>
      <c r="R544">
        <v>441710000</v>
      </c>
      <c r="S544">
        <v>470430000</v>
      </c>
      <c r="T544">
        <v>300740000</v>
      </c>
      <c r="U544">
        <v>485070000</v>
      </c>
      <c r="V544">
        <v>259420000</v>
      </c>
      <c r="W544">
        <v>430760000</v>
      </c>
      <c r="X544">
        <v>357350000</v>
      </c>
    </row>
    <row r="545" spans="1:24">
      <c r="A545">
        <v>922</v>
      </c>
      <c r="B545" t="s">
        <v>1483</v>
      </c>
      <c r="C545">
        <v>1</v>
      </c>
      <c r="D545" t="s">
        <v>1484</v>
      </c>
      <c r="E545">
        <v>14</v>
      </c>
      <c r="F545">
        <v>14</v>
      </c>
      <c r="G545">
        <v>12</v>
      </c>
      <c r="H545" t="s">
        <v>1483</v>
      </c>
      <c r="I545">
        <v>37.799999999999997</v>
      </c>
      <c r="J545">
        <v>46.302</v>
      </c>
      <c r="K545" t="str">
        <f>"PRKAR2B"</f>
        <v>PRKAR2B</v>
      </c>
      <c r="L545" t="str">
        <f>"PRKAR2B"</f>
        <v>PRKAR2B</v>
      </c>
      <c r="M545">
        <v>213040000</v>
      </c>
      <c r="N545">
        <v>247510000</v>
      </c>
      <c r="O545">
        <v>277400000</v>
      </c>
      <c r="P545">
        <v>177520000</v>
      </c>
      <c r="Q545">
        <v>0</v>
      </c>
      <c r="R545">
        <v>188570000</v>
      </c>
      <c r="S545">
        <v>0</v>
      </c>
      <c r="T545">
        <v>234020000</v>
      </c>
      <c r="U545">
        <v>270310000</v>
      </c>
      <c r="V545">
        <v>309880000</v>
      </c>
      <c r="W545">
        <v>135430000</v>
      </c>
      <c r="X545">
        <v>0</v>
      </c>
    </row>
    <row r="546" spans="1:24">
      <c r="A546">
        <v>1799</v>
      </c>
      <c r="B546" t="s">
        <v>1485</v>
      </c>
      <c r="C546">
        <v>1</v>
      </c>
      <c r="D546" t="s">
        <v>1486</v>
      </c>
      <c r="E546">
        <v>13</v>
      </c>
      <c r="F546">
        <v>13</v>
      </c>
      <c r="G546">
        <v>13</v>
      </c>
      <c r="H546" t="s">
        <v>1485</v>
      </c>
      <c r="I546">
        <v>31.6</v>
      </c>
      <c r="J546">
        <v>54.646000000000001</v>
      </c>
      <c r="K546" t="str">
        <f>"PCYOX1L"</f>
        <v>PCYOX1L</v>
      </c>
      <c r="L546" t="str">
        <f>"PCYOX1L"</f>
        <v>PCYOX1L</v>
      </c>
      <c r="M546">
        <v>147770000</v>
      </c>
      <c r="N546">
        <v>180950000</v>
      </c>
      <c r="O546">
        <v>214460000</v>
      </c>
      <c r="P546">
        <v>225960000</v>
      </c>
      <c r="Q546">
        <v>0</v>
      </c>
      <c r="R546">
        <v>204090000</v>
      </c>
      <c r="S546">
        <v>95673000</v>
      </c>
      <c r="T546">
        <v>199580000</v>
      </c>
      <c r="U546">
        <v>229480000</v>
      </c>
      <c r="V546">
        <v>137690000</v>
      </c>
      <c r="W546">
        <v>149930000</v>
      </c>
      <c r="X546">
        <v>214980000</v>
      </c>
    </row>
    <row r="547" spans="1:24">
      <c r="A547">
        <v>1113</v>
      </c>
      <c r="B547" t="s">
        <v>1487</v>
      </c>
      <c r="C547">
        <v>2</v>
      </c>
      <c r="D547" t="s">
        <v>1488</v>
      </c>
      <c r="E547">
        <v>16</v>
      </c>
      <c r="F547">
        <v>16</v>
      </c>
      <c r="G547">
        <v>16</v>
      </c>
      <c r="H547" t="s">
        <v>1489</v>
      </c>
      <c r="I547">
        <v>24.9</v>
      </c>
      <c r="J547">
        <v>86.238</v>
      </c>
      <c r="K547" t="str">
        <f>"CPT1A"</f>
        <v>CPT1A</v>
      </c>
      <c r="L547" t="str">
        <f>"CPT1A"</f>
        <v>CPT1A</v>
      </c>
      <c r="M547">
        <v>196480000</v>
      </c>
      <c r="N547">
        <v>193320000</v>
      </c>
      <c r="O547">
        <v>255530000</v>
      </c>
      <c r="P547">
        <v>105100000</v>
      </c>
      <c r="Q547">
        <v>0</v>
      </c>
      <c r="R547">
        <v>158160000</v>
      </c>
      <c r="S547">
        <v>191660000</v>
      </c>
      <c r="T547">
        <v>123880000</v>
      </c>
      <c r="U547">
        <v>224040000</v>
      </c>
      <c r="V547">
        <v>224820000</v>
      </c>
      <c r="W547">
        <v>165090000</v>
      </c>
      <c r="X547">
        <v>144620000</v>
      </c>
    </row>
    <row r="548" spans="1:24">
      <c r="A548">
        <v>1491</v>
      </c>
      <c r="B548" t="s">
        <v>1490</v>
      </c>
      <c r="C548">
        <v>1</v>
      </c>
      <c r="D548" t="s">
        <v>1491</v>
      </c>
      <c r="E548">
        <v>43</v>
      </c>
      <c r="F548">
        <v>43</v>
      </c>
      <c r="G548">
        <v>43</v>
      </c>
      <c r="H548" t="s">
        <v>1490</v>
      </c>
      <c r="I548">
        <v>11.6</v>
      </c>
      <c r="J548">
        <v>532.4</v>
      </c>
      <c r="K548" t="str">
        <f>"DYNC1H1"</f>
        <v>DYNC1H1</v>
      </c>
      <c r="L548" t="str">
        <f>"DYNC1H1"</f>
        <v>DYNC1H1</v>
      </c>
      <c r="M548">
        <v>0</v>
      </c>
      <c r="N548">
        <v>342960000</v>
      </c>
      <c r="O548">
        <v>62665000</v>
      </c>
      <c r="P548">
        <v>0</v>
      </c>
      <c r="Q548">
        <v>136520000</v>
      </c>
      <c r="R548">
        <v>64247000</v>
      </c>
      <c r="S548">
        <v>0</v>
      </c>
      <c r="T548">
        <v>0</v>
      </c>
      <c r="U548">
        <v>298520000</v>
      </c>
      <c r="V548">
        <v>0</v>
      </c>
      <c r="W548">
        <v>76731000</v>
      </c>
      <c r="X548">
        <v>84624000</v>
      </c>
    </row>
    <row r="549" spans="1:24">
      <c r="A549">
        <v>2172</v>
      </c>
      <c r="B549" t="s">
        <v>1492</v>
      </c>
      <c r="C549">
        <v>3</v>
      </c>
      <c r="D549" t="s">
        <v>1493</v>
      </c>
      <c r="E549">
        <v>14</v>
      </c>
      <c r="F549">
        <v>14</v>
      </c>
      <c r="G549">
        <v>14</v>
      </c>
      <c r="H549" t="s">
        <v>1494</v>
      </c>
      <c r="I549">
        <v>42.7</v>
      </c>
      <c r="J549">
        <v>44.743000000000002</v>
      </c>
      <c r="K549" t="str">
        <f>"OLA1"</f>
        <v>OLA1</v>
      </c>
      <c r="L549" t="str">
        <f>"OLA1"</f>
        <v>OLA1</v>
      </c>
      <c r="M549">
        <v>297250000</v>
      </c>
      <c r="N549">
        <v>234040000</v>
      </c>
      <c r="O549">
        <v>347470000</v>
      </c>
      <c r="P549">
        <v>261430000</v>
      </c>
      <c r="Q549">
        <v>130530000</v>
      </c>
      <c r="R549">
        <v>377200000</v>
      </c>
      <c r="S549">
        <v>296800000</v>
      </c>
      <c r="T549">
        <v>235140000</v>
      </c>
      <c r="U549">
        <v>297430000</v>
      </c>
      <c r="V549">
        <v>245050000</v>
      </c>
      <c r="W549">
        <v>387050000</v>
      </c>
      <c r="X549">
        <v>323210000</v>
      </c>
    </row>
    <row r="550" spans="1:24">
      <c r="A550">
        <v>797</v>
      </c>
      <c r="B550" t="s">
        <v>1495</v>
      </c>
      <c r="C550">
        <v>4</v>
      </c>
      <c r="D550" t="s">
        <v>1496</v>
      </c>
      <c r="E550">
        <v>11</v>
      </c>
      <c r="F550">
        <v>11</v>
      </c>
      <c r="G550">
        <v>6</v>
      </c>
      <c r="H550" t="s">
        <v>1497</v>
      </c>
      <c r="I550">
        <v>21.3</v>
      </c>
      <c r="J550">
        <v>77.212999999999994</v>
      </c>
      <c r="K550" t="str">
        <f>"FBLN1"</f>
        <v>FBLN1</v>
      </c>
      <c r="L550" t="str">
        <f>"FBLN1"</f>
        <v>FBLN1</v>
      </c>
      <c r="M550">
        <v>271100000</v>
      </c>
      <c r="N550">
        <v>97473000</v>
      </c>
      <c r="O550">
        <v>83276000</v>
      </c>
      <c r="P550">
        <v>136700000</v>
      </c>
      <c r="Q550" s="8">
        <v>213000000</v>
      </c>
      <c r="R550">
        <v>158990000</v>
      </c>
      <c r="S550">
        <v>248350000</v>
      </c>
      <c r="T550">
        <v>140450000</v>
      </c>
      <c r="U550">
        <v>68247000</v>
      </c>
      <c r="V550">
        <v>163870000</v>
      </c>
      <c r="W550">
        <v>391070000</v>
      </c>
      <c r="X550">
        <v>161470000</v>
      </c>
    </row>
    <row r="551" spans="1:24">
      <c r="A551">
        <v>2041</v>
      </c>
      <c r="B551" t="s">
        <v>1498</v>
      </c>
      <c r="C551">
        <v>4</v>
      </c>
      <c r="D551" t="s">
        <v>1499</v>
      </c>
      <c r="E551">
        <v>16</v>
      </c>
      <c r="F551">
        <v>16</v>
      </c>
      <c r="G551">
        <v>16</v>
      </c>
      <c r="H551" t="s">
        <v>1500</v>
      </c>
      <c r="I551">
        <v>27.9</v>
      </c>
      <c r="J551">
        <v>65.768000000000001</v>
      </c>
      <c r="K551" t="str">
        <f>"GTPBP2"</f>
        <v>GTPBP2</v>
      </c>
      <c r="L551" t="str">
        <f>"GTPBP2"</f>
        <v>GTPBP2</v>
      </c>
      <c r="M551">
        <v>0</v>
      </c>
      <c r="N551">
        <v>165600000</v>
      </c>
      <c r="O551">
        <v>91972000</v>
      </c>
      <c r="P551">
        <v>65408000</v>
      </c>
      <c r="Q551">
        <v>0</v>
      </c>
      <c r="R551">
        <v>120750000</v>
      </c>
      <c r="S551">
        <v>180180000</v>
      </c>
      <c r="T551">
        <v>116020000</v>
      </c>
      <c r="U551">
        <v>114480000</v>
      </c>
      <c r="V551">
        <v>137950000</v>
      </c>
      <c r="W551">
        <v>183130000</v>
      </c>
      <c r="X551">
        <v>265240000</v>
      </c>
    </row>
    <row r="552" spans="1:24">
      <c r="A552">
        <v>469</v>
      </c>
      <c r="B552" t="s">
        <v>1501</v>
      </c>
      <c r="C552">
        <v>2</v>
      </c>
      <c r="D552" t="s">
        <v>1502</v>
      </c>
      <c r="E552">
        <v>12</v>
      </c>
      <c r="F552">
        <v>12</v>
      </c>
      <c r="G552">
        <v>12</v>
      </c>
      <c r="H552" t="s">
        <v>1503</v>
      </c>
      <c r="I552">
        <v>27.3</v>
      </c>
      <c r="J552">
        <v>67.722999999999999</v>
      </c>
      <c r="K552" t="str">
        <f>"RPN2"</f>
        <v>RPN2</v>
      </c>
      <c r="L552" t="str">
        <f>"RPN2"</f>
        <v>RPN2</v>
      </c>
      <c r="M552">
        <v>0</v>
      </c>
      <c r="N552">
        <v>226040000</v>
      </c>
      <c r="O552">
        <v>240650000</v>
      </c>
      <c r="P552">
        <v>172980000</v>
      </c>
      <c r="Q552">
        <v>0</v>
      </c>
      <c r="R552">
        <v>247270000</v>
      </c>
      <c r="S552">
        <v>345180000</v>
      </c>
      <c r="T552">
        <v>0</v>
      </c>
      <c r="U552">
        <v>493630000</v>
      </c>
      <c r="V552">
        <v>228230000</v>
      </c>
      <c r="W552">
        <v>258870000</v>
      </c>
      <c r="X552">
        <v>304550000</v>
      </c>
    </row>
    <row r="553" spans="1:24">
      <c r="A553">
        <v>1188</v>
      </c>
      <c r="B553" t="s">
        <v>1504</v>
      </c>
      <c r="C553">
        <v>2</v>
      </c>
      <c r="D553" t="s">
        <v>1505</v>
      </c>
      <c r="E553">
        <v>20</v>
      </c>
      <c r="F553">
        <v>20</v>
      </c>
      <c r="G553">
        <v>20</v>
      </c>
      <c r="H553" t="s">
        <v>1506</v>
      </c>
      <c r="I553">
        <v>48.7</v>
      </c>
      <c r="J553">
        <v>48.878999999999998</v>
      </c>
      <c r="K553" t="str">
        <f>"HADHB"</f>
        <v>HADHB</v>
      </c>
      <c r="L553" t="str">
        <f>"HADHB"</f>
        <v>HADHB</v>
      </c>
      <c r="M553">
        <v>345580000</v>
      </c>
      <c r="N553">
        <v>223370000</v>
      </c>
      <c r="O553">
        <v>274950000</v>
      </c>
      <c r="P553">
        <v>141970000</v>
      </c>
      <c r="Q553">
        <v>262610000</v>
      </c>
      <c r="R553">
        <v>307370000</v>
      </c>
      <c r="S553">
        <v>317690000</v>
      </c>
      <c r="T553">
        <v>0</v>
      </c>
      <c r="U553">
        <v>310840000</v>
      </c>
      <c r="V553">
        <v>303320000</v>
      </c>
      <c r="W553">
        <v>287370000</v>
      </c>
      <c r="X553">
        <v>279020000</v>
      </c>
    </row>
    <row r="554" spans="1:24">
      <c r="A554">
        <v>1508</v>
      </c>
      <c r="B554" t="s">
        <v>1507</v>
      </c>
      <c r="C554">
        <v>8</v>
      </c>
      <c r="D554" t="s">
        <v>1508</v>
      </c>
      <c r="E554">
        <v>28</v>
      </c>
      <c r="F554">
        <v>28</v>
      </c>
      <c r="G554">
        <v>22</v>
      </c>
      <c r="H554" t="s">
        <v>1509</v>
      </c>
      <c r="I554">
        <v>14.1</v>
      </c>
      <c r="J554">
        <v>306.77</v>
      </c>
      <c r="K554" t="str">
        <f>"ITPR1"</f>
        <v>ITPR1</v>
      </c>
      <c r="L554" t="str">
        <f>"ITPR1"</f>
        <v>ITPR1</v>
      </c>
      <c r="M554">
        <v>0</v>
      </c>
      <c r="N554">
        <v>242730000</v>
      </c>
      <c r="O554">
        <v>208210000</v>
      </c>
      <c r="P554">
        <v>73455000</v>
      </c>
      <c r="Q554">
        <v>0</v>
      </c>
      <c r="R554">
        <v>207420000</v>
      </c>
      <c r="S554">
        <v>294090000</v>
      </c>
      <c r="T554">
        <v>0</v>
      </c>
      <c r="U554">
        <v>175100000</v>
      </c>
      <c r="V554">
        <v>0</v>
      </c>
      <c r="W554">
        <v>0</v>
      </c>
      <c r="X554">
        <v>232880000</v>
      </c>
    </row>
    <row r="555" spans="1:24">
      <c r="A555">
        <v>1604</v>
      </c>
      <c r="B555" t="s">
        <v>1510</v>
      </c>
      <c r="C555">
        <v>2</v>
      </c>
      <c r="D555" t="s">
        <v>1511</v>
      </c>
      <c r="E555">
        <v>17</v>
      </c>
      <c r="F555">
        <v>17</v>
      </c>
      <c r="G555">
        <v>17</v>
      </c>
      <c r="H555" t="s">
        <v>1512</v>
      </c>
      <c r="I555">
        <v>36.799999999999997</v>
      </c>
      <c r="J555">
        <v>56.94</v>
      </c>
      <c r="K555" t="str">
        <f>"UGP2"</f>
        <v>UGP2</v>
      </c>
      <c r="L555" t="str">
        <f>"UGP2"</f>
        <v>UGP2</v>
      </c>
      <c r="M555">
        <v>155950000</v>
      </c>
      <c r="N555">
        <v>221850000</v>
      </c>
      <c r="O555">
        <v>221600000</v>
      </c>
      <c r="P555">
        <v>321240000</v>
      </c>
      <c r="Q555">
        <v>134120000</v>
      </c>
      <c r="R555">
        <v>337740000</v>
      </c>
      <c r="S555">
        <v>233050000</v>
      </c>
      <c r="T555">
        <v>201350000</v>
      </c>
      <c r="U555">
        <v>104130000</v>
      </c>
      <c r="V555">
        <v>171730000</v>
      </c>
      <c r="W555">
        <v>204940000</v>
      </c>
      <c r="X555">
        <v>303100000</v>
      </c>
    </row>
    <row r="556" spans="1:24">
      <c r="A556">
        <v>1801</v>
      </c>
      <c r="B556" t="s">
        <v>1513</v>
      </c>
      <c r="C556">
        <v>2</v>
      </c>
      <c r="D556" t="s">
        <v>1514</v>
      </c>
      <c r="E556">
        <v>12</v>
      </c>
      <c r="F556">
        <v>12</v>
      </c>
      <c r="G556">
        <v>12</v>
      </c>
      <c r="H556" t="s">
        <v>1515</v>
      </c>
      <c r="I556">
        <v>35.9</v>
      </c>
      <c r="J556">
        <v>47.628</v>
      </c>
      <c r="K556" t="str">
        <f>"TXNDC5"</f>
        <v>TXNDC5</v>
      </c>
      <c r="L556" t="str">
        <f>"TXNDC5"</f>
        <v>TXNDC5</v>
      </c>
      <c r="M556">
        <v>216540000</v>
      </c>
      <c r="N556">
        <v>244490000</v>
      </c>
      <c r="O556">
        <v>226700000</v>
      </c>
      <c r="P556">
        <v>98864000</v>
      </c>
      <c r="Q556">
        <v>147120000</v>
      </c>
      <c r="R556">
        <v>229680000</v>
      </c>
      <c r="S556">
        <v>326820000</v>
      </c>
      <c r="T556">
        <v>210140000</v>
      </c>
      <c r="U556">
        <v>270650000</v>
      </c>
      <c r="V556">
        <v>162160000</v>
      </c>
      <c r="W556">
        <v>192890000</v>
      </c>
      <c r="X556">
        <v>195080000</v>
      </c>
    </row>
    <row r="557" spans="1:24">
      <c r="A557">
        <v>1044</v>
      </c>
      <c r="B557" t="s">
        <v>1516</v>
      </c>
      <c r="C557">
        <v>4</v>
      </c>
      <c r="D557" t="s">
        <v>1517</v>
      </c>
      <c r="E557">
        <v>15</v>
      </c>
      <c r="F557">
        <v>15</v>
      </c>
      <c r="G557">
        <v>15</v>
      </c>
      <c r="H557" t="s">
        <v>1518</v>
      </c>
      <c r="I557">
        <v>22</v>
      </c>
      <c r="J557">
        <v>93.307000000000002</v>
      </c>
      <c r="K557" t="str">
        <f>"USP5;USP13"</f>
        <v>USP5;USP13</v>
      </c>
      <c r="L557" t="str">
        <f>"USP5;USP13"</f>
        <v>USP5;USP13</v>
      </c>
      <c r="M557">
        <v>0</v>
      </c>
      <c r="N557">
        <v>129120000</v>
      </c>
      <c r="O557">
        <v>137900000</v>
      </c>
      <c r="P557">
        <v>72626000</v>
      </c>
      <c r="Q557">
        <v>62924000</v>
      </c>
      <c r="R557">
        <v>90592000</v>
      </c>
      <c r="S557">
        <v>266940000</v>
      </c>
      <c r="T557">
        <v>56907000</v>
      </c>
      <c r="U557">
        <v>142250000</v>
      </c>
      <c r="V557">
        <v>72179000</v>
      </c>
      <c r="W557">
        <v>125150000</v>
      </c>
      <c r="X557">
        <v>132730000</v>
      </c>
    </row>
    <row r="558" spans="1:24">
      <c r="A558">
        <v>1361</v>
      </c>
      <c r="B558" t="s">
        <v>1519</v>
      </c>
      <c r="C558">
        <v>1</v>
      </c>
      <c r="D558" t="s">
        <v>1520</v>
      </c>
      <c r="E558">
        <v>15</v>
      </c>
      <c r="F558">
        <v>8</v>
      </c>
      <c r="G558">
        <v>3</v>
      </c>
      <c r="H558" t="s">
        <v>1519</v>
      </c>
      <c r="I558">
        <v>55.2</v>
      </c>
      <c r="J558">
        <v>37.65</v>
      </c>
      <c r="K558" t="str">
        <f>"CFHR1"</f>
        <v>CFHR1</v>
      </c>
      <c r="L558" t="str">
        <f>"CFHR1"</f>
        <v>CFHR1</v>
      </c>
      <c r="M558">
        <v>420890000</v>
      </c>
      <c r="N558">
        <v>139640000</v>
      </c>
      <c r="O558">
        <v>274030000</v>
      </c>
      <c r="P558">
        <v>210460000</v>
      </c>
      <c r="Q558">
        <v>305750000</v>
      </c>
      <c r="R558">
        <v>223340000</v>
      </c>
      <c r="S558">
        <v>102350000</v>
      </c>
      <c r="T558">
        <v>237580000</v>
      </c>
      <c r="U558">
        <v>83947000</v>
      </c>
      <c r="V558">
        <v>358850000</v>
      </c>
      <c r="W558">
        <v>216880000</v>
      </c>
      <c r="X558">
        <v>95481000</v>
      </c>
    </row>
    <row r="559" spans="1:24">
      <c r="A559">
        <v>1116</v>
      </c>
      <c r="B559" t="s">
        <v>1521</v>
      </c>
      <c r="C559">
        <v>1</v>
      </c>
      <c r="D559" t="s">
        <v>1522</v>
      </c>
      <c r="E559">
        <v>12</v>
      </c>
      <c r="F559">
        <v>12</v>
      </c>
      <c r="G559">
        <v>12</v>
      </c>
      <c r="H559" t="s">
        <v>1521</v>
      </c>
      <c r="I559">
        <v>40.700000000000003</v>
      </c>
      <c r="J559">
        <v>46.44</v>
      </c>
      <c r="K559" t="str">
        <f>"SERPINH1"</f>
        <v>SERPINH1</v>
      </c>
      <c r="L559" t="str">
        <f>"SERPINH1"</f>
        <v>SERPINH1</v>
      </c>
      <c r="M559">
        <v>110040000</v>
      </c>
      <c r="N559">
        <v>132810000</v>
      </c>
      <c r="O559">
        <v>264630000</v>
      </c>
      <c r="P559">
        <v>103740000</v>
      </c>
      <c r="Q559">
        <v>140980000</v>
      </c>
      <c r="R559">
        <v>179410000</v>
      </c>
      <c r="S559">
        <v>224650000</v>
      </c>
      <c r="T559">
        <v>164620000</v>
      </c>
      <c r="U559">
        <v>77411000</v>
      </c>
      <c r="V559">
        <v>79635000</v>
      </c>
      <c r="W559">
        <v>234800000</v>
      </c>
      <c r="X559">
        <v>129960000</v>
      </c>
    </row>
    <row r="560" spans="1:24">
      <c r="A560">
        <v>1475</v>
      </c>
      <c r="B560" t="s">
        <v>1523</v>
      </c>
      <c r="C560">
        <v>3</v>
      </c>
      <c r="D560" t="s">
        <v>1524</v>
      </c>
      <c r="E560">
        <v>12</v>
      </c>
      <c r="F560">
        <v>12</v>
      </c>
      <c r="G560">
        <v>12</v>
      </c>
      <c r="H560" t="s">
        <v>1525</v>
      </c>
      <c r="I560">
        <v>47.6</v>
      </c>
      <c r="J560">
        <v>41.337000000000003</v>
      </c>
      <c r="K560" t="str">
        <f>"CAMK1;CAMK1D"</f>
        <v>CAMK1;CAMK1D</v>
      </c>
      <c r="L560" t="str">
        <f>"CAMK1;CAMK1D"</f>
        <v>CAMK1;CAMK1D</v>
      </c>
      <c r="M560">
        <v>202450000</v>
      </c>
      <c r="N560">
        <v>326980000</v>
      </c>
      <c r="O560">
        <v>354660000</v>
      </c>
      <c r="P560">
        <v>218680000</v>
      </c>
      <c r="Q560">
        <v>186920000</v>
      </c>
      <c r="R560">
        <v>257340000</v>
      </c>
      <c r="S560">
        <v>425090000</v>
      </c>
      <c r="T560">
        <v>0</v>
      </c>
      <c r="U560">
        <v>453150000</v>
      </c>
      <c r="V560">
        <v>255630000</v>
      </c>
      <c r="W560">
        <v>493720000</v>
      </c>
      <c r="X560">
        <v>362760000</v>
      </c>
    </row>
    <row r="561" spans="1:24">
      <c r="A561">
        <v>298</v>
      </c>
      <c r="B561" t="s">
        <v>1526</v>
      </c>
      <c r="C561">
        <v>1</v>
      </c>
      <c r="D561" t="s">
        <v>1527</v>
      </c>
      <c r="E561">
        <v>7</v>
      </c>
      <c r="F561">
        <v>7</v>
      </c>
      <c r="G561">
        <v>7</v>
      </c>
      <c r="H561" t="s">
        <v>1526</v>
      </c>
      <c r="I561">
        <v>77.3</v>
      </c>
      <c r="J561">
        <v>15.936</v>
      </c>
      <c r="K561" t="str">
        <f>"SOD1"</f>
        <v>SOD1</v>
      </c>
      <c r="L561" t="str">
        <f>"SOD1"</f>
        <v>SOD1</v>
      </c>
      <c r="M561">
        <v>0</v>
      </c>
      <c r="N561">
        <v>581770000</v>
      </c>
      <c r="O561">
        <v>639320000</v>
      </c>
      <c r="P561">
        <v>471790000</v>
      </c>
      <c r="Q561">
        <v>0</v>
      </c>
      <c r="R561">
        <v>602580000</v>
      </c>
      <c r="S561">
        <v>780970000</v>
      </c>
      <c r="T561">
        <v>388500000</v>
      </c>
      <c r="U561">
        <v>789370000</v>
      </c>
      <c r="V561">
        <v>485330000</v>
      </c>
      <c r="W561">
        <v>481020000</v>
      </c>
      <c r="X561">
        <v>526850000</v>
      </c>
    </row>
    <row r="562" spans="1:24">
      <c r="A562">
        <v>1042</v>
      </c>
      <c r="B562" t="s">
        <v>1528</v>
      </c>
      <c r="C562">
        <v>3</v>
      </c>
      <c r="D562" t="s">
        <v>1529</v>
      </c>
      <c r="E562">
        <v>11</v>
      </c>
      <c r="F562">
        <v>11</v>
      </c>
      <c r="G562">
        <v>11</v>
      </c>
      <c r="H562" t="s">
        <v>1530</v>
      </c>
      <c r="I562">
        <v>36.4</v>
      </c>
      <c r="J562">
        <v>31.565999999999999</v>
      </c>
      <c r="K562" t="str">
        <f>"VDAC2"</f>
        <v>VDAC2</v>
      </c>
      <c r="L562" t="str">
        <f>"VDAC2"</f>
        <v>VDAC2</v>
      </c>
      <c r="M562">
        <v>581370000</v>
      </c>
      <c r="N562">
        <v>703560000</v>
      </c>
      <c r="O562">
        <v>718340000</v>
      </c>
      <c r="P562">
        <v>550440000</v>
      </c>
      <c r="Q562">
        <v>552880000</v>
      </c>
      <c r="R562">
        <v>756800000</v>
      </c>
      <c r="S562">
        <v>402890000</v>
      </c>
      <c r="T562">
        <v>461130000</v>
      </c>
      <c r="U562">
        <v>685210000</v>
      </c>
      <c r="V562">
        <v>0</v>
      </c>
      <c r="W562">
        <v>538770000</v>
      </c>
      <c r="X562">
        <v>555470000</v>
      </c>
    </row>
    <row r="563" spans="1:24">
      <c r="A563">
        <v>2098</v>
      </c>
      <c r="B563" t="s">
        <v>1531</v>
      </c>
      <c r="C563">
        <v>1</v>
      </c>
      <c r="D563" t="s">
        <v>1532</v>
      </c>
      <c r="E563">
        <v>12</v>
      </c>
      <c r="F563">
        <v>12</v>
      </c>
      <c r="G563">
        <v>12</v>
      </c>
      <c r="H563" t="s">
        <v>1531</v>
      </c>
      <c r="I563">
        <v>40.799999999999997</v>
      </c>
      <c r="J563">
        <v>35.170999999999999</v>
      </c>
      <c r="K563" t="str">
        <f>"FN3K"</f>
        <v>FN3K</v>
      </c>
      <c r="L563" t="str">
        <f>"FN3K"</f>
        <v>FN3K</v>
      </c>
      <c r="M563">
        <v>0</v>
      </c>
      <c r="N563">
        <v>159140000</v>
      </c>
      <c r="O563">
        <v>203700000</v>
      </c>
      <c r="P563">
        <v>0</v>
      </c>
      <c r="Q563">
        <v>0</v>
      </c>
      <c r="R563">
        <v>206240000</v>
      </c>
      <c r="S563">
        <v>122850000</v>
      </c>
      <c r="T563">
        <v>73681000</v>
      </c>
      <c r="U563">
        <v>238980000</v>
      </c>
      <c r="V563">
        <v>200190000</v>
      </c>
      <c r="W563">
        <v>221050000</v>
      </c>
      <c r="X563">
        <v>312860000</v>
      </c>
    </row>
    <row r="564" spans="1:24">
      <c r="A564">
        <v>525</v>
      </c>
      <c r="B564" t="s">
        <v>1533</v>
      </c>
      <c r="C564">
        <v>1</v>
      </c>
      <c r="D564" t="s">
        <v>1534</v>
      </c>
      <c r="E564">
        <v>11</v>
      </c>
      <c r="F564">
        <v>11</v>
      </c>
      <c r="G564">
        <v>11</v>
      </c>
      <c r="H564" t="s">
        <v>1533</v>
      </c>
      <c r="I564">
        <v>31.6</v>
      </c>
      <c r="J564">
        <v>44.552</v>
      </c>
      <c r="K564" t="str">
        <f>"CTSD"</f>
        <v>CTSD</v>
      </c>
      <c r="L564" t="str">
        <f>"CTSD"</f>
        <v>CTSD</v>
      </c>
      <c r="M564">
        <v>87981000</v>
      </c>
      <c r="N564">
        <v>141380000</v>
      </c>
      <c r="O564">
        <v>67764000</v>
      </c>
      <c r="P564">
        <v>74953000</v>
      </c>
      <c r="Q564">
        <v>147380000</v>
      </c>
      <c r="R564">
        <v>131720000</v>
      </c>
      <c r="S564">
        <v>136710000</v>
      </c>
      <c r="T564">
        <v>0</v>
      </c>
      <c r="U564">
        <v>350750000</v>
      </c>
      <c r="V564">
        <v>163950000</v>
      </c>
      <c r="W564">
        <v>267790000</v>
      </c>
      <c r="X564">
        <v>159570000</v>
      </c>
    </row>
    <row r="565" spans="1:24">
      <c r="A565">
        <v>1470</v>
      </c>
      <c r="B565" t="s">
        <v>1535</v>
      </c>
      <c r="C565">
        <v>2</v>
      </c>
      <c r="D565" t="s">
        <v>1536</v>
      </c>
      <c r="E565">
        <v>13</v>
      </c>
      <c r="F565">
        <v>13</v>
      </c>
      <c r="G565">
        <v>13</v>
      </c>
      <c r="H565" t="s">
        <v>1537</v>
      </c>
      <c r="I565">
        <v>32.299999999999997</v>
      </c>
      <c r="J565">
        <v>58.06</v>
      </c>
      <c r="K565" t="str">
        <f>"SNTB1"</f>
        <v>SNTB1</v>
      </c>
      <c r="L565" t="str">
        <f>"SNTB1"</f>
        <v>SNTB1</v>
      </c>
      <c r="M565">
        <v>215430000</v>
      </c>
      <c r="N565">
        <v>219370000</v>
      </c>
      <c r="O565">
        <v>172200000</v>
      </c>
      <c r="P565">
        <v>139020000</v>
      </c>
      <c r="Q565">
        <v>73918000</v>
      </c>
      <c r="R565">
        <v>125720000</v>
      </c>
      <c r="S565">
        <v>0</v>
      </c>
      <c r="T565">
        <v>133710000</v>
      </c>
      <c r="U565">
        <v>170340000</v>
      </c>
      <c r="V565">
        <v>176170000</v>
      </c>
      <c r="W565">
        <v>119700000</v>
      </c>
      <c r="X565">
        <v>183470000</v>
      </c>
    </row>
    <row r="566" spans="1:24">
      <c r="A566">
        <v>1942</v>
      </c>
      <c r="B566" t="s">
        <v>1538</v>
      </c>
      <c r="C566">
        <v>3</v>
      </c>
      <c r="D566" t="s">
        <v>1539</v>
      </c>
      <c r="E566">
        <v>10</v>
      </c>
      <c r="F566">
        <v>10</v>
      </c>
      <c r="G566">
        <v>10</v>
      </c>
      <c r="H566" t="s">
        <v>1540</v>
      </c>
      <c r="I566">
        <v>29.6</v>
      </c>
      <c r="J566">
        <v>48.423999999999999</v>
      </c>
      <c r="K566" t="str">
        <f>"CPB2"</f>
        <v>CPB2</v>
      </c>
      <c r="L566" t="str">
        <f>"CPB2"</f>
        <v>CPB2</v>
      </c>
      <c r="M566">
        <v>328430000</v>
      </c>
      <c r="N566">
        <v>129300000</v>
      </c>
      <c r="O566">
        <v>78695000</v>
      </c>
      <c r="P566">
        <v>203810000</v>
      </c>
      <c r="Q566">
        <v>282210000</v>
      </c>
      <c r="R566">
        <v>164930000</v>
      </c>
      <c r="S566">
        <v>340530000</v>
      </c>
      <c r="T566">
        <v>383670000</v>
      </c>
      <c r="U566">
        <v>206270000</v>
      </c>
      <c r="V566">
        <v>242900000</v>
      </c>
      <c r="W566">
        <v>420960000</v>
      </c>
      <c r="X566">
        <v>164290000</v>
      </c>
    </row>
    <row r="567" spans="1:24">
      <c r="A567">
        <v>488</v>
      </c>
      <c r="B567" t="s">
        <v>1541</v>
      </c>
      <c r="C567">
        <v>1</v>
      </c>
      <c r="D567" t="s">
        <v>1542</v>
      </c>
      <c r="E567">
        <v>26</v>
      </c>
      <c r="F567">
        <v>13</v>
      </c>
      <c r="G567">
        <v>1</v>
      </c>
      <c r="H567" t="s">
        <v>1541</v>
      </c>
      <c r="I567">
        <v>64.7</v>
      </c>
      <c r="J567">
        <v>40.688000000000002</v>
      </c>
      <c r="K567" t="str">
        <f>"HLA-A"</f>
        <v>HLA-A</v>
      </c>
      <c r="L567" t="str">
        <f>"HLA-A"</f>
        <v>HLA-A</v>
      </c>
      <c r="M567">
        <v>740180000</v>
      </c>
      <c r="N567">
        <v>0</v>
      </c>
      <c r="O567">
        <v>1735100000</v>
      </c>
      <c r="P567">
        <v>0</v>
      </c>
      <c r="Q567">
        <v>0</v>
      </c>
      <c r="R567">
        <v>538360000</v>
      </c>
      <c r="S567">
        <v>0</v>
      </c>
      <c r="T567">
        <v>0</v>
      </c>
      <c r="U567">
        <v>539720000</v>
      </c>
      <c r="V567">
        <v>422390000</v>
      </c>
      <c r="W567">
        <v>170900000</v>
      </c>
      <c r="X567">
        <v>456640000</v>
      </c>
    </row>
    <row r="568" spans="1:24">
      <c r="A568">
        <v>1005</v>
      </c>
      <c r="B568" t="s">
        <v>1543</v>
      </c>
      <c r="C568">
        <v>3</v>
      </c>
      <c r="D568" t="s">
        <v>1544</v>
      </c>
      <c r="E568">
        <v>18</v>
      </c>
      <c r="F568">
        <v>18</v>
      </c>
      <c r="G568">
        <v>18</v>
      </c>
      <c r="H568" t="s">
        <v>1545</v>
      </c>
      <c r="I568">
        <v>32.5</v>
      </c>
      <c r="J568">
        <v>83.125</v>
      </c>
      <c r="K568" t="str">
        <f>"STAT3"</f>
        <v>STAT3</v>
      </c>
      <c r="L568" t="str">
        <f>"STAT3"</f>
        <v>STAT3</v>
      </c>
      <c r="M568">
        <v>0</v>
      </c>
      <c r="N568">
        <v>188960000</v>
      </c>
      <c r="O568">
        <v>175390000</v>
      </c>
      <c r="P568">
        <v>140480000</v>
      </c>
      <c r="Q568">
        <v>0</v>
      </c>
      <c r="R568">
        <v>131500000</v>
      </c>
      <c r="S568">
        <v>175560000</v>
      </c>
      <c r="T568">
        <v>121210000</v>
      </c>
      <c r="U568">
        <v>132960000</v>
      </c>
      <c r="V568">
        <v>138890000</v>
      </c>
      <c r="W568">
        <v>101020000</v>
      </c>
      <c r="X568">
        <v>309600000</v>
      </c>
    </row>
    <row r="569" spans="1:24">
      <c r="A569">
        <v>1364</v>
      </c>
      <c r="B569" t="s">
        <v>1546</v>
      </c>
      <c r="C569">
        <v>10</v>
      </c>
      <c r="D569" t="s">
        <v>1547</v>
      </c>
      <c r="E569">
        <v>24</v>
      </c>
      <c r="F569">
        <v>24</v>
      </c>
      <c r="G569">
        <v>20</v>
      </c>
      <c r="H569" t="s">
        <v>1548</v>
      </c>
      <c r="I569">
        <v>20.7</v>
      </c>
      <c r="J569">
        <v>154.80000000000001</v>
      </c>
      <c r="K569" t="str">
        <f>"EIF4G1"</f>
        <v>EIF4G1</v>
      </c>
      <c r="L569" t="str">
        <f>"EIF4G1"</f>
        <v>EIF4G1</v>
      </c>
      <c r="M569">
        <v>185810000</v>
      </c>
      <c r="N569">
        <v>162680000</v>
      </c>
      <c r="O569">
        <v>152770000</v>
      </c>
      <c r="P569">
        <v>0</v>
      </c>
      <c r="Q569">
        <v>0</v>
      </c>
      <c r="R569">
        <v>348390000</v>
      </c>
      <c r="S569">
        <v>198320000</v>
      </c>
      <c r="T569">
        <v>0</v>
      </c>
      <c r="U569">
        <v>199560000</v>
      </c>
      <c r="V569">
        <v>167290000</v>
      </c>
      <c r="W569">
        <v>202570000</v>
      </c>
      <c r="X569">
        <v>333370000</v>
      </c>
    </row>
    <row r="570" spans="1:24">
      <c r="A570">
        <v>181</v>
      </c>
      <c r="B570" t="s">
        <v>1549</v>
      </c>
      <c r="C570">
        <v>2</v>
      </c>
      <c r="D570" t="s">
        <v>1550</v>
      </c>
      <c r="E570">
        <v>18</v>
      </c>
      <c r="F570">
        <v>18</v>
      </c>
      <c r="G570">
        <v>18</v>
      </c>
      <c r="H570" t="s">
        <v>1551</v>
      </c>
      <c r="I570">
        <v>22.9</v>
      </c>
      <c r="J570">
        <v>111.63</v>
      </c>
      <c r="K570" t="str">
        <f>"OPA1"</f>
        <v>OPA1</v>
      </c>
      <c r="L570" t="str">
        <f>"OPA1"</f>
        <v>OPA1</v>
      </c>
      <c r="M570">
        <v>0</v>
      </c>
      <c r="N570">
        <v>110590000</v>
      </c>
      <c r="O570">
        <v>115030000</v>
      </c>
      <c r="P570">
        <v>117490000</v>
      </c>
      <c r="Q570">
        <v>79664000</v>
      </c>
      <c r="R570">
        <v>128590000</v>
      </c>
      <c r="S570">
        <v>0</v>
      </c>
      <c r="T570">
        <v>61131000</v>
      </c>
      <c r="U570">
        <v>115780000</v>
      </c>
      <c r="V570">
        <v>79411000</v>
      </c>
      <c r="W570">
        <v>82771000</v>
      </c>
      <c r="X570">
        <v>146400000</v>
      </c>
    </row>
    <row r="571" spans="1:24">
      <c r="A571">
        <v>2087</v>
      </c>
      <c r="B571" t="s">
        <v>1552</v>
      </c>
      <c r="C571">
        <v>1</v>
      </c>
      <c r="D571" t="s">
        <v>1553</v>
      </c>
      <c r="E571">
        <v>6</v>
      </c>
      <c r="F571">
        <v>6</v>
      </c>
      <c r="G571">
        <v>6</v>
      </c>
      <c r="H571" t="s">
        <v>1552</v>
      </c>
      <c r="I571">
        <v>40.9</v>
      </c>
      <c r="J571">
        <v>10.438000000000001</v>
      </c>
      <c r="K571" t="str">
        <f>"SH3BGRL3"</f>
        <v>SH3BGRL3</v>
      </c>
      <c r="L571" t="str">
        <f>"SH3BGRL3"</f>
        <v>SH3BGRL3</v>
      </c>
      <c r="M571">
        <v>263010000</v>
      </c>
      <c r="N571">
        <v>171680000</v>
      </c>
      <c r="O571">
        <v>196290000</v>
      </c>
      <c r="P571">
        <v>509120000</v>
      </c>
      <c r="Q571">
        <v>244380000</v>
      </c>
      <c r="R571">
        <v>748740000</v>
      </c>
      <c r="S571">
        <v>320170000</v>
      </c>
      <c r="T571">
        <v>420190000</v>
      </c>
      <c r="U571">
        <v>545010000</v>
      </c>
      <c r="V571">
        <v>405420000</v>
      </c>
      <c r="W571">
        <v>0</v>
      </c>
      <c r="X571">
        <v>0</v>
      </c>
    </row>
    <row r="572" spans="1:24">
      <c r="A572">
        <v>937</v>
      </c>
      <c r="B572" t="s">
        <v>1554</v>
      </c>
      <c r="C572">
        <v>2</v>
      </c>
      <c r="D572" t="s">
        <v>1555</v>
      </c>
      <c r="E572">
        <v>9</v>
      </c>
      <c r="F572">
        <v>8</v>
      </c>
      <c r="G572">
        <v>8</v>
      </c>
      <c r="H572" t="s">
        <v>1556</v>
      </c>
      <c r="I572">
        <v>53.5</v>
      </c>
      <c r="J572">
        <v>21.891999999999999</v>
      </c>
      <c r="K572" t="str">
        <f>"PRDX2"</f>
        <v>PRDX2</v>
      </c>
      <c r="L572" t="str">
        <f>"PRDX2"</f>
        <v>PRDX2</v>
      </c>
      <c r="M572">
        <v>0</v>
      </c>
      <c r="N572">
        <v>206880000</v>
      </c>
      <c r="O572">
        <v>304370000</v>
      </c>
      <c r="P572">
        <v>535830000</v>
      </c>
      <c r="Q572">
        <v>390640000</v>
      </c>
      <c r="R572">
        <v>643210000</v>
      </c>
      <c r="S572">
        <v>386690000</v>
      </c>
      <c r="T572">
        <v>320810000</v>
      </c>
      <c r="U572">
        <v>130600000</v>
      </c>
      <c r="V572">
        <v>142710000</v>
      </c>
      <c r="W572">
        <v>0</v>
      </c>
      <c r="X572">
        <v>0</v>
      </c>
    </row>
    <row r="573" spans="1:24">
      <c r="A573">
        <v>942</v>
      </c>
      <c r="B573" t="s">
        <v>1557</v>
      </c>
      <c r="C573">
        <v>1</v>
      </c>
      <c r="D573" t="s">
        <v>1558</v>
      </c>
      <c r="E573">
        <v>25</v>
      </c>
      <c r="F573">
        <v>25</v>
      </c>
      <c r="G573">
        <v>17</v>
      </c>
      <c r="H573" t="s">
        <v>1557</v>
      </c>
      <c r="I573">
        <v>33.4</v>
      </c>
      <c r="J573">
        <v>109.68</v>
      </c>
      <c r="K573" t="str">
        <f>"KIF5B"</f>
        <v>KIF5B</v>
      </c>
      <c r="L573" t="str">
        <f>"KIF5B"</f>
        <v>KIF5B</v>
      </c>
      <c r="M573">
        <v>0</v>
      </c>
      <c r="N573">
        <v>137720000</v>
      </c>
      <c r="O573">
        <v>157550000</v>
      </c>
      <c r="P573">
        <v>92298000</v>
      </c>
      <c r="Q573">
        <v>0</v>
      </c>
      <c r="R573">
        <v>129560000</v>
      </c>
      <c r="S573">
        <v>118840000</v>
      </c>
      <c r="T573">
        <v>0</v>
      </c>
      <c r="U573">
        <v>144820000</v>
      </c>
      <c r="V573">
        <v>116670000</v>
      </c>
      <c r="W573">
        <v>175320000</v>
      </c>
      <c r="X573">
        <v>180830000</v>
      </c>
    </row>
    <row r="574" spans="1:24">
      <c r="A574">
        <v>950</v>
      </c>
      <c r="B574" t="s">
        <v>1559</v>
      </c>
      <c r="C574">
        <v>3</v>
      </c>
      <c r="D574" t="s">
        <v>1560</v>
      </c>
      <c r="E574">
        <v>22</v>
      </c>
      <c r="F574">
        <v>22</v>
      </c>
      <c r="G574">
        <v>19</v>
      </c>
      <c r="H574" t="s">
        <v>1561</v>
      </c>
      <c r="I574">
        <v>31</v>
      </c>
      <c r="J574">
        <v>94.33</v>
      </c>
      <c r="K574" t="str">
        <f>"HSPA4;HSPA4L"</f>
        <v>HSPA4;HSPA4L</v>
      </c>
      <c r="L574" t="str">
        <f>"HSPA4;HSPA4L"</f>
        <v>HSPA4;HSPA4L</v>
      </c>
      <c r="M574">
        <v>155960000</v>
      </c>
      <c r="N574">
        <v>178610000</v>
      </c>
      <c r="O574">
        <v>139150000</v>
      </c>
      <c r="P574">
        <v>76037000</v>
      </c>
      <c r="Q574">
        <v>0</v>
      </c>
      <c r="R574">
        <v>128820000</v>
      </c>
      <c r="S574">
        <v>153030000</v>
      </c>
      <c r="T574">
        <v>144570000</v>
      </c>
      <c r="U574">
        <v>139400000</v>
      </c>
      <c r="V574">
        <v>106030000</v>
      </c>
      <c r="W574">
        <v>157740000</v>
      </c>
      <c r="X574">
        <v>187520000</v>
      </c>
    </row>
    <row r="575" spans="1:24">
      <c r="A575">
        <v>1586</v>
      </c>
      <c r="B575" t="s">
        <v>1562</v>
      </c>
      <c r="C575">
        <v>4</v>
      </c>
      <c r="D575" t="s">
        <v>1563</v>
      </c>
      <c r="E575">
        <v>14</v>
      </c>
      <c r="F575">
        <v>14</v>
      </c>
      <c r="G575">
        <v>3</v>
      </c>
      <c r="H575" t="s">
        <v>1564</v>
      </c>
      <c r="I575">
        <v>45.6</v>
      </c>
      <c r="J575">
        <v>41.292999999999999</v>
      </c>
      <c r="K575" t="str">
        <f>"MAPK14"</f>
        <v>MAPK14</v>
      </c>
      <c r="L575" t="str">
        <f>"MAPK14"</f>
        <v>MAPK14</v>
      </c>
      <c r="M575">
        <v>0</v>
      </c>
      <c r="N575">
        <v>0</v>
      </c>
      <c r="O575">
        <v>216960000</v>
      </c>
      <c r="P575">
        <v>213620000</v>
      </c>
      <c r="Q575">
        <v>199320000</v>
      </c>
      <c r="R575">
        <v>187740000</v>
      </c>
      <c r="S575">
        <v>201250000</v>
      </c>
      <c r="T575">
        <v>140100000</v>
      </c>
      <c r="U575">
        <v>230870000</v>
      </c>
      <c r="V575">
        <v>220540000</v>
      </c>
      <c r="W575">
        <v>131630000</v>
      </c>
      <c r="X575">
        <v>258530000</v>
      </c>
    </row>
    <row r="576" spans="1:24">
      <c r="A576">
        <v>595</v>
      </c>
      <c r="B576" t="s">
        <v>1565</v>
      </c>
      <c r="C576">
        <v>2</v>
      </c>
      <c r="D576" t="s">
        <v>1566</v>
      </c>
      <c r="E576">
        <v>99</v>
      </c>
      <c r="F576">
        <v>4</v>
      </c>
      <c r="G576">
        <v>4</v>
      </c>
      <c r="H576" t="s">
        <v>1567</v>
      </c>
      <c r="I576">
        <v>59</v>
      </c>
      <c r="J576">
        <v>192.78</v>
      </c>
      <c r="K576" t="str">
        <f>"C4A"</f>
        <v>C4A</v>
      </c>
      <c r="L576" t="str">
        <f>"C4A"</f>
        <v>C4A</v>
      </c>
      <c r="M576">
        <v>842200000</v>
      </c>
      <c r="N576">
        <v>667260000</v>
      </c>
      <c r="O576">
        <v>678840000</v>
      </c>
      <c r="P576">
        <v>189390000</v>
      </c>
      <c r="Q576">
        <v>4719300000</v>
      </c>
      <c r="R576">
        <v>501420000</v>
      </c>
      <c r="S576">
        <v>478440000</v>
      </c>
      <c r="T576">
        <v>1428400000</v>
      </c>
      <c r="U576">
        <v>236480000</v>
      </c>
      <c r="V576">
        <v>214510000</v>
      </c>
      <c r="W576">
        <v>547170000</v>
      </c>
      <c r="X576">
        <v>139650000</v>
      </c>
    </row>
    <row r="577" spans="1:24">
      <c r="A577">
        <v>652</v>
      </c>
      <c r="B577" t="s">
        <v>1568</v>
      </c>
      <c r="C577">
        <v>1</v>
      </c>
      <c r="D577" t="s">
        <v>1569</v>
      </c>
      <c r="E577">
        <v>18</v>
      </c>
      <c r="F577">
        <v>18</v>
      </c>
      <c r="G577">
        <v>18</v>
      </c>
      <c r="H577" t="s">
        <v>1568</v>
      </c>
      <c r="I577">
        <v>55.1</v>
      </c>
      <c r="J577">
        <v>36.375</v>
      </c>
      <c r="K577" t="str">
        <f>"ANXA3"</f>
        <v>ANXA3</v>
      </c>
      <c r="L577" t="str">
        <f>"ANXA3"</f>
        <v>ANXA3</v>
      </c>
      <c r="M577">
        <v>0</v>
      </c>
      <c r="N577">
        <v>324850000</v>
      </c>
      <c r="O577">
        <v>156900000</v>
      </c>
      <c r="P577">
        <v>0</v>
      </c>
      <c r="Q577">
        <v>0</v>
      </c>
      <c r="R577">
        <v>156890000</v>
      </c>
      <c r="S577">
        <v>163130000</v>
      </c>
      <c r="T577">
        <v>162120000</v>
      </c>
      <c r="U577">
        <v>167400000</v>
      </c>
      <c r="V577">
        <v>119970000</v>
      </c>
      <c r="W577">
        <v>147040000</v>
      </c>
      <c r="X577">
        <v>208350000</v>
      </c>
    </row>
    <row r="578" spans="1:24">
      <c r="A578">
        <v>698</v>
      </c>
      <c r="B578" t="s">
        <v>1570</v>
      </c>
      <c r="C578">
        <v>1</v>
      </c>
      <c r="D578" t="s">
        <v>1571</v>
      </c>
      <c r="E578">
        <v>11</v>
      </c>
      <c r="F578">
        <v>5</v>
      </c>
      <c r="G578">
        <v>5</v>
      </c>
      <c r="H578" t="s">
        <v>1570</v>
      </c>
      <c r="I578">
        <v>55.7</v>
      </c>
      <c r="J578">
        <v>21.428999999999998</v>
      </c>
      <c r="K578" t="str">
        <f>"RAC2"</f>
        <v>RAC2</v>
      </c>
      <c r="L578" t="str">
        <f>"RAC2"</f>
        <v>RAC2</v>
      </c>
      <c r="M578">
        <v>267840000</v>
      </c>
      <c r="N578">
        <v>703670000</v>
      </c>
      <c r="O578">
        <v>508610000</v>
      </c>
      <c r="P578">
        <v>564350000</v>
      </c>
      <c r="Q578">
        <v>367640000</v>
      </c>
      <c r="R578">
        <v>629830000</v>
      </c>
      <c r="S578">
        <v>880290000</v>
      </c>
      <c r="T578">
        <v>401790000</v>
      </c>
      <c r="U578">
        <v>947980000</v>
      </c>
      <c r="V578">
        <v>592820000</v>
      </c>
      <c r="W578">
        <v>772370000</v>
      </c>
      <c r="X578">
        <v>1300100000</v>
      </c>
    </row>
    <row r="579" spans="1:24">
      <c r="A579">
        <v>960</v>
      </c>
      <c r="B579" t="s">
        <v>1572</v>
      </c>
      <c r="C579">
        <v>1</v>
      </c>
      <c r="D579" t="s">
        <v>1573</v>
      </c>
      <c r="E579">
        <v>5</v>
      </c>
      <c r="F579">
        <v>5</v>
      </c>
      <c r="G579">
        <v>5</v>
      </c>
      <c r="H579" t="s">
        <v>1572</v>
      </c>
      <c r="I579">
        <v>40.799999999999997</v>
      </c>
      <c r="J579">
        <v>14.746</v>
      </c>
      <c r="K579" t="str">
        <f>"SAA4"</f>
        <v>SAA4</v>
      </c>
      <c r="L579" t="str">
        <f>"SAA4"</f>
        <v>SAA4</v>
      </c>
      <c r="M579">
        <v>348940000</v>
      </c>
      <c r="N579">
        <v>141470000</v>
      </c>
      <c r="O579">
        <v>365010000</v>
      </c>
      <c r="P579">
        <v>260570000</v>
      </c>
      <c r="Q579">
        <v>247300000</v>
      </c>
      <c r="R579">
        <v>0</v>
      </c>
      <c r="S579">
        <v>432370000</v>
      </c>
      <c r="T579">
        <v>594480000</v>
      </c>
      <c r="U579">
        <v>0</v>
      </c>
      <c r="V579">
        <v>309820000</v>
      </c>
      <c r="W579">
        <v>220950000</v>
      </c>
      <c r="X579">
        <v>160740000</v>
      </c>
    </row>
    <row r="580" spans="1:24">
      <c r="A580">
        <v>966</v>
      </c>
      <c r="B580" t="s">
        <v>1574</v>
      </c>
      <c r="C580">
        <v>12</v>
      </c>
      <c r="D580" t="s">
        <v>1575</v>
      </c>
      <c r="E580">
        <v>15</v>
      </c>
      <c r="F580">
        <v>15</v>
      </c>
      <c r="G580">
        <v>15</v>
      </c>
      <c r="H580" t="s">
        <v>1576</v>
      </c>
      <c r="I580">
        <v>33.6</v>
      </c>
      <c r="J580">
        <v>69.983999999999995</v>
      </c>
      <c r="K580" t="str">
        <f>"ADD1;ADD2"</f>
        <v>ADD1;ADD2</v>
      </c>
      <c r="L580" t="str">
        <f>"ADD1;ADD2"</f>
        <v>ADD1;ADD2</v>
      </c>
      <c r="M580">
        <v>101240000</v>
      </c>
      <c r="N580">
        <v>196370000</v>
      </c>
      <c r="O580">
        <v>109750000</v>
      </c>
      <c r="P580">
        <v>107470000</v>
      </c>
      <c r="Q580">
        <v>105240000</v>
      </c>
      <c r="R580">
        <v>152150000</v>
      </c>
      <c r="S580">
        <v>149220000</v>
      </c>
      <c r="T580">
        <v>0</v>
      </c>
      <c r="U580">
        <v>153190000</v>
      </c>
      <c r="V580">
        <v>137350000</v>
      </c>
      <c r="W580">
        <v>136380000</v>
      </c>
      <c r="X580">
        <v>146020000</v>
      </c>
    </row>
    <row r="581" spans="1:24">
      <c r="A581">
        <v>1089</v>
      </c>
      <c r="B581" t="s">
        <v>1577</v>
      </c>
      <c r="C581">
        <v>2</v>
      </c>
      <c r="D581" t="s">
        <v>1578</v>
      </c>
      <c r="E581">
        <v>26</v>
      </c>
      <c r="F581">
        <v>26</v>
      </c>
      <c r="G581">
        <v>26</v>
      </c>
      <c r="H581" t="s">
        <v>1579</v>
      </c>
      <c r="I581">
        <v>33.700000000000003</v>
      </c>
      <c r="J581">
        <v>106.81</v>
      </c>
      <c r="K581" t="str">
        <f>"AARS"</f>
        <v>AARS</v>
      </c>
      <c r="L581" t="str">
        <f>"AARS"</f>
        <v>AARS</v>
      </c>
      <c r="M581">
        <v>0</v>
      </c>
      <c r="N581">
        <v>123850000</v>
      </c>
      <c r="O581">
        <v>171190000</v>
      </c>
      <c r="P581">
        <v>141110000</v>
      </c>
      <c r="Q581">
        <v>74489000</v>
      </c>
      <c r="R581">
        <v>164200000</v>
      </c>
      <c r="S581">
        <v>130980000</v>
      </c>
      <c r="T581">
        <v>108660000</v>
      </c>
      <c r="U581">
        <v>180020000</v>
      </c>
      <c r="V581">
        <v>90055000</v>
      </c>
      <c r="W581">
        <v>0</v>
      </c>
      <c r="X581">
        <v>194200000</v>
      </c>
    </row>
    <row r="582" spans="1:24">
      <c r="A582">
        <v>1414</v>
      </c>
      <c r="B582" t="s">
        <v>1580</v>
      </c>
      <c r="C582">
        <v>2</v>
      </c>
      <c r="D582" t="s">
        <v>1581</v>
      </c>
      <c r="E582">
        <v>23</v>
      </c>
      <c r="F582">
        <v>23</v>
      </c>
      <c r="G582">
        <v>23</v>
      </c>
      <c r="H582" t="s">
        <v>1582</v>
      </c>
      <c r="I582">
        <v>21.9</v>
      </c>
      <c r="J582">
        <v>145.94</v>
      </c>
      <c r="K582" t="str">
        <f>"PTPRJ"</f>
        <v>PTPRJ</v>
      </c>
      <c r="L582" t="str">
        <f>"PTPRJ"</f>
        <v>PTPRJ</v>
      </c>
      <c r="M582">
        <v>158100000</v>
      </c>
      <c r="N582">
        <v>134740000</v>
      </c>
      <c r="O582">
        <v>0</v>
      </c>
      <c r="P582">
        <v>313130000</v>
      </c>
      <c r="Q582">
        <v>169930000</v>
      </c>
      <c r="R582">
        <v>478100000</v>
      </c>
      <c r="S582">
        <v>370230000</v>
      </c>
      <c r="T582">
        <v>381740000</v>
      </c>
      <c r="U582">
        <v>350290000</v>
      </c>
      <c r="V582">
        <v>468540000</v>
      </c>
      <c r="W582">
        <v>0</v>
      </c>
      <c r="X582">
        <v>319910000</v>
      </c>
    </row>
    <row r="583" spans="1:24">
      <c r="A583">
        <v>1769</v>
      </c>
      <c r="B583" t="s">
        <v>1583</v>
      </c>
      <c r="C583">
        <v>3</v>
      </c>
      <c r="D583" t="s">
        <v>1584</v>
      </c>
      <c r="E583">
        <v>13</v>
      </c>
      <c r="F583">
        <v>13</v>
      </c>
      <c r="G583">
        <v>13</v>
      </c>
      <c r="H583" t="s">
        <v>1585</v>
      </c>
      <c r="I583">
        <v>20.2</v>
      </c>
      <c r="J583">
        <v>69.287000000000006</v>
      </c>
      <c r="K583" t="str">
        <f>"CMIP"</f>
        <v>CMIP</v>
      </c>
      <c r="L583" t="str">
        <f>"CMIP"</f>
        <v>CMIP</v>
      </c>
      <c r="M583">
        <v>161810000</v>
      </c>
      <c r="N583">
        <v>376430000</v>
      </c>
      <c r="O583">
        <v>415890000</v>
      </c>
      <c r="P583">
        <v>194670000</v>
      </c>
      <c r="Q583">
        <v>0</v>
      </c>
      <c r="R583">
        <v>232890000</v>
      </c>
      <c r="S583">
        <v>0</v>
      </c>
      <c r="T583">
        <v>271100000</v>
      </c>
      <c r="U583">
        <v>445760000</v>
      </c>
      <c r="V583">
        <v>253590000</v>
      </c>
      <c r="W583">
        <v>283280000</v>
      </c>
      <c r="X583">
        <v>312040000</v>
      </c>
    </row>
    <row r="584" spans="1:24">
      <c r="A584">
        <v>571</v>
      </c>
      <c r="B584" t="s">
        <v>1586</v>
      </c>
      <c r="C584">
        <v>5</v>
      </c>
      <c r="D584" t="s">
        <v>1587</v>
      </c>
      <c r="E584">
        <v>11</v>
      </c>
      <c r="F584">
        <v>8</v>
      </c>
      <c r="G584">
        <v>8</v>
      </c>
      <c r="H584" t="s">
        <v>1588</v>
      </c>
      <c r="I584">
        <v>30</v>
      </c>
      <c r="J584">
        <v>47.268000000000001</v>
      </c>
      <c r="K584" t="str">
        <f>"ENO2;ENO3"</f>
        <v>ENO2;ENO3</v>
      </c>
      <c r="L584" t="str">
        <f>"ENO2;ENO3"</f>
        <v>ENO2;ENO3</v>
      </c>
      <c r="M584">
        <v>201080000</v>
      </c>
      <c r="N584">
        <v>329870000</v>
      </c>
      <c r="O584">
        <v>302700000</v>
      </c>
      <c r="P584">
        <v>210410000</v>
      </c>
      <c r="Q584">
        <v>209570000</v>
      </c>
      <c r="R584">
        <v>433250000</v>
      </c>
      <c r="S584">
        <v>107110000</v>
      </c>
      <c r="T584">
        <v>157460000</v>
      </c>
      <c r="U584">
        <v>275400000</v>
      </c>
      <c r="V584">
        <v>309210000</v>
      </c>
      <c r="W584">
        <v>136580000</v>
      </c>
      <c r="X584">
        <v>130390000</v>
      </c>
    </row>
    <row r="585" spans="1:24">
      <c r="A585">
        <v>2338</v>
      </c>
      <c r="B585" t="s">
        <v>1589</v>
      </c>
      <c r="C585">
        <v>2</v>
      </c>
      <c r="D585" t="s">
        <v>1590</v>
      </c>
      <c r="E585">
        <v>15</v>
      </c>
      <c r="F585">
        <v>15</v>
      </c>
      <c r="G585">
        <v>15</v>
      </c>
      <c r="H585" t="s">
        <v>1591</v>
      </c>
      <c r="I585">
        <v>34.299999999999997</v>
      </c>
      <c r="J585">
        <v>39.869</v>
      </c>
      <c r="K585" t="str">
        <f>"CAB39;CAB39L"</f>
        <v>CAB39;CAB39L</v>
      </c>
      <c r="L585" t="str">
        <f>"CAB39;CAB39L"</f>
        <v>CAB39;CAB39L</v>
      </c>
      <c r="M585">
        <v>85169000</v>
      </c>
      <c r="N585">
        <v>128440000</v>
      </c>
      <c r="O585">
        <v>94733000</v>
      </c>
      <c r="P585">
        <v>72286000</v>
      </c>
      <c r="Q585">
        <v>87068000</v>
      </c>
      <c r="R585">
        <v>99184000</v>
      </c>
      <c r="S585">
        <v>166630000</v>
      </c>
      <c r="T585">
        <v>137120000</v>
      </c>
      <c r="U585">
        <v>150030000</v>
      </c>
      <c r="V585">
        <v>112940000</v>
      </c>
      <c r="W585">
        <v>198740000</v>
      </c>
      <c r="X585">
        <v>211910000</v>
      </c>
    </row>
    <row r="586" spans="1:24">
      <c r="A586">
        <v>213</v>
      </c>
      <c r="B586" t="s">
        <v>1592</v>
      </c>
      <c r="C586">
        <v>3</v>
      </c>
      <c r="D586" t="s">
        <v>1593</v>
      </c>
      <c r="E586">
        <v>12</v>
      </c>
      <c r="F586">
        <v>12</v>
      </c>
      <c r="G586">
        <v>8</v>
      </c>
      <c r="H586" t="s">
        <v>1594</v>
      </c>
      <c r="I586">
        <v>32.700000000000003</v>
      </c>
      <c r="J586">
        <v>49.301000000000002</v>
      </c>
      <c r="K586" t="str">
        <f>"VPS4B;FIGNL1"</f>
        <v>VPS4B;FIGNL1</v>
      </c>
      <c r="L586" t="str">
        <f>"VPS4B;FIGNL1"</f>
        <v>VPS4B;FIGNL1</v>
      </c>
      <c r="M586">
        <v>124370000</v>
      </c>
      <c r="N586">
        <v>230860000</v>
      </c>
      <c r="O586">
        <v>168480000</v>
      </c>
      <c r="P586">
        <v>97213000</v>
      </c>
      <c r="Q586">
        <v>148890000</v>
      </c>
      <c r="R586">
        <v>107370000</v>
      </c>
      <c r="S586">
        <v>223320000</v>
      </c>
      <c r="T586">
        <v>146090000</v>
      </c>
      <c r="U586">
        <v>207410000</v>
      </c>
      <c r="V586">
        <v>103040000</v>
      </c>
      <c r="W586">
        <v>189290000</v>
      </c>
      <c r="X586">
        <v>192970000</v>
      </c>
    </row>
    <row r="587" spans="1:24">
      <c r="A587">
        <v>268</v>
      </c>
      <c r="B587" t="s">
        <v>1595</v>
      </c>
      <c r="C587">
        <v>2</v>
      </c>
      <c r="D587" t="s">
        <v>1596</v>
      </c>
      <c r="E587">
        <v>7</v>
      </c>
      <c r="F587">
        <v>7</v>
      </c>
      <c r="G587">
        <v>7</v>
      </c>
      <c r="H587" t="s">
        <v>1597</v>
      </c>
      <c r="I587">
        <v>36.700000000000003</v>
      </c>
      <c r="J587">
        <v>21.253</v>
      </c>
      <c r="K587" t="str">
        <f>"APOM"</f>
        <v>APOM</v>
      </c>
      <c r="L587" t="str">
        <f>"APOM"</f>
        <v>APOM</v>
      </c>
      <c r="M587" s="8">
        <v>1707000000</v>
      </c>
      <c r="N587">
        <v>420540000</v>
      </c>
      <c r="O587">
        <v>574660000</v>
      </c>
      <c r="P587">
        <v>665010000</v>
      </c>
      <c r="Q587">
        <v>1031900000</v>
      </c>
      <c r="R587">
        <v>309480000</v>
      </c>
      <c r="S587">
        <v>668420000</v>
      </c>
      <c r="T587">
        <v>1208200000</v>
      </c>
      <c r="U587">
        <v>0</v>
      </c>
      <c r="V587">
        <v>937120000</v>
      </c>
      <c r="W587">
        <v>550880000</v>
      </c>
      <c r="X587">
        <v>0</v>
      </c>
    </row>
    <row r="588" spans="1:24">
      <c r="A588">
        <v>557</v>
      </c>
      <c r="B588" t="s">
        <v>1598</v>
      </c>
      <c r="C588">
        <v>2</v>
      </c>
      <c r="D588" t="s">
        <v>1599</v>
      </c>
      <c r="E588">
        <v>22</v>
      </c>
      <c r="F588">
        <v>20</v>
      </c>
      <c r="G588">
        <v>20</v>
      </c>
      <c r="H588" t="s">
        <v>1600</v>
      </c>
      <c r="I588">
        <v>41.8</v>
      </c>
      <c r="J588">
        <v>501.31</v>
      </c>
      <c r="K588" t="str">
        <f>"LPA;LPAL2"</f>
        <v>LPA;LPAL2</v>
      </c>
      <c r="L588" t="str">
        <f>"LPA;LPAL2"</f>
        <v>LPA;LPAL2</v>
      </c>
      <c r="M588">
        <v>678030000</v>
      </c>
      <c r="N588">
        <v>0</v>
      </c>
      <c r="O588">
        <v>0</v>
      </c>
      <c r="P588">
        <v>0</v>
      </c>
      <c r="Q588">
        <v>0</v>
      </c>
      <c r="R588">
        <v>280410000</v>
      </c>
      <c r="S588">
        <v>274850000</v>
      </c>
      <c r="T588">
        <v>163110000</v>
      </c>
      <c r="U588">
        <v>0</v>
      </c>
      <c r="V588">
        <v>471560000</v>
      </c>
      <c r="W588">
        <v>0</v>
      </c>
      <c r="X588">
        <v>0</v>
      </c>
    </row>
    <row r="589" spans="1:24">
      <c r="A589">
        <v>645</v>
      </c>
      <c r="B589" t="s">
        <v>1601</v>
      </c>
      <c r="C589">
        <v>11</v>
      </c>
      <c r="D589" t="s">
        <v>1602</v>
      </c>
      <c r="E589">
        <v>14</v>
      </c>
      <c r="F589">
        <v>14</v>
      </c>
      <c r="G589">
        <v>14</v>
      </c>
      <c r="H589" t="s">
        <v>1603</v>
      </c>
      <c r="I589">
        <v>30.5</v>
      </c>
      <c r="J589">
        <v>61.18</v>
      </c>
      <c r="K589" t="str">
        <f>"PABPC1;PABPC3;PABPC1L;PABPC4;PABPC1L2A;PABPC5"</f>
        <v>PABPC1;PABPC3;PABPC1L;PABPC4;PABPC1L2A;PABPC5</v>
      </c>
      <c r="L589" t="str">
        <f>"PABPC1;PABPC3;PABPC1L;PABPC4;PABPC1L2A;PABPC5"</f>
        <v>PABPC1;PABPC3;PABPC1L;PABPC4;PABPC1L2A;PABPC5</v>
      </c>
      <c r="M589">
        <v>125600000</v>
      </c>
      <c r="N589">
        <v>244120000</v>
      </c>
      <c r="O589">
        <v>280540000</v>
      </c>
      <c r="P589">
        <v>255440000</v>
      </c>
      <c r="Q589">
        <v>203420000</v>
      </c>
      <c r="R589">
        <v>312760000</v>
      </c>
      <c r="S589">
        <v>206430000</v>
      </c>
      <c r="T589">
        <v>174100000</v>
      </c>
      <c r="U589">
        <v>227270000</v>
      </c>
      <c r="V589">
        <v>211370000</v>
      </c>
      <c r="W589">
        <v>227870000</v>
      </c>
      <c r="X589">
        <v>221420000</v>
      </c>
    </row>
    <row r="590" spans="1:24">
      <c r="A590">
        <v>1112</v>
      </c>
      <c r="B590" t="s">
        <v>1604</v>
      </c>
      <c r="C590">
        <v>1</v>
      </c>
      <c r="D590" t="s">
        <v>1605</v>
      </c>
      <c r="E590">
        <v>11</v>
      </c>
      <c r="F590">
        <v>11</v>
      </c>
      <c r="G590">
        <v>11</v>
      </c>
      <c r="H590" t="s">
        <v>1604</v>
      </c>
      <c r="I590">
        <v>46.5</v>
      </c>
      <c r="J590">
        <v>28.994</v>
      </c>
      <c r="K590" t="str">
        <f>"EMD"</f>
        <v>EMD</v>
      </c>
      <c r="L590" t="str">
        <f>"EMD"</f>
        <v>EMD</v>
      </c>
      <c r="M590">
        <v>0</v>
      </c>
      <c r="N590">
        <v>213250000</v>
      </c>
      <c r="O590">
        <v>255150000</v>
      </c>
      <c r="P590">
        <v>303300000</v>
      </c>
      <c r="Q590">
        <v>93663000</v>
      </c>
      <c r="R590">
        <v>357140000</v>
      </c>
      <c r="S590">
        <v>130550000</v>
      </c>
      <c r="T590">
        <v>135610000</v>
      </c>
      <c r="U590">
        <v>152610000</v>
      </c>
      <c r="V590">
        <v>193390000</v>
      </c>
      <c r="W590">
        <v>89168000</v>
      </c>
      <c r="X590">
        <v>161320000</v>
      </c>
    </row>
    <row r="591" spans="1:24">
      <c r="A591">
        <v>1228</v>
      </c>
      <c r="B591" t="s">
        <v>1606</v>
      </c>
      <c r="C591">
        <v>4</v>
      </c>
      <c r="D591" t="s">
        <v>1607</v>
      </c>
      <c r="E591">
        <v>11</v>
      </c>
      <c r="F591">
        <v>11</v>
      </c>
      <c r="G591">
        <v>11</v>
      </c>
      <c r="H591" t="s">
        <v>1608</v>
      </c>
      <c r="I591">
        <v>58.5</v>
      </c>
      <c r="J591">
        <v>23.545000000000002</v>
      </c>
      <c r="K591" t="str">
        <f>"RAB2A;RAB2B"</f>
        <v>RAB2A;RAB2B</v>
      </c>
      <c r="L591" t="str">
        <f>"RAB2A;RAB2B"</f>
        <v>RAB2A;RAB2B</v>
      </c>
      <c r="M591">
        <v>197890000</v>
      </c>
      <c r="N591">
        <v>227530000</v>
      </c>
      <c r="O591">
        <v>195360000</v>
      </c>
      <c r="P591">
        <v>143400000</v>
      </c>
      <c r="Q591">
        <v>209110000</v>
      </c>
      <c r="R591">
        <v>195900000</v>
      </c>
      <c r="S591">
        <v>161190000</v>
      </c>
      <c r="T591">
        <v>170480000</v>
      </c>
      <c r="U591">
        <v>144950000</v>
      </c>
      <c r="V591">
        <v>211160000</v>
      </c>
      <c r="W591">
        <v>296700000</v>
      </c>
      <c r="X591">
        <v>281720000</v>
      </c>
    </row>
    <row r="592" spans="1:24">
      <c r="A592">
        <v>1912</v>
      </c>
      <c r="B592" t="s">
        <v>1609</v>
      </c>
      <c r="C592">
        <v>1</v>
      </c>
      <c r="D592" t="s">
        <v>1610</v>
      </c>
      <c r="E592">
        <v>6</v>
      </c>
      <c r="F592">
        <v>6</v>
      </c>
      <c r="G592">
        <v>2</v>
      </c>
      <c r="H592" t="s">
        <v>1609</v>
      </c>
      <c r="I592">
        <v>44.1</v>
      </c>
      <c r="J592">
        <v>21.416</v>
      </c>
      <c r="K592" t="str">
        <f>"ARL8A"</f>
        <v>ARL8A</v>
      </c>
      <c r="L592" t="str">
        <f>"ARL8A"</f>
        <v>ARL8A</v>
      </c>
      <c r="M592">
        <v>128250000</v>
      </c>
      <c r="N592">
        <v>125390000</v>
      </c>
      <c r="O592">
        <v>107380000</v>
      </c>
      <c r="P592">
        <v>0</v>
      </c>
      <c r="Q592">
        <v>0</v>
      </c>
      <c r="R592">
        <v>134440000</v>
      </c>
      <c r="S592">
        <v>168630000</v>
      </c>
      <c r="T592">
        <v>0</v>
      </c>
      <c r="U592">
        <v>0</v>
      </c>
      <c r="V592">
        <v>111410000</v>
      </c>
      <c r="W592">
        <v>129560000</v>
      </c>
      <c r="X592">
        <v>208520000</v>
      </c>
    </row>
    <row r="593" spans="1:24">
      <c r="A593">
        <v>1191</v>
      </c>
      <c r="B593" t="s">
        <v>1611</v>
      </c>
      <c r="C593">
        <v>2</v>
      </c>
      <c r="D593" t="s">
        <v>1612</v>
      </c>
      <c r="E593">
        <v>17</v>
      </c>
      <c r="F593">
        <v>17</v>
      </c>
      <c r="G593">
        <v>17</v>
      </c>
      <c r="H593" t="s">
        <v>1613</v>
      </c>
      <c r="I593">
        <v>20.3</v>
      </c>
      <c r="J593">
        <v>128.15</v>
      </c>
      <c r="K593" t="str">
        <f>"NCKAP1L"</f>
        <v>NCKAP1L</v>
      </c>
      <c r="L593" t="str">
        <f>"NCKAP1L"</f>
        <v>NCKAP1L</v>
      </c>
      <c r="M593">
        <v>0</v>
      </c>
      <c r="N593">
        <v>99022000</v>
      </c>
      <c r="O593">
        <v>171210000</v>
      </c>
      <c r="P593">
        <v>212830000</v>
      </c>
      <c r="Q593">
        <v>0</v>
      </c>
      <c r="R593">
        <v>160400000</v>
      </c>
      <c r="S593">
        <v>81203000</v>
      </c>
      <c r="T593">
        <v>194410000</v>
      </c>
      <c r="U593">
        <v>176200000</v>
      </c>
      <c r="V593">
        <v>196800000</v>
      </c>
      <c r="W593">
        <v>89763000</v>
      </c>
      <c r="X593">
        <v>140910000</v>
      </c>
    </row>
    <row r="594" spans="1:24">
      <c r="A594">
        <v>302</v>
      </c>
      <c r="B594" t="s">
        <v>1614</v>
      </c>
      <c r="C594">
        <v>1</v>
      </c>
      <c r="D594" t="s">
        <v>1615</v>
      </c>
      <c r="E594">
        <v>10</v>
      </c>
      <c r="F594">
        <v>10</v>
      </c>
      <c r="G594">
        <v>9</v>
      </c>
      <c r="H594" t="s">
        <v>1614</v>
      </c>
      <c r="I594">
        <v>54.6</v>
      </c>
      <c r="J594">
        <v>24.579000000000001</v>
      </c>
      <c r="K594" t="str">
        <f>"HPRT1"</f>
        <v>HPRT1</v>
      </c>
      <c r="L594" t="str">
        <f>"HPRT1"</f>
        <v>HPRT1</v>
      </c>
      <c r="M594">
        <v>170390000</v>
      </c>
      <c r="N594">
        <v>122750000</v>
      </c>
      <c r="O594">
        <v>131610000</v>
      </c>
      <c r="P594">
        <v>86729000</v>
      </c>
      <c r="Q594">
        <v>108790000</v>
      </c>
      <c r="R594">
        <v>147930000</v>
      </c>
      <c r="S594">
        <v>110320000</v>
      </c>
      <c r="T594">
        <v>177990000</v>
      </c>
      <c r="U594">
        <v>373370000</v>
      </c>
      <c r="V594">
        <v>0</v>
      </c>
      <c r="W594">
        <v>90560000</v>
      </c>
      <c r="X594">
        <v>117040000</v>
      </c>
    </row>
    <row r="595" spans="1:24">
      <c r="A595">
        <v>1380</v>
      </c>
      <c r="B595" t="s">
        <v>1616</v>
      </c>
      <c r="C595">
        <v>3</v>
      </c>
      <c r="D595" t="s">
        <v>1617</v>
      </c>
      <c r="E595">
        <v>11</v>
      </c>
      <c r="F595">
        <v>11</v>
      </c>
      <c r="G595">
        <v>11</v>
      </c>
      <c r="H595" t="s">
        <v>1618</v>
      </c>
      <c r="I595">
        <v>45.1</v>
      </c>
      <c r="J595">
        <v>26.87</v>
      </c>
      <c r="K595" t="str">
        <f>"PSME1"</f>
        <v>PSME1</v>
      </c>
      <c r="L595" t="str">
        <f>"PSME1"</f>
        <v>PSME1</v>
      </c>
      <c r="M595">
        <v>153350000</v>
      </c>
      <c r="N595">
        <v>218870000</v>
      </c>
      <c r="O595">
        <v>233720000</v>
      </c>
      <c r="P595">
        <v>261710000</v>
      </c>
      <c r="Q595">
        <v>215020000</v>
      </c>
      <c r="R595">
        <v>339700000</v>
      </c>
      <c r="S595">
        <v>170640000</v>
      </c>
      <c r="T595">
        <v>216590000</v>
      </c>
      <c r="U595">
        <v>260800000</v>
      </c>
      <c r="V595">
        <v>224580000</v>
      </c>
      <c r="W595">
        <v>213350000</v>
      </c>
      <c r="X595">
        <v>280090000</v>
      </c>
    </row>
    <row r="596" spans="1:24">
      <c r="A596">
        <v>1503</v>
      </c>
      <c r="B596" t="s">
        <v>1619</v>
      </c>
      <c r="C596">
        <v>2</v>
      </c>
      <c r="D596" t="s">
        <v>1620</v>
      </c>
      <c r="E596">
        <v>12</v>
      </c>
      <c r="F596">
        <v>12</v>
      </c>
      <c r="G596">
        <v>12</v>
      </c>
      <c r="H596" t="s">
        <v>1621</v>
      </c>
      <c r="I596">
        <v>26.4</v>
      </c>
      <c r="J596">
        <v>59.863999999999997</v>
      </c>
      <c r="K596" t="str">
        <f>"HABP2"</f>
        <v>HABP2</v>
      </c>
      <c r="L596" t="str">
        <f>"HABP2"</f>
        <v>HABP2</v>
      </c>
      <c r="M596">
        <v>360310000</v>
      </c>
      <c r="N596">
        <v>307930000</v>
      </c>
      <c r="O596">
        <v>169740000</v>
      </c>
      <c r="P596">
        <v>159880000</v>
      </c>
      <c r="Q596">
        <v>257100000</v>
      </c>
      <c r="R596">
        <v>0</v>
      </c>
      <c r="S596">
        <v>250280000</v>
      </c>
      <c r="T596">
        <v>165980000</v>
      </c>
      <c r="U596">
        <v>138820000</v>
      </c>
      <c r="V596">
        <v>158210000</v>
      </c>
      <c r="W596">
        <v>313520000</v>
      </c>
      <c r="X596">
        <v>154340000</v>
      </c>
    </row>
    <row r="597" spans="1:24">
      <c r="A597">
        <v>1711</v>
      </c>
      <c r="B597" t="s">
        <v>1622</v>
      </c>
      <c r="C597">
        <v>2</v>
      </c>
      <c r="D597" t="s">
        <v>1623</v>
      </c>
      <c r="E597">
        <v>37</v>
      </c>
      <c r="F597">
        <v>3</v>
      </c>
      <c r="G597">
        <v>0</v>
      </c>
      <c r="H597" t="s">
        <v>1624</v>
      </c>
      <c r="I597">
        <v>73.599999999999994</v>
      </c>
      <c r="J597">
        <v>50.134999999999998</v>
      </c>
      <c r="K597" t="str">
        <f>"TUBA1A"</f>
        <v>TUBA1A</v>
      </c>
      <c r="L597" t="str">
        <f>"TUBA1A"</f>
        <v>TUBA1A</v>
      </c>
      <c r="M597">
        <v>1729500000</v>
      </c>
      <c r="N597">
        <v>692080000</v>
      </c>
      <c r="O597">
        <v>1009600000</v>
      </c>
      <c r="P597">
        <v>904350000</v>
      </c>
      <c r="Q597">
        <v>990140000</v>
      </c>
      <c r="R597">
        <v>1244200000</v>
      </c>
      <c r="S597">
        <v>2711300000</v>
      </c>
      <c r="T597">
        <v>1157700000</v>
      </c>
      <c r="U597">
        <v>0</v>
      </c>
      <c r="V597">
        <v>720950000</v>
      </c>
      <c r="W597">
        <v>909090000</v>
      </c>
      <c r="X597">
        <v>655470000</v>
      </c>
    </row>
    <row r="598" spans="1:24">
      <c r="A598">
        <v>1729</v>
      </c>
      <c r="B598" t="s">
        <v>1625</v>
      </c>
      <c r="C598">
        <v>6</v>
      </c>
      <c r="D598" t="s">
        <v>1626</v>
      </c>
      <c r="E598">
        <v>12</v>
      </c>
      <c r="F598">
        <v>12</v>
      </c>
      <c r="G598">
        <v>12</v>
      </c>
      <c r="H598" t="s">
        <v>1627</v>
      </c>
      <c r="I598">
        <v>38.1</v>
      </c>
      <c r="J598">
        <v>56.527000000000001</v>
      </c>
      <c r="K598" t="str">
        <f>"MAVS"</f>
        <v>MAVS</v>
      </c>
      <c r="L598" t="str">
        <f>"MAVS"</f>
        <v>MAVS</v>
      </c>
      <c r="M598">
        <v>0</v>
      </c>
      <c r="N598">
        <v>353670000</v>
      </c>
      <c r="O598">
        <v>269120000</v>
      </c>
      <c r="P598">
        <v>223560000</v>
      </c>
      <c r="Q598">
        <v>0</v>
      </c>
      <c r="R598">
        <v>290010000</v>
      </c>
      <c r="S598">
        <v>340850000</v>
      </c>
      <c r="T598">
        <v>120220000</v>
      </c>
      <c r="U598">
        <v>417190000</v>
      </c>
      <c r="V598">
        <v>239610000</v>
      </c>
      <c r="W598">
        <v>355820000</v>
      </c>
      <c r="X598">
        <v>423220000</v>
      </c>
    </row>
    <row r="599" spans="1:24">
      <c r="A599">
        <v>2352</v>
      </c>
      <c r="B599" t="s">
        <v>1628</v>
      </c>
      <c r="C599">
        <v>5</v>
      </c>
      <c r="D599" t="s">
        <v>1629</v>
      </c>
      <c r="E599">
        <v>27</v>
      </c>
      <c r="F599">
        <v>27</v>
      </c>
      <c r="G599">
        <v>27</v>
      </c>
      <c r="H599" t="s">
        <v>1630</v>
      </c>
      <c r="I599">
        <v>27.1</v>
      </c>
      <c r="J599">
        <v>122.3</v>
      </c>
      <c r="K599" t="str">
        <f>"DAAM1;DAAM2"</f>
        <v>DAAM1;DAAM2</v>
      </c>
      <c r="L599" t="str">
        <f>"DAAM1;DAAM2"</f>
        <v>DAAM1;DAAM2</v>
      </c>
      <c r="M599">
        <v>0</v>
      </c>
      <c r="N599">
        <v>209360000</v>
      </c>
      <c r="O599">
        <v>111090000</v>
      </c>
      <c r="P599">
        <v>116220000</v>
      </c>
      <c r="Q599">
        <v>91760000</v>
      </c>
      <c r="R599">
        <v>149280000</v>
      </c>
      <c r="S599">
        <v>0</v>
      </c>
      <c r="T599">
        <v>0</v>
      </c>
      <c r="U599">
        <v>102740000</v>
      </c>
      <c r="V599">
        <v>0</v>
      </c>
      <c r="W599">
        <v>104270000</v>
      </c>
      <c r="X599">
        <v>213650000</v>
      </c>
    </row>
    <row r="600" spans="1:24">
      <c r="A600">
        <v>2383</v>
      </c>
      <c r="B600" t="s">
        <v>1631</v>
      </c>
      <c r="C600">
        <v>9</v>
      </c>
      <c r="D600" t="s">
        <v>1632</v>
      </c>
      <c r="E600">
        <v>22</v>
      </c>
      <c r="F600">
        <v>22</v>
      </c>
      <c r="G600">
        <v>22</v>
      </c>
      <c r="H600" t="s">
        <v>1633</v>
      </c>
      <c r="I600">
        <v>34</v>
      </c>
      <c r="J600">
        <v>88.025000000000006</v>
      </c>
      <c r="K600" t="str">
        <f>"MRVI1"</f>
        <v>MRVI1</v>
      </c>
      <c r="L600" t="str">
        <f>"MRVI1"</f>
        <v>MRVI1</v>
      </c>
      <c r="M600">
        <v>98539000</v>
      </c>
      <c r="N600">
        <v>187190000</v>
      </c>
      <c r="O600">
        <v>200850000</v>
      </c>
      <c r="P600">
        <v>0</v>
      </c>
      <c r="Q600">
        <v>120070000</v>
      </c>
      <c r="R600">
        <v>155560000</v>
      </c>
      <c r="S600">
        <v>145510000</v>
      </c>
      <c r="T600">
        <v>193790000</v>
      </c>
      <c r="U600">
        <v>96914000</v>
      </c>
      <c r="V600">
        <v>139040000</v>
      </c>
      <c r="W600">
        <v>0</v>
      </c>
      <c r="X600">
        <v>194250000</v>
      </c>
    </row>
    <row r="601" spans="1:24">
      <c r="A601">
        <v>93</v>
      </c>
      <c r="B601" t="s">
        <v>1634</v>
      </c>
      <c r="C601">
        <v>2</v>
      </c>
      <c r="D601" t="s">
        <v>1635</v>
      </c>
      <c r="E601">
        <v>6</v>
      </c>
      <c r="F601">
        <v>6</v>
      </c>
      <c r="G601">
        <v>6</v>
      </c>
      <c r="H601" t="s">
        <v>1636</v>
      </c>
      <c r="I601">
        <v>24.1</v>
      </c>
      <c r="J601">
        <v>34.463000000000001</v>
      </c>
      <c r="K601" t="str">
        <f>"TPP1"</f>
        <v>TPP1</v>
      </c>
      <c r="L601" t="str">
        <f>"TPP1"</f>
        <v>TPP1</v>
      </c>
      <c r="M601">
        <v>230200000</v>
      </c>
      <c r="N601">
        <v>478540000</v>
      </c>
      <c r="O601">
        <v>496330000</v>
      </c>
      <c r="P601">
        <v>259170000</v>
      </c>
      <c r="Q601">
        <v>231080000</v>
      </c>
      <c r="R601">
        <v>842100000</v>
      </c>
      <c r="S601">
        <v>686570000</v>
      </c>
      <c r="T601">
        <v>330950000</v>
      </c>
      <c r="U601">
        <v>546200000</v>
      </c>
      <c r="V601">
        <v>560410000</v>
      </c>
      <c r="W601">
        <v>632830000</v>
      </c>
      <c r="X601">
        <v>619680000</v>
      </c>
    </row>
    <row r="602" spans="1:24">
      <c r="A602">
        <v>1254</v>
      </c>
      <c r="B602" t="s">
        <v>1637</v>
      </c>
      <c r="C602">
        <v>3</v>
      </c>
      <c r="D602" t="s">
        <v>1638</v>
      </c>
      <c r="E602">
        <v>14</v>
      </c>
      <c r="F602">
        <v>14</v>
      </c>
      <c r="G602">
        <v>14</v>
      </c>
      <c r="H602" t="s">
        <v>1639</v>
      </c>
      <c r="I602">
        <v>40.9</v>
      </c>
      <c r="J602">
        <v>48.561999999999998</v>
      </c>
      <c r="K602" t="str">
        <f>"HNRNPK"</f>
        <v>HNRNPK</v>
      </c>
      <c r="L602" t="str">
        <f>"HNRNPK"</f>
        <v>HNRNPK</v>
      </c>
      <c r="M602">
        <v>127040000</v>
      </c>
      <c r="N602">
        <v>165050000</v>
      </c>
      <c r="O602">
        <v>148390000</v>
      </c>
      <c r="P602">
        <v>102040000</v>
      </c>
      <c r="Q602">
        <v>0</v>
      </c>
      <c r="R602">
        <v>208170000</v>
      </c>
      <c r="S602">
        <v>284220000</v>
      </c>
      <c r="T602">
        <v>0</v>
      </c>
      <c r="U602">
        <v>103550000</v>
      </c>
      <c r="V602">
        <v>135030000</v>
      </c>
      <c r="W602">
        <v>145620000</v>
      </c>
      <c r="X602">
        <v>149090000</v>
      </c>
    </row>
    <row r="603" spans="1:24">
      <c r="A603">
        <v>1276</v>
      </c>
      <c r="B603" t="s">
        <v>1640</v>
      </c>
      <c r="C603">
        <v>4</v>
      </c>
      <c r="D603" t="s">
        <v>1641</v>
      </c>
      <c r="E603">
        <v>11</v>
      </c>
      <c r="F603">
        <v>5</v>
      </c>
      <c r="G603">
        <v>3</v>
      </c>
      <c r="H603" t="s">
        <v>1642</v>
      </c>
      <c r="I603">
        <v>31.8</v>
      </c>
      <c r="J603">
        <v>37.331000000000003</v>
      </c>
      <c r="K603" t="str">
        <f>"GNB2;GNB3"</f>
        <v>GNB2;GNB3</v>
      </c>
      <c r="L603" t="str">
        <f>"GNB2;GNB3"</f>
        <v>GNB2;GNB3</v>
      </c>
      <c r="M603">
        <v>197530000</v>
      </c>
      <c r="N603">
        <v>274920000</v>
      </c>
      <c r="O603">
        <v>261460000</v>
      </c>
      <c r="P603">
        <v>161340000</v>
      </c>
      <c r="Q603">
        <v>142900000</v>
      </c>
      <c r="R603">
        <v>270780000</v>
      </c>
      <c r="S603">
        <v>129500000</v>
      </c>
      <c r="T603">
        <v>171300000</v>
      </c>
      <c r="U603">
        <v>234850000</v>
      </c>
      <c r="V603">
        <v>207300000</v>
      </c>
      <c r="W603">
        <v>0</v>
      </c>
      <c r="X603">
        <v>240550000</v>
      </c>
    </row>
    <row r="604" spans="1:24">
      <c r="A604">
        <v>1350</v>
      </c>
      <c r="B604" t="s">
        <v>1643</v>
      </c>
      <c r="C604">
        <v>2</v>
      </c>
      <c r="D604" t="s">
        <v>1644</v>
      </c>
      <c r="E604">
        <v>13</v>
      </c>
      <c r="F604">
        <v>13</v>
      </c>
      <c r="G604">
        <v>13</v>
      </c>
      <c r="H604" t="s">
        <v>1645</v>
      </c>
      <c r="I604">
        <v>20.9</v>
      </c>
      <c r="J604">
        <v>77.451999999999998</v>
      </c>
      <c r="K604" t="str">
        <f>"GUCY1A3"</f>
        <v>GUCY1A3</v>
      </c>
      <c r="L604" t="str">
        <f>"GUCY1A3"</f>
        <v>GUCY1A3</v>
      </c>
      <c r="M604">
        <v>126770000</v>
      </c>
      <c r="N604">
        <v>279490000</v>
      </c>
      <c r="O604">
        <v>179370000</v>
      </c>
      <c r="P604">
        <v>211120000</v>
      </c>
      <c r="Q604">
        <v>0</v>
      </c>
      <c r="R604">
        <v>163330000</v>
      </c>
      <c r="S604">
        <v>117800000</v>
      </c>
      <c r="T604">
        <v>203260000</v>
      </c>
      <c r="U604">
        <v>220970000</v>
      </c>
      <c r="V604">
        <v>154310000</v>
      </c>
      <c r="W604">
        <v>213860000</v>
      </c>
      <c r="X604">
        <v>256550000</v>
      </c>
    </row>
    <row r="605" spans="1:24">
      <c r="A605">
        <v>337</v>
      </c>
      <c r="B605" t="s">
        <v>1646</v>
      </c>
      <c r="C605">
        <v>1</v>
      </c>
      <c r="D605" t="s">
        <v>1647</v>
      </c>
      <c r="E605">
        <v>3</v>
      </c>
      <c r="F605">
        <v>2</v>
      </c>
      <c r="G605">
        <v>1</v>
      </c>
      <c r="H605" t="s">
        <v>1646</v>
      </c>
      <c r="I605">
        <v>43.5</v>
      </c>
      <c r="J605">
        <v>11.788</v>
      </c>
      <c r="K605" t="s">
        <v>1648</v>
      </c>
      <c r="L605" t="s">
        <v>1648</v>
      </c>
      <c r="M605" s="8">
        <v>295000000</v>
      </c>
      <c r="N605">
        <v>118960000</v>
      </c>
      <c r="O605">
        <v>271990000</v>
      </c>
      <c r="P605">
        <v>656260000</v>
      </c>
      <c r="Q605">
        <v>532010000</v>
      </c>
      <c r="R605">
        <v>93792000</v>
      </c>
      <c r="S605">
        <v>193590000</v>
      </c>
      <c r="T605">
        <v>297270000</v>
      </c>
      <c r="U605">
        <v>148260000</v>
      </c>
      <c r="V605">
        <v>247400000</v>
      </c>
      <c r="W605">
        <v>478420000</v>
      </c>
      <c r="X605">
        <v>216020000</v>
      </c>
    </row>
    <row r="606" spans="1:24">
      <c r="A606">
        <v>712</v>
      </c>
      <c r="B606" t="s">
        <v>1649</v>
      </c>
      <c r="C606">
        <v>17</v>
      </c>
      <c r="D606" t="s">
        <v>1650</v>
      </c>
      <c r="E606">
        <v>28</v>
      </c>
      <c r="F606">
        <v>28</v>
      </c>
      <c r="G606">
        <v>28</v>
      </c>
      <c r="H606" t="s">
        <v>1651</v>
      </c>
      <c r="I606">
        <v>26.2</v>
      </c>
      <c r="J606">
        <v>166.48</v>
      </c>
      <c r="K606" t="str">
        <f>"ANK1"</f>
        <v>ANK1</v>
      </c>
      <c r="L606" t="str">
        <f>"ANK1"</f>
        <v>ANK1</v>
      </c>
      <c r="M606">
        <v>0</v>
      </c>
      <c r="N606">
        <v>176040000</v>
      </c>
      <c r="O606">
        <v>154720000</v>
      </c>
      <c r="P606">
        <v>0</v>
      </c>
      <c r="Q606">
        <v>75045000</v>
      </c>
      <c r="R606">
        <v>145640000</v>
      </c>
      <c r="S606">
        <v>0</v>
      </c>
      <c r="T606">
        <v>0</v>
      </c>
      <c r="U606">
        <v>77063000</v>
      </c>
      <c r="V606">
        <v>80738000</v>
      </c>
      <c r="W606">
        <v>101930000</v>
      </c>
      <c r="X606">
        <v>74714000</v>
      </c>
    </row>
    <row r="607" spans="1:24">
      <c r="A607">
        <v>2145</v>
      </c>
      <c r="B607" t="s">
        <v>1652</v>
      </c>
      <c r="C607">
        <v>5</v>
      </c>
      <c r="D607" t="s">
        <v>1653</v>
      </c>
      <c r="E607">
        <v>17</v>
      </c>
      <c r="F607">
        <v>17</v>
      </c>
      <c r="G607">
        <v>17</v>
      </c>
      <c r="H607" t="s">
        <v>1654</v>
      </c>
      <c r="I607">
        <v>36.700000000000003</v>
      </c>
      <c r="J607">
        <v>67.225999999999999</v>
      </c>
      <c r="K607" t="str">
        <f>"XPNPEP1;MANBA"</f>
        <v>XPNPEP1;MANBA</v>
      </c>
      <c r="L607" t="str">
        <f>"XPNPEP1;MANBA"</f>
        <v>XPNPEP1;MANBA</v>
      </c>
      <c r="M607">
        <v>117120000</v>
      </c>
      <c r="N607">
        <v>217790000</v>
      </c>
      <c r="O607">
        <v>210120000</v>
      </c>
      <c r="P607">
        <v>82631000</v>
      </c>
      <c r="Q607">
        <v>106320000</v>
      </c>
      <c r="R607">
        <v>123050000</v>
      </c>
      <c r="S607">
        <v>109440000</v>
      </c>
      <c r="T607">
        <v>142830000</v>
      </c>
      <c r="U607">
        <v>97821000</v>
      </c>
      <c r="V607">
        <v>150990000</v>
      </c>
      <c r="W607">
        <v>119080000</v>
      </c>
      <c r="X607">
        <v>145590000</v>
      </c>
    </row>
    <row r="608" spans="1:24">
      <c r="A608">
        <v>1271</v>
      </c>
      <c r="B608" t="s">
        <v>1655</v>
      </c>
      <c r="C608">
        <v>1</v>
      </c>
      <c r="D608" t="s">
        <v>1656</v>
      </c>
      <c r="E608">
        <v>11</v>
      </c>
      <c r="F608">
        <v>11</v>
      </c>
      <c r="G608">
        <v>11</v>
      </c>
      <c r="H608" t="s">
        <v>1655</v>
      </c>
      <c r="I608">
        <v>54.4</v>
      </c>
      <c r="J608">
        <v>11.367000000000001</v>
      </c>
      <c r="K608" t="str">
        <f>"HIST1H4A"</f>
        <v>HIST1H4A</v>
      </c>
      <c r="L608" t="str">
        <f>"HIST1H4A"</f>
        <v>HIST1H4A</v>
      </c>
      <c r="M608">
        <v>0</v>
      </c>
      <c r="N608">
        <v>0</v>
      </c>
      <c r="O608">
        <v>0</v>
      </c>
      <c r="P608">
        <v>0</v>
      </c>
      <c r="Q608">
        <v>0</v>
      </c>
      <c r="R608" s="8">
        <v>3291000000</v>
      </c>
      <c r="S608">
        <v>419840000</v>
      </c>
      <c r="T608">
        <v>0</v>
      </c>
      <c r="U608" s="8">
        <v>1117000000</v>
      </c>
      <c r="V608">
        <v>0</v>
      </c>
      <c r="W608">
        <v>0</v>
      </c>
      <c r="X608">
        <v>0</v>
      </c>
    </row>
    <row r="609" spans="1:24">
      <c r="A609">
        <v>1535</v>
      </c>
      <c r="B609" t="s">
        <v>1657</v>
      </c>
      <c r="C609">
        <v>3</v>
      </c>
      <c r="D609" t="s">
        <v>1658</v>
      </c>
      <c r="E609">
        <v>16</v>
      </c>
      <c r="F609">
        <v>16</v>
      </c>
      <c r="G609">
        <v>16</v>
      </c>
      <c r="H609" t="s">
        <v>1659</v>
      </c>
      <c r="I609">
        <v>33.200000000000003</v>
      </c>
      <c r="J609">
        <v>74.667000000000002</v>
      </c>
      <c r="K609" t="str">
        <f>"ACOX1"</f>
        <v>ACOX1</v>
      </c>
      <c r="L609" t="str">
        <f>"ACOX1"</f>
        <v>ACOX1</v>
      </c>
      <c r="M609">
        <v>143830000</v>
      </c>
      <c r="N609">
        <v>154870000</v>
      </c>
      <c r="O609">
        <v>128620000</v>
      </c>
      <c r="P609">
        <v>81150000</v>
      </c>
      <c r="Q609">
        <v>134430000</v>
      </c>
      <c r="R609">
        <v>137780000</v>
      </c>
      <c r="S609">
        <v>125940000</v>
      </c>
      <c r="T609">
        <v>98883000</v>
      </c>
      <c r="U609">
        <v>148100000</v>
      </c>
      <c r="V609">
        <v>149430000</v>
      </c>
      <c r="W609">
        <v>94590000</v>
      </c>
      <c r="X609">
        <v>158520000</v>
      </c>
    </row>
    <row r="610" spans="1:24">
      <c r="A610">
        <v>1615</v>
      </c>
      <c r="B610" t="s">
        <v>1660</v>
      </c>
      <c r="C610">
        <v>2</v>
      </c>
      <c r="D610" t="s">
        <v>1661</v>
      </c>
      <c r="E610">
        <v>10</v>
      </c>
      <c r="F610">
        <v>10</v>
      </c>
      <c r="G610">
        <v>10</v>
      </c>
      <c r="H610" t="s">
        <v>1662</v>
      </c>
      <c r="I610">
        <v>21.4</v>
      </c>
      <c r="J610">
        <v>58.945999999999998</v>
      </c>
      <c r="K610" t="str">
        <f>"DAK"</f>
        <v>DAK</v>
      </c>
      <c r="L610" t="str">
        <f>"TKFC"</f>
        <v>TKFC</v>
      </c>
      <c r="M610">
        <v>152050000</v>
      </c>
      <c r="N610">
        <v>121320000</v>
      </c>
      <c r="O610">
        <v>96194000</v>
      </c>
      <c r="P610">
        <v>101520000</v>
      </c>
      <c r="Q610">
        <v>96600000</v>
      </c>
      <c r="R610">
        <v>186720000</v>
      </c>
      <c r="S610">
        <v>183540000</v>
      </c>
      <c r="T610">
        <v>160720000</v>
      </c>
      <c r="U610">
        <v>66031000</v>
      </c>
      <c r="V610">
        <v>197570000</v>
      </c>
      <c r="W610">
        <v>90580000</v>
      </c>
      <c r="X610">
        <v>134200000</v>
      </c>
    </row>
    <row r="611" spans="1:24">
      <c r="A611">
        <v>2231</v>
      </c>
      <c r="B611" t="s">
        <v>1663</v>
      </c>
      <c r="C611">
        <v>2</v>
      </c>
      <c r="D611" t="s">
        <v>1664</v>
      </c>
      <c r="E611">
        <v>10</v>
      </c>
      <c r="F611">
        <v>10</v>
      </c>
      <c r="G611">
        <v>10</v>
      </c>
      <c r="H611" t="s">
        <v>1665</v>
      </c>
      <c r="I611">
        <v>49.4</v>
      </c>
      <c r="J611">
        <v>35.667999999999999</v>
      </c>
      <c r="K611" t="str">
        <f>"GRHPR"</f>
        <v>GRHPR</v>
      </c>
      <c r="L611" t="str">
        <f>"GRHPR"</f>
        <v>GRHPR</v>
      </c>
      <c r="M611">
        <v>0</v>
      </c>
      <c r="N611">
        <v>182280000</v>
      </c>
      <c r="O611">
        <v>186260000</v>
      </c>
      <c r="P611">
        <v>181120000</v>
      </c>
      <c r="Q611">
        <v>124100000</v>
      </c>
      <c r="R611">
        <v>216610000</v>
      </c>
      <c r="S611">
        <v>417120000</v>
      </c>
      <c r="T611">
        <v>238200000</v>
      </c>
      <c r="U611">
        <v>183060000</v>
      </c>
      <c r="V611">
        <v>226560000</v>
      </c>
      <c r="W611">
        <v>290530000</v>
      </c>
      <c r="X611">
        <v>236330000</v>
      </c>
    </row>
    <row r="612" spans="1:24">
      <c r="A612">
        <v>1110</v>
      </c>
      <c r="B612" t="s">
        <v>1666</v>
      </c>
      <c r="C612">
        <v>3</v>
      </c>
      <c r="D612" t="s">
        <v>1667</v>
      </c>
      <c r="E612">
        <v>17</v>
      </c>
      <c r="F612">
        <v>7</v>
      </c>
      <c r="G612">
        <v>7</v>
      </c>
      <c r="H612" t="s">
        <v>1668</v>
      </c>
      <c r="I612">
        <v>57.3</v>
      </c>
      <c r="J612">
        <v>34.164999999999999</v>
      </c>
      <c r="K612" t="str">
        <f>"SULT1A1;SULT1A2"</f>
        <v>SULT1A1;SULT1A2</v>
      </c>
      <c r="L612" t="str">
        <f>"SULT1A1;SULT1A2"</f>
        <v>SULT1A1;SULT1A2</v>
      </c>
      <c r="M612">
        <v>0</v>
      </c>
      <c r="N612">
        <v>165670000</v>
      </c>
      <c r="O612">
        <v>123290000</v>
      </c>
      <c r="P612">
        <v>0</v>
      </c>
      <c r="Q612">
        <v>139160000</v>
      </c>
      <c r="R612">
        <v>143840000</v>
      </c>
      <c r="S612">
        <v>449350000</v>
      </c>
      <c r="T612">
        <v>142780000</v>
      </c>
      <c r="U612">
        <v>204060000</v>
      </c>
      <c r="V612">
        <v>156940000</v>
      </c>
      <c r="W612">
        <v>171420000</v>
      </c>
      <c r="X612">
        <v>172970000</v>
      </c>
    </row>
    <row r="613" spans="1:24">
      <c r="A613">
        <v>1432</v>
      </c>
      <c r="B613" t="s">
        <v>1669</v>
      </c>
      <c r="C613">
        <v>7</v>
      </c>
      <c r="D613" t="s">
        <v>1670</v>
      </c>
      <c r="E613">
        <v>12</v>
      </c>
      <c r="F613">
        <v>12</v>
      </c>
      <c r="G613">
        <v>12</v>
      </c>
      <c r="H613" t="s">
        <v>1671</v>
      </c>
      <c r="I613">
        <v>38</v>
      </c>
      <c r="J613">
        <v>58.042000000000002</v>
      </c>
      <c r="K613" t="str">
        <f>"PAK2;PAK3;PAK1"</f>
        <v>PAK2;PAK3;PAK1</v>
      </c>
      <c r="L613" t="str">
        <f>"PAK2;PAK3;PAK1"</f>
        <v>PAK2;PAK3;PAK1</v>
      </c>
      <c r="M613">
        <v>0</v>
      </c>
      <c r="N613">
        <v>152300000</v>
      </c>
      <c r="O613">
        <v>183350000</v>
      </c>
      <c r="P613">
        <v>133980000</v>
      </c>
      <c r="Q613">
        <v>130010000</v>
      </c>
      <c r="R613">
        <v>147230000</v>
      </c>
      <c r="S613">
        <v>162080000</v>
      </c>
      <c r="T613">
        <v>144270000</v>
      </c>
      <c r="U613">
        <v>229570000</v>
      </c>
      <c r="V613">
        <v>107100000</v>
      </c>
      <c r="W613">
        <v>263860000</v>
      </c>
      <c r="X613">
        <v>201330000</v>
      </c>
    </row>
    <row r="614" spans="1:24">
      <c r="A614">
        <v>1696</v>
      </c>
      <c r="B614" t="s">
        <v>1672</v>
      </c>
      <c r="C614">
        <v>3</v>
      </c>
      <c r="D614" t="s">
        <v>1673</v>
      </c>
      <c r="E614">
        <v>12</v>
      </c>
      <c r="F614">
        <v>12</v>
      </c>
      <c r="G614">
        <v>12</v>
      </c>
      <c r="H614" t="s">
        <v>1674</v>
      </c>
      <c r="I614">
        <v>22.7</v>
      </c>
      <c r="J614">
        <v>57.578000000000003</v>
      </c>
      <c r="K614" t="str">
        <f>"NAPRT"</f>
        <v>NAPRT</v>
      </c>
      <c r="L614" t="str">
        <f>"NAPRT"</f>
        <v>NAPRT</v>
      </c>
      <c r="M614">
        <v>0</v>
      </c>
      <c r="N614" s="8">
        <v>109000000</v>
      </c>
      <c r="O614">
        <v>107750000</v>
      </c>
      <c r="P614">
        <v>75231000</v>
      </c>
      <c r="Q614">
        <v>0</v>
      </c>
      <c r="R614">
        <v>78575000</v>
      </c>
      <c r="S614">
        <v>0</v>
      </c>
      <c r="T614">
        <v>63727000</v>
      </c>
      <c r="U614">
        <v>122180000</v>
      </c>
      <c r="V614">
        <v>146870000</v>
      </c>
      <c r="W614">
        <v>0</v>
      </c>
      <c r="X614">
        <v>116300000</v>
      </c>
    </row>
    <row r="615" spans="1:24">
      <c r="A615">
        <v>1846</v>
      </c>
      <c r="B615" t="s">
        <v>1675</v>
      </c>
      <c r="C615">
        <v>3</v>
      </c>
      <c r="D615" t="s">
        <v>1676</v>
      </c>
      <c r="E615">
        <v>15</v>
      </c>
      <c r="F615">
        <v>15</v>
      </c>
      <c r="G615">
        <v>15</v>
      </c>
      <c r="H615" t="s">
        <v>1677</v>
      </c>
      <c r="I615">
        <v>32.1</v>
      </c>
      <c r="J615">
        <v>72.379000000000005</v>
      </c>
      <c r="K615" t="str">
        <f>"SCFD1"</f>
        <v>SCFD1</v>
      </c>
      <c r="L615" t="str">
        <f>"SCFD1"</f>
        <v>SCFD1</v>
      </c>
      <c r="M615">
        <v>176820000</v>
      </c>
      <c r="N615">
        <v>0</v>
      </c>
      <c r="O615">
        <v>148370000</v>
      </c>
      <c r="P615">
        <v>118610000</v>
      </c>
      <c r="Q615">
        <v>0</v>
      </c>
      <c r="R615">
        <v>84997000</v>
      </c>
      <c r="S615">
        <v>310670000</v>
      </c>
      <c r="T615">
        <v>110010000</v>
      </c>
      <c r="U615">
        <v>145590000</v>
      </c>
      <c r="V615">
        <v>108800000</v>
      </c>
      <c r="W615">
        <v>0</v>
      </c>
      <c r="X615">
        <v>119750000</v>
      </c>
    </row>
    <row r="616" spans="1:24">
      <c r="A616">
        <v>621</v>
      </c>
      <c r="B616" t="s">
        <v>1678</v>
      </c>
      <c r="C616">
        <v>1</v>
      </c>
      <c r="D616" t="s">
        <v>1679</v>
      </c>
      <c r="E616">
        <v>9</v>
      </c>
      <c r="F616">
        <v>9</v>
      </c>
      <c r="G616">
        <v>9</v>
      </c>
      <c r="H616" t="s">
        <v>1678</v>
      </c>
      <c r="I616">
        <v>38.299999999999997</v>
      </c>
      <c r="J616">
        <v>31.462</v>
      </c>
      <c r="K616" t="str">
        <f>"ESD"</f>
        <v>ESD</v>
      </c>
      <c r="L616" t="str">
        <f>"ESD"</f>
        <v>ESD</v>
      </c>
      <c r="M616">
        <v>136790000</v>
      </c>
      <c r="N616">
        <v>153720000</v>
      </c>
      <c r="O616">
        <v>207700000</v>
      </c>
      <c r="P616">
        <v>202830000</v>
      </c>
      <c r="Q616">
        <v>165860000</v>
      </c>
      <c r="R616">
        <v>198450000</v>
      </c>
      <c r="S616">
        <v>199270000</v>
      </c>
      <c r="T616">
        <v>0</v>
      </c>
      <c r="U616">
        <v>154380000</v>
      </c>
      <c r="V616">
        <v>203760000</v>
      </c>
      <c r="W616">
        <v>285370000</v>
      </c>
      <c r="X616">
        <v>167080000</v>
      </c>
    </row>
    <row r="617" spans="1:24">
      <c r="A617">
        <v>826</v>
      </c>
      <c r="B617" t="s">
        <v>1680</v>
      </c>
      <c r="C617">
        <v>2</v>
      </c>
      <c r="D617" t="s">
        <v>1681</v>
      </c>
      <c r="E617">
        <v>12</v>
      </c>
      <c r="F617">
        <v>12</v>
      </c>
      <c r="G617">
        <v>12</v>
      </c>
      <c r="H617" t="s">
        <v>1682</v>
      </c>
      <c r="I617">
        <v>50.2</v>
      </c>
      <c r="J617">
        <v>29.555</v>
      </c>
      <c r="K617" t="str">
        <f>"PSMA1"</f>
        <v>PSMA1</v>
      </c>
      <c r="L617" t="str">
        <f>"PSMA1"</f>
        <v>PSMA1</v>
      </c>
      <c r="M617">
        <v>0</v>
      </c>
      <c r="N617">
        <v>265580000</v>
      </c>
      <c r="O617">
        <v>339050000</v>
      </c>
      <c r="P617">
        <v>0</v>
      </c>
      <c r="Q617">
        <v>249680000</v>
      </c>
      <c r="R617">
        <v>436570000</v>
      </c>
      <c r="S617">
        <v>366410000</v>
      </c>
      <c r="T617">
        <v>374120000</v>
      </c>
      <c r="U617">
        <v>583650000</v>
      </c>
      <c r="V617">
        <v>400850000</v>
      </c>
      <c r="W617">
        <v>508540000</v>
      </c>
      <c r="X617">
        <v>472340000</v>
      </c>
    </row>
    <row r="618" spans="1:24">
      <c r="A618">
        <v>1143</v>
      </c>
      <c r="B618" t="s">
        <v>1683</v>
      </c>
      <c r="C618">
        <v>2</v>
      </c>
      <c r="D618" t="s">
        <v>1684</v>
      </c>
      <c r="E618">
        <v>10</v>
      </c>
      <c r="F618">
        <v>10</v>
      </c>
      <c r="G618">
        <v>10</v>
      </c>
      <c r="H618" t="s">
        <v>1685</v>
      </c>
      <c r="I618">
        <v>33.4</v>
      </c>
      <c r="J618">
        <v>38.429000000000002</v>
      </c>
      <c r="K618" t="str">
        <f>"LUM"</f>
        <v>LUM</v>
      </c>
      <c r="L618" t="str">
        <f>"LUM"</f>
        <v>LUM</v>
      </c>
      <c r="M618">
        <v>257390000</v>
      </c>
      <c r="N618">
        <v>0</v>
      </c>
      <c r="O618">
        <v>0</v>
      </c>
      <c r="P618">
        <v>640280000</v>
      </c>
      <c r="Q618">
        <v>706100000</v>
      </c>
      <c r="R618">
        <v>330210000</v>
      </c>
      <c r="S618">
        <v>346320000</v>
      </c>
      <c r="T618">
        <v>467410000</v>
      </c>
      <c r="U618">
        <v>0</v>
      </c>
      <c r="V618">
        <v>824050000</v>
      </c>
      <c r="W618">
        <v>0</v>
      </c>
      <c r="X618">
        <v>0</v>
      </c>
    </row>
    <row r="619" spans="1:24">
      <c r="A619">
        <v>2226</v>
      </c>
      <c r="B619" t="s">
        <v>1686</v>
      </c>
      <c r="C619">
        <v>4</v>
      </c>
      <c r="D619" t="s">
        <v>1687</v>
      </c>
      <c r="E619">
        <v>16</v>
      </c>
      <c r="F619">
        <v>16</v>
      </c>
      <c r="G619">
        <v>16</v>
      </c>
      <c r="H619" t="s">
        <v>1688</v>
      </c>
      <c r="I619">
        <v>24.8</v>
      </c>
      <c r="J619">
        <v>83.247</v>
      </c>
      <c r="K619" t="str">
        <f>"EPS15L1"</f>
        <v>EPS15L1</v>
      </c>
      <c r="L619" t="str">
        <f>"EPS15L1"</f>
        <v>EPS15L1</v>
      </c>
      <c r="M619">
        <v>0</v>
      </c>
      <c r="N619">
        <v>74434000</v>
      </c>
      <c r="O619">
        <v>81630000</v>
      </c>
      <c r="P619">
        <v>86993000</v>
      </c>
      <c r="Q619">
        <v>70463000</v>
      </c>
      <c r="R619">
        <v>85582000</v>
      </c>
      <c r="S619">
        <v>91456000</v>
      </c>
      <c r="T619">
        <v>0</v>
      </c>
      <c r="U619">
        <v>91566000</v>
      </c>
      <c r="V619">
        <v>77001000</v>
      </c>
      <c r="W619">
        <v>107850000</v>
      </c>
      <c r="X619">
        <v>130650000</v>
      </c>
    </row>
    <row r="620" spans="1:24">
      <c r="A620">
        <v>1420</v>
      </c>
      <c r="B620" t="s">
        <v>1689</v>
      </c>
      <c r="C620">
        <v>2</v>
      </c>
      <c r="D620" t="s">
        <v>1690</v>
      </c>
      <c r="E620">
        <v>11</v>
      </c>
      <c r="F620">
        <v>11</v>
      </c>
      <c r="G620">
        <v>7</v>
      </c>
      <c r="H620" t="s">
        <v>1691</v>
      </c>
      <c r="I620">
        <v>28.7</v>
      </c>
      <c r="J620">
        <v>55.63</v>
      </c>
      <c r="K620" t="str">
        <f>"STK4"</f>
        <v>STK4</v>
      </c>
      <c r="L620" t="str">
        <f>"STK4"</f>
        <v>STK4</v>
      </c>
      <c r="M620">
        <v>107380000</v>
      </c>
      <c r="N620">
        <v>234600000</v>
      </c>
      <c r="O620">
        <v>204730000</v>
      </c>
      <c r="P620">
        <v>154630000</v>
      </c>
      <c r="Q620">
        <v>0</v>
      </c>
      <c r="R620">
        <v>219360000</v>
      </c>
      <c r="S620">
        <v>163020000</v>
      </c>
      <c r="T620">
        <v>142470000</v>
      </c>
      <c r="U620">
        <v>217520000</v>
      </c>
      <c r="V620">
        <v>184280000</v>
      </c>
      <c r="W620">
        <v>176250000</v>
      </c>
      <c r="X620">
        <v>238010000</v>
      </c>
    </row>
    <row r="621" spans="1:24">
      <c r="A621">
        <v>641</v>
      </c>
      <c r="B621" t="s">
        <v>1692</v>
      </c>
      <c r="C621">
        <v>1</v>
      </c>
      <c r="D621" t="s">
        <v>1693</v>
      </c>
      <c r="E621">
        <v>18</v>
      </c>
      <c r="F621">
        <v>18</v>
      </c>
      <c r="G621">
        <v>18</v>
      </c>
      <c r="H621" t="s">
        <v>1692</v>
      </c>
      <c r="I621">
        <v>22.5</v>
      </c>
      <c r="J621">
        <v>101.56</v>
      </c>
      <c r="K621" t="str">
        <f>"MTHFD1"</f>
        <v>MTHFD1</v>
      </c>
      <c r="L621" t="str">
        <f>"MTHFD1"</f>
        <v>MTHFD1</v>
      </c>
      <c r="M621">
        <v>0</v>
      </c>
      <c r="N621">
        <v>333900000</v>
      </c>
      <c r="O621">
        <v>279450000</v>
      </c>
      <c r="P621">
        <v>214520000</v>
      </c>
      <c r="Q621">
        <v>0</v>
      </c>
      <c r="R621">
        <v>240690000</v>
      </c>
      <c r="S621">
        <v>0</v>
      </c>
      <c r="T621">
        <v>0</v>
      </c>
      <c r="U621">
        <v>402950000</v>
      </c>
      <c r="V621">
        <v>273980000</v>
      </c>
      <c r="W621">
        <v>216690000</v>
      </c>
      <c r="X621">
        <v>179490000</v>
      </c>
    </row>
    <row r="622" spans="1:24">
      <c r="A622">
        <v>721</v>
      </c>
      <c r="B622" t="s">
        <v>1694</v>
      </c>
      <c r="C622">
        <v>1</v>
      </c>
      <c r="D622" t="s">
        <v>1695</v>
      </c>
      <c r="E622">
        <v>20</v>
      </c>
      <c r="F622">
        <v>20</v>
      </c>
      <c r="G622">
        <v>20</v>
      </c>
      <c r="H622" t="s">
        <v>1694</v>
      </c>
      <c r="I622">
        <v>21.2</v>
      </c>
      <c r="J622">
        <v>147.87</v>
      </c>
      <c r="K622" t="str">
        <f>"PLCG2"</f>
        <v>PLCG2</v>
      </c>
      <c r="L622" t="str">
        <f>"PLCG2"</f>
        <v>PLCG2</v>
      </c>
      <c r="M622">
        <v>0</v>
      </c>
      <c r="N622">
        <v>190180000</v>
      </c>
      <c r="O622">
        <v>141420000</v>
      </c>
      <c r="P622">
        <v>72460000</v>
      </c>
      <c r="Q622">
        <v>0</v>
      </c>
      <c r="R622">
        <v>133260000</v>
      </c>
      <c r="S622">
        <v>213130000</v>
      </c>
      <c r="T622">
        <v>0</v>
      </c>
      <c r="U622">
        <v>189580000</v>
      </c>
      <c r="V622">
        <v>110040000</v>
      </c>
      <c r="W622">
        <v>151110000</v>
      </c>
      <c r="X622">
        <v>196330000</v>
      </c>
    </row>
    <row r="623" spans="1:24">
      <c r="A623">
        <v>952</v>
      </c>
      <c r="B623" t="s">
        <v>1696</v>
      </c>
      <c r="C623">
        <v>2</v>
      </c>
      <c r="D623" t="s">
        <v>1697</v>
      </c>
      <c r="E623">
        <v>12</v>
      </c>
      <c r="F623">
        <v>12</v>
      </c>
      <c r="G623">
        <v>12</v>
      </c>
      <c r="H623" t="s">
        <v>1698</v>
      </c>
      <c r="I623">
        <v>52.9</v>
      </c>
      <c r="J623">
        <v>29.803999999999998</v>
      </c>
      <c r="K623" t="str">
        <f>"PHB"</f>
        <v>PHB</v>
      </c>
      <c r="L623" t="str">
        <f>"PHB"</f>
        <v>PHB</v>
      </c>
      <c r="M623">
        <v>462200000</v>
      </c>
      <c r="N623">
        <v>218440000</v>
      </c>
      <c r="O623">
        <v>178330000</v>
      </c>
      <c r="P623">
        <v>235640000</v>
      </c>
      <c r="Q623">
        <v>0</v>
      </c>
      <c r="R623">
        <v>590920000</v>
      </c>
      <c r="S623">
        <v>505060000</v>
      </c>
      <c r="T623">
        <v>0</v>
      </c>
      <c r="U623">
        <v>395600000</v>
      </c>
      <c r="V623">
        <v>431310000</v>
      </c>
      <c r="W623">
        <v>369900000</v>
      </c>
      <c r="X623">
        <v>463580000</v>
      </c>
    </row>
    <row r="624" spans="1:24">
      <c r="A624">
        <v>1893</v>
      </c>
      <c r="B624" t="s">
        <v>1699</v>
      </c>
      <c r="C624">
        <v>1</v>
      </c>
      <c r="D624" t="s">
        <v>1700</v>
      </c>
      <c r="E624">
        <v>9</v>
      </c>
      <c r="F624">
        <v>9</v>
      </c>
      <c r="G624">
        <v>9</v>
      </c>
      <c r="H624" t="s">
        <v>1699</v>
      </c>
      <c r="I624">
        <v>22.5</v>
      </c>
      <c r="J624">
        <v>65.745999999999995</v>
      </c>
      <c r="K624" t="str">
        <f>"LPP"</f>
        <v>LPP</v>
      </c>
      <c r="L624" t="str">
        <f>"LPP"</f>
        <v>LPP</v>
      </c>
      <c r="M624">
        <v>0</v>
      </c>
      <c r="N624">
        <v>152340000</v>
      </c>
      <c r="O624">
        <v>130800000</v>
      </c>
      <c r="P624">
        <v>104580000</v>
      </c>
      <c r="Q624">
        <v>0</v>
      </c>
      <c r="R624">
        <v>130710000</v>
      </c>
      <c r="S624">
        <v>106610000</v>
      </c>
      <c r="T624">
        <v>98771000</v>
      </c>
      <c r="U624">
        <v>112070000</v>
      </c>
      <c r="V624">
        <v>133060000</v>
      </c>
      <c r="W624">
        <v>161100000</v>
      </c>
      <c r="X624">
        <v>98059000</v>
      </c>
    </row>
    <row r="625" spans="1:24">
      <c r="A625">
        <v>2253</v>
      </c>
      <c r="B625" t="s">
        <v>1701</v>
      </c>
      <c r="C625">
        <v>1</v>
      </c>
      <c r="D625" t="s">
        <v>1702</v>
      </c>
      <c r="E625">
        <v>11</v>
      </c>
      <c r="F625">
        <v>11</v>
      </c>
      <c r="G625">
        <v>11</v>
      </c>
      <c r="H625" t="s">
        <v>1701</v>
      </c>
      <c r="I625">
        <v>38</v>
      </c>
      <c r="J625">
        <v>34.094000000000001</v>
      </c>
      <c r="K625" t="str">
        <f>"CYB5R1"</f>
        <v>CYB5R1</v>
      </c>
      <c r="L625" t="str">
        <f>"CYB5R1"</f>
        <v>CYB5R1</v>
      </c>
      <c r="M625">
        <v>178910000</v>
      </c>
      <c r="N625">
        <v>237210000</v>
      </c>
      <c r="O625">
        <v>169240000</v>
      </c>
      <c r="P625">
        <v>76534000</v>
      </c>
      <c r="Q625">
        <v>0</v>
      </c>
      <c r="R625">
        <v>215260000</v>
      </c>
      <c r="S625">
        <v>236450000</v>
      </c>
      <c r="T625">
        <v>269650000</v>
      </c>
      <c r="U625">
        <v>177580000</v>
      </c>
      <c r="V625">
        <v>179290000</v>
      </c>
      <c r="W625">
        <v>214140000</v>
      </c>
      <c r="X625">
        <v>169110000</v>
      </c>
    </row>
    <row r="626" spans="1:24">
      <c r="A626">
        <v>173</v>
      </c>
      <c r="B626" t="s">
        <v>1703</v>
      </c>
      <c r="C626">
        <v>15</v>
      </c>
      <c r="D626" t="s">
        <v>1704</v>
      </c>
      <c r="E626">
        <v>12</v>
      </c>
      <c r="F626">
        <v>12</v>
      </c>
      <c r="G626">
        <v>12</v>
      </c>
      <c r="H626" t="s">
        <v>1705</v>
      </c>
      <c r="I626">
        <v>47.9</v>
      </c>
      <c r="J626">
        <v>37.106000000000002</v>
      </c>
      <c r="K626" t="str">
        <f>"CALU"</f>
        <v>CALU</v>
      </c>
      <c r="L626" t="str">
        <f>"CALU"</f>
        <v>CALU</v>
      </c>
      <c r="M626">
        <v>147280000</v>
      </c>
      <c r="N626">
        <v>163940000</v>
      </c>
      <c r="O626">
        <v>138150000</v>
      </c>
      <c r="P626">
        <v>143130000</v>
      </c>
      <c r="Q626">
        <v>180880000</v>
      </c>
      <c r="R626">
        <v>134170000</v>
      </c>
      <c r="S626">
        <v>136540000</v>
      </c>
      <c r="T626">
        <v>117160000</v>
      </c>
      <c r="U626">
        <v>181120000</v>
      </c>
      <c r="V626">
        <v>193260000</v>
      </c>
      <c r="W626">
        <v>97282000</v>
      </c>
      <c r="X626">
        <v>170150000</v>
      </c>
    </row>
    <row r="627" spans="1:24">
      <c r="A627">
        <v>282</v>
      </c>
      <c r="B627" t="s">
        <v>1706</v>
      </c>
      <c r="C627">
        <v>6</v>
      </c>
      <c r="D627" t="s">
        <v>1707</v>
      </c>
      <c r="E627">
        <v>11</v>
      </c>
      <c r="F627">
        <v>11</v>
      </c>
      <c r="G627">
        <v>11</v>
      </c>
      <c r="H627" t="s">
        <v>1708</v>
      </c>
      <c r="I627">
        <v>24</v>
      </c>
      <c r="J627">
        <v>66.293999999999997</v>
      </c>
      <c r="K627" t="str">
        <f>"AIFM1"</f>
        <v>AIFM1</v>
      </c>
      <c r="L627" t="str">
        <f>"AIFM1"</f>
        <v>AIFM1</v>
      </c>
      <c r="M627">
        <v>0</v>
      </c>
      <c r="N627">
        <v>183400000</v>
      </c>
      <c r="O627">
        <v>168070000</v>
      </c>
      <c r="P627">
        <v>118170000</v>
      </c>
      <c r="Q627">
        <v>167580000</v>
      </c>
      <c r="R627">
        <v>85186000</v>
      </c>
      <c r="S627">
        <v>380220000</v>
      </c>
      <c r="T627">
        <v>103880000</v>
      </c>
      <c r="U627">
        <v>0</v>
      </c>
      <c r="V627">
        <v>144670000</v>
      </c>
      <c r="W627">
        <v>297510000</v>
      </c>
      <c r="X627">
        <v>270640000</v>
      </c>
    </row>
    <row r="628" spans="1:24">
      <c r="A628">
        <v>774</v>
      </c>
      <c r="B628" t="s">
        <v>1709</v>
      </c>
      <c r="C628">
        <v>1</v>
      </c>
      <c r="D628" t="s">
        <v>1710</v>
      </c>
      <c r="E628">
        <v>16</v>
      </c>
      <c r="F628">
        <v>16</v>
      </c>
      <c r="G628">
        <v>16</v>
      </c>
      <c r="H628" t="s">
        <v>1709</v>
      </c>
      <c r="I628">
        <v>24.4</v>
      </c>
      <c r="J628">
        <v>98.397999999999996</v>
      </c>
      <c r="K628" t="str">
        <f>"ACO1"</f>
        <v>ACO1</v>
      </c>
      <c r="L628" t="str">
        <f>"ACO1"</f>
        <v>ACO1</v>
      </c>
      <c r="M628">
        <v>63828000</v>
      </c>
      <c r="N628">
        <v>110200000</v>
      </c>
      <c r="O628">
        <v>79207000</v>
      </c>
      <c r="P628">
        <v>72843000</v>
      </c>
      <c r="Q628">
        <v>99679000</v>
      </c>
      <c r="R628">
        <v>82281000</v>
      </c>
      <c r="S628">
        <v>92276000</v>
      </c>
      <c r="T628">
        <v>92544000</v>
      </c>
      <c r="U628">
        <v>90232000</v>
      </c>
      <c r="V628">
        <v>126390000</v>
      </c>
      <c r="W628">
        <v>0</v>
      </c>
      <c r="X628">
        <v>110180000</v>
      </c>
    </row>
    <row r="629" spans="1:24">
      <c r="A629">
        <v>816</v>
      </c>
      <c r="B629" t="s">
        <v>1711</v>
      </c>
      <c r="C629">
        <v>1</v>
      </c>
      <c r="D629" t="s">
        <v>1712</v>
      </c>
      <c r="E629">
        <v>12</v>
      </c>
      <c r="F629">
        <v>12</v>
      </c>
      <c r="G629">
        <v>12</v>
      </c>
      <c r="H629" t="s">
        <v>1711</v>
      </c>
      <c r="I629">
        <v>37.9</v>
      </c>
      <c r="J629">
        <v>28.908000000000001</v>
      </c>
      <c r="K629" t="str">
        <f>"ATP5F1"</f>
        <v>ATP5F1</v>
      </c>
      <c r="L629" t="str">
        <f>"ATP5F1"</f>
        <v>ATP5F1</v>
      </c>
      <c r="M629">
        <v>168630000</v>
      </c>
      <c r="N629">
        <v>0</v>
      </c>
      <c r="O629">
        <v>95587000</v>
      </c>
      <c r="P629">
        <v>266250000</v>
      </c>
      <c r="Q629">
        <v>88849000</v>
      </c>
      <c r="R629">
        <v>288830000</v>
      </c>
      <c r="S629">
        <v>198850000</v>
      </c>
      <c r="T629">
        <v>162760000</v>
      </c>
      <c r="U629">
        <v>0</v>
      </c>
      <c r="V629">
        <v>175320000</v>
      </c>
      <c r="W629">
        <v>93419000</v>
      </c>
      <c r="X629">
        <v>110020000</v>
      </c>
    </row>
    <row r="630" spans="1:24">
      <c r="A630">
        <v>2093</v>
      </c>
      <c r="B630" t="s">
        <v>1713</v>
      </c>
      <c r="C630">
        <v>1</v>
      </c>
      <c r="D630" t="s">
        <v>1714</v>
      </c>
      <c r="E630">
        <v>7</v>
      </c>
      <c r="F630">
        <v>7</v>
      </c>
      <c r="G630">
        <v>7</v>
      </c>
      <c r="H630" t="s">
        <v>1713</v>
      </c>
      <c r="I630">
        <v>28.6</v>
      </c>
      <c r="J630">
        <v>31.791</v>
      </c>
      <c r="K630" t="str">
        <f>"TMX1"</f>
        <v>TMX1</v>
      </c>
      <c r="L630" t="str">
        <f>"TMX1"</f>
        <v>TMX1</v>
      </c>
      <c r="M630">
        <v>165010000</v>
      </c>
      <c r="N630">
        <v>191580000</v>
      </c>
      <c r="O630">
        <v>164680000</v>
      </c>
      <c r="P630">
        <v>142400000</v>
      </c>
      <c r="Q630">
        <v>119460000</v>
      </c>
      <c r="R630">
        <v>208980000</v>
      </c>
      <c r="S630">
        <v>189220000</v>
      </c>
      <c r="T630">
        <v>87008000</v>
      </c>
      <c r="U630">
        <v>205420000</v>
      </c>
      <c r="V630">
        <v>131460000</v>
      </c>
      <c r="W630">
        <v>245070000</v>
      </c>
      <c r="X630">
        <v>248080000</v>
      </c>
    </row>
    <row r="631" spans="1:24">
      <c r="A631">
        <v>2346</v>
      </c>
      <c r="B631" t="s">
        <v>1715</v>
      </c>
      <c r="C631">
        <v>2</v>
      </c>
      <c r="D631" t="s">
        <v>1716</v>
      </c>
      <c r="E631">
        <v>12</v>
      </c>
      <c r="F631">
        <v>12</v>
      </c>
      <c r="G631">
        <v>12</v>
      </c>
      <c r="H631" t="s">
        <v>1717</v>
      </c>
      <c r="I631">
        <v>46.6</v>
      </c>
      <c r="J631">
        <v>38.438000000000002</v>
      </c>
      <c r="K631" t="str">
        <f>"STRAP"</f>
        <v>STRAP</v>
      </c>
      <c r="L631" t="str">
        <f>"STRAP"</f>
        <v>STRAP</v>
      </c>
      <c r="M631">
        <v>0</v>
      </c>
      <c r="N631">
        <v>206120000</v>
      </c>
      <c r="O631">
        <v>324150000</v>
      </c>
      <c r="P631">
        <v>0</v>
      </c>
      <c r="Q631">
        <v>229780000</v>
      </c>
      <c r="R631">
        <v>211190000</v>
      </c>
      <c r="S631">
        <v>209420000</v>
      </c>
      <c r="T631">
        <v>112150000</v>
      </c>
      <c r="U631">
        <v>106680000</v>
      </c>
      <c r="V631">
        <v>180430000</v>
      </c>
      <c r="W631">
        <v>186020000</v>
      </c>
      <c r="X631">
        <v>204510000</v>
      </c>
    </row>
    <row r="632" spans="1:24">
      <c r="A632">
        <v>2368</v>
      </c>
      <c r="B632" t="s">
        <v>1718</v>
      </c>
      <c r="C632">
        <v>7</v>
      </c>
      <c r="D632" t="s">
        <v>1719</v>
      </c>
      <c r="E632">
        <v>19</v>
      </c>
      <c r="F632">
        <v>19</v>
      </c>
      <c r="G632">
        <v>19</v>
      </c>
      <c r="H632" t="s">
        <v>1720</v>
      </c>
      <c r="I632">
        <v>14</v>
      </c>
      <c r="J632">
        <v>194.31</v>
      </c>
      <c r="K632" t="str">
        <f>"CDC42BPB;CDC42BPA"</f>
        <v>CDC42BPB;CDC42BPA</v>
      </c>
      <c r="L632" t="str">
        <f>"CDC42BPB;CDC42BPA"</f>
        <v>CDC42BPB;CDC42BPA</v>
      </c>
      <c r="M632">
        <v>0</v>
      </c>
      <c r="N632">
        <v>173060000</v>
      </c>
      <c r="O632">
        <v>136560000</v>
      </c>
      <c r="P632">
        <v>0</v>
      </c>
      <c r="Q632">
        <v>0</v>
      </c>
      <c r="R632">
        <v>80742000</v>
      </c>
      <c r="S632">
        <v>109810000</v>
      </c>
      <c r="T632">
        <v>0</v>
      </c>
      <c r="U632">
        <v>138670000</v>
      </c>
      <c r="V632">
        <v>91794000</v>
      </c>
      <c r="W632">
        <v>102370000</v>
      </c>
      <c r="X632">
        <v>137120000</v>
      </c>
    </row>
    <row r="633" spans="1:24">
      <c r="A633">
        <v>294</v>
      </c>
      <c r="B633" t="s">
        <v>1721</v>
      </c>
      <c r="C633">
        <v>4</v>
      </c>
      <c r="D633" t="s">
        <v>1722</v>
      </c>
      <c r="E633">
        <v>17</v>
      </c>
      <c r="F633">
        <v>17</v>
      </c>
      <c r="G633">
        <v>17</v>
      </c>
      <c r="H633" t="s">
        <v>1723</v>
      </c>
      <c r="I633">
        <v>34.9</v>
      </c>
      <c r="J633">
        <v>61.396999999999998</v>
      </c>
      <c r="K633" t="str">
        <f>"GLUD1;GLUD2"</f>
        <v>GLUD1;GLUD2</v>
      </c>
      <c r="L633" t="str">
        <f>"GLUD1;GLUD2"</f>
        <v>GLUD1;GLUD2</v>
      </c>
      <c r="M633">
        <v>0</v>
      </c>
      <c r="N633">
        <v>259670000</v>
      </c>
      <c r="O633">
        <v>172740000</v>
      </c>
      <c r="P633">
        <v>106760000</v>
      </c>
      <c r="Q633">
        <v>169050000</v>
      </c>
      <c r="R633">
        <v>227100000</v>
      </c>
      <c r="S633">
        <v>240810000</v>
      </c>
      <c r="T633">
        <v>179660000</v>
      </c>
      <c r="U633">
        <v>280630000</v>
      </c>
      <c r="V633" s="8">
        <v>204000000</v>
      </c>
      <c r="W633">
        <v>257200000</v>
      </c>
      <c r="X633">
        <v>240610000</v>
      </c>
    </row>
    <row r="634" spans="1:24">
      <c r="A634">
        <v>361</v>
      </c>
      <c r="B634" t="s">
        <v>1724</v>
      </c>
      <c r="C634">
        <v>1</v>
      </c>
      <c r="D634" t="s">
        <v>1725</v>
      </c>
      <c r="E634">
        <v>3</v>
      </c>
      <c r="F634">
        <v>3</v>
      </c>
      <c r="G634">
        <v>3</v>
      </c>
      <c r="H634" t="s">
        <v>1724</v>
      </c>
      <c r="I634">
        <v>34.299999999999997</v>
      </c>
      <c r="J634">
        <v>11.391999999999999</v>
      </c>
      <c r="K634" t="s">
        <v>1726</v>
      </c>
      <c r="L634" t="s">
        <v>1726</v>
      </c>
      <c r="M634">
        <v>173490000</v>
      </c>
      <c r="N634">
        <v>59345000</v>
      </c>
      <c r="O634">
        <v>97553000</v>
      </c>
      <c r="P634">
        <v>184280000</v>
      </c>
      <c r="Q634">
        <v>102320000</v>
      </c>
      <c r="R634">
        <v>172450000</v>
      </c>
      <c r="S634">
        <v>145180000</v>
      </c>
      <c r="T634">
        <v>166800000</v>
      </c>
      <c r="U634">
        <v>205800000</v>
      </c>
      <c r="V634">
        <v>154130000</v>
      </c>
      <c r="W634">
        <v>430770000</v>
      </c>
      <c r="X634">
        <v>140610000</v>
      </c>
    </row>
    <row r="635" spans="1:24">
      <c r="A635">
        <v>485</v>
      </c>
      <c r="B635" t="s">
        <v>1727</v>
      </c>
      <c r="C635">
        <v>1</v>
      </c>
      <c r="D635" t="s">
        <v>1728</v>
      </c>
      <c r="E635">
        <v>14</v>
      </c>
      <c r="F635">
        <v>14</v>
      </c>
      <c r="G635">
        <v>14</v>
      </c>
      <c r="H635" t="s">
        <v>1727</v>
      </c>
      <c r="I635">
        <v>45.7</v>
      </c>
      <c r="J635">
        <v>36.112000000000002</v>
      </c>
      <c r="K635" t="str">
        <f>"EIF2S1"</f>
        <v>EIF2S1</v>
      </c>
      <c r="L635" t="str">
        <f>"EIF2S1"</f>
        <v>EIF2S1</v>
      </c>
      <c r="M635">
        <v>0</v>
      </c>
      <c r="N635">
        <v>175130000</v>
      </c>
      <c r="O635">
        <v>128120000</v>
      </c>
      <c r="P635">
        <v>96515000</v>
      </c>
      <c r="Q635">
        <v>0</v>
      </c>
      <c r="R635">
        <v>137030000</v>
      </c>
      <c r="S635">
        <v>0</v>
      </c>
      <c r="T635">
        <v>259120000</v>
      </c>
      <c r="U635">
        <v>106210000</v>
      </c>
      <c r="V635">
        <v>258990000</v>
      </c>
      <c r="W635">
        <v>0</v>
      </c>
      <c r="X635">
        <v>169600000</v>
      </c>
    </row>
    <row r="636" spans="1:24">
      <c r="A636">
        <v>828</v>
      </c>
      <c r="B636" t="s">
        <v>1729</v>
      </c>
      <c r="C636">
        <v>2</v>
      </c>
      <c r="D636" t="s">
        <v>1730</v>
      </c>
      <c r="E636">
        <v>10</v>
      </c>
      <c r="F636">
        <v>10</v>
      </c>
      <c r="G636">
        <v>10</v>
      </c>
      <c r="H636" t="s">
        <v>1731</v>
      </c>
      <c r="I636">
        <v>33.1</v>
      </c>
      <c r="J636">
        <v>27.646999999999998</v>
      </c>
      <c r="K636" t="str">
        <f>"PSMA3"</f>
        <v>PSMA3</v>
      </c>
      <c r="L636" t="str">
        <f>"PSMA3"</f>
        <v>PSMA3</v>
      </c>
      <c r="M636">
        <v>107860000</v>
      </c>
      <c r="N636">
        <v>109970000</v>
      </c>
      <c r="O636">
        <v>160270000</v>
      </c>
      <c r="P636">
        <v>152560000</v>
      </c>
      <c r="Q636">
        <v>109220000</v>
      </c>
      <c r="R636">
        <v>138950000</v>
      </c>
      <c r="S636">
        <v>149920000</v>
      </c>
      <c r="T636">
        <v>87714000</v>
      </c>
      <c r="U636">
        <v>229580000</v>
      </c>
      <c r="V636">
        <v>133510000</v>
      </c>
      <c r="W636">
        <v>0</v>
      </c>
      <c r="X636">
        <v>106260000</v>
      </c>
    </row>
    <row r="637" spans="1:24">
      <c r="A637">
        <v>1312</v>
      </c>
      <c r="B637" t="s">
        <v>1732</v>
      </c>
      <c r="C637">
        <v>2</v>
      </c>
      <c r="D637" t="s">
        <v>1733</v>
      </c>
      <c r="E637">
        <v>19</v>
      </c>
      <c r="F637">
        <v>19</v>
      </c>
      <c r="G637">
        <v>19</v>
      </c>
      <c r="H637" t="s">
        <v>1734</v>
      </c>
      <c r="I637">
        <v>24.1</v>
      </c>
      <c r="J637">
        <v>102.36</v>
      </c>
      <c r="K637" t="str">
        <f>"EIF4G2"</f>
        <v>EIF4G2</v>
      </c>
      <c r="L637" t="str">
        <f>"EIF4G2"</f>
        <v>EIF4G2</v>
      </c>
      <c r="M637">
        <v>0</v>
      </c>
      <c r="N637">
        <v>84323000</v>
      </c>
      <c r="O637">
        <v>90679000</v>
      </c>
      <c r="P637">
        <v>0</v>
      </c>
      <c r="Q637">
        <v>0</v>
      </c>
      <c r="R637">
        <v>97722000</v>
      </c>
      <c r="S637">
        <v>91285000</v>
      </c>
      <c r="T637">
        <v>0</v>
      </c>
      <c r="U637">
        <v>126200000</v>
      </c>
      <c r="V637">
        <v>65189000</v>
      </c>
      <c r="W637">
        <v>82332000</v>
      </c>
      <c r="X637">
        <v>93214000</v>
      </c>
    </row>
    <row r="638" spans="1:24">
      <c r="A638">
        <v>1623</v>
      </c>
      <c r="B638" t="s">
        <v>1735</v>
      </c>
      <c r="C638">
        <v>4</v>
      </c>
      <c r="D638" t="s">
        <v>1736</v>
      </c>
      <c r="E638">
        <v>14</v>
      </c>
      <c r="F638">
        <v>14</v>
      </c>
      <c r="G638">
        <v>14</v>
      </c>
      <c r="H638" t="s">
        <v>1737</v>
      </c>
      <c r="I638">
        <v>19.399999999999999</v>
      </c>
      <c r="J638">
        <v>103.96</v>
      </c>
      <c r="K638" t="str">
        <f>"ANO6"</f>
        <v>ANO6</v>
      </c>
      <c r="L638" t="str">
        <f>"ANO6"</f>
        <v>ANO6</v>
      </c>
      <c r="M638">
        <v>192100000</v>
      </c>
      <c r="N638">
        <v>176130000</v>
      </c>
      <c r="O638">
        <v>134140000</v>
      </c>
      <c r="P638">
        <v>98902000</v>
      </c>
      <c r="Q638">
        <v>147940000</v>
      </c>
      <c r="R638">
        <v>202380000</v>
      </c>
      <c r="S638">
        <v>288590000</v>
      </c>
      <c r="T638">
        <v>165030000</v>
      </c>
      <c r="U638">
        <v>269060000</v>
      </c>
      <c r="V638">
        <v>170140000</v>
      </c>
      <c r="W638">
        <v>0</v>
      </c>
      <c r="X638">
        <v>220750000</v>
      </c>
    </row>
    <row r="639" spans="1:24">
      <c r="A639">
        <v>1964</v>
      </c>
      <c r="B639" t="s">
        <v>1738</v>
      </c>
      <c r="C639">
        <v>1</v>
      </c>
      <c r="D639" t="s">
        <v>1739</v>
      </c>
      <c r="E639">
        <v>17</v>
      </c>
      <c r="F639">
        <v>17</v>
      </c>
      <c r="G639">
        <v>17</v>
      </c>
      <c r="H639" t="s">
        <v>1738</v>
      </c>
      <c r="I639">
        <v>25.5</v>
      </c>
      <c r="J639">
        <v>91.706000000000003</v>
      </c>
      <c r="K639" t="str">
        <f>"VPS35"</f>
        <v>VPS35</v>
      </c>
      <c r="L639" t="str">
        <f>"VPS35"</f>
        <v>VPS35</v>
      </c>
      <c r="M639">
        <v>0</v>
      </c>
      <c r="N639">
        <v>137830000</v>
      </c>
      <c r="O639">
        <v>158390000</v>
      </c>
      <c r="P639">
        <v>0</v>
      </c>
      <c r="Q639">
        <v>0</v>
      </c>
      <c r="R639">
        <v>88457000</v>
      </c>
      <c r="S639">
        <v>127170000</v>
      </c>
      <c r="T639">
        <v>0</v>
      </c>
      <c r="U639">
        <v>221950000</v>
      </c>
      <c r="V639">
        <v>0</v>
      </c>
      <c r="W639" s="8">
        <v>235000000</v>
      </c>
      <c r="X639">
        <v>159860000</v>
      </c>
    </row>
    <row r="640" spans="1:24">
      <c r="A640">
        <v>2322</v>
      </c>
      <c r="B640" t="s">
        <v>1740</v>
      </c>
      <c r="C640">
        <v>2</v>
      </c>
      <c r="D640" t="s">
        <v>1741</v>
      </c>
      <c r="E640">
        <v>16</v>
      </c>
      <c r="F640">
        <v>16</v>
      </c>
      <c r="G640">
        <v>16</v>
      </c>
      <c r="H640" t="s">
        <v>1742</v>
      </c>
      <c r="I640">
        <v>18.899999999999999</v>
      </c>
      <c r="J640">
        <v>128.79</v>
      </c>
      <c r="K640" t="str">
        <f>"NCKAP1"</f>
        <v>NCKAP1</v>
      </c>
      <c r="L640" t="str">
        <f>"NCKAP1"</f>
        <v>NCKAP1</v>
      </c>
      <c r="M640">
        <v>0</v>
      </c>
      <c r="N640">
        <v>232170000</v>
      </c>
      <c r="O640">
        <v>168830000</v>
      </c>
      <c r="P640">
        <v>95672000</v>
      </c>
      <c r="Q640">
        <v>177400000</v>
      </c>
      <c r="R640">
        <v>178810000</v>
      </c>
      <c r="S640">
        <v>138910000</v>
      </c>
      <c r="T640">
        <v>0</v>
      </c>
      <c r="U640">
        <v>227140000</v>
      </c>
      <c r="V640">
        <v>162220000</v>
      </c>
      <c r="W640">
        <v>188010000</v>
      </c>
      <c r="X640" s="8">
        <v>162000000</v>
      </c>
    </row>
    <row r="641" spans="1:24">
      <c r="A641">
        <v>403</v>
      </c>
      <c r="B641" t="s">
        <v>1743</v>
      </c>
      <c r="C641">
        <v>1</v>
      </c>
      <c r="D641" t="s">
        <v>1744</v>
      </c>
      <c r="E641">
        <v>6</v>
      </c>
      <c r="F641">
        <v>6</v>
      </c>
      <c r="G641">
        <v>6</v>
      </c>
      <c r="H641" t="s">
        <v>1743</v>
      </c>
      <c r="I641">
        <v>36.4</v>
      </c>
      <c r="J641">
        <v>10.852</v>
      </c>
      <c r="K641" t="str">
        <f>"APOC3"</f>
        <v>APOC3</v>
      </c>
      <c r="L641" t="str">
        <f>"APOC3"</f>
        <v>APOC3</v>
      </c>
      <c r="M641">
        <v>455600000</v>
      </c>
      <c r="N641">
        <v>201520000</v>
      </c>
      <c r="O641">
        <v>316390000</v>
      </c>
      <c r="P641">
        <v>395150000</v>
      </c>
      <c r="Q641">
        <v>250710000</v>
      </c>
      <c r="R641">
        <v>214480000</v>
      </c>
      <c r="S641">
        <v>2043100000</v>
      </c>
      <c r="T641">
        <v>822840000</v>
      </c>
      <c r="U641">
        <v>0</v>
      </c>
      <c r="V641">
        <v>455540000</v>
      </c>
      <c r="W641">
        <v>0</v>
      </c>
      <c r="X641">
        <v>0</v>
      </c>
    </row>
    <row r="642" spans="1:24">
      <c r="A642">
        <v>1317</v>
      </c>
      <c r="B642" t="s">
        <v>1745</v>
      </c>
      <c r="C642">
        <v>2</v>
      </c>
      <c r="D642" t="s">
        <v>1746</v>
      </c>
      <c r="E642">
        <v>13</v>
      </c>
      <c r="F642">
        <v>13</v>
      </c>
      <c r="G642">
        <v>13</v>
      </c>
      <c r="H642" t="s">
        <v>1747</v>
      </c>
      <c r="I642">
        <v>17.899999999999999</v>
      </c>
      <c r="J642">
        <v>92.334999999999994</v>
      </c>
      <c r="K642" t="str">
        <f>"GPLD1"</f>
        <v>GPLD1</v>
      </c>
      <c r="L642" t="str">
        <f>"GPLD1"</f>
        <v>GPLD1</v>
      </c>
      <c r="M642">
        <v>289850000</v>
      </c>
      <c r="N642">
        <v>78342000</v>
      </c>
      <c r="O642">
        <v>55067000</v>
      </c>
      <c r="P642">
        <v>172490000</v>
      </c>
      <c r="Q642">
        <v>202570000</v>
      </c>
      <c r="R642">
        <v>0</v>
      </c>
      <c r="S642">
        <v>0</v>
      </c>
      <c r="T642">
        <v>297120000</v>
      </c>
      <c r="U642">
        <v>0</v>
      </c>
      <c r="V642">
        <v>168960000</v>
      </c>
      <c r="W642">
        <v>127400000</v>
      </c>
      <c r="X642">
        <v>114930000</v>
      </c>
    </row>
    <row r="643" spans="1:24">
      <c r="A643">
        <v>2031</v>
      </c>
      <c r="B643" t="s">
        <v>1748</v>
      </c>
      <c r="C643">
        <v>1</v>
      </c>
      <c r="D643" t="s">
        <v>1749</v>
      </c>
      <c r="E643">
        <v>9</v>
      </c>
      <c r="F643">
        <v>9</v>
      </c>
      <c r="G643">
        <v>9</v>
      </c>
      <c r="H643" t="s">
        <v>1748</v>
      </c>
      <c r="I643">
        <v>46.7</v>
      </c>
      <c r="J643">
        <v>24.701000000000001</v>
      </c>
      <c r="K643" t="str">
        <f>"PDCD10"</f>
        <v>PDCD10</v>
      </c>
      <c r="L643" t="str">
        <f>"PDCD10"</f>
        <v>PDCD10</v>
      </c>
      <c r="M643">
        <v>141250000</v>
      </c>
      <c r="N643">
        <v>273890000</v>
      </c>
      <c r="O643">
        <v>265910000</v>
      </c>
      <c r="P643">
        <v>256880000</v>
      </c>
      <c r="Q643">
        <v>0</v>
      </c>
      <c r="R643">
        <v>257160000</v>
      </c>
      <c r="S643">
        <v>408180000</v>
      </c>
      <c r="T643">
        <v>220980000</v>
      </c>
      <c r="U643">
        <v>496320000</v>
      </c>
      <c r="V643">
        <v>222270000</v>
      </c>
      <c r="W643">
        <v>568240000</v>
      </c>
      <c r="X643">
        <v>516820000</v>
      </c>
    </row>
    <row r="644" spans="1:24">
      <c r="A644">
        <v>61</v>
      </c>
      <c r="B644" t="s">
        <v>1750</v>
      </c>
      <c r="C644">
        <v>2</v>
      </c>
      <c r="D644" t="s">
        <v>1751</v>
      </c>
      <c r="E644">
        <v>14</v>
      </c>
      <c r="F644">
        <v>14</v>
      </c>
      <c r="G644">
        <v>14</v>
      </c>
      <c r="H644" t="s">
        <v>1752</v>
      </c>
      <c r="I644">
        <v>35.299999999999997</v>
      </c>
      <c r="J644">
        <v>47.463000000000001</v>
      </c>
      <c r="K644" t="str">
        <f>"PSMD11"</f>
        <v>PSMD11</v>
      </c>
      <c r="L644" t="str">
        <f>"PSMD11"</f>
        <v>PSMD11</v>
      </c>
      <c r="M644">
        <v>76745000</v>
      </c>
      <c r="N644">
        <v>134270000</v>
      </c>
      <c r="O644">
        <v>141690000</v>
      </c>
      <c r="P644">
        <v>104710000</v>
      </c>
      <c r="Q644">
        <v>90752000</v>
      </c>
      <c r="R644">
        <v>201260000</v>
      </c>
      <c r="S644">
        <v>179700000</v>
      </c>
      <c r="T644">
        <v>89042000</v>
      </c>
      <c r="U644">
        <v>163370000</v>
      </c>
      <c r="V644">
        <v>105560000</v>
      </c>
      <c r="W644">
        <v>0</v>
      </c>
      <c r="X644">
        <v>191480000</v>
      </c>
    </row>
    <row r="645" spans="1:24">
      <c r="A645">
        <v>501</v>
      </c>
      <c r="B645" t="s">
        <v>1753</v>
      </c>
      <c r="C645">
        <v>2</v>
      </c>
      <c r="D645" t="s">
        <v>1754</v>
      </c>
      <c r="E645">
        <v>2</v>
      </c>
      <c r="F645">
        <v>2</v>
      </c>
      <c r="G645">
        <v>2</v>
      </c>
      <c r="H645" t="s">
        <v>1755</v>
      </c>
      <c r="I645">
        <v>17.100000000000001</v>
      </c>
      <c r="J645">
        <v>16.228000000000002</v>
      </c>
      <c r="K645" t="s">
        <v>1756</v>
      </c>
      <c r="L645" t="s">
        <v>1756</v>
      </c>
      <c r="M645">
        <v>180060000</v>
      </c>
      <c r="N645">
        <v>93824000</v>
      </c>
      <c r="O645">
        <v>0</v>
      </c>
      <c r="P645">
        <v>153720000</v>
      </c>
      <c r="Q645">
        <v>0</v>
      </c>
      <c r="R645">
        <v>0</v>
      </c>
      <c r="S645">
        <v>0</v>
      </c>
      <c r="T645">
        <v>326620000</v>
      </c>
      <c r="U645">
        <v>55668000</v>
      </c>
      <c r="V645">
        <v>95646000</v>
      </c>
      <c r="W645">
        <v>95931000</v>
      </c>
      <c r="X645">
        <v>0</v>
      </c>
    </row>
    <row r="646" spans="1:24">
      <c r="A646">
        <v>64</v>
      </c>
      <c r="B646" t="s">
        <v>1757</v>
      </c>
      <c r="C646">
        <v>2</v>
      </c>
      <c r="D646" t="s">
        <v>1758</v>
      </c>
      <c r="E646">
        <v>6</v>
      </c>
      <c r="F646">
        <v>6</v>
      </c>
      <c r="G646">
        <v>5</v>
      </c>
      <c r="H646" t="s">
        <v>1759</v>
      </c>
      <c r="I646">
        <v>21</v>
      </c>
      <c r="J646">
        <v>21.670999999999999</v>
      </c>
      <c r="K646" t="str">
        <f>"PGRMC1"</f>
        <v>PGRMC1</v>
      </c>
      <c r="L646" t="str">
        <f>"PGRMC1"</f>
        <v>PGRMC1</v>
      </c>
      <c r="M646">
        <v>198050000</v>
      </c>
      <c r="N646">
        <v>220210000</v>
      </c>
      <c r="O646">
        <v>244480000</v>
      </c>
      <c r="P646">
        <v>224720000</v>
      </c>
      <c r="Q646">
        <v>145880000</v>
      </c>
      <c r="R646">
        <v>335420000</v>
      </c>
      <c r="S646">
        <v>270530000</v>
      </c>
      <c r="T646">
        <v>213660000</v>
      </c>
      <c r="U646">
        <v>169640000</v>
      </c>
      <c r="V646">
        <v>253820000</v>
      </c>
      <c r="W646">
        <v>201050000</v>
      </c>
      <c r="X646">
        <v>161720000</v>
      </c>
    </row>
    <row r="647" spans="1:24">
      <c r="A647">
        <v>229</v>
      </c>
      <c r="B647" t="s">
        <v>1760</v>
      </c>
      <c r="C647">
        <v>2</v>
      </c>
      <c r="D647" t="s">
        <v>1761</v>
      </c>
      <c r="E647">
        <v>14</v>
      </c>
      <c r="F647">
        <v>14</v>
      </c>
      <c r="G647">
        <v>14</v>
      </c>
      <c r="H647" t="s">
        <v>1762</v>
      </c>
      <c r="I647">
        <v>60.3</v>
      </c>
      <c r="J647">
        <v>37.908999999999999</v>
      </c>
      <c r="K647" t="str">
        <f>"GRAP2"</f>
        <v>GRAP2</v>
      </c>
      <c r="L647" t="str">
        <f>"GRAP2"</f>
        <v>GRAP2</v>
      </c>
      <c r="M647">
        <v>0</v>
      </c>
      <c r="N647">
        <v>244680000</v>
      </c>
      <c r="O647">
        <v>241040000</v>
      </c>
      <c r="P647">
        <v>0</v>
      </c>
      <c r="Q647">
        <v>195740000</v>
      </c>
      <c r="R647">
        <v>131810000</v>
      </c>
      <c r="S647">
        <v>133850000</v>
      </c>
      <c r="T647">
        <v>0</v>
      </c>
      <c r="U647">
        <v>214660000</v>
      </c>
      <c r="V647">
        <v>181300000</v>
      </c>
      <c r="W647">
        <v>126350000</v>
      </c>
      <c r="X647">
        <v>301860000</v>
      </c>
    </row>
    <row r="648" spans="1:24">
      <c r="A648">
        <v>992</v>
      </c>
      <c r="B648" t="s">
        <v>1763</v>
      </c>
      <c r="C648">
        <v>4</v>
      </c>
      <c r="D648" t="s">
        <v>1764</v>
      </c>
      <c r="E648">
        <v>9</v>
      </c>
      <c r="F648">
        <v>9</v>
      </c>
      <c r="G648">
        <v>9</v>
      </c>
      <c r="H648" t="s">
        <v>1765</v>
      </c>
      <c r="I648">
        <v>67.900000000000006</v>
      </c>
      <c r="J648">
        <v>11.372</v>
      </c>
      <c r="K648" t="str">
        <f>"SNCA;SNCB"</f>
        <v>SNCA;SNCB</v>
      </c>
      <c r="L648" t="str">
        <f>"SNCA;SNCB"</f>
        <v>SNCA;SNCB</v>
      </c>
      <c r="M648">
        <v>0</v>
      </c>
      <c r="N648">
        <v>90777000</v>
      </c>
      <c r="O648">
        <v>128560000</v>
      </c>
      <c r="P648">
        <v>255920000</v>
      </c>
      <c r="Q648">
        <v>122550000</v>
      </c>
      <c r="R648">
        <v>233830000</v>
      </c>
      <c r="S648">
        <v>204570000</v>
      </c>
      <c r="T648">
        <v>225050000</v>
      </c>
      <c r="U648">
        <v>0</v>
      </c>
      <c r="V648">
        <v>339190000</v>
      </c>
      <c r="W648">
        <v>177220000</v>
      </c>
      <c r="X648">
        <v>223390000</v>
      </c>
    </row>
    <row r="649" spans="1:24">
      <c r="A649">
        <v>1061</v>
      </c>
      <c r="B649" t="s">
        <v>1766</v>
      </c>
      <c r="C649">
        <v>1</v>
      </c>
      <c r="D649" t="s">
        <v>1767</v>
      </c>
      <c r="E649">
        <v>10</v>
      </c>
      <c r="F649">
        <v>10</v>
      </c>
      <c r="G649">
        <v>10</v>
      </c>
      <c r="H649" t="s">
        <v>1766</v>
      </c>
      <c r="I649">
        <v>57.7</v>
      </c>
      <c r="J649">
        <v>23.277000000000001</v>
      </c>
      <c r="K649" t="str">
        <f>"ATP5O"</f>
        <v>ATP5O</v>
      </c>
      <c r="L649" t="str">
        <f>"ATP5O"</f>
        <v>ATP5O</v>
      </c>
      <c r="M649">
        <v>305020000</v>
      </c>
      <c r="N649">
        <v>152770000</v>
      </c>
      <c r="O649">
        <v>130100000</v>
      </c>
      <c r="P649">
        <v>356970000</v>
      </c>
      <c r="Q649">
        <v>244830000</v>
      </c>
      <c r="R649">
        <v>384510000</v>
      </c>
      <c r="S649">
        <v>253100000</v>
      </c>
      <c r="T649">
        <v>235730000</v>
      </c>
      <c r="U649">
        <v>232800000</v>
      </c>
      <c r="V649">
        <v>276570000</v>
      </c>
      <c r="W649">
        <v>288630000</v>
      </c>
      <c r="X649">
        <v>270500000</v>
      </c>
    </row>
    <row r="650" spans="1:24">
      <c r="A650">
        <v>1994</v>
      </c>
      <c r="B650" t="s">
        <v>1768</v>
      </c>
      <c r="C650">
        <v>3</v>
      </c>
      <c r="D650" t="s">
        <v>1769</v>
      </c>
      <c r="E650">
        <v>11</v>
      </c>
      <c r="F650">
        <v>11</v>
      </c>
      <c r="G650">
        <v>11</v>
      </c>
      <c r="H650" t="s">
        <v>1770</v>
      </c>
      <c r="I650">
        <v>40.5</v>
      </c>
      <c r="J650">
        <v>52.390999999999998</v>
      </c>
      <c r="K650" t="str">
        <f>"DOK1"</f>
        <v>DOK1</v>
      </c>
      <c r="L650" t="str">
        <f>"DOK1"</f>
        <v>DOK1</v>
      </c>
      <c r="M650">
        <v>168900000</v>
      </c>
      <c r="N650">
        <v>253940000</v>
      </c>
      <c r="O650">
        <v>234490000</v>
      </c>
      <c r="P650">
        <v>113620000</v>
      </c>
      <c r="Q650">
        <v>0</v>
      </c>
      <c r="R650">
        <v>183090000</v>
      </c>
      <c r="S650">
        <v>257610000</v>
      </c>
      <c r="T650">
        <v>0</v>
      </c>
      <c r="U650">
        <v>383860000</v>
      </c>
      <c r="V650">
        <v>205890000</v>
      </c>
      <c r="W650">
        <v>221490000</v>
      </c>
      <c r="X650">
        <v>265150000</v>
      </c>
    </row>
    <row r="651" spans="1:24">
      <c r="A651">
        <v>2210</v>
      </c>
      <c r="B651" t="s">
        <v>1771</v>
      </c>
      <c r="C651">
        <v>5</v>
      </c>
      <c r="D651" t="s">
        <v>1772</v>
      </c>
      <c r="E651">
        <v>10</v>
      </c>
      <c r="F651">
        <v>10</v>
      </c>
      <c r="G651">
        <v>10</v>
      </c>
      <c r="H651" t="s">
        <v>1773</v>
      </c>
      <c r="I651">
        <v>13.7</v>
      </c>
      <c r="J651">
        <v>78.236999999999995</v>
      </c>
      <c r="K651" t="str">
        <f>"NCKIPSD"</f>
        <v>NCKIPSD</v>
      </c>
      <c r="L651" t="str">
        <f>"NCKIPSD"</f>
        <v>NCKIPSD</v>
      </c>
      <c r="M651">
        <v>0</v>
      </c>
      <c r="N651">
        <v>275670000</v>
      </c>
      <c r="O651">
        <v>271160000</v>
      </c>
      <c r="P651">
        <v>120360000</v>
      </c>
      <c r="Q651">
        <v>154460000</v>
      </c>
      <c r="R651">
        <v>161540000</v>
      </c>
      <c r="S651">
        <v>247690000</v>
      </c>
      <c r="T651">
        <v>272460000</v>
      </c>
      <c r="U651">
        <v>196560000</v>
      </c>
      <c r="V651">
        <v>204630000</v>
      </c>
      <c r="W651">
        <v>0</v>
      </c>
      <c r="X651">
        <v>272810000</v>
      </c>
    </row>
    <row r="652" spans="1:24">
      <c r="A652">
        <v>190</v>
      </c>
      <c r="B652" t="s">
        <v>1774</v>
      </c>
      <c r="C652">
        <v>4</v>
      </c>
      <c r="D652" t="s">
        <v>1775</v>
      </c>
      <c r="E652">
        <v>10</v>
      </c>
      <c r="F652">
        <v>10</v>
      </c>
      <c r="G652">
        <v>10</v>
      </c>
      <c r="H652" t="s">
        <v>1776</v>
      </c>
      <c r="I652">
        <v>35.799999999999997</v>
      </c>
      <c r="J652">
        <v>45.802999999999997</v>
      </c>
      <c r="K652" t="str">
        <f>"PLIN3"</f>
        <v>PLIN3</v>
      </c>
      <c r="L652" t="str">
        <f>"PLIN3"</f>
        <v>PLIN3</v>
      </c>
      <c r="M652">
        <v>0</v>
      </c>
      <c r="N652">
        <v>171990000</v>
      </c>
      <c r="O652">
        <v>131340000</v>
      </c>
      <c r="P652">
        <v>106540000</v>
      </c>
      <c r="Q652">
        <v>0</v>
      </c>
      <c r="R652">
        <v>161920000</v>
      </c>
      <c r="S652">
        <v>156320000</v>
      </c>
      <c r="T652">
        <v>93625000</v>
      </c>
      <c r="U652">
        <v>229660000</v>
      </c>
      <c r="V652">
        <v>133760000</v>
      </c>
      <c r="W652">
        <v>94455000</v>
      </c>
      <c r="X652">
        <v>197330000</v>
      </c>
    </row>
    <row r="653" spans="1:24">
      <c r="A653">
        <v>234</v>
      </c>
      <c r="B653" t="s">
        <v>1777</v>
      </c>
      <c r="C653">
        <v>1</v>
      </c>
      <c r="D653" t="s">
        <v>1778</v>
      </c>
      <c r="E653">
        <v>11</v>
      </c>
      <c r="F653">
        <v>11</v>
      </c>
      <c r="G653">
        <v>11</v>
      </c>
      <c r="H653" t="s">
        <v>1777</v>
      </c>
      <c r="I653">
        <v>22.1</v>
      </c>
      <c r="J653">
        <v>54.811999999999998</v>
      </c>
      <c r="K653" t="str">
        <f>"ZMPSTE24"</f>
        <v>ZMPSTE24</v>
      </c>
      <c r="L653" t="str">
        <f>"ZMPSTE24"</f>
        <v>ZMPSTE24</v>
      </c>
      <c r="M653">
        <v>60699000</v>
      </c>
      <c r="N653">
        <v>54703000</v>
      </c>
      <c r="O653">
        <v>76343000</v>
      </c>
      <c r="P653">
        <v>77769000</v>
      </c>
      <c r="Q653">
        <v>68538000</v>
      </c>
      <c r="R653">
        <v>73142000</v>
      </c>
      <c r="S653">
        <v>110270000</v>
      </c>
      <c r="T653">
        <v>0</v>
      </c>
      <c r="U653">
        <v>158240000</v>
      </c>
      <c r="V653">
        <v>67233000</v>
      </c>
      <c r="W653">
        <v>139010000</v>
      </c>
      <c r="X653">
        <v>93979000</v>
      </c>
    </row>
    <row r="654" spans="1:24">
      <c r="A654">
        <v>874</v>
      </c>
      <c r="B654" t="s">
        <v>1779</v>
      </c>
      <c r="C654">
        <v>4</v>
      </c>
      <c r="D654" t="s">
        <v>1780</v>
      </c>
      <c r="E654">
        <v>7</v>
      </c>
      <c r="F654">
        <v>7</v>
      </c>
      <c r="G654">
        <v>7</v>
      </c>
      <c r="H654" t="s">
        <v>1781</v>
      </c>
      <c r="I654">
        <v>32.700000000000003</v>
      </c>
      <c r="J654">
        <v>31.120999999999999</v>
      </c>
      <c r="K654" t="str">
        <f>"EEF1D"</f>
        <v>EEF1D</v>
      </c>
      <c r="L654" t="str">
        <f>"EEF1D"</f>
        <v>EEF1D</v>
      </c>
      <c r="M654">
        <v>0</v>
      </c>
      <c r="N654">
        <v>140990000</v>
      </c>
      <c r="O654">
        <v>189940000</v>
      </c>
      <c r="P654">
        <v>167350000</v>
      </c>
      <c r="Q654">
        <v>0</v>
      </c>
      <c r="R654">
        <v>179190000</v>
      </c>
      <c r="S654">
        <v>74336000</v>
      </c>
      <c r="T654">
        <v>110320000</v>
      </c>
      <c r="U654">
        <v>115360000</v>
      </c>
      <c r="V654">
        <v>118950000</v>
      </c>
      <c r="W654">
        <v>87014000</v>
      </c>
      <c r="X654">
        <v>164780000</v>
      </c>
    </row>
    <row r="655" spans="1:24">
      <c r="A655">
        <v>880</v>
      </c>
      <c r="B655" t="s">
        <v>1782</v>
      </c>
      <c r="C655">
        <v>2</v>
      </c>
      <c r="D655" t="s">
        <v>1783</v>
      </c>
      <c r="E655">
        <v>8</v>
      </c>
      <c r="F655">
        <v>8</v>
      </c>
      <c r="G655">
        <v>8</v>
      </c>
      <c r="H655" t="s">
        <v>1784</v>
      </c>
      <c r="I655">
        <v>46.3</v>
      </c>
      <c r="J655">
        <v>28.17</v>
      </c>
      <c r="K655" t="str">
        <f>"C21orf33"</f>
        <v>C21orf33</v>
      </c>
      <c r="L655" t="str">
        <f>"C21orf33"</f>
        <v>C21orf33</v>
      </c>
      <c r="M655">
        <v>0</v>
      </c>
      <c r="N655">
        <v>206830000</v>
      </c>
      <c r="O655">
        <v>209170000</v>
      </c>
      <c r="P655">
        <v>201980000</v>
      </c>
      <c r="Q655">
        <v>215210000</v>
      </c>
      <c r="R655">
        <v>226500000</v>
      </c>
      <c r="S655">
        <v>322450000</v>
      </c>
      <c r="T655">
        <v>197700000</v>
      </c>
      <c r="U655">
        <v>155420000</v>
      </c>
      <c r="V655">
        <v>145670000</v>
      </c>
      <c r="W655">
        <v>237930000</v>
      </c>
      <c r="X655">
        <v>208430000</v>
      </c>
    </row>
    <row r="656" spans="1:24">
      <c r="A656">
        <v>1133</v>
      </c>
      <c r="B656" t="s">
        <v>1785</v>
      </c>
      <c r="C656">
        <v>2</v>
      </c>
      <c r="D656" t="s">
        <v>1786</v>
      </c>
      <c r="E656">
        <v>9</v>
      </c>
      <c r="F656">
        <v>9</v>
      </c>
      <c r="G656">
        <v>9</v>
      </c>
      <c r="H656" t="s">
        <v>1787</v>
      </c>
      <c r="I656">
        <v>32.9</v>
      </c>
      <c r="J656">
        <v>27.991</v>
      </c>
      <c r="K656" t="str">
        <f>"BCAP31"</f>
        <v>BCAP31</v>
      </c>
      <c r="L656" t="str">
        <f>"BCAP31"</f>
        <v>BCAP31</v>
      </c>
      <c r="M656">
        <v>0</v>
      </c>
      <c r="N656">
        <v>42465000</v>
      </c>
      <c r="O656">
        <v>51803000</v>
      </c>
      <c r="P656">
        <v>63447000</v>
      </c>
      <c r="Q656">
        <v>0</v>
      </c>
      <c r="R656">
        <v>33130000</v>
      </c>
      <c r="S656">
        <v>62789000</v>
      </c>
      <c r="T656">
        <v>62915000</v>
      </c>
      <c r="U656">
        <v>67681000</v>
      </c>
      <c r="V656">
        <v>62039000</v>
      </c>
      <c r="W656">
        <v>30847000</v>
      </c>
      <c r="X656">
        <v>0</v>
      </c>
    </row>
    <row r="657" spans="1:24">
      <c r="A657">
        <v>1666</v>
      </c>
      <c r="B657" t="s">
        <v>1788</v>
      </c>
      <c r="C657">
        <v>1</v>
      </c>
      <c r="D657" t="s">
        <v>1789</v>
      </c>
      <c r="E657">
        <v>9</v>
      </c>
      <c r="F657">
        <v>9</v>
      </c>
      <c r="G657">
        <v>9</v>
      </c>
      <c r="H657" t="s">
        <v>1788</v>
      </c>
      <c r="I657">
        <v>25.7</v>
      </c>
      <c r="J657">
        <v>60.540999999999997</v>
      </c>
      <c r="K657" t="str">
        <f>"ATL3"</f>
        <v>ATL3</v>
      </c>
      <c r="L657" t="str">
        <f>"ATL3"</f>
        <v>ATL3</v>
      </c>
      <c r="M657">
        <v>166520000</v>
      </c>
      <c r="N657">
        <v>168020000</v>
      </c>
      <c r="O657">
        <v>222910000</v>
      </c>
      <c r="P657">
        <v>101120000</v>
      </c>
      <c r="Q657">
        <v>0</v>
      </c>
      <c r="R657">
        <v>150160000</v>
      </c>
      <c r="S657">
        <v>182720000</v>
      </c>
      <c r="T657">
        <v>228370000</v>
      </c>
      <c r="U657">
        <v>126610000</v>
      </c>
      <c r="V657">
        <v>160150000</v>
      </c>
      <c r="W657">
        <v>0</v>
      </c>
      <c r="X657">
        <v>0</v>
      </c>
    </row>
    <row r="658" spans="1:24">
      <c r="A658">
        <v>400</v>
      </c>
      <c r="B658" t="s">
        <v>1790</v>
      </c>
      <c r="C658">
        <v>1</v>
      </c>
      <c r="D658" t="s">
        <v>1791</v>
      </c>
      <c r="E658">
        <v>6</v>
      </c>
      <c r="F658">
        <v>6</v>
      </c>
      <c r="G658">
        <v>6</v>
      </c>
      <c r="H658" t="s">
        <v>1790</v>
      </c>
      <c r="I658">
        <v>22</v>
      </c>
      <c r="J658">
        <v>11.175000000000001</v>
      </c>
      <c r="K658" t="str">
        <f>"APOA2"</f>
        <v>APOA2</v>
      </c>
      <c r="L658" t="str">
        <f>"APOA2"</f>
        <v>APOA2</v>
      </c>
      <c r="M658">
        <v>696670000</v>
      </c>
      <c r="N658">
        <v>76021000</v>
      </c>
      <c r="O658">
        <v>214770000</v>
      </c>
      <c r="P658">
        <v>429850000</v>
      </c>
      <c r="Q658">
        <v>240860000</v>
      </c>
      <c r="R658">
        <v>152550000</v>
      </c>
      <c r="S658">
        <v>69993000</v>
      </c>
      <c r="T658">
        <v>360180000</v>
      </c>
      <c r="U658">
        <v>0</v>
      </c>
      <c r="V658">
        <v>342390000</v>
      </c>
      <c r="W658">
        <v>102650000</v>
      </c>
      <c r="X658">
        <v>0</v>
      </c>
    </row>
    <row r="659" spans="1:24">
      <c r="A659">
        <v>927</v>
      </c>
      <c r="B659" t="s">
        <v>1792</v>
      </c>
      <c r="C659">
        <v>2</v>
      </c>
      <c r="D659" t="s">
        <v>1793</v>
      </c>
      <c r="E659">
        <v>15</v>
      </c>
      <c r="F659">
        <v>15</v>
      </c>
      <c r="G659">
        <v>15</v>
      </c>
      <c r="H659" t="s">
        <v>1794</v>
      </c>
      <c r="I659">
        <v>37.5</v>
      </c>
      <c r="J659">
        <v>52.645000000000003</v>
      </c>
      <c r="K659" t="str">
        <f>"UQCRC1;PMPCB"</f>
        <v>UQCRC1;PMPCB</v>
      </c>
      <c r="L659" t="str">
        <f>"UQCRC1;PMPCB"</f>
        <v>UQCRC1;PMPCB</v>
      </c>
      <c r="M659">
        <v>0</v>
      </c>
      <c r="N659">
        <v>168700000</v>
      </c>
      <c r="O659">
        <v>135760000</v>
      </c>
      <c r="P659">
        <v>81892000</v>
      </c>
      <c r="Q659">
        <v>0</v>
      </c>
      <c r="R659">
        <v>164600000</v>
      </c>
      <c r="S659">
        <v>236860000</v>
      </c>
      <c r="T659">
        <v>0</v>
      </c>
      <c r="U659">
        <v>106490000</v>
      </c>
      <c r="V659">
        <v>141090000</v>
      </c>
      <c r="W659">
        <v>233200000</v>
      </c>
      <c r="X659">
        <v>237950000</v>
      </c>
    </row>
    <row r="660" spans="1:24">
      <c r="A660">
        <v>1270</v>
      </c>
      <c r="B660" t="s">
        <v>1795</v>
      </c>
      <c r="C660">
        <v>2</v>
      </c>
      <c r="D660" t="s">
        <v>1796</v>
      </c>
      <c r="E660">
        <v>11</v>
      </c>
      <c r="F660">
        <v>11</v>
      </c>
      <c r="G660">
        <v>1</v>
      </c>
      <c r="H660" t="s">
        <v>1797</v>
      </c>
      <c r="I660">
        <v>49.2</v>
      </c>
      <c r="J660">
        <v>35.575000000000003</v>
      </c>
      <c r="K660" t="str">
        <f>"PPP2CB;PPP4C"</f>
        <v>PPP2CB;PPP4C</v>
      </c>
      <c r="L660" t="str">
        <f>"PPP2CB;PPP4C"</f>
        <v>PPP2CB;PPP4C</v>
      </c>
      <c r="M660">
        <v>71912000</v>
      </c>
      <c r="N660">
        <v>147910000</v>
      </c>
      <c r="O660">
        <v>153080000</v>
      </c>
      <c r="P660">
        <v>168750000</v>
      </c>
      <c r="Q660">
        <v>0</v>
      </c>
      <c r="R660">
        <v>158740000</v>
      </c>
      <c r="S660">
        <v>0</v>
      </c>
      <c r="T660">
        <v>89664000</v>
      </c>
      <c r="U660">
        <v>186210000</v>
      </c>
      <c r="V660">
        <v>116760000</v>
      </c>
      <c r="W660">
        <v>106790000</v>
      </c>
      <c r="X660">
        <v>135270000</v>
      </c>
    </row>
    <row r="661" spans="1:24">
      <c r="A661">
        <v>1495</v>
      </c>
      <c r="B661" t="s">
        <v>1798</v>
      </c>
      <c r="C661">
        <v>1</v>
      </c>
      <c r="D661" t="s">
        <v>1799</v>
      </c>
      <c r="E661">
        <v>14</v>
      </c>
      <c r="F661">
        <v>14</v>
      </c>
      <c r="G661">
        <v>14</v>
      </c>
      <c r="H661" t="s">
        <v>1798</v>
      </c>
      <c r="I661">
        <v>40.700000000000003</v>
      </c>
      <c r="J661">
        <v>47.064</v>
      </c>
      <c r="K661" t="str">
        <f>"FLOT2"</f>
        <v>FLOT2</v>
      </c>
      <c r="L661" t="str">
        <f>"FLOT2"</f>
        <v>FLOT2</v>
      </c>
      <c r="M661">
        <v>0</v>
      </c>
      <c r="N661">
        <v>160980000</v>
      </c>
      <c r="O661">
        <v>150900000</v>
      </c>
      <c r="P661">
        <v>84494000</v>
      </c>
      <c r="Q661">
        <v>164860000</v>
      </c>
      <c r="R661">
        <v>215970000</v>
      </c>
      <c r="S661">
        <v>385180000</v>
      </c>
      <c r="T661">
        <v>215580000</v>
      </c>
      <c r="U661">
        <v>289500000</v>
      </c>
      <c r="V661">
        <v>135810000</v>
      </c>
      <c r="W661">
        <v>495440000</v>
      </c>
      <c r="X661">
        <v>359080000</v>
      </c>
    </row>
    <row r="662" spans="1:24">
      <c r="A662">
        <v>1527</v>
      </c>
      <c r="B662" t="s">
        <v>1800</v>
      </c>
      <c r="C662">
        <v>4</v>
      </c>
      <c r="D662" t="s">
        <v>1801</v>
      </c>
      <c r="E662">
        <v>8</v>
      </c>
      <c r="F662">
        <v>8</v>
      </c>
      <c r="G662">
        <v>8</v>
      </c>
      <c r="H662" t="s">
        <v>1802</v>
      </c>
      <c r="I662">
        <v>23.7</v>
      </c>
      <c r="J662">
        <v>45.530999999999999</v>
      </c>
      <c r="K662" t="str">
        <f>"PSMD6"</f>
        <v>PSMD6</v>
      </c>
      <c r="L662" t="str">
        <f>"PSMD6"</f>
        <v>PSMD6</v>
      </c>
      <c r="M662">
        <v>88346000</v>
      </c>
      <c r="N662">
        <v>78725000</v>
      </c>
      <c r="O662">
        <v>123010000</v>
      </c>
      <c r="P662">
        <v>67952000</v>
      </c>
      <c r="Q662">
        <v>116200000</v>
      </c>
      <c r="R662">
        <v>155900000</v>
      </c>
      <c r="S662">
        <v>135750000</v>
      </c>
      <c r="T662">
        <v>95826000</v>
      </c>
      <c r="U662">
        <v>102530000</v>
      </c>
      <c r="V662">
        <v>106030000</v>
      </c>
      <c r="W662">
        <v>120320000</v>
      </c>
      <c r="X662">
        <v>125510000</v>
      </c>
    </row>
    <row r="663" spans="1:24">
      <c r="A663">
        <v>1594</v>
      </c>
      <c r="B663" t="s">
        <v>1803</v>
      </c>
      <c r="C663">
        <v>2</v>
      </c>
      <c r="D663" t="s">
        <v>1804</v>
      </c>
      <c r="E663">
        <v>12</v>
      </c>
      <c r="F663">
        <v>12</v>
      </c>
      <c r="G663">
        <v>12</v>
      </c>
      <c r="H663" t="s">
        <v>1805</v>
      </c>
      <c r="I663">
        <v>36.200000000000003</v>
      </c>
      <c r="J663">
        <v>34.994</v>
      </c>
      <c r="K663" t="str">
        <f>"DECR1"</f>
        <v>DECR1</v>
      </c>
      <c r="L663" t="str">
        <f>"DECR1"</f>
        <v>DECR1</v>
      </c>
      <c r="M663">
        <v>171180000</v>
      </c>
      <c r="N663">
        <v>278870000</v>
      </c>
      <c r="O663">
        <v>0</v>
      </c>
      <c r="P663">
        <v>300740000</v>
      </c>
      <c r="Q663">
        <v>0</v>
      </c>
      <c r="R663">
        <v>352940000</v>
      </c>
      <c r="S663">
        <v>401570000</v>
      </c>
      <c r="T663">
        <v>240440000</v>
      </c>
      <c r="U663">
        <v>493600000</v>
      </c>
      <c r="V663">
        <v>289020000</v>
      </c>
      <c r="W663">
        <v>439990000</v>
      </c>
      <c r="X663">
        <v>468930000</v>
      </c>
    </row>
    <row r="664" spans="1:24">
      <c r="A664">
        <v>2121</v>
      </c>
      <c r="B664" t="s">
        <v>1806</v>
      </c>
      <c r="C664">
        <v>3</v>
      </c>
      <c r="D664" t="s">
        <v>1807</v>
      </c>
      <c r="E664">
        <v>11</v>
      </c>
      <c r="F664">
        <v>11</v>
      </c>
      <c r="G664">
        <v>11</v>
      </c>
      <c r="H664" t="s">
        <v>1808</v>
      </c>
      <c r="I664">
        <v>62.3</v>
      </c>
      <c r="J664">
        <v>26.21</v>
      </c>
      <c r="K664" t="str">
        <f>"CACYBP"</f>
        <v>CACYBP</v>
      </c>
      <c r="L664" t="str">
        <f>"CACYBP"</f>
        <v>CACYBP</v>
      </c>
      <c r="M664">
        <v>161600000</v>
      </c>
      <c r="N664">
        <v>244650000</v>
      </c>
      <c r="O664">
        <v>375940000</v>
      </c>
      <c r="P664">
        <v>127630000</v>
      </c>
      <c r="Q664">
        <v>159290000</v>
      </c>
      <c r="R664">
        <v>160230000</v>
      </c>
      <c r="S664">
        <v>0</v>
      </c>
      <c r="T664">
        <v>226530000</v>
      </c>
      <c r="U664">
        <v>284730000</v>
      </c>
      <c r="V664">
        <v>169610000</v>
      </c>
      <c r="W664">
        <v>200570000</v>
      </c>
      <c r="X664">
        <v>368500000</v>
      </c>
    </row>
    <row r="665" spans="1:24">
      <c r="A665">
        <v>2166</v>
      </c>
      <c r="B665" t="s">
        <v>1809</v>
      </c>
      <c r="C665">
        <v>1</v>
      </c>
      <c r="D665" t="s">
        <v>1810</v>
      </c>
      <c r="E665">
        <v>8</v>
      </c>
      <c r="F665">
        <v>8</v>
      </c>
      <c r="G665">
        <v>8</v>
      </c>
      <c r="H665" t="s">
        <v>1809</v>
      </c>
      <c r="I665">
        <v>42.1</v>
      </c>
      <c r="J665">
        <v>27.582000000000001</v>
      </c>
      <c r="K665" t="str">
        <f>"RGS18"</f>
        <v>RGS18</v>
      </c>
      <c r="L665" t="str">
        <f>"RGS18"</f>
        <v>RGS18</v>
      </c>
      <c r="M665">
        <v>0</v>
      </c>
      <c r="N665">
        <v>408290000</v>
      </c>
      <c r="O665">
        <v>266020000</v>
      </c>
      <c r="P665">
        <v>378240000</v>
      </c>
      <c r="Q665">
        <v>0</v>
      </c>
      <c r="R665">
        <v>216440000</v>
      </c>
      <c r="S665">
        <v>291920000</v>
      </c>
      <c r="T665">
        <v>0</v>
      </c>
      <c r="U665">
        <v>392110000</v>
      </c>
      <c r="V665">
        <v>197820000</v>
      </c>
      <c r="W665">
        <v>386190000</v>
      </c>
      <c r="X665">
        <v>310880000</v>
      </c>
    </row>
    <row r="666" spans="1:24">
      <c r="A666">
        <v>364</v>
      </c>
      <c r="B666" t="s">
        <v>1811</v>
      </c>
      <c r="C666">
        <v>2</v>
      </c>
      <c r="D666" t="s">
        <v>1812</v>
      </c>
      <c r="E666">
        <v>3</v>
      </c>
      <c r="F666">
        <v>2</v>
      </c>
      <c r="G666">
        <v>2</v>
      </c>
      <c r="H666" t="s">
        <v>1813</v>
      </c>
      <c r="I666">
        <v>31.6</v>
      </c>
      <c r="J666">
        <v>12.946</v>
      </c>
      <c r="K666" t="str">
        <f>"IGHV1OR21-1"</f>
        <v>IGHV1OR21-1</v>
      </c>
      <c r="L666" t="str">
        <f>"IGHV1OR21-1"</f>
        <v>IGHV1OR21-1</v>
      </c>
      <c r="M666">
        <v>0</v>
      </c>
      <c r="N666">
        <v>211080000</v>
      </c>
      <c r="O666">
        <v>260430000</v>
      </c>
      <c r="P666">
        <v>388330000</v>
      </c>
      <c r="Q666">
        <v>0</v>
      </c>
      <c r="R666">
        <v>0</v>
      </c>
      <c r="S666">
        <v>195630000</v>
      </c>
      <c r="T666">
        <v>0</v>
      </c>
      <c r="U666">
        <v>0</v>
      </c>
      <c r="V666">
        <v>288140000</v>
      </c>
      <c r="W666">
        <v>435550000</v>
      </c>
      <c r="X666">
        <v>151090000</v>
      </c>
    </row>
    <row r="667" spans="1:24">
      <c r="A667">
        <v>838</v>
      </c>
      <c r="B667" t="s">
        <v>1814</v>
      </c>
      <c r="C667">
        <v>2</v>
      </c>
      <c r="D667" t="s">
        <v>1815</v>
      </c>
      <c r="E667">
        <v>20</v>
      </c>
      <c r="F667">
        <v>20</v>
      </c>
      <c r="G667">
        <v>19</v>
      </c>
      <c r="H667" t="s">
        <v>1816</v>
      </c>
      <c r="I667">
        <v>29.9</v>
      </c>
      <c r="J667">
        <v>83.433999999999997</v>
      </c>
      <c r="K667" t="str">
        <f>"TARS"</f>
        <v>TARS</v>
      </c>
      <c r="L667" t="str">
        <f>"TARS"</f>
        <v>TARS</v>
      </c>
      <c r="M667">
        <v>0</v>
      </c>
      <c r="N667">
        <v>91592000</v>
      </c>
      <c r="O667">
        <v>108070000</v>
      </c>
      <c r="P667">
        <v>0</v>
      </c>
      <c r="Q667">
        <v>0</v>
      </c>
      <c r="R667">
        <v>92317000</v>
      </c>
      <c r="S667">
        <v>221560000</v>
      </c>
      <c r="T667">
        <v>0</v>
      </c>
      <c r="U667">
        <v>138570000</v>
      </c>
      <c r="V667">
        <v>0</v>
      </c>
      <c r="W667">
        <v>0</v>
      </c>
      <c r="X667">
        <v>0</v>
      </c>
    </row>
    <row r="668" spans="1:24">
      <c r="A668">
        <v>1031</v>
      </c>
      <c r="B668" t="s">
        <v>1817</v>
      </c>
      <c r="C668">
        <v>2</v>
      </c>
      <c r="D668" t="s">
        <v>1818</v>
      </c>
      <c r="E668">
        <v>11</v>
      </c>
      <c r="F668">
        <v>11</v>
      </c>
      <c r="G668">
        <v>11</v>
      </c>
      <c r="H668" t="s">
        <v>1819</v>
      </c>
      <c r="I668">
        <v>29</v>
      </c>
      <c r="J668">
        <v>46.637</v>
      </c>
      <c r="K668" t="str">
        <f>"PAFAH1B1"</f>
        <v>PAFAH1B1</v>
      </c>
      <c r="L668" t="str">
        <f>"PAFAH1B1"</f>
        <v>PAFAH1B1</v>
      </c>
      <c r="M668">
        <v>102300000</v>
      </c>
      <c r="N668">
        <v>148170000</v>
      </c>
      <c r="O668">
        <v>102410000</v>
      </c>
      <c r="P668">
        <v>0</v>
      </c>
      <c r="Q668">
        <v>129530000</v>
      </c>
      <c r="R668">
        <v>137890000</v>
      </c>
      <c r="S668">
        <v>0</v>
      </c>
      <c r="T668">
        <v>0</v>
      </c>
      <c r="U668">
        <v>73940000</v>
      </c>
      <c r="V668">
        <v>114570000</v>
      </c>
      <c r="W668">
        <v>65472000</v>
      </c>
      <c r="X668">
        <v>95006000</v>
      </c>
    </row>
    <row r="669" spans="1:24">
      <c r="A669">
        <v>389</v>
      </c>
      <c r="B669" t="s">
        <v>1820</v>
      </c>
      <c r="C669">
        <v>2</v>
      </c>
      <c r="D669" t="s">
        <v>1821</v>
      </c>
      <c r="E669">
        <v>12</v>
      </c>
      <c r="F669">
        <v>12</v>
      </c>
      <c r="G669">
        <v>12</v>
      </c>
      <c r="H669" t="s">
        <v>1822</v>
      </c>
      <c r="I669">
        <v>43.5</v>
      </c>
      <c r="J669">
        <v>42.253</v>
      </c>
      <c r="K669" t="str">
        <f>"IGHD"</f>
        <v>IGHD</v>
      </c>
      <c r="L669" t="str">
        <f>"IGHD"</f>
        <v>IGHD</v>
      </c>
      <c r="M669">
        <v>0</v>
      </c>
      <c r="N669">
        <v>0</v>
      </c>
      <c r="O669">
        <v>0</v>
      </c>
      <c r="P669">
        <v>0</v>
      </c>
      <c r="Q669">
        <v>158800000</v>
      </c>
      <c r="R669">
        <v>0</v>
      </c>
      <c r="S669">
        <v>0</v>
      </c>
      <c r="T669">
        <v>625500000</v>
      </c>
      <c r="U669">
        <v>0</v>
      </c>
      <c r="V669">
        <v>318160000</v>
      </c>
      <c r="W669">
        <v>398490000</v>
      </c>
      <c r="X669">
        <v>197680000</v>
      </c>
    </row>
    <row r="670" spans="1:24">
      <c r="A670">
        <v>2239</v>
      </c>
      <c r="B670" t="s">
        <v>1823</v>
      </c>
      <c r="C670">
        <v>2</v>
      </c>
      <c r="D670" t="s">
        <v>1824</v>
      </c>
      <c r="E670">
        <v>16</v>
      </c>
      <c r="F670">
        <v>16</v>
      </c>
      <c r="G670">
        <v>16</v>
      </c>
      <c r="H670" t="s">
        <v>1825</v>
      </c>
      <c r="I670">
        <v>27.6</v>
      </c>
      <c r="J670">
        <v>75.67</v>
      </c>
      <c r="K670" t="str">
        <f>"ADD3"</f>
        <v>ADD3</v>
      </c>
      <c r="L670" t="str">
        <f>"ADD3"</f>
        <v>ADD3</v>
      </c>
      <c r="M670">
        <v>0</v>
      </c>
      <c r="N670">
        <v>173040000</v>
      </c>
      <c r="O670">
        <v>105430000</v>
      </c>
      <c r="P670">
        <v>81445000</v>
      </c>
      <c r="Q670">
        <v>101770000</v>
      </c>
      <c r="R670">
        <v>85078000</v>
      </c>
      <c r="S670">
        <v>94350000</v>
      </c>
      <c r="T670">
        <v>0</v>
      </c>
      <c r="U670">
        <v>124170000</v>
      </c>
      <c r="V670">
        <v>138240000</v>
      </c>
      <c r="W670">
        <v>189640000</v>
      </c>
      <c r="X670">
        <v>157170000</v>
      </c>
    </row>
    <row r="671" spans="1:24">
      <c r="A671">
        <v>240</v>
      </c>
      <c r="B671" t="s">
        <v>1826</v>
      </c>
      <c r="C671">
        <v>2</v>
      </c>
      <c r="D671" t="s">
        <v>1827</v>
      </c>
      <c r="E671">
        <v>9</v>
      </c>
      <c r="F671">
        <v>9</v>
      </c>
      <c r="G671">
        <v>9</v>
      </c>
      <c r="H671" t="s">
        <v>1828</v>
      </c>
      <c r="I671">
        <v>55.9</v>
      </c>
      <c r="J671">
        <v>18.491</v>
      </c>
      <c r="K671" t="str">
        <f>"ATP5H"</f>
        <v>ATP5H</v>
      </c>
      <c r="L671" t="str">
        <f>"ATP5H"</f>
        <v>ATP5H</v>
      </c>
      <c r="M671">
        <v>168010000</v>
      </c>
      <c r="N671">
        <v>148450000</v>
      </c>
      <c r="O671">
        <v>0</v>
      </c>
      <c r="P671">
        <v>148420000</v>
      </c>
      <c r="Q671">
        <v>113360000</v>
      </c>
      <c r="R671">
        <v>270350000</v>
      </c>
      <c r="S671">
        <v>314690000</v>
      </c>
      <c r="T671">
        <v>275270000</v>
      </c>
      <c r="U671">
        <v>249030000</v>
      </c>
      <c r="V671">
        <v>0</v>
      </c>
      <c r="W671">
        <v>253490000</v>
      </c>
      <c r="X671">
        <v>226400000</v>
      </c>
    </row>
    <row r="672" spans="1:24">
      <c r="A672">
        <v>283</v>
      </c>
      <c r="B672" t="s">
        <v>1829</v>
      </c>
      <c r="C672">
        <v>5</v>
      </c>
      <c r="D672" t="s">
        <v>1830</v>
      </c>
      <c r="E672">
        <v>11</v>
      </c>
      <c r="F672">
        <v>11</v>
      </c>
      <c r="G672">
        <v>11</v>
      </c>
      <c r="H672" t="s">
        <v>1831</v>
      </c>
      <c r="I672">
        <v>22.5</v>
      </c>
      <c r="J672">
        <v>70.677999999999997</v>
      </c>
      <c r="K672" t="str">
        <f>"EML2;EML1"</f>
        <v>EML2;EML1</v>
      </c>
      <c r="L672" t="str">
        <f>"EML2;EML1"</f>
        <v>EML2;EML1</v>
      </c>
      <c r="M672">
        <v>0</v>
      </c>
      <c r="N672">
        <v>389560000</v>
      </c>
      <c r="O672">
        <v>333020000</v>
      </c>
      <c r="P672">
        <v>222690000</v>
      </c>
      <c r="Q672">
        <v>208620000</v>
      </c>
      <c r="R672">
        <v>186530000</v>
      </c>
      <c r="S672">
        <v>348750000</v>
      </c>
      <c r="T672">
        <v>0</v>
      </c>
      <c r="U672">
        <v>402510000</v>
      </c>
      <c r="V672">
        <v>251900000</v>
      </c>
      <c r="W672">
        <v>241520000</v>
      </c>
      <c r="X672">
        <v>337970000</v>
      </c>
    </row>
    <row r="673" spans="1:24">
      <c r="A673">
        <v>683</v>
      </c>
      <c r="B673" t="s">
        <v>1832</v>
      </c>
      <c r="C673">
        <v>2</v>
      </c>
      <c r="D673" t="s">
        <v>1833</v>
      </c>
      <c r="E673">
        <v>6</v>
      </c>
      <c r="F673">
        <v>6</v>
      </c>
      <c r="G673">
        <v>6</v>
      </c>
      <c r="H673" t="s">
        <v>1834</v>
      </c>
      <c r="I673">
        <v>26.3</v>
      </c>
      <c r="J673">
        <v>40.531999999999996</v>
      </c>
      <c r="K673" t="str">
        <f>"FDPS"</f>
        <v>FDPS</v>
      </c>
      <c r="L673" t="str">
        <f>"FDPS"</f>
        <v>FDPS</v>
      </c>
      <c r="M673">
        <v>0</v>
      </c>
      <c r="N673">
        <v>240140000</v>
      </c>
      <c r="O673">
        <v>355930000</v>
      </c>
      <c r="P673">
        <v>360680000</v>
      </c>
      <c r="Q673">
        <v>274700000</v>
      </c>
      <c r="R673">
        <v>268650000</v>
      </c>
      <c r="S673">
        <v>262570000</v>
      </c>
      <c r="T673">
        <v>255210000</v>
      </c>
      <c r="U673">
        <v>305780000</v>
      </c>
      <c r="V673">
        <v>224920000</v>
      </c>
      <c r="W673">
        <v>300230000</v>
      </c>
      <c r="X673">
        <v>412480000</v>
      </c>
    </row>
    <row r="674" spans="1:24">
      <c r="A674">
        <v>993</v>
      </c>
      <c r="B674" t="s">
        <v>1835</v>
      </c>
      <c r="C674">
        <v>2</v>
      </c>
      <c r="D674" t="s">
        <v>1836</v>
      </c>
      <c r="E674">
        <v>10</v>
      </c>
      <c r="F674">
        <v>10</v>
      </c>
      <c r="G674">
        <v>10</v>
      </c>
      <c r="H674" t="s">
        <v>1837</v>
      </c>
      <c r="I674">
        <v>43.5</v>
      </c>
      <c r="J674">
        <v>27.843</v>
      </c>
      <c r="K674" t="str">
        <f>"ETFB"</f>
        <v>ETFB</v>
      </c>
      <c r="L674" t="str">
        <f>"ETFB"</f>
        <v>ETFB</v>
      </c>
      <c r="M674">
        <v>76344000</v>
      </c>
      <c r="N674">
        <v>174210000</v>
      </c>
      <c r="O674">
        <v>149730000</v>
      </c>
      <c r="P674">
        <v>229390000</v>
      </c>
      <c r="Q674">
        <v>0</v>
      </c>
      <c r="R674">
        <v>166410000</v>
      </c>
      <c r="S674">
        <v>142970000</v>
      </c>
      <c r="T674">
        <v>119250000</v>
      </c>
      <c r="U674">
        <v>203010000</v>
      </c>
      <c r="V674">
        <v>140050000</v>
      </c>
      <c r="W674">
        <v>436410000</v>
      </c>
      <c r="X674">
        <v>203160000</v>
      </c>
    </row>
    <row r="675" spans="1:24">
      <c r="A675">
        <v>1025</v>
      </c>
      <c r="B675" t="s">
        <v>1838</v>
      </c>
      <c r="C675">
        <v>1</v>
      </c>
      <c r="D675" t="s">
        <v>1839</v>
      </c>
      <c r="E675">
        <v>8</v>
      </c>
      <c r="F675">
        <v>8</v>
      </c>
      <c r="G675">
        <v>8</v>
      </c>
      <c r="H675" t="s">
        <v>1838</v>
      </c>
      <c r="I675">
        <v>28.2</v>
      </c>
      <c r="J675">
        <v>31.608000000000001</v>
      </c>
      <c r="K675" t="str">
        <f>"CASP3"</f>
        <v>CASP3</v>
      </c>
      <c r="L675" t="str">
        <f>"CASP3"</f>
        <v>CASP3</v>
      </c>
      <c r="M675">
        <v>78698000</v>
      </c>
      <c r="N675">
        <v>236230000</v>
      </c>
      <c r="O675">
        <v>217960000</v>
      </c>
      <c r="P675">
        <v>0</v>
      </c>
      <c r="Q675">
        <v>0</v>
      </c>
      <c r="R675">
        <v>103330000</v>
      </c>
      <c r="S675">
        <v>199380000</v>
      </c>
      <c r="T675">
        <v>62851000</v>
      </c>
      <c r="U675">
        <v>102430000</v>
      </c>
      <c r="V675">
        <v>68524000</v>
      </c>
      <c r="W675">
        <v>87051000</v>
      </c>
      <c r="X675">
        <v>315010000</v>
      </c>
    </row>
    <row r="676" spans="1:24">
      <c r="A676">
        <v>1268</v>
      </c>
      <c r="B676" t="s">
        <v>1840</v>
      </c>
      <c r="C676">
        <v>2</v>
      </c>
      <c r="D676" t="s">
        <v>1841</v>
      </c>
      <c r="E676">
        <v>10</v>
      </c>
      <c r="F676">
        <v>10</v>
      </c>
      <c r="G676">
        <v>10</v>
      </c>
      <c r="H676" t="s">
        <v>1842</v>
      </c>
      <c r="I676">
        <v>31.6</v>
      </c>
      <c r="J676">
        <v>49.03</v>
      </c>
      <c r="K676" t="str">
        <f>"ETF1"</f>
        <v>ETF1</v>
      </c>
      <c r="L676" t="str">
        <f>"ETF1"</f>
        <v>ETF1</v>
      </c>
      <c r="M676">
        <v>0</v>
      </c>
      <c r="N676">
        <v>144010000</v>
      </c>
      <c r="O676">
        <v>127440000</v>
      </c>
      <c r="P676">
        <v>90153000</v>
      </c>
      <c r="Q676">
        <v>65736000</v>
      </c>
      <c r="R676">
        <v>111170000</v>
      </c>
      <c r="S676">
        <v>113160000</v>
      </c>
      <c r="T676">
        <v>85257000</v>
      </c>
      <c r="U676">
        <v>181950000</v>
      </c>
      <c r="V676">
        <v>0</v>
      </c>
      <c r="W676">
        <v>159980000</v>
      </c>
      <c r="X676">
        <v>169130000</v>
      </c>
    </row>
    <row r="677" spans="1:24">
      <c r="A677">
        <v>1272</v>
      </c>
      <c r="B677" t="s">
        <v>1843</v>
      </c>
      <c r="C677">
        <v>5</v>
      </c>
      <c r="D677" t="s">
        <v>1844</v>
      </c>
      <c r="E677">
        <v>14</v>
      </c>
      <c r="F677">
        <v>7</v>
      </c>
      <c r="G677">
        <v>7</v>
      </c>
      <c r="H677" t="s">
        <v>1845</v>
      </c>
      <c r="I677">
        <v>66.8</v>
      </c>
      <c r="J677">
        <v>22.677</v>
      </c>
      <c r="K677" t="str">
        <f>"RAB1A;RAB15"</f>
        <v>RAB1A;RAB15</v>
      </c>
      <c r="L677" t="str">
        <f>"RAB1A;RAB15"</f>
        <v>RAB1A;RAB15</v>
      </c>
      <c r="M677">
        <v>37028000</v>
      </c>
      <c r="N677">
        <v>0</v>
      </c>
      <c r="O677">
        <v>41045000</v>
      </c>
      <c r="P677">
        <v>59922000</v>
      </c>
      <c r="Q677">
        <v>0</v>
      </c>
      <c r="R677">
        <v>22134000</v>
      </c>
      <c r="S677">
        <v>36980000</v>
      </c>
      <c r="T677">
        <v>37469000</v>
      </c>
      <c r="U677">
        <v>0</v>
      </c>
      <c r="V677">
        <v>36899000</v>
      </c>
      <c r="W677">
        <v>0</v>
      </c>
      <c r="X677">
        <v>40818000</v>
      </c>
    </row>
    <row r="678" spans="1:24">
      <c r="A678">
        <v>264</v>
      </c>
      <c r="B678" t="s">
        <v>1846</v>
      </c>
      <c r="C678">
        <v>1</v>
      </c>
      <c r="D678" t="s">
        <v>1847</v>
      </c>
      <c r="E678">
        <v>8</v>
      </c>
      <c r="F678">
        <v>8</v>
      </c>
      <c r="G678">
        <v>8</v>
      </c>
      <c r="H678" t="s">
        <v>1846</v>
      </c>
      <c r="I678">
        <v>41.5</v>
      </c>
      <c r="J678">
        <v>27.547000000000001</v>
      </c>
      <c r="K678" t="str">
        <f>"PGLS"</f>
        <v>PGLS</v>
      </c>
      <c r="L678" t="str">
        <f>"PGLS"</f>
        <v>PGLS</v>
      </c>
      <c r="M678">
        <v>152330000</v>
      </c>
      <c r="N678">
        <v>175220000</v>
      </c>
      <c r="O678">
        <v>170100000</v>
      </c>
      <c r="P678">
        <v>226380000</v>
      </c>
      <c r="Q678">
        <v>212740000</v>
      </c>
      <c r="R678">
        <v>237720000</v>
      </c>
      <c r="S678">
        <v>248080000</v>
      </c>
      <c r="T678">
        <v>0</v>
      </c>
      <c r="U678">
        <v>207790000</v>
      </c>
      <c r="V678">
        <v>279600000</v>
      </c>
      <c r="W678">
        <v>293670000</v>
      </c>
      <c r="X678">
        <v>336900000</v>
      </c>
    </row>
    <row r="679" spans="1:24">
      <c r="A679">
        <v>699</v>
      </c>
      <c r="B679" t="s">
        <v>1848</v>
      </c>
      <c r="C679">
        <v>2</v>
      </c>
      <c r="D679" t="s">
        <v>1849</v>
      </c>
      <c r="E679">
        <v>9</v>
      </c>
      <c r="F679">
        <v>9</v>
      </c>
      <c r="G679">
        <v>9</v>
      </c>
      <c r="H679" t="s">
        <v>1850</v>
      </c>
      <c r="I679">
        <v>29.7</v>
      </c>
      <c r="J679">
        <v>52.286000000000001</v>
      </c>
      <c r="K679" t="str">
        <f>"CPN1"</f>
        <v>CPN1</v>
      </c>
      <c r="L679" t="str">
        <f>"CPN1"</f>
        <v>CPN1</v>
      </c>
      <c r="M679">
        <v>617550000</v>
      </c>
      <c r="N679">
        <v>225930000</v>
      </c>
      <c r="O679">
        <v>212900000</v>
      </c>
      <c r="P679">
        <v>120610000</v>
      </c>
      <c r="Q679">
        <v>385750000</v>
      </c>
      <c r="R679">
        <v>0</v>
      </c>
      <c r="S679">
        <v>317930000</v>
      </c>
      <c r="T679">
        <v>307080000</v>
      </c>
      <c r="U679">
        <v>176610000</v>
      </c>
      <c r="V679">
        <v>0</v>
      </c>
      <c r="W679">
        <v>120760000</v>
      </c>
      <c r="X679">
        <v>0</v>
      </c>
    </row>
    <row r="680" spans="1:24">
      <c r="A680">
        <v>1301</v>
      </c>
      <c r="B680" t="s">
        <v>1851</v>
      </c>
      <c r="C680">
        <v>3</v>
      </c>
      <c r="D680" t="s">
        <v>1852</v>
      </c>
      <c r="E680">
        <v>5</v>
      </c>
      <c r="F680">
        <v>5</v>
      </c>
      <c r="G680">
        <v>5</v>
      </c>
      <c r="H680" t="s">
        <v>1853</v>
      </c>
      <c r="I680">
        <v>47.5</v>
      </c>
      <c r="J680">
        <v>14.121</v>
      </c>
      <c r="K680" t="str">
        <f>"UBE2L3"</f>
        <v>UBE2L3</v>
      </c>
      <c r="L680" t="str">
        <f>"UBE2L3"</f>
        <v>UBE2L3</v>
      </c>
      <c r="M680">
        <v>349520000</v>
      </c>
      <c r="N680">
        <v>466040000</v>
      </c>
      <c r="O680">
        <v>455280000</v>
      </c>
      <c r="P680">
        <v>438060000</v>
      </c>
      <c r="Q680">
        <v>0</v>
      </c>
      <c r="R680">
        <v>542310000</v>
      </c>
      <c r="S680">
        <v>0</v>
      </c>
      <c r="T680">
        <v>354310000</v>
      </c>
      <c r="U680">
        <v>343780000</v>
      </c>
      <c r="V680">
        <v>441570000</v>
      </c>
      <c r="W680">
        <v>0</v>
      </c>
      <c r="X680">
        <v>0</v>
      </c>
    </row>
    <row r="681" spans="1:24">
      <c r="A681">
        <v>1790</v>
      </c>
      <c r="B681" t="s">
        <v>1854</v>
      </c>
      <c r="C681">
        <v>4</v>
      </c>
      <c r="D681" t="s">
        <v>1855</v>
      </c>
      <c r="E681">
        <v>8</v>
      </c>
      <c r="F681">
        <v>8</v>
      </c>
      <c r="G681">
        <v>8</v>
      </c>
      <c r="H681" t="s">
        <v>1856</v>
      </c>
      <c r="I681">
        <v>28.6</v>
      </c>
      <c r="J681">
        <v>51.777000000000001</v>
      </c>
      <c r="K681" t="str">
        <f>"FAM63A"</f>
        <v>FAM63A</v>
      </c>
      <c r="L681" t="str">
        <f>"FAM63A"</f>
        <v>FAM63A</v>
      </c>
      <c r="M681">
        <v>76159000</v>
      </c>
      <c r="N681">
        <v>202630000</v>
      </c>
      <c r="O681">
        <v>145180000</v>
      </c>
      <c r="P681">
        <v>81265000</v>
      </c>
      <c r="Q681">
        <v>0</v>
      </c>
      <c r="R681">
        <v>170020000</v>
      </c>
      <c r="S681">
        <v>162580000</v>
      </c>
      <c r="T681">
        <v>0</v>
      </c>
      <c r="U681">
        <v>164180000</v>
      </c>
      <c r="V681">
        <v>166140000</v>
      </c>
      <c r="W681">
        <v>154950000</v>
      </c>
      <c r="X681">
        <v>170230000</v>
      </c>
    </row>
    <row r="682" spans="1:24">
      <c r="A682">
        <v>1866</v>
      </c>
      <c r="B682" t="s">
        <v>1857</v>
      </c>
      <c r="C682">
        <v>5</v>
      </c>
      <c r="D682" t="s">
        <v>1858</v>
      </c>
      <c r="E682">
        <v>18</v>
      </c>
      <c r="F682">
        <v>18</v>
      </c>
      <c r="G682">
        <v>18</v>
      </c>
      <c r="H682" t="s">
        <v>1859</v>
      </c>
      <c r="I682">
        <v>14.7</v>
      </c>
      <c r="J682">
        <v>196.44</v>
      </c>
      <c r="K682" t="str">
        <f>"MYO18A"</f>
        <v>MYO18A</v>
      </c>
      <c r="L682" t="str">
        <f>"MYO18A"</f>
        <v>MYO18A</v>
      </c>
      <c r="M682">
        <v>0</v>
      </c>
      <c r="N682">
        <v>128690000</v>
      </c>
      <c r="O682">
        <v>100890000</v>
      </c>
      <c r="P682">
        <v>103210000</v>
      </c>
      <c r="Q682">
        <v>0</v>
      </c>
      <c r="R682">
        <v>0</v>
      </c>
      <c r="S682">
        <v>136720000</v>
      </c>
      <c r="T682">
        <v>0</v>
      </c>
      <c r="U682">
        <v>280120000</v>
      </c>
      <c r="V682">
        <v>0</v>
      </c>
      <c r="W682">
        <v>0</v>
      </c>
      <c r="X682">
        <v>104160000</v>
      </c>
    </row>
    <row r="683" spans="1:24">
      <c r="A683">
        <v>266</v>
      </c>
      <c r="B683" t="s">
        <v>1860</v>
      </c>
      <c r="C683">
        <v>1</v>
      </c>
      <c r="D683" t="s">
        <v>1861</v>
      </c>
      <c r="E683">
        <v>13</v>
      </c>
      <c r="F683">
        <v>13</v>
      </c>
      <c r="G683">
        <v>13</v>
      </c>
      <c r="H683" t="s">
        <v>1860</v>
      </c>
      <c r="I683">
        <v>16.8</v>
      </c>
      <c r="J683">
        <v>119.52</v>
      </c>
      <c r="K683" t="str">
        <f>"IPO7"</f>
        <v>IPO7</v>
      </c>
      <c r="L683" t="str">
        <f>"IPO7"</f>
        <v>IPO7</v>
      </c>
      <c r="M683">
        <v>108200000</v>
      </c>
      <c r="N683">
        <v>164560000</v>
      </c>
      <c r="O683">
        <v>120200000</v>
      </c>
      <c r="P683">
        <v>103110000</v>
      </c>
      <c r="Q683">
        <v>0</v>
      </c>
      <c r="R683">
        <v>98898000</v>
      </c>
      <c r="S683">
        <v>0</v>
      </c>
      <c r="T683">
        <v>0</v>
      </c>
      <c r="U683">
        <v>77937000</v>
      </c>
      <c r="V683">
        <v>101070000</v>
      </c>
      <c r="W683">
        <v>0</v>
      </c>
      <c r="X683">
        <v>120730000</v>
      </c>
    </row>
    <row r="684" spans="1:24">
      <c r="A684">
        <v>675</v>
      </c>
      <c r="B684" t="s">
        <v>1862</v>
      </c>
      <c r="C684">
        <v>2</v>
      </c>
      <c r="D684" t="s">
        <v>1863</v>
      </c>
      <c r="E684">
        <v>10</v>
      </c>
      <c r="F684">
        <v>10</v>
      </c>
      <c r="G684">
        <v>10</v>
      </c>
      <c r="H684" t="s">
        <v>1864</v>
      </c>
      <c r="I684">
        <v>35.4</v>
      </c>
      <c r="J684">
        <v>35.079000000000001</v>
      </c>
      <c r="K684" t="str">
        <f>"ETFA"</f>
        <v>ETFA</v>
      </c>
      <c r="L684" t="str">
        <f>"ETFA"</f>
        <v>ETFA</v>
      </c>
      <c r="M684">
        <v>135880000</v>
      </c>
      <c r="N684">
        <v>95152000</v>
      </c>
      <c r="O684">
        <v>146910000</v>
      </c>
      <c r="P684">
        <v>205880000</v>
      </c>
      <c r="Q684">
        <v>134270000</v>
      </c>
      <c r="R684">
        <v>157310000</v>
      </c>
      <c r="S684">
        <v>0</v>
      </c>
      <c r="T684">
        <v>142090000</v>
      </c>
      <c r="U684">
        <v>0</v>
      </c>
      <c r="V684">
        <v>96736000</v>
      </c>
      <c r="W684">
        <v>0</v>
      </c>
      <c r="X684">
        <v>329710000</v>
      </c>
    </row>
    <row r="685" spans="1:24">
      <c r="A685">
        <v>985</v>
      </c>
      <c r="B685" t="s">
        <v>1865</v>
      </c>
      <c r="C685">
        <v>2</v>
      </c>
      <c r="D685" t="s">
        <v>1866</v>
      </c>
      <c r="E685">
        <v>8</v>
      </c>
      <c r="F685">
        <v>8</v>
      </c>
      <c r="G685">
        <v>8</v>
      </c>
      <c r="H685" t="s">
        <v>1867</v>
      </c>
      <c r="I685">
        <v>21.9</v>
      </c>
      <c r="J685">
        <v>48.755000000000003</v>
      </c>
      <c r="K685" t="str">
        <f>"DLST"</f>
        <v>DLST</v>
      </c>
      <c r="L685" t="str">
        <f>"DLST"</f>
        <v>DLST</v>
      </c>
      <c r="M685">
        <v>135810000</v>
      </c>
      <c r="N685">
        <v>103160000</v>
      </c>
      <c r="O685">
        <v>123600000</v>
      </c>
      <c r="P685">
        <v>129220000</v>
      </c>
      <c r="Q685">
        <v>99685000</v>
      </c>
      <c r="R685">
        <v>152920000</v>
      </c>
      <c r="S685">
        <v>94205000</v>
      </c>
      <c r="T685">
        <v>111570000</v>
      </c>
      <c r="U685">
        <v>112020000</v>
      </c>
      <c r="V685">
        <v>0</v>
      </c>
      <c r="W685">
        <v>121970000</v>
      </c>
      <c r="X685">
        <v>123950000</v>
      </c>
    </row>
    <row r="686" spans="1:24">
      <c r="A686">
        <v>1282</v>
      </c>
      <c r="B686" t="s">
        <v>1868</v>
      </c>
      <c r="C686">
        <v>3</v>
      </c>
      <c r="D686" t="s">
        <v>1869</v>
      </c>
      <c r="E686">
        <v>29</v>
      </c>
      <c r="F686">
        <v>12</v>
      </c>
      <c r="G686">
        <v>12</v>
      </c>
      <c r="H686" t="s">
        <v>1870</v>
      </c>
      <c r="I686">
        <v>31.7</v>
      </c>
      <c r="J686">
        <v>104.55</v>
      </c>
      <c r="K686" t="str">
        <f>"AP2B1"</f>
        <v>AP2B1</v>
      </c>
      <c r="L686" t="str">
        <f>"AP2B1"</f>
        <v>AP2B1</v>
      </c>
      <c r="M686">
        <v>0</v>
      </c>
      <c r="N686">
        <v>129890000</v>
      </c>
      <c r="O686">
        <v>126760000</v>
      </c>
      <c r="P686">
        <v>107590000</v>
      </c>
      <c r="Q686">
        <v>95990000</v>
      </c>
      <c r="R686">
        <v>79022000</v>
      </c>
      <c r="S686">
        <v>78010000</v>
      </c>
      <c r="T686">
        <v>97330000</v>
      </c>
      <c r="U686">
        <v>92381000</v>
      </c>
      <c r="V686">
        <v>73780000</v>
      </c>
      <c r="W686">
        <v>97532000</v>
      </c>
      <c r="X686">
        <v>73170000</v>
      </c>
    </row>
    <row r="687" spans="1:24">
      <c r="A687">
        <v>1722</v>
      </c>
      <c r="B687" t="s">
        <v>1871</v>
      </c>
      <c r="C687">
        <v>7</v>
      </c>
      <c r="D687" t="s">
        <v>1872</v>
      </c>
      <c r="E687">
        <v>17</v>
      </c>
      <c r="F687">
        <v>17</v>
      </c>
      <c r="G687">
        <v>14</v>
      </c>
      <c r="H687" t="s">
        <v>1873</v>
      </c>
      <c r="I687">
        <v>19.600000000000001</v>
      </c>
      <c r="J687">
        <v>116.07</v>
      </c>
      <c r="K687" t="str">
        <f>"TAOK1;TAOK2"</f>
        <v>TAOK1;TAOK2</v>
      </c>
      <c r="L687" t="str">
        <f>"TAOK1;TAOK2"</f>
        <v>TAOK1;TAOK2</v>
      </c>
      <c r="M687">
        <v>85622000</v>
      </c>
      <c r="N687">
        <v>147420000</v>
      </c>
      <c r="O687">
        <v>153810000</v>
      </c>
      <c r="P687">
        <v>145330000</v>
      </c>
      <c r="Q687">
        <v>0</v>
      </c>
      <c r="R687">
        <v>132900000</v>
      </c>
      <c r="S687">
        <v>0</v>
      </c>
      <c r="T687">
        <v>0</v>
      </c>
      <c r="U687">
        <v>170960000</v>
      </c>
      <c r="V687">
        <v>100530000</v>
      </c>
      <c r="W687">
        <v>120590000</v>
      </c>
      <c r="X687">
        <v>148960000</v>
      </c>
    </row>
    <row r="688" spans="1:24">
      <c r="A688">
        <v>196</v>
      </c>
      <c r="B688" t="s">
        <v>1874</v>
      </c>
      <c r="C688">
        <v>12</v>
      </c>
      <c r="D688" t="s">
        <v>1875</v>
      </c>
      <c r="E688">
        <v>7</v>
      </c>
      <c r="F688">
        <v>7</v>
      </c>
      <c r="G688">
        <v>1</v>
      </c>
      <c r="H688" t="s">
        <v>1876</v>
      </c>
      <c r="I688">
        <v>51.6</v>
      </c>
      <c r="J688">
        <v>13.989000000000001</v>
      </c>
      <c r="K688" t="str">
        <f>"HIST1H2BM;HIST1H2BN;HIST1H2BH;HIST2H2BF;HIST1H2BC;HIST1H2BD;H2BFS;HIST1H2BK;HIST1H2BL;HIST3H2BB;HIST1H2BA"</f>
        <v>HIST1H2BM;HIST1H2BN;HIST1H2BH;HIST2H2BF;HIST1H2BC;HIST1H2BD;H2BFS;HIST1H2BK;HIST1H2BL;HIST3H2BB;HIST1H2BA</v>
      </c>
      <c r="L688" t="str">
        <f>"HIST1H2BM;HIST1H2BN;HIST1H2BH;HIST2H2BF;HIST1H2BC;HIST1H2BD;H2BFS;HIST1H2BK;HIST1H2BL;HIST3H2BB;HIST1H2BA"</f>
        <v>HIST1H2BM;HIST1H2BN;HIST1H2BH;HIST2H2BF;HIST1H2BC;HIST1H2BD;H2BFS;HIST1H2BK;HIST1H2BL;HIST3H2BB;HIST1H2BA</v>
      </c>
      <c r="M688">
        <v>0</v>
      </c>
      <c r="N688">
        <v>0</v>
      </c>
      <c r="O688">
        <v>0</v>
      </c>
      <c r="P688">
        <v>0</v>
      </c>
      <c r="Q688">
        <v>278470000</v>
      </c>
      <c r="R688">
        <v>2893500000</v>
      </c>
      <c r="S688">
        <v>718260000</v>
      </c>
      <c r="T688">
        <v>0</v>
      </c>
      <c r="U688">
        <v>1011300000</v>
      </c>
      <c r="V688">
        <v>448490000</v>
      </c>
      <c r="W688">
        <v>577190000</v>
      </c>
      <c r="X688">
        <v>0</v>
      </c>
    </row>
    <row r="689" spans="1:24">
      <c r="A689">
        <v>479</v>
      </c>
      <c r="B689" t="s">
        <v>1877</v>
      </c>
      <c r="C689">
        <v>1</v>
      </c>
      <c r="D689" t="s">
        <v>1878</v>
      </c>
      <c r="E689">
        <v>8</v>
      </c>
      <c r="F689">
        <v>8</v>
      </c>
      <c r="G689">
        <v>8</v>
      </c>
      <c r="H689" t="s">
        <v>1877</v>
      </c>
      <c r="I689">
        <v>20.9</v>
      </c>
      <c r="J689">
        <v>45.673999999999999</v>
      </c>
      <c r="K689" t="str">
        <f>"SERPINA5"</f>
        <v>SERPINA5</v>
      </c>
      <c r="L689" t="str">
        <f>"SERPINA5"</f>
        <v>SERPINA5</v>
      </c>
      <c r="M689">
        <v>114340000</v>
      </c>
      <c r="N689">
        <v>57545000</v>
      </c>
      <c r="O689">
        <v>93528000</v>
      </c>
      <c r="P689">
        <v>95030000</v>
      </c>
      <c r="Q689">
        <v>112050000</v>
      </c>
      <c r="R689">
        <v>59109000</v>
      </c>
      <c r="S689">
        <v>0</v>
      </c>
      <c r="T689">
        <v>107940000</v>
      </c>
      <c r="U689">
        <v>0</v>
      </c>
      <c r="V689">
        <v>93178000</v>
      </c>
      <c r="W689">
        <v>261310000</v>
      </c>
      <c r="X689">
        <v>64717000</v>
      </c>
    </row>
    <row r="690" spans="1:24">
      <c r="A690">
        <v>917</v>
      </c>
      <c r="B690" t="s">
        <v>1879</v>
      </c>
      <c r="C690">
        <v>3</v>
      </c>
      <c r="D690" t="s">
        <v>1880</v>
      </c>
      <c r="E690">
        <v>17</v>
      </c>
      <c r="F690">
        <v>17</v>
      </c>
      <c r="G690">
        <v>17</v>
      </c>
      <c r="H690" t="s">
        <v>1881</v>
      </c>
      <c r="I690">
        <v>32.5</v>
      </c>
      <c r="J690">
        <v>72.691000000000003</v>
      </c>
      <c r="K690" t="str">
        <f>"SDHA"</f>
        <v>SDHA</v>
      </c>
      <c r="L690" t="str">
        <f>"SDHA"</f>
        <v>SDHA</v>
      </c>
      <c r="M690">
        <v>0</v>
      </c>
      <c r="N690">
        <v>119490000</v>
      </c>
      <c r="O690">
        <v>152010000</v>
      </c>
      <c r="P690">
        <v>0</v>
      </c>
      <c r="Q690">
        <v>0</v>
      </c>
      <c r="R690">
        <v>142530000</v>
      </c>
      <c r="S690">
        <v>0</v>
      </c>
      <c r="T690">
        <v>77422000</v>
      </c>
      <c r="U690">
        <v>43345000</v>
      </c>
      <c r="V690">
        <v>0</v>
      </c>
      <c r="W690">
        <v>55250000</v>
      </c>
      <c r="X690">
        <v>52356000</v>
      </c>
    </row>
    <row r="691" spans="1:24">
      <c r="A691">
        <v>976</v>
      </c>
      <c r="B691" t="s">
        <v>1882</v>
      </c>
      <c r="C691">
        <v>2</v>
      </c>
      <c r="D691" t="s">
        <v>1883</v>
      </c>
      <c r="E691">
        <v>7</v>
      </c>
      <c r="F691">
        <v>7</v>
      </c>
      <c r="G691">
        <v>7</v>
      </c>
      <c r="H691" t="s">
        <v>1884</v>
      </c>
      <c r="I691">
        <v>23.2</v>
      </c>
      <c r="J691">
        <v>32.881</v>
      </c>
      <c r="K691" t="str">
        <f>"ATP5C1"</f>
        <v>ATP5C1</v>
      </c>
      <c r="L691" t="str">
        <f>"ATP5C1"</f>
        <v>ATP5C1</v>
      </c>
      <c r="M691">
        <v>137150000</v>
      </c>
      <c r="N691">
        <v>106800000</v>
      </c>
      <c r="O691">
        <v>136750000</v>
      </c>
      <c r="P691">
        <v>79584000</v>
      </c>
      <c r="Q691">
        <v>77478000</v>
      </c>
      <c r="R691">
        <v>163090000</v>
      </c>
      <c r="S691">
        <v>199270000</v>
      </c>
      <c r="T691">
        <v>135560000</v>
      </c>
      <c r="U691">
        <v>245140000</v>
      </c>
      <c r="V691">
        <v>96852000</v>
      </c>
      <c r="W691">
        <v>196920000</v>
      </c>
      <c r="X691">
        <v>158100000</v>
      </c>
    </row>
    <row r="692" spans="1:24">
      <c r="A692">
        <v>1027</v>
      </c>
      <c r="B692" t="s">
        <v>1885</v>
      </c>
      <c r="C692">
        <v>1</v>
      </c>
      <c r="D692" t="s">
        <v>1886</v>
      </c>
      <c r="E692">
        <v>8</v>
      </c>
      <c r="F692">
        <v>8</v>
      </c>
      <c r="G692">
        <v>8</v>
      </c>
      <c r="H692" t="s">
        <v>1885</v>
      </c>
      <c r="I692">
        <v>23.7</v>
      </c>
      <c r="J692">
        <v>52.911999999999999</v>
      </c>
      <c r="K692" t="str">
        <f>"WAS"</f>
        <v>WAS</v>
      </c>
      <c r="L692" t="str">
        <f>"WAS"</f>
        <v>WAS</v>
      </c>
      <c r="M692">
        <v>0</v>
      </c>
      <c r="N692">
        <v>182930000</v>
      </c>
      <c r="O692">
        <v>141620000</v>
      </c>
      <c r="P692">
        <v>81627000</v>
      </c>
      <c r="Q692">
        <v>97049000</v>
      </c>
      <c r="R692">
        <v>96504000</v>
      </c>
      <c r="S692">
        <v>175240000</v>
      </c>
      <c r="T692">
        <v>0</v>
      </c>
      <c r="U692">
        <v>113910000</v>
      </c>
      <c r="V692">
        <v>107610000</v>
      </c>
      <c r="W692">
        <v>140090000</v>
      </c>
      <c r="X692">
        <v>168090000</v>
      </c>
    </row>
    <row r="693" spans="1:24">
      <c r="A693">
        <v>1221</v>
      </c>
      <c r="B693" t="s">
        <v>1887</v>
      </c>
      <c r="C693">
        <v>3</v>
      </c>
      <c r="D693" t="s">
        <v>1888</v>
      </c>
      <c r="E693">
        <v>7</v>
      </c>
      <c r="F693">
        <v>7</v>
      </c>
      <c r="G693">
        <v>3</v>
      </c>
      <c r="H693" t="s">
        <v>1889</v>
      </c>
      <c r="I693">
        <v>24.5</v>
      </c>
      <c r="J693">
        <v>34.834000000000003</v>
      </c>
      <c r="K693" t="str">
        <f>"PRPS1;PRPS1L1"</f>
        <v>PRPS1;PRPS1L1</v>
      </c>
      <c r="L693" t="str">
        <f>"PRPS1;PRPS1L1"</f>
        <v>PRPS1;PRPS1L1</v>
      </c>
      <c r="M693">
        <v>100920000</v>
      </c>
      <c r="N693">
        <v>136880000</v>
      </c>
      <c r="O693">
        <v>111240000</v>
      </c>
      <c r="P693">
        <v>115810000</v>
      </c>
      <c r="Q693">
        <v>0</v>
      </c>
      <c r="R693">
        <v>185400000</v>
      </c>
      <c r="S693">
        <v>154120000</v>
      </c>
      <c r="T693">
        <v>121010000</v>
      </c>
      <c r="U693">
        <v>207650000</v>
      </c>
      <c r="V693">
        <v>149500000</v>
      </c>
      <c r="W693">
        <v>146150000</v>
      </c>
      <c r="X693">
        <v>173120000</v>
      </c>
    </row>
    <row r="694" spans="1:24">
      <c r="A694">
        <v>1222</v>
      </c>
      <c r="B694" t="s">
        <v>1890</v>
      </c>
      <c r="C694">
        <v>3</v>
      </c>
      <c r="D694" t="s">
        <v>1891</v>
      </c>
      <c r="E694">
        <v>7</v>
      </c>
      <c r="F694">
        <v>7</v>
      </c>
      <c r="G694">
        <v>7</v>
      </c>
      <c r="H694" t="s">
        <v>1892</v>
      </c>
      <c r="I694">
        <v>27.6</v>
      </c>
      <c r="J694">
        <v>27.399000000000001</v>
      </c>
      <c r="K694" t="str">
        <f>"PSMA6"</f>
        <v>PSMA6</v>
      </c>
      <c r="L694" t="str">
        <f>"PSMA6"</f>
        <v>PSMA6</v>
      </c>
      <c r="M694">
        <v>265750000</v>
      </c>
      <c r="N694">
        <v>239790000</v>
      </c>
      <c r="O694">
        <v>233900000</v>
      </c>
      <c r="P694">
        <v>307910000</v>
      </c>
      <c r="Q694">
        <v>0</v>
      </c>
      <c r="R694">
        <v>338620000</v>
      </c>
      <c r="S694">
        <v>208660000</v>
      </c>
      <c r="T694">
        <v>337990000</v>
      </c>
      <c r="U694">
        <v>324860000</v>
      </c>
      <c r="V694">
        <v>209130000</v>
      </c>
      <c r="W694">
        <v>261550000</v>
      </c>
      <c r="X694">
        <v>294850000</v>
      </c>
    </row>
    <row r="695" spans="1:24">
      <c r="A695">
        <v>1969</v>
      </c>
      <c r="B695" t="s">
        <v>1893</v>
      </c>
      <c r="C695">
        <v>10</v>
      </c>
      <c r="D695" t="s">
        <v>1894</v>
      </c>
      <c r="E695">
        <v>11</v>
      </c>
      <c r="F695">
        <v>11</v>
      </c>
      <c r="G695">
        <v>8</v>
      </c>
      <c r="H695" t="s">
        <v>1895</v>
      </c>
      <c r="I695">
        <v>9.1999999999999993</v>
      </c>
      <c r="J695">
        <v>146.08000000000001</v>
      </c>
      <c r="K695" t="str">
        <f>"ERBB2IP;LRRC7"</f>
        <v>ERBB2IP;LRRC7</v>
      </c>
      <c r="L695" t="str">
        <f>"ERBIN;LRRC7"</f>
        <v>ERBIN;LRRC7</v>
      </c>
      <c r="M695">
        <v>134150000</v>
      </c>
      <c r="N695">
        <v>133530000</v>
      </c>
      <c r="O695">
        <v>91612000</v>
      </c>
      <c r="P695">
        <v>98469000</v>
      </c>
      <c r="Q695">
        <v>87473000</v>
      </c>
      <c r="R695">
        <v>109960000</v>
      </c>
      <c r="S695">
        <v>72242000</v>
      </c>
      <c r="T695">
        <v>142390000</v>
      </c>
      <c r="U695">
        <v>148420000</v>
      </c>
      <c r="V695">
        <v>132810000</v>
      </c>
      <c r="W695">
        <v>0</v>
      </c>
      <c r="X695">
        <v>91340000</v>
      </c>
    </row>
    <row r="696" spans="1:24">
      <c r="A696">
        <v>1169</v>
      </c>
      <c r="B696" t="s">
        <v>1896</v>
      </c>
      <c r="C696">
        <v>1</v>
      </c>
      <c r="D696" t="s">
        <v>1897</v>
      </c>
      <c r="E696">
        <v>4</v>
      </c>
      <c r="F696">
        <v>4</v>
      </c>
      <c r="G696">
        <v>4</v>
      </c>
      <c r="H696" t="s">
        <v>1896</v>
      </c>
      <c r="I696">
        <v>17.2</v>
      </c>
      <c r="J696">
        <v>20.324000000000002</v>
      </c>
      <c r="K696" t="str">
        <f>"PTTG1IP"</f>
        <v>PTTG1IP</v>
      </c>
      <c r="L696" t="str">
        <f>"PTTG1IP"</f>
        <v>PTTG1IP</v>
      </c>
      <c r="M696">
        <v>0</v>
      </c>
      <c r="N696">
        <v>272280000</v>
      </c>
      <c r="O696" s="8">
        <v>235000000</v>
      </c>
      <c r="P696">
        <v>204570000</v>
      </c>
      <c r="Q696">
        <v>0</v>
      </c>
      <c r="R696">
        <v>292250000</v>
      </c>
      <c r="S696">
        <v>281440000</v>
      </c>
      <c r="T696">
        <v>274200000</v>
      </c>
      <c r="U696">
        <v>351810000</v>
      </c>
      <c r="V696">
        <v>229520000</v>
      </c>
      <c r="W696">
        <v>278580000</v>
      </c>
      <c r="X696">
        <v>316090000</v>
      </c>
    </row>
    <row r="697" spans="1:24">
      <c r="A697">
        <v>1239</v>
      </c>
      <c r="B697" t="s">
        <v>1898</v>
      </c>
      <c r="C697">
        <v>2</v>
      </c>
      <c r="D697" t="s">
        <v>1899</v>
      </c>
      <c r="E697">
        <v>14</v>
      </c>
      <c r="F697">
        <v>14</v>
      </c>
      <c r="G697">
        <v>14</v>
      </c>
      <c r="H697" t="s">
        <v>1900</v>
      </c>
      <c r="I697">
        <v>40.200000000000003</v>
      </c>
      <c r="J697">
        <v>51.595999999999997</v>
      </c>
      <c r="K697" t="str">
        <f>"COPS2"</f>
        <v>COPS2</v>
      </c>
      <c r="L697" t="str">
        <f>"COPS2"</f>
        <v>COPS2</v>
      </c>
      <c r="M697">
        <v>0</v>
      </c>
      <c r="N697">
        <v>122200000</v>
      </c>
      <c r="O697">
        <v>119990000</v>
      </c>
      <c r="P697">
        <v>52101000</v>
      </c>
      <c r="Q697">
        <v>0</v>
      </c>
      <c r="R697">
        <v>97760000</v>
      </c>
      <c r="S697">
        <v>189930000</v>
      </c>
      <c r="T697">
        <v>119270000</v>
      </c>
      <c r="U697">
        <v>164810000</v>
      </c>
      <c r="V697">
        <v>114680000</v>
      </c>
      <c r="W697">
        <v>189490000</v>
      </c>
      <c r="X697">
        <v>173060000</v>
      </c>
    </row>
    <row r="698" spans="1:24">
      <c r="A698">
        <v>1322</v>
      </c>
      <c r="B698" t="s">
        <v>1901</v>
      </c>
      <c r="C698">
        <v>1</v>
      </c>
      <c r="D698" t="s">
        <v>1902</v>
      </c>
      <c r="E698">
        <v>3</v>
      </c>
      <c r="F698">
        <v>3</v>
      </c>
      <c r="G698">
        <v>3</v>
      </c>
      <c r="H698" t="s">
        <v>1901</v>
      </c>
      <c r="I698">
        <v>37.799999999999997</v>
      </c>
      <c r="J698">
        <v>11.935</v>
      </c>
      <c r="K698" t="s">
        <v>1903</v>
      </c>
      <c r="L698" t="s">
        <v>1903</v>
      </c>
      <c r="M698">
        <v>1157900000</v>
      </c>
      <c r="N698">
        <v>346440000</v>
      </c>
      <c r="O698">
        <v>633620000</v>
      </c>
      <c r="P698">
        <v>1910800000</v>
      </c>
      <c r="Q698">
        <v>900300000</v>
      </c>
      <c r="R698">
        <v>1501900000</v>
      </c>
      <c r="S698">
        <v>425980000</v>
      </c>
      <c r="T698">
        <v>1755700000</v>
      </c>
      <c r="U698">
        <v>129910000</v>
      </c>
      <c r="V698">
        <v>830180000</v>
      </c>
      <c r="W698">
        <v>491150000</v>
      </c>
      <c r="X698">
        <v>327420000</v>
      </c>
    </row>
    <row r="699" spans="1:24">
      <c r="A699">
        <v>1412</v>
      </c>
      <c r="B699" t="s">
        <v>1904</v>
      </c>
      <c r="C699">
        <v>1</v>
      </c>
      <c r="D699" t="s">
        <v>1905</v>
      </c>
      <c r="E699">
        <v>15</v>
      </c>
      <c r="F699">
        <v>15</v>
      </c>
      <c r="G699">
        <v>15</v>
      </c>
      <c r="H699" t="s">
        <v>1904</v>
      </c>
      <c r="I699">
        <v>54.2</v>
      </c>
      <c r="J699">
        <v>40.228000000000002</v>
      </c>
      <c r="K699" t="str">
        <f>"LMAN2"</f>
        <v>LMAN2</v>
      </c>
      <c r="L699" t="str">
        <f>"LMAN2"</f>
        <v>LMAN2</v>
      </c>
      <c r="M699">
        <v>0</v>
      </c>
      <c r="N699">
        <v>165550000</v>
      </c>
      <c r="O699">
        <v>275360000</v>
      </c>
      <c r="P699">
        <v>205140000</v>
      </c>
      <c r="Q699">
        <v>0</v>
      </c>
      <c r="R699">
        <v>193540000</v>
      </c>
      <c r="S699">
        <v>347500000</v>
      </c>
      <c r="T699">
        <v>0</v>
      </c>
      <c r="U699">
        <v>348390000</v>
      </c>
      <c r="V699">
        <v>179610000</v>
      </c>
      <c r="W699">
        <v>0</v>
      </c>
      <c r="X699">
        <v>311270000</v>
      </c>
    </row>
    <row r="700" spans="1:24">
      <c r="A700">
        <v>1442</v>
      </c>
      <c r="B700" t="s">
        <v>1906</v>
      </c>
      <c r="C700">
        <v>6</v>
      </c>
      <c r="D700" t="s">
        <v>1907</v>
      </c>
      <c r="E700">
        <v>6</v>
      </c>
      <c r="F700">
        <v>6</v>
      </c>
      <c r="G700">
        <v>2</v>
      </c>
      <c r="H700" t="s">
        <v>1908</v>
      </c>
      <c r="I700">
        <v>34.700000000000003</v>
      </c>
      <c r="J700">
        <v>16.495000000000001</v>
      </c>
      <c r="K700" t="str">
        <f>"UBE2V1"</f>
        <v>UBE2V1</v>
      </c>
      <c r="L700" t="str">
        <f>"UBE2V1"</f>
        <v>UBE2V1</v>
      </c>
      <c r="M700">
        <v>0</v>
      </c>
      <c r="N700">
        <v>116250000</v>
      </c>
      <c r="O700">
        <v>142180000</v>
      </c>
      <c r="P700">
        <v>121100000</v>
      </c>
      <c r="Q700">
        <v>98474000</v>
      </c>
      <c r="R700">
        <v>194400000</v>
      </c>
      <c r="S700">
        <v>79750000</v>
      </c>
      <c r="T700">
        <v>183340000</v>
      </c>
      <c r="U700">
        <v>67729000</v>
      </c>
      <c r="V700">
        <v>138280000</v>
      </c>
      <c r="W700">
        <v>78832000</v>
      </c>
      <c r="X700">
        <v>165980000</v>
      </c>
    </row>
    <row r="701" spans="1:24">
      <c r="A701">
        <v>2240</v>
      </c>
      <c r="B701" t="s">
        <v>1909</v>
      </c>
      <c r="C701">
        <v>1</v>
      </c>
      <c r="D701" t="s">
        <v>1910</v>
      </c>
      <c r="E701">
        <v>7</v>
      </c>
      <c r="F701">
        <v>7</v>
      </c>
      <c r="G701">
        <v>6</v>
      </c>
      <c r="H701" t="s">
        <v>1909</v>
      </c>
      <c r="I701">
        <v>32</v>
      </c>
      <c r="J701">
        <v>28.466000000000001</v>
      </c>
      <c r="K701" t="str">
        <f>"NIPSNAP3A"</f>
        <v>NIPSNAP3A</v>
      </c>
      <c r="L701" t="str">
        <f>"NIPSNAP3A"</f>
        <v>NIPSNAP3A</v>
      </c>
      <c r="M701">
        <v>345270000</v>
      </c>
      <c r="N701">
        <v>166680000</v>
      </c>
      <c r="O701" s="8">
        <v>211000000</v>
      </c>
      <c r="P701">
        <v>169140000</v>
      </c>
      <c r="Q701">
        <v>215460000</v>
      </c>
      <c r="R701">
        <v>267700000</v>
      </c>
      <c r="S701">
        <v>331830000</v>
      </c>
      <c r="T701">
        <v>286700000</v>
      </c>
      <c r="U701">
        <v>718760000</v>
      </c>
      <c r="V701">
        <v>206690000</v>
      </c>
      <c r="W701">
        <v>295040000</v>
      </c>
      <c r="X701">
        <v>174530000</v>
      </c>
    </row>
    <row r="702" spans="1:24">
      <c r="A702">
        <v>987</v>
      </c>
      <c r="B702" t="s">
        <v>1911</v>
      </c>
      <c r="C702">
        <v>2</v>
      </c>
      <c r="D702" t="s">
        <v>1912</v>
      </c>
      <c r="E702">
        <v>9</v>
      </c>
      <c r="F702">
        <v>9</v>
      </c>
      <c r="G702">
        <v>9</v>
      </c>
      <c r="H702" t="s">
        <v>1913</v>
      </c>
      <c r="I702">
        <v>56.5</v>
      </c>
      <c r="J702">
        <v>19.524999999999999</v>
      </c>
      <c r="K702" t="str">
        <f>"GPX4"</f>
        <v>GPX4</v>
      </c>
      <c r="L702" t="str">
        <f>"GPX4"</f>
        <v>GPX4</v>
      </c>
      <c r="M702">
        <v>4145300000</v>
      </c>
      <c r="N702" s="8">
        <v>2110000000</v>
      </c>
      <c r="O702">
        <v>1724600000</v>
      </c>
      <c r="P702">
        <v>4072800000</v>
      </c>
      <c r="Q702">
        <v>0</v>
      </c>
      <c r="R702">
        <v>2045100000</v>
      </c>
      <c r="S702">
        <v>3036200000</v>
      </c>
      <c r="T702">
        <v>0</v>
      </c>
      <c r="U702">
        <v>1645200000</v>
      </c>
      <c r="V702" s="8">
        <v>3625000000</v>
      </c>
      <c r="W702">
        <v>0</v>
      </c>
      <c r="X702">
        <v>2789500000</v>
      </c>
    </row>
    <row r="703" spans="1:24">
      <c r="A703">
        <v>1117</v>
      </c>
      <c r="B703" t="s">
        <v>1914</v>
      </c>
      <c r="C703">
        <v>3</v>
      </c>
      <c r="D703" t="s">
        <v>1915</v>
      </c>
      <c r="E703">
        <v>8</v>
      </c>
      <c r="F703">
        <v>8</v>
      </c>
      <c r="G703">
        <v>8</v>
      </c>
      <c r="H703" t="s">
        <v>1916</v>
      </c>
      <c r="I703">
        <v>25.5</v>
      </c>
      <c r="J703">
        <v>41.331000000000003</v>
      </c>
      <c r="K703" t="str">
        <f>"ST13;ST13P5;ST13P4"</f>
        <v>ST13;ST13P5;ST13P4</v>
      </c>
      <c r="L703" t="str">
        <f>"ST13;ST13P5;ST13P4"</f>
        <v>ST13;ST13P5;ST13P4</v>
      </c>
      <c r="M703">
        <v>283150000</v>
      </c>
      <c r="N703">
        <v>499430000</v>
      </c>
      <c r="O703">
        <v>399020000</v>
      </c>
      <c r="P703">
        <v>399680000</v>
      </c>
      <c r="Q703">
        <v>303860000</v>
      </c>
      <c r="R703">
        <v>435490000</v>
      </c>
      <c r="S703">
        <v>375680000</v>
      </c>
      <c r="T703">
        <v>314890000</v>
      </c>
      <c r="U703">
        <v>358280000</v>
      </c>
      <c r="V703">
        <v>348770000</v>
      </c>
      <c r="W703">
        <v>484810000</v>
      </c>
      <c r="X703">
        <v>414730000</v>
      </c>
    </row>
    <row r="704" spans="1:24">
      <c r="A704">
        <v>193</v>
      </c>
      <c r="B704" t="s">
        <v>1917</v>
      </c>
      <c r="C704">
        <v>2</v>
      </c>
      <c r="D704" t="s">
        <v>1918</v>
      </c>
      <c r="E704">
        <v>14</v>
      </c>
      <c r="F704">
        <v>14</v>
      </c>
      <c r="G704">
        <v>12</v>
      </c>
      <c r="H704" t="s">
        <v>1919</v>
      </c>
      <c r="I704">
        <v>37.6</v>
      </c>
      <c r="J704">
        <v>46.097000000000001</v>
      </c>
      <c r="K704" t="str">
        <f>"SNX2"</f>
        <v>SNX2</v>
      </c>
      <c r="L704" t="str">
        <f>"SNX2"</f>
        <v>SNX2</v>
      </c>
      <c r="M704">
        <v>0</v>
      </c>
      <c r="N704">
        <v>0</v>
      </c>
      <c r="O704">
        <v>112370000</v>
      </c>
      <c r="P704">
        <v>57162000</v>
      </c>
      <c r="Q704">
        <v>0</v>
      </c>
      <c r="R704">
        <v>134090000</v>
      </c>
      <c r="S704">
        <v>93084000</v>
      </c>
      <c r="T704">
        <v>0</v>
      </c>
      <c r="U704">
        <v>82256000</v>
      </c>
      <c r="V704">
        <v>0</v>
      </c>
      <c r="W704">
        <v>89624000</v>
      </c>
      <c r="X704">
        <v>154440000</v>
      </c>
    </row>
    <row r="705" spans="1:24">
      <c r="A705">
        <v>1941</v>
      </c>
      <c r="B705" t="s">
        <v>1920</v>
      </c>
      <c r="C705">
        <v>2</v>
      </c>
      <c r="D705" t="s">
        <v>1921</v>
      </c>
      <c r="E705">
        <v>5</v>
      </c>
      <c r="F705">
        <v>5</v>
      </c>
      <c r="G705">
        <v>5</v>
      </c>
      <c r="H705" t="s">
        <v>1922</v>
      </c>
      <c r="I705">
        <v>32.9</v>
      </c>
      <c r="J705">
        <v>22.344999999999999</v>
      </c>
      <c r="K705" t="str">
        <f>"ABHD14B"</f>
        <v>ABHD14B</v>
      </c>
      <c r="L705" t="str">
        <f>"ABHD14B"</f>
        <v>ABHD14B</v>
      </c>
      <c r="M705">
        <v>163490000</v>
      </c>
      <c r="N705">
        <v>163160000</v>
      </c>
      <c r="O705">
        <v>0</v>
      </c>
      <c r="P705">
        <v>141500000</v>
      </c>
      <c r="Q705">
        <v>107960000</v>
      </c>
      <c r="R705">
        <v>90578000</v>
      </c>
      <c r="S705">
        <v>244220000</v>
      </c>
      <c r="T705">
        <v>182080000</v>
      </c>
      <c r="U705">
        <v>312160000</v>
      </c>
      <c r="V705">
        <v>153560000</v>
      </c>
      <c r="W705">
        <v>309980000</v>
      </c>
      <c r="X705">
        <v>265420000</v>
      </c>
    </row>
    <row r="706" spans="1:24">
      <c r="A706">
        <v>2026</v>
      </c>
      <c r="B706" t="s">
        <v>1923</v>
      </c>
      <c r="C706">
        <v>2</v>
      </c>
      <c r="D706" t="s">
        <v>1924</v>
      </c>
      <c r="E706">
        <v>13</v>
      </c>
      <c r="F706">
        <v>13</v>
      </c>
      <c r="G706">
        <v>13</v>
      </c>
      <c r="H706" t="s">
        <v>1925</v>
      </c>
      <c r="I706">
        <v>40.4</v>
      </c>
      <c r="J706">
        <v>46.268000000000001</v>
      </c>
      <c r="K706" t="str">
        <f>"COPS4"</f>
        <v>COPS4</v>
      </c>
      <c r="L706" t="str">
        <f>"COPS4"</f>
        <v>COPS4</v>
      </c>
      <c r="M706">
        <v>0</v>
      </c>
      <c r="N706">
        <v>74148000</v>
      </c>
      <c r="O706">
        <v>92518000</v>
      </c>
      <c r="P706">
        <v>82930000</v>
      </c>
      <c r="Q706">
        <v>0</v>
      </c>
      <c r="R706">
        <v>90262000</v>
      </c>
      <c r="S706">
        <v>111400000</v>
      </c>
      <c r="T706">
        <v>0</v>
      </c>
      <c r="U706">
        <v>103340000</v>
      </c>
      <c r="V706">
        <v>109380000</v>
      </c>
      <c r="W706">
        <v>115140000</v>
      </c>
      <c r="X706">
        <v>140320000</v>
      </c>
    </row>
    <row r="707" spans="1:24">
      <c r="A707">
        <v>2294</v>
      </c>
      <c r="B707" t="s">
        <v>1926</v>
      </c>
      <c r="C707">
        <v>4</v>
      </c>
      <c r="D707" t="s">
        <v>1927</v>
      </c>
      <c r="E707">
        <v>12</v>
      </c>
      <c r="F707">
        <v>12</v>
      </c>
      <c r="G707">
        <v>12</v>
      </c>
      <c r="H707" t="s">
        <v>1928</v>
      </c>
      <c r="I707">
        <v>21.1</v>
      </c>
      <c r="J707">
        <v>63.167000000000002</v>
      </c>
      <c r="K707" t="str">
        <f>"MAGED2;MAGED1"</f>
        <v>MAGED2;MAGED1</v>
      </c>
      <c r="L707" t="str">
        <f>"MAGED2;MAGED1"</f>
        <v>MAGED2;MAGED1</v>
      </c>
      <c r="M707">
        <v>64058000</v>
      </c>
      <c r="N707">
        <v>0</v>
      </c>
      <c r="O707">
        <v>77658000</v>
      </c>
      <c r="P707">
        <v>41468000</v>
      </c>
      <c r="Q707">
        <v>0</v>
      </c>
      <c r="R707">
        <v>106450000</v>
      </c>
      <c r="S707">
        <v>85398000</v>
      </c>
      <c r="T707">
        <v>59086000</v>
      </c>
      <c r="U707">
        <v>100180000</v>
      </c>
      <c r="V707">
        <v>85152000</v>
      </c>
      <c r="W707">
        <v>49941000</v>
      </c>
      <c r="X707">
        <v>96823000</v>
      </c>
    </row>
    <row r="708" spans="1:24">
      <c r="A708">
        <v>2337</v>
      </c>
      <c r="B708" t="s">
        <v>1929</v>
      </c>
      <c r="C708">
        <v>3</v>
      </c>
      <c r="D708" t="s">
        <v>1930</v>
      </c>
      <c r="E708">
        <v>10</v>
      </c>
      <c r="F708">
        <v>10</v>
      </c>
      <c r="G708">
        <v>9</v>
      </c>
      <c r="H708" t="s">
        <v>1931</v>
      </c>
      <c r="I708">
        <v>29</v>
      </c>
      <c r="J708">
        <v>40.795999999999999</v>
      </c>
      <c r="K708" t="str">
        <f>"SH3GLB1"</f>
        <v>SH3GLB1</v>
      </c>
      <c r="L708" t="str">
        <f>"SH3GLB1"</f>
        <v>SH3GLB1</v>
      </c>
      <c r="M708">
        <v>125730000</v>
      </c>
      <c r="N708">
        <v>117890000</v>
      </c>
      <c r="O708">
        <v>127360000</v>
      </c>
      <c r="P708">
        <v>0</v>
      </c>
      <c r="Q708">
        <v>0</v>
      </c>
      <c r="R708">
        <v>146410000</v>
      </c>
      <c r="S708">
        <v>73822000</v>
      </c>
      <c r="T708">
        <v>92984000</v>
      </c>
      <c r="U708">
        <v>57868000</v>
      </c>
      <c r="V708">
        <v>106040000</v>
      </c>
      <c r="W708">
        <v>0</v>
      </c>
      <c r="X708">
        <v>145690000</v>
      </c>
    </row>
    <row r="709" spans="1:24">
      <c r="A709">
        <v>703</v>
      </c>
      <c r="B709" t="s">
        <v>1932</v>
      </c>
      <c r="C709">
        <v>2</v>
      </c>
      <c r="D709" t="s">
        <v>1933</v>
      </c>
      <c r="E709">
        <v>17</v>
      </c>
      <c r="F709">
        <v>17</v>
      </c>
      <c r="G709">
        <v>15</v>
      </c>
      <c r="H709" t="s">
        <v>1934</v>
      </c>
      <c r="I709">
        <v>23.8</v>
      </c>
      <c r="J709">
        <v>98.313000000000002</v>
      </c>
      <c r="K709" t="str">
        <f>"VAV1"</f>
        <v>VAV1</v>
      </c>
      <c r="L709" t="str">
        <f>"VAV1"</f>
        <v>VAV1</v>
      </c>
      <c r="M709">
        <v>0</v>
      </c>
      <c r="N709">
        <v>96030000</v>
      </c>
      <c r="O709">
        <v>84469000</v>
      </c>
      <c r="P709">
        <v>62828000</v>
      </c>
      <c r="Q709">
        <v>0</v>
      </c>
      <c r="R709">
        <v>58538000</v>
      </c>
      <c r="S709">
        <v>50737000</v>
      </c>
      <c r="T709">
        <v>63549000</v>
      </c>
      <c r="U709">
        <v>138380000</v>
      </c>
      <c r="V709">
        <v>74155000</v>
      </c>
      <c r="W709">
        <v>0</v>
      </c>
      <c r="X709">
        <v>90878000</v>
      </c>
    </row>
    <row r="710" spans="1:24">
      <c r="A710">
        <v>858</v>
      </c>
      <c r="B710" t="s">
        <v>1935</v>
      </c>
      <c r="C710">
        <v>2</v>
      </c>
      <c r="D710" t="s">
        <v>1936</v>
      </c>
      <c r="E710">
        <v>8</v>
      </c>
      <c r="F710">
        <v>8</v>
      </c>
      <c r="G710">
        <v>8</v>
      </c>
      <c r="H710" t="s">
        <v>1937</v>
      </c>
      <c r="I710">
        <v>44.4</v>
      </c>
      <c r="J710">
        <v>26.411000000000001</v>
      </c>
      <c r="K710" t="str">
        <f>"PSMA5"</f>
        <v>PSMA5</v>
      </c>
      <c r="L710" t="str">
        <f>"PSMA5"</f>
        <v>PSMA5</v>
      </c>
      <c r="M710">
        <v>0</v>
      </c>
      <c r="N710">
        <v>77745000</v>
      </c>
      <c r="O710">
        <v>122590000</v>
      </c>
      <c r="P710">
        <v>110620000</v>
      </c>
      <c r="Q710">
        <v>0</v>
      </c>
      <c r="R710">
        <v>178040000</v>
      </c>
      <c r="S710">
        <v>204140000</v>
      </c>
      <c r="T710">
        <v>119860000</v>
      </c>
      <c r="U710">
        <v>144740000</v>
      </c>
      <c r="V710">
        <v>96116000</v>
      </c>
      <c r="W710">
        <v>186880000</v>
      </c>
      <c r="X710">
        <v>226440000</v>
      </c>
    </row>
    <row r="711" spans="1:24">
      <c r="A711">
        <v>1797</v>
      </c>
      <c r="B711" t="s">
        <v>1938</v>
      </c>
      <c r="C711">
        <v>2</v>
      </c>
      <c r="D711" t="s">
        <v>1939</v>
      </c>
      <c r="E711">
        <v>12</v>
      </c>
      <c r="F711">
        <v>12</v>
      </c>
      <c r="G711">
        <v>12</v>
      </c>
      <c r="H711" t="s">
        <v>1940</v>
      </c>
      <c r="I711">
        <v>20.8</v>
      </c>
      <c r="J711">
        <v>79.442999999999998</v>
      </c>
      <c r="K711" t="str">
        <f>"NHLRC2"</f>
        <v>NHLRC2</v>
      </c>
      <c r="L711" t="str">
        <f>"NHLRC2"</f>
        <v>NHLRC2</v>
      </c>
      <c r="M711">
        <v>0</v>
      </c>
      <c r="N711">
        <v>81837000</v>
      </c>
      <c r="O711">
        <v>118780000</v>
      </c>
      <c r="P711">
        <v>132030000</v>
      </c>
      <c r="Q711">
        <v>50948000</v>
      </c>
      <c r="R711">
        <v>104220000</v>
      </c>
      <c r="S711">
        <v>150490000</v>
      </c>
      <c r="T711">
        <v>72078000</v>
      </c>
      <c r="U711">
        <v>117620000</v>
      </c>
      <c r="V711">
        <v>81164000</v>
      </c>
      <c r="W711">
        <v>0</v>
      </c>
      <c r="X711">
        <v>97294000</v>
      </c>
    </row>
    <row r="712" spans="1:24">
      <c r="A712">
        <v>195</v>
      </c>
      <c r="B712" t="s">
        <v>1941</v>
      </c>
      <c r="C712">
        <v>5</v>
      </c>
      <c r="D712" t="s">
        <v>1942</v>
      </c>
      <c r="E712">
        <v>15</v>
      </c>
      <c r="F712">
        <v>15</v>
      </c>
      <c r="G712">
        <v>15</v>
      </c>
      <c r="H712" t="s">
        <v>1943</v>
      </c>
      <c r="I712">
        <v>20.9</v>
      </c>
      <c r="J712">
        <v>107.89</v>
      </c>
      <c r="K712" t="str">
        <f>"USO1"</f>
        <v>USO1</v>
      </c>
      <c r="L712" t="str">
        <f>"USO1"</f>
        <v>USO1</v>
      </c>
      <c r="M712">
        <v>0</v>
      </c>
      <c r="N712">
        <v>80897000</v>
      </c>
      <c r="O712">
        <v>125080000</v>
      </c>
      <c r="P712">
        <v>0</v>
      </c>
      <c r="Q712">
        <v>0</v>
      </c>
      <c r="R712">
        <v>104870000</v>
      </c>
      <c r="S712">
        <v>118600000</v>
      </c>
      <c r="T712">
        <v>0</v>
      </c>
      <c r="U712">
        <v>168880000</v>
      </c>
      <c r="V712">
        <v>70122000</v>
      </c>
      <c r="W712">
        <v>145040000</v>
      </c>
      <c r="X712">
        <v>81077000</v>
      </c>
    </row>
    <row r="713" spans="1:24">
      <c r="A713">
        <v>494</v>
      </c>
      <c r="B713" t="s">
        <v>1944</v>
      </c>
      <c r="C713">
        <v>3</v>
      </c>
      <c r="D713" t="s">
        <v>1945</v>
      </c>
      <c r="E713">
        <v>2</v>
      </c>
      <c r="F713">
        <v>2</v>
      </c>
      <c r="G713">
        <v>2</v>
      </c>
      <c r="H713" t="s">
        <v>1946</v>
      </c>
      <c r="I713">
        <v>10.7</v>
      </c>
      <c r="J713">
        <v>16.684000000000001</v>
      </c>
      <c r="K713" t="str">
        <f>"MYL1;MYL3"</f>
        <v>MYL1;MYL3</v>
      </c>
      <c r="L713" t="str">
        <f>"MYL1;MYL3"</f>
        <v>MYL1;MYL3</v>
      </c>
      <c r="M713">
        <v>0</v>
      </c>
      <c r="N713">
        <v>0</v>
      </c>
      <c r="O713">
        <v>0</v>
      </c>
      <c r="P713">
        <v>540790000</v>
      </c>
      <c r="Q713">
        <v>0</v>
      </c>
      <c r="R713">
        <v>419470000</v>
      </c>
      <c r="S713">
        <v>209820000</v>
      </c>
      <c r="T713">
        <v>295760000</v>
      </c>
      <c r="U713">
        <v>222940000</v>
      </c>
      <c r="V713">
        <v>446370000</v>
      </c>
      <c r="W713">
        <v>0</v>
      </c>
      <c r="X713">
        <v>155340000</v>
      </c>
    </row>
    <row r="714" spans="1:24">
      <c r="A714">
        <v>672</v>
      </c>
      <c r="B714" t="s">
        <v>1947</v>
      </c>
      <c r="C714">
        <v>2</v>
      </c>
      <c r="D714" t="s">
        <v>1948</v>
      </c>
      <c r="E714">
        <v>17</v>
      </c>
      <c r="F714">
        <v>17</v>
      </c>
      <c r="G714">
        <v>13</v>
      </c>
      <c r="H714" t="s">
        <v>1949</v>
      </c>
      <c r="I714">
        <v>34.9</v>
      </c>
      <c r="J714">
        <v>70.287999999999997</v>
      </c>
      <c r="K714" t="str">
        <f>"LCP1"</f>
        <v>LCP1</v>
      </c>
      <c r="L714" t="str">
        <f>"LCP1"</f>
        <v>LCP1</v>
      </c>
      <c r="M714">
        <v>0</v>
      </c>
      <c r="N714">
        <v>0</v>
      </c>
      <c r="O714">
        <v>0</v>
      </c>
      <c r="P714">
        <v>0</v>
      </c>
      <c r="Q714">
        <v>107130000</v>
      </c>
      <c r="R714">
        <v>502350000</v>
      </c>
      <c r="S714">
        <v>0</v>
      </c>
      <c r="T714">
        <v>0</v>
      </c>
      <c r="U714">
        <v>206340000</v>
      </c>
      <c r="V714">
        <v>134920000</v>
      </c>
      <c r="W714">
        <v>88571000</v>
      </c>
      <c r="X714">
        <v>0</v>
      </c>
    </row>
    <row r="715" spans="1:24">
      <c r="A715">
        <v>837</v>
      </c>
      <c r="B715" t="s">
        <v>1950</v>
      </c>
      <c r="C715">
        <v>3</v>
      </c>
      <c r="D715" t="s">
        <v>1951</v>
      </c>
      <c r="E715">
        <v>8</v>
      </c>
      <c r="F715">
        <v>8</v>
      </c>
      <c r="G715">
        <v>6</v>
      </c>
      <c r="H715" t="s">
        <v>1952</v>
      </c>
      <c r="I715">
        <v>18.5</v>
      </c>
      <c r="J715">
        <v>57.220999999999997</v>
      </c>
      <c r="K715" t="str">
        <f>"PTBP1"</f>
        <v>PTBP1</v>
      </c>
      <c r="L715" t="str">
        <f>"PTBP1"</f>
        <v>PTBP1</v>
      </c>
      <c r="M715">
        <v>0</v>
      </c>
      <c r="N715">
        <v>126730000</v>
      </c>
      <c r="O715">
        <v>139750000</v>
      </c>
      <c r="P715">
        <v>116720000</v>
      </c>
      <c r="Q715">
        <v>0</v>
      </c>
      <c r="R715">
        <v>149730000</v>
      </c>
      <c r="S715">
        <v>149480000</v>
      </c>
      <c r="T715">
        <v>60263000</v>
      </c>
      <c r="U715">
        <v>161200000</v>
      </c>
      <c r="V715">
        <v>90519000</v>
      </c>
      <c r="W715">
        <v>110410000</v>
      </c>
      <c r="X715">
        <v>123320000</v>
      </c>
    </row>
    <row r="716" spans="1:24">
      <c r="A716">
        <v>1898</v>
      </c>
      <c r="B716" t="s">
        <v>1953</v>
      </c>
      <c r="C716">
        <v>1</v>
      </c>
      <c r="D716" t="s">
        <v>1954</v>
      </c>
      <c r="E716">
        <v>6</v>
      </c>
      <c r="F716">
        <v>6</v>
      </c>
      <c r="G716">
        <v>6</v>
      </c>
      <c r="H716" t="s">
        <v>1953</v>
      </c>
      <c r="I716">
        <v>19.5</v>
      </c>
      <c r="J716">
        <v>28.087</v>
      </c>
      <c r="K716" t="str">
        <f>"WBP2"</f>
        <v>WBP2</v>
      </c>
      <c r="L716" t="str">
        <f>"WBP2"</f>
        <v>WBP2</v>
      </c>
      <c r="M716">
        <v>127760000</v>
      </c>
      <c r="N716">
        <v>187650000</v>
      </c>
      <c r="O716">
        <v>170400000</v>
      </c>
      <c r="P716">
        <v>129240000</v>
      </c>
      <c r="Q716">
        <v>0</v>
      </c>
      <c r="R716">
        <v>209920000</v>
      </c>
      <c r="S716">
        <v>167630000</v>
      </c>
      <c r="T716">
        <v>0</v>
      </c>
      <c r="U716">
        <v>144570000</v>
      </c>
      <c r="V716">
        <v>198420000</v>
      </c>
      <c r="W716">
        <v>362940000</v>
      </c>
      <c r="X716">
        <v>158680000</v>
      </c>
    </row>
    <row r="717" spans="1:24">
      <c r="A717">
        <v>185</v>
      </c>
      <c r="B717" t="s">
        <v>1955</v>
      </c>
      <c r="C717">
        <v>1</v>
      </c>
      <c r="D717" t="s">
        <v>1956</v>
      </c>
      <c r="E717">
        <v>8</v>
      </c>
      <c r="F717">
        <v>8</v>
      </c>
      <c r="G717">
        <v>8</v>
      </c>
      <c r="H717" t="s">
        <v>1955</v>
      </c>
      <c r="I717">
        <v>30.6</v>
      </c>
      <c r="J717">
        <v>45.378</v>
      </c>
      <c r="K717" t="str">
        <f>"DOK2"</f>
        <v>DOK2</v>
      </c>
      <c r="L717" t="str">
        <f>"DOK2"</f>
        <v>DOK2</v>
      </c>
      <c r="M717">
        <v>0</v>
      </c>
      <c r="N717">
        <v>195840000</v>
      </c>
      <c r="O717">
        <v>169290000</v>
      </c>
      <c r="P717">
        <v>188890000</v>
      </c>
      <c r="Q717">
        <v>0</v>
      </c>
      <c r="R717">
        <v>165850000</v>
      </c>
      <c r="S717">
        <v>272700000</v>
      </c>
      <c r="T717">
        <v>163980000</v>
      </c>
      <c r="U717">
        <v>193300000</v>
      </c>
      <c r="V717">
        <v>155670000</v>
      </c>
      <c r="W717">
        <v>246490000</v>
      </c>
      <c r="X717">
        <v>275130000</v>
      </c>
    </row>
    <row r="718" spans="1:24">
      <c r="A718">
        <v>726</v>
      </c>
      <c r="B718" t="s">
        <v>1957</v>
      </c>
      <c r="C718">
        <v>3</v>
      </c>
      <c r="D718" t="s">
        <v>1958</v>
      </c>
      <c r="E718">
        <v>19</v>
      </c>
      <c r="F718">
        <v>11</v>
      </c>
      <c r="G718">
        <v>11</v>
      </c>
      <c r="H718" t="s">
        <v>1959</v>
      </c>
      <c r="I718">
        <v>31.8</v>
      </c>
      <c r="J718">
        <v>76.748999999999995</v>
      </c>
      <c r="K718" t="str">
        <f>"PRKCA;PRKCG"</f>
        <v>PRKCA;PRKCG</v>
      </c>
      <c r="L718" t="str">
        <f>"PRKCA;PRKCG"</f>
        <v>PRKCA;PRKCG</v>
      </c>
      <c r="M718">
        <v>0</v>
      </c>
      <c r="N718">
        <v>226290000</v>
      </c>
      <c r="O718">
        <v>159860000</v>
      </c>
      <c r="P718">
        <v>139550000</v>
      </c>
      <c r="Q718">
        <v>0</v>
      </c>
      <c r="R718">
        <v>208020000</v>
      </c>
      <c r="S718">
        <v>269350000</v>
      </c>
      <c r="T718">
        <v>0</v>
      </c>
      <c r="U718">
        <v>168400000</v>
      </c>
      <c r="V718">
        <v>178090000</v>
      </c>
      <c r="W718">
        <v>218650000</v>
      </c>
      <c r="X718">
        <v>150940000</v>
      </c>
    </row>
    <row r="719" spans="1:24">
      <c r="A719">
        <v>1179</v>
      </c>
      <c r="B719" t="s">
        <v>1960</v>
      </c>
      <c r="C719">
        <v>6</v>
      </c>
      <c r="D719" t="s">
        <v>1961</v>
      </c>
      <c r="E719">
        <v>9</v>
      </c>
      <c r="F719">
        <v>9</v>
      </c>
      <c r="G719">
        <v>9</v>
      </c>
      <c r="H719" t="s">
        <v>1962</v>
      </c>
      <c r="I719">
        <v>46.9</v>
      </c>
      <c r="J719">
        <v>24.648</v>
      </c>
      <c r="K719" t="str">
        <f>"AK2"</f>
        <v>AK2</v>
      </c>
      <c r="L719" t="str">
        <f>"AK2"</f>
        <v>AK2</v>
      </c>
      <c r="M719">
        <v>237290000</v>
      </c>
      <c r="N719">
        <v>335770000</v>
      </c>
      <c r="O719">
        <v>305630000</v>
      </c>
      <c r="P719">
        <v>0</v>
      </c>
      <c r="Q719">
        <v>347270000</v>
      </c>
      <c r="R719">
        <v>329170000</v>
      </c>
      <c r="S719">
        <v>291080000</v>
      </c>
      <c r="T719">
        <v>428070000</v>
      </c>
      <c r="U719">
        <v>362040000</v>
      </c>
      <c r="V719">
        <v>336850000</v>
      </c>
      <c r="W719">
        <v>441980000</v>
      </c>
      <c r="X719">
        <v>280020000</v>
      </c>
    </row>
    <row r="720" spans="1:24">
      <c r="A720">
        <v>1367</v>
      </c>
      <c r="B720" t="s">
        <v>1963</v>
      </c>
      <c r="C720">
        <v>2</v>
      </c>
      <c r="D720" t="s">
        <v>1964</v>
      </c>
      <c r="E720">
        <v>7</v>
      </c>
      <c r="F720">
        <v>7</v>
      </c>
      <c r="G720">
        <v>7</v>
      </c>
      <c r="H720" t="s">
        <v>1965</v>
      </c>
      <c r="I720">
        <v>33.1</v>
      </c>
      <c r="J720">
        <v>19.042999999999999</v>
      </c>
      <c r="K720" t="str">
        <f>"GLO1"</f>
        <v>GLO1</v>
      </c>
      <c r="L720" t="str">
        <f>"GLO1"</f>
        <v>GLO1</v>
      </c>
      <c r="M720">
        <v>177780000</v>
      </c>
      <c r="N720">
        <v>273570000</v>
      </c>
      <c r="O720">
        <v>298400000</v>
      </c>
      <c r="P720">
        <v>171260000</v>
      </c>
      <c r="Q720">
        <v>137570000</v>
      </c>
      <c r="R720">
        <v>0</v>
      </c>
      <c r="S720">
        <v>184880000</v>
      </c>
      <c r="T720">
        <v>267150000</v>
      </c>
      <c r="U720">
        <v>103310000</v>
      </c>
      <c r="V720">
        <v>199200000</v>
      </c>
      <c r="W720">
        <v>80142000</v>
      </c>
      <c r="X720">
        <v>133380000</v>
      </c>
    </row>
    <row r="721" spans="1:24">
      <c r="A721">
        <v>1546</v>
      </c>
      <c r="B721" t="s">
        <v>1966</v>
      </c>
      <c r="C721">
        <v>4</v>
      </c>
      <c r="D721" t="s">
        <v>1967</v>
      </c>
      <c r="E721">
        <v>8</v>
      </c>
      <c r="F721">
        <v>8</v>
      </c>
      <c r="G721">
        <v>8</v>
      </c>
      <c r="H721" t="s">
        <v>1968</v>
      </c>
      <c r="I721">
        <v>33.1</v>
      </c>
      <c r="J721">
        <v>36.774999999999999</v>
      </c>
      <c r="K721" t="str">
        <f>"PPP2R4"</f>
        <v>PPP2R4</v>
      </c>
      <c r="L721" t="str">
        <f>"PTPA"</f>
        <v>PTPA</v>
      </c>
      <c r="M721">
        <v>180150000</v>
      </c>
      <c r="N721">
        <v>215500000</v>
      </c>
      <c r="O721">
        <v>0</v>
      </c>
      <c r="P721">
        <v>194860000</v>
      </c>
      <c r="Q721">
        <v>170750000</v>
      </c>
      <c r="R721">
        <v>199590000</v>
      </c>
      <c r="S721">
        <v>209750000</v>
      </c>
      <c r="T721">
        <v>266930000</v>
      </c>
      <c r="U721">
        <v>0</v>
      </c>
      <c r="V721">
        <v>250860000</v>
      </c>
      <c r="W721">
        <v>0</v>
      </c>
      <c r="X721">
        <v>203040000</v>
      </c>
    </row>
    <row r="722" spans="1:24">
      <c r="A722">
        <v>1591</v>
      </c>
      <c r="B722" t="s">
        <v>1969</v>
      </c>
      <c r="C722">
        <v>4</v>
      </c>
      <c r="D722" t="s">
        <v>1970</v>
      </c>
      <c r="E722">
        <v>16</v>
      </c>
      <c r="F722">
        <v>16</v>
      </c>
      <c r="G722">
        <v>16</v>
      </c>
      <c r="H722" t="s">
        <v>1971</v>
      </c>
      <c r="I722">
        <v>35.700000000000003</v>
      </c>
      <c r="J722">
        <v>60.673000000000002</v>
      </c>
      <c r="K722" t="str">
        <f>"ECM1"</f>
        <v>ECM1</v>
      </c>
      <c r="L722" t="str">
        <f>"ECM1"</f>
        <v>ECM1</v>
      </c>
      <c r="M722">
        <v>138160000</v>
      </c>
      <c r="N722">
        <v>86576000</v>
      </c>
      <c r="O722">
        <v>136700000</v>
      </c>
      <c r="P722">
        <v>180800000</v>
      </c>
      <c r="Q722">
        <v>224450000</v>
      </c>
      <c r="R722">
        <v>120620000</v>
      </c>
      <c r="S722">
        <v>148600000</v>
      </c>
      <c r="T722">
        <v>147730000</v>
      </c>
      <c r="U722">
        <v>121930000</v>
      </c>
      <c r="V722">
        <v>131810000</v>
      </c>
      <c r="W722">
        <v>113140000</v>
      </c>
      <c r="X722">
        <v>103590000</v>
      </c>
    </row>
    <row r="723" spans="1:24">
      <c r="A723">
        <v>2042</v>
      </c>
      <c r="B723" t="s">
        <v>1972</v>
      </c>
      <c r="C723">
        <v>2</v>
      </c>
      <c r="D723" t="s">
        <v>1973</v>
      </c>
      <c r="E723">
        <v>9</v>
      </c>
      <c r="F723">
        <v>9</v>
      </c>
      <c r="G723">
        <v>9</v>
      </c>
      <c r="H723" t="s">
        <v>1974</v>
      </c>
      <c r="I723">
        <v>28.4</v>
      </c>
      <c r="J723">
        <v>35.020000000000003</v>
      </c>
      <c r="K723" t="str">
        <f>"JAM3"</f>
        <v>JAM3</v>
      </c>
      <c r="L723" t="str">
        <f>"JAM3"</f>
        <v>JAM3</v>
      </c>
      <c r="M723">
        <v>0</v>
      </c>
      <c r="N723">
        <v>131890000</v>
      </c>
      <c r="O723">
        <v>125970000</v>
      </c>
      <c r="P723">
        <v>192540000</v>
      </c>
      <c r="Q723">
        <v>0</v>
      </c>
      <c r="R723">
        <v>114720000</v>
      </c>
      <c r="S723">
        <v>49738000</v>
      </c>
      <c r="T723">
        <v>0</v>
      </c>
      <c r="U723">
        <v>0</v>
      </c>
      <c r="V723">
        <v>154750000</v>
      </c>
      <c r="W723">
        <v>32014000</v>
      </c>
      <c r="X723">
        <v>60167000</v>
      </c>
    </row>
    <row r="724" spans="1:24">
      <c r="A724">
        <v>1</v>
      </c>
      <c r="B724" t="s">
        <v>1975</v>
      </c>
      <c r="C724">
        <v>5</v>
      </c>
      <c r="D724" t="s">
        <v>1976</v>
      </c>
      <c r="E724">
        <v>20</v>
      </c>
      <c r="F724">
        <v>20</v>
      </c>
      <c r="G724">
        <v>20</v>
      </c>
      <c r="H724" t="s">
        <v>1977</v>
      </c>
      <c r="I724">
        <v>29.2</v>
      </c>
      <c r="J724">
        <v>98.9</v>
      </c>
      <c r="K724" t="str">
        <f>"ESYT2"</f>
        <v>ESYT2</v>
      </c>
      <c r="L724" t="str">
        <f>"ESYT2"</f>
        <v>ESYT2</v>
      </c>
      <c r="M724">
        <v>0</v>
      </c>
      <c r="N724">
        <v>134710000</v>
      </c>
      <c r="O724">
        <v>91963000</v>
      </c>
      <c r="P724">
        <v>0</v>
      </c>
      <c r="Q724">
        <v>126580000</v>
      </c>
      <c r="R724">
        <v>85169000</v>
      </c>
      <c r="S724">
        <v>0</v>
      </c>
      <c r="T724">
        <v>48980000</v>
      </c>
      <c r="U724">
        <v>0</v>
      </c>
      <c r="V724">
        <v>0</v>
      </c>
      <c r="W724">
        <v>0</v>
      </c>
      <c r="X724">
        <v>0</v>
      </c>
    </row>
    <row r="725" spans="1:24">
      <c r="A725">
        <v>328</v>
      </c>
      <c r="B725" t="s">
        <v>1978</v>
      </c>
      <c r="C725">
        <v>1</v>
      </c>
      <c r="D725" t="s">
        <v>1979</v>
      </c>
      <c r="E725">
        <v>34</v>
      </c>
      <c r="F725">
        <v>3</v>
      </c>
      <c r="G725">
        <v>3</v>
      </c>
      <c r="H725" t="s">
        <v>1978</v>
      </c>
      <c r="I725">
        <v>41.8</v>
      </c>
      <c r="J725">
        <v>71.956999999999994</v>
      </c>
      <c r="K725" t="str">
        <f>"KNG1"</f>
        <v>KNG1</v>
      </c>
      <c r="L725" t="str">
        <f>"KNG1"</f>
        <v>KNG1</v>
      </c>
      <c r="M725">
        <v>127420000</v>
      </c>
      <c r="N725">
        <v>84721000</v>
      </c>
      <c r="O725">
        <v>158240000</v>
      </c>
      <c r="P725">
        <v>256330000</v>
      </c>
      <c r="Q725">
        <v>265520000</v>
      </c>
      <c r="R725">
        <v>226820000</v>
      </c>
      <c r="S725">
        <v>107730000</v>
      </c>
      <c r="T725">
        <v>111030000</v>
      </c>
      <c r="U725">
        <v>0</v>
      </c>
      <c r="V725">
        <v>239850000</v>
      </c>
      <c r="W725">
        <v>99930000</v>
      </c>
      <c r="X725">
        <v>0</v>
      </c>
    </row>
    <row r="726" spans="1:24">
      <c r="A726">
        <v>411</v>
      </c>
      <c r="B726" t="s">
        <v>1980</v>
      </c>
      <c r="C726">
        <v>1</v>
      </c>
      <c r="D726" t="s">
        <v>1981</v>
      </c>
      <c r="E726">
        <v>5</v>
      </c>
      <c r="F726">
        <v>5</v>
      </c>
      <c r="G726">
        <v>5</v>
      </c>
      <c r="H726" t="s">
        <v>1980</v>
      </c>
      <c r="I726">
        <v>18.399999999999999</v>
      </c>
      <c r="J726">
        <v>26.015999999999998</v>
      </c>
      <c r="K726" t="str">
        <f>"C1QA"</f>
        <v>C1QA</v>
      </c>
      <c r="L726" t="str">
        <f>"C1QA"</f>
        <v>C1QA</v>
      </c>
      <c r="M726">
        <v>225990000</v>
      </c>
      <c r="N726">
        <v>211880000</v>
      </c>
      <c r="O726">
        <v>260630000</v>
      </c>
      <c r="P726">
        <v>552480000</v>
      </c>
      <c r="Q726">
        <v>455780000</v>
      </c>
      <c r="R726">
        <v>231700000</v>
      </c>
      <c r="S726">
        <v>116400000</v>
      </c>
      <c r="T726">
        <v>297690000</v>
      </c>
      <c r="U726">
        <v>0</v>
      </c>
      <c r="V726">
        <v>287180000</v>
      </c>
      <c r="W726">
        <v>154630000</v>
      </c>
      <c r="X726">
        <v>100360000</v>
      </c>
    </row>
    <row r="727" spans="1:24">
      <c r="A727">
        <v>674</v>
      </c>
      <c r="B727" t="s">
        <v>1982</v>
      </c>
      <c r="C727">
        <v>1</v>
      </c>
      <c r="D727" t="s">
        <v>1983</v>
      </c>
      <c r="E727">
        <v>11</v>
      </c>
      <c r="F727">
        <v>11</v>
      </c>
      <c r="G727">
        <v>11</v>
      </c>
      <c r="H727" t="s">
        <v>1982</v>
      </c>
      <c r="I727">
        <v>18.899999999999999</v>
      </c>
      <c r="J727">
        <v>81.224000000000004</v>
      </c>
      <c r="K727" t="str">
        <f>"APEH"</f>
        <v>APEH</v>
      </c>
      <c r="L727" t="str">
        <f>"APEH"</f>
        <v>APEH</v>
      </c>
      <c r="M727">
        <v>0</v>
      </c>
      <c r="N727">
        <v>130670000</v>
      </c>
      <c r="O727">
        <v>85447000</v>
      </c>
      <c r="P727">
        <v>103830000</v>
      </c>
      <c r="Q727">
        <v>88423000</v>
      </c>
      <c r="R727">
        <v>100620000</v>
      </c>
      <c r="S727">
        <v>0</v>
      </c>
      <c r="T727">
        <v>51998000</v>
      </c>
      <c r="U727">
        <v>45719000</v>
      </c>
      <c r="V727">
        <v>89279000</v>
      </c>
      <c r="W727">
        <v>0</v>
      </c>
      <c r="X727">
        <v>63372000</v>
      </c>
    </row>
    <row r="728" spans="1:24">
      <c r="A728">
        <v>737</v>
      </c>
      <c r="B728" t="s">
        <v>1984</v>
      </c>
      <c r="C728">
        <v>1</v>
      </c>
      <c r="D728" t="s">
        <v>1985</v>
      </c>
      <c r="E728">
        <v>9</v>
      </c>
      <c r="F728">
        <v>6</v>
      </c>
      <c r="G728">
        <v>6</v>
      </c>
      <c r="H728" t="s">
        <v>1984</v>
      </c>
      <c r="I728">
        <v>52.8</v>
      </c>
      <c r="J728">
        <v>20.510999999999999</v>
      </c>
      <c r="K728" t="str">
        <f>"ARF4"</f>
        <v>ARF4</v>
      </c>
      <c r="L728" t="str">
        <f>"ARF4"</f>
        <v>ARF4</v>
      </c>
      <c r="M728">
        <v>0</v>
      </c>
      <c r="N728">
        <v>77135000</v>
      </c>
      <c r="O728">
        <v>97141000</v>
      </c>
      <c r="P728">
        <v>0</v>
      </c>
      <c r="Q728">
        <v>0</v>
      </c>
      <c r="R728">
        <v>156140000</v>
      </c>
      <c r="S728">
        <v>136070000</v>
      </c>
      <c r="T728">
        <v>0</v>
      </c>
      <c r="U728">
        <v>163240000</v>
      </c>
      <c r="V728">
        <v>0</v>
      </c>
      <c r="W728">
        <v>0</v>
      </c>
      <c r="X728">
        <v>235080000</v>
      </c>
    </row>
    <row r="729" spans="1:24">
      <c r="A729">
        <v>45</v>
      </c>
      <c r="B729" t="s">
        <v>1986</v>
      </c>
      <c r="C729">
        <v>1</v>
      </c>
      <c r="D729" t="s">
        <v>1987</v>
      </c>
      <c r="E729">
        <v>10</v>
      </c>
      <c r="F729">
        <v>10</v>
      </c>
      <c r="G729">
        <v>10</v>
      </c>
      <c r="H729" t="s">
        <v>1986</v>
      </c>
      <c r="I729">
        <v>23.4</v>
      </c>
      <c r="J729">
        <v>72.911000000000001</v>
      </c>
      <c r="K729" t="str">
        <f>"AGPS"</f>
        <v>AGPS</v>
      </c>
      <c r="L729" t="str">
        <f>"AGPS"</f>
        <v>AGPS</v>
      </c>
      <c r="M729">
        <v>0</v>
      </c>
      <c r="N729">
        <v>88419000</v>
      </c>
      <c r="O729">
        <v>85009000</v>
      </c>
      <c r="P729">
        <v>0</v>
      </c>
      <c r="Q729">
        <v>0</v>
      </c>
      <c r="R729">
        <v>97723000</v>
      </c>
      <c r="S729">
        <v>114680000</v>
      </c>
      <c r="T729">
        <v>96015000</v>
      </c>
      <c r="U729">
        <v>0</v>
      </c>
      <c r="V729">
        <v>89374000</v>
      </c>
      <c r="W729">
        <v>0</v>
      </c>
      <c r="X729">
        <v>0</v>
      </c>
    </row>
    <row r="730" spans="1:24">
      <c r="A730">
        <v>279</v>
      </c>
      <c r="B730" t="s">
        <v>1988</v>
      </c>
      <c r="C730">
        <v>5</v>
      </c>
      <c r="D730" t="s">
        <v>1989</v>
      </c>
      <c r="E730">
        <v>19</v>
      </c>
      <c r="F730">
        <v>19</v>
      </c>
      <c r="G730">
        <v>19</v>
      </c>
      <c r="H730" t="s">
        <v>1990</v>
      </c>
      <c r="I730">
        <v>25.7</v>
      </c>
      <c r="J730">
        <v>105.36</v>
      </c>
      <c r="K730" t="str">
        <f>"AP2A1;AP2A2"</f>
        <v>AP2A1;AP2A2</v>
      </c>
      <c r="L730" t="str">
        <f>"AP2A1;AP2A2"</f>
        <v>AP2A1;AP2A2</v>
      </c>
      <c r="M730">
        <v>0</v>
      </c>
      <c r="N730">
        <v>216300000</v>
      </c>
      <c r="O730">
        <v>140240000</v>
      </c>
      <c r="P730">
        <v>166290000</v>
      </c>
      <c r="Q730">
        <v>0</v>
      </c>
      <c r="R730">
        <v>284430000</v>
      </c>
      <c r="S730">
        <v>194210000</v>
      </c>
      <c r="T730">
        <v>207540000</v>
      </c>
      <c r="U730">
        <v>224670000</v>
      </c>
      <c r="V730">
        <v>147700000</v>
      </c>
      <c r="W730">
        <v>0</v>
      </c>
      <c r="X730">
        <v>155530000</v>
      </c>
    </row>
    <row r="731" spans="1:24">
      <c r="A731">
        <v>659</v>
      </c>
      <c r="B731" t="s">
        <v>1991</v>
      </c>
      <c r="C731">
        <v>1</v>
      </c>
      <c r="D731" t="s">
        <v>1992</v>
      </c>
      <c r="E731">
        <v>9</v>
      </c>
      <c r="F731">
        <v>9</v>
      </c>
      <c r="G731">
        <v>9</v>
      </c>
      <c r="H731" t="s">
        <v>1991</v>
      </c>
      <c r="I731">
        <v>47.9</v>
      </c>
      <c r="J731">
        <v>19.576000000000001</v>
      </c>
      <c r="K731" t="str">
        <f>"COX4I1"</f>
        <v>COX4I1</v>
      </c>
      <c r="L731" t="str">
        <f>"COX4I1"</f>
        <v>COX4I1</v>
      </c>
      <c r="M731">
        <v>189210000</v>
      </c>
      <c r="N731">
        <v>139530000</v>
      </c>
      <c r="O731">
        <v>190750000</v>
      </c>
      <c r="P731">
        <v>198950000</v>
      </c>
      <c r="Q731">
        <v>164560000</v>
      </c>
      <c r="R731">
        <v>195400000</v>
      </c>
      <c r="S731">
        <v>0</v>
      </c>
      <c r="T731">
        <v>215310000</v>
      </c>
      <c r="U731">
        <v>0</v>
      </c>
      <c r="V731">
        <v>174650000</v>
      </c>
      <c r="W731">
        <v>0</v>
      </c>
      <c r="X731">
        <v>0</v>
      </c>
    </row>
    <row r="732" spans="1:24">
      <c r="A732">
        <v>1135</v>
      </c>
      <c r="B732" t="s">
        <v>1993</v>
      </c>
      <c r="C732">
        <v>2</v>
      </c>
      <c r="D732" t="s">
        <v>1994</v>
      </c>
      <c r="E732">
        <v>9</v>
      </c>
      <c r="F732">
        <v>9</v>
      </c>
      <c r="G732">
        <v>9</v>
      </c>
      <c r="H732" t="s">
        <v>1995</v>
      </c>
      <c r="I732">
        <v>21.5</v>
      </c>
      <c r="J732">
        <v>48.83</v>
      </c>
      <c r="K732" t="str">
        <f>"RENBP"</f>
        <v>RENBP</v>
      </c>
      <c r="L732" t="str">
        <f>"RENBP"</f>
        <v>RENBP</v>
      </c>
      <c r="M732">
        <v>0</v>
      </c>
      <c r="N732">
        <v>218540000</v>
      </c>
      <c r="O732">
        <v>204880000</v>
      </c>
      <c r="P732">
        <v>247510000</v>
      </c>
      <c r="Q732">
        <v>164890000</v>
      </c>
      <c r="R732">
        <v>203630000</v>
      </c>
      <c r="S732">
        <v>0</v>
      </c>
      <c r="T732">
        <v>174430000</v>
      </c>
      <c r="U732">
        <v>99203000</v>
      </c>
      <c r="V732">
        <v>327250000</v>
      </c>
      <c r="W732">
        <v>0</v>
      </c>
      <c r="X732">
        <v>258200000</v>
      </c>
    </row>
    <row r="733" spans="1:24">
      <c r="A733">
        <v>1919</v>
      </c>
      <c r="B733" t="s">
        <v>1996</v>
      </c>
      <c r="C733">
        <v>1</v>
      </c>
      <c r="D733" t="s">
        <v>1997</v>
      </c>
      <c r="E733">
        <v>8</v>
      </c>
      <c r="F733">
        <v>8</v>
      </c>
      <c r="G733">
        <v>8</v>
      </c>
      <c r="H733" t="s">
        <v>1996</v>
      </c>
      <c r="I733">
        <v>37.9</v>
      </c>
      <c r="J733">
        <v>32.235999999999997</v>
      </c>
      <c r="K733" t="str">
        <f>"ISOC1"</f>
        <v>ISOC1</v>
      </c>
      <c r="L733" t="str">
        <f>"ISOC1"</f>
        <v>ISOC1</v>
      </c>
      <c r="M733">
        <v>0</v>
      </c>
      <c r="N733">
        <v>89017000</v>
      </c>
      <c r="O733">
        <v>89523000</v>
      </c>
      <c r="P733">
        <v>136070000</v>
      </c>
      <c r="Q733">
        <v>117980000</v>
      </c>
      <c r="R733">
        <v>99694000</v>
      </c>
      <c r="S733">
        <v>0</v>
      </c>
      <c r="T733">
        <v>100530000</v>
      </c>
      <c r="U733">
        <v>168920000</v>
      </c>
      <c r="V733">
        <v>89360000</v>
      </c>
      <c r="W733">
        <v>136170000</v>
      </c>
      <c r="X733">
        <v>157880000</v>
      </c>
    </row>
    <row r="734" spans="1:24">
      <c r="A734">
        <v>2129</v>
      </c>
      <c r="B734" t="s">
        <v>1998</v>
      </c>
      <c r="C734">
        <v>3</v>
      </c>
      <c r="D734" t="s">
        <v>1999</v>
      </c>
      <c r="E734">
        <v>8</v>
      </c>
      <c r="F734">
        <v>8</v>
      </c>
      <c r="G734">
        <v>8</v>
      </c>
      <c r="H734" t="s">
        <v>2000</v>
      </c>
      <c r="I734">
        <v>33</v>
      </c>
      <c r="J734">
        <v>35.091000000000001</v>
      </c>
      <c r="K734" t="str">
        <f>"GP6"</f>
        <v>GP6</v>
      </c>
      <c r="L734" t="str">
        <f>"GP6"</f>
        <v>GP6</v>
      </c>
      <c r="M734">
        <v>0</v>
      </c>
      <c r="N734">
        <v>243520000</v>
      </c>
      <c r="O734">
        <v>0</v>
      </c>
      <c r="P734">
        <v>298360000</v>
      </c>
      <c r="Q734">
        <v>0</v>
      </c>
      <c r="R734">
        <v>382960000</v>
      </c>
      <c r="S734">
        <v>514660000</v>
      </c>
      <c r="T734">
        <v>356050000</v>
      </c>
      <c r="U734">
        <v>766910000</v>
      </c>
      <c r="V734">
        <v>310400000</v>
      </c>
      <c r="W734">
        <v>267190000</v>
      </c>
      <c r="X734">
        <v>248200000</v>
      </c>
    </row>
    <row r="735" spans="1:24">
      <c r="A735">
        <v>2388</v>
      </c>
      <c r="B735" t="s">
        <v>2001</v>
      </c>
      <c r="C735">
        <v>1</v>
      </c>
      <c r="D735" t="s">
        <v>2002</v>
      </c>
      <c r="E735">
        <v>15</v>
      </c>
      <c r="F735">
        <v>15</v>
      </c>
      <c r="G735">
        <v>15</v>
      </c>
      <c r="H735" t="s">
        <v>2001</v>
      </c>
      <c r="I735">
        <v>44.9</v>
      </c>
      <c r="J735">
        <v>49.96</v>
      </c>
      <c r="K735" t="str">
        <f>"SQRDL"</f>
        <v>SQRDL</v>
      </c>
      <c r="L735" t="str">
        <f>"SQRDL"</f>
        <v>SQRDL</v>
      </c>
      <c r="M735">
        <v>0</v>
      </c>
      <c r="N735">
        <v>140520000</v>
      </c>
      <c r="O735">
        <v>153540000</v>
      </c>
      <c r="P735">
        <v>157070000</v>
      </c>
      <c r="Q735">
        <v>0</v>
      </c>
      <c r="R735">
        <v>72484000</v>
      </c>
      <c r="S735">
        <v>202120000</v>
      </c>
      <c r="T735">
        <v>0</v>
      </c>
      <c r="U735">
        <v>168670000</v>
      </c>
      <c r="V735">
        <v>0</v>
      </c>
      <c r="W735">
        <v>115380000</v>
      </c>
      <c r="X735">
        <v>133980000</v>
      </c>
    </row>
    <row r="736" spans="1:24">
      <c r="A736">
        <v>170</v>
      </c>
      <c r="B736" t="s">
        <v>2003</v>
      </c>
      <c r="C736">
        <v>2</v>
      </c>
      <c r="D736" t="s">
        <v>2004</v>
      </c>
      <c r="E736">
        <v>10</v>
      </c>
      <c r="F736">
        <v>10</v>
      </c>
      <c r="G736">
        <v>9</v>
      </c>
      <c r="H736" t="s">
        <v>2005</v>
      </c>
      <c r="I736">
        <v>20.100000000000001</v>
      </c>
      <c r="J736">
        <v>80.760000000000005</v>
      </c>
      <c r="K736" t="str">
        <f>"STRN"</f>
        <v>STRN</v>
      </c>
      <c r="L736" t="str">
        <f>"STRN"</f>
        <v>STRN</v>
      </c>
      <c r="M736">
        <v>0</v>
      </c>
      <c r="N736">
        <v>122590000</v>
      </c>
      <c r="O736">
        <v>72790000</v>
      </c>
      <c r="P736">
        <v>53309000</v>
      </c>
      <c r="Q736">
        <v>0</v>
      </c>
      <c r="R736">
        <v>83287000</v>
      </c>
      <c r="S736">
        <v>119220000</v>
      </c>
      <c r="T736">
        <v>83965000</v>
      </c>
      <c r="U736">
        <v>122610000</v>
      </c>
      <c r="V736">
        <v>0</v>
      </c>
      <c r="W736">
        <v>0</v>
      </c>
      <c r="X736">
        <v>109450000</v>
      </c>
    </row>
    <row r="737" spans="1:24">
      <c r="A737">
        <v>807</v>
      </c>
      <c r="B737" t="s">
        <v>2006</v>
      </c>
      <c r="C737">
        <v>2</v>
      </c>
      <c r="D737" t="s">
        <v>2007</v>
      </c>
      <c r="E737">
        <v>10</v>
      </c>
      <c r="F737">
        <v>10</v>
      </c>
      <c r="G737">
        <v>10</v>
      </c>
      <c r="H737" t="s">
        <v>2008</v>
      </c>
      <c r="I737">
        <v>23.8</v>
      </c>
      <c r="J737">
        <v>47.716000000000001</v>
      </c>
      <c r="K737" t="str">
        <f>"AHCY"</f>
        <v>AHCY</v>
      </c>
      <c r="L737" t="str">
        <f>"AHCY"</f>
        <v>AHCY</v>
      </c>
      <c r="M737">
        <v>0</v>
      </c>
      <c r="N737">
        <v>71360000</v>
      </c>
      <c r="O737">
        <v>77167000</v>
      </c>
      <c r="P737">
        <v>80320000</v>
      </c>
      <c r="Q737">
        <v>0</v>
      </c>
      <c r="R737">
        <v>142940000</v>
      </c>
      <c r="S737">
        <v>61964000</v>
      </c>
      <c r="T737">
        <v>0</v>
      </c>
      <c r="U737">
        <v>0</v>
      </c>
      <c r="V737">
        <v>97332000</v>
      </c>
      <c r="W737">
        <v>80932000</v>
      </c>
      <c r="X737">
        <v>87074000</v>
      </c>
    </row>
    <row r="738" spans="1:24">
      <c r="A738">
        <v>1049</v>
      </c>
      <c r="B738" t="s">
        <v>2009</v>
      </c>
      <c r="C738">
        <v>2</v>
      </c>
      <c r="D738" t="s">
        <v>2010</v>
      </c>
      <c r="E738">
        <v>14</v>
      </c>
      <c r="F738">
        <v>14</v>
      </c>
      <c r="G738">
        <v>14</v>
      </c>
      <c r="H738" t="s">
        <v>2011</v>
      </c>
      <c r="I738">
        <v>19.600000000000001</v>
      </c>
      <c r="J738">
        <v>82.593000000000004</v>
      </c>
      <c r="K738" t="str">
        <f>"NSF"</f>
        <v>NSF</v>
      </c>
      <c r="L738" t="str">
        <f>"NSF"</f>
        <v>NSF</v>
      </c>
      <c r="M738">
        <v>0</v>
      </c>
      <c r="N738">
        <v>84666000</v>
      </c>
      <c r="O738">
        <v>105020000</v>
      </c>
      <c r="P738">
        <v>0</v>
      </c>
      <c r="Q738">
        <v>77269000</v>
      </c>
      <c r="R738">
        <v>79160000</v>
      </c>
      <c r="S738">
        <v>120370000</v>
      </c>
      <c r="T738">
        <v>76946000</v>
      </c>
      <c r="U738">
        <v>151570000</v>
      </c>
      <c r="V738">
        <v>65261000</v>
      </c>
      <c r="W738">
        <v>99440000</v>
      </c>
      <c r="X738">
        <v>95580000</v>
      </c>
    </row>
    <row r="739" spans="1:24">
      <c r="A739">
        <v>1056</v>
      </c>
      <c r="B739" t="s">
        <v>2012</v>
      </c>
      <c r="C739">
        <v>1</v>
      </c>
      <c r="D739" t="s">
        <v>2013</v>
      </c>
      <c r="E739">
        <v>14</v>
      </c>
      <c r="F739">
        <v>14</v>
      </c>
      <c r="G739">
        <v>14</v>
      </c>
      <c r="H739" t="s">
        <v>2012</v>
      </c>
      <c r="I739">
        <v>23.5</v>
      </c>
      <c r="J739">
        <v>85.238</v>
      </c>
      <c r="K739" t="str">
        <f>"PLA2G4A"</f>
        <v>PLA2G4A</v>
      </c>
      <c r="L739" t="str">
        <f>"PLA2G4A"</f>
        <v>PLA2G4A</v>
      </c>
      <c r="M739">
        <v>0</v>
      </c>
      <c r="N739">
        <v>128080000</v>
      </c>
      <c r="O739">
        <v>146370000</v>
      </c>
      <c r="P739">
        <v>0</v>
      </c>
      <c r="Q739">
        <v>0</v>
      </c>
      <c r="R739">
        <v>85114000</v>
      </c>
      <c r="S739">
        <v>0</v>
      </c>
      <c r="T739">
        <v>0</v>
      </c>
      <c r="U739">
        <v>116460000</v>
      </c>
      <c r="V739">
        <v>0</v>
      </c>
      <c r="W739">
        <v>0</v>
      </c>
      <c r="X739">
        <v>107040000</v>
      </c>
    </row>
    <row r="740" spans="1:24">
      <c r="A740">
        <v>1243</v>
      </c>
      <c r="B740" t="s">
        <v>2014</v>
      </c>
      <c r="C740">
        <v>3</v>
      </c>
      <c r="D740" t="s">
        <v>2015</v>
      </c>
      <c r="E740">
        <v>9</v>
      </c>
      <c r="F740">
        <v>9</v>
      </c>
      <c r="G740">
        <v>9</v>
      </c>
      <c r="H740" t="s">
        <v>2016</v>
      </c>
      <c r="I740">
        <v>41.5</v>
      </c>
      <c r="J740">
        <v>20.504000000000001</v>
      </c>
      <c r="K740" t="str">
        <f>"RAP2B;RAP2C;RAP2A"</f>
        <v>RAP2B;RAP2C;RAP2A</v>
      </c>
      <c r="L740" t="str">
        <f>"RAP2B;RAP2C;RAP2A"</f>
        <v>RAP2B;RAP2C;RAP2A</v>
      </c>
      <c r="M740">
        <v>85138000</v>
      </c>
      <c r="N740">
        <v>101900000</v>
      </c>
      <c r="O740">
        <v>95644000</v>
      </c>
      <c r="P740">
        <v>88186000</v>
      </c>
      <c r="Q740">
        <v>0</v>
      </c>
      <c r="R740">
        <v>65461000</v>
      </c>
      <c r="S740">
        <v>127630000</v>
      </c>
      <c r="T740">
        <v>0</v>
      </c>
      <c r="U740">
        <v>0</v>
      </c>
      <c r="V740">
        <v>109960000</v>
      </c>
      <c r="W740">
        <v>123840000</v>
      </c>
      <c r="X740">
        <v>94008000</v>
      </c>
    </row>
    <row r="741" spans="1:24">
      <c r="A741">
        <v>1378</v>
      </c>
      <c r="B741" t="s">
        <v>2017</v>
      </c>
      <c r="C741">
        <v>3</v>
      </c>
      <c r="D741" t="s">
        <v>2018</v>
      </c>
      <c r="E741">
        <v>17</v>
      </c>
      <c r="F741">
        <v>17</v>
      </c>
      <c r="G741">
        <v>17</v>
      </c>
      <c r="H741" t="s">
        <v>2019</v>
      </c>
      <c r="I741">
        <v>38.1</v>
      </c>
      <c r="J741">
        <v>68.010000000000005</v>
      </c>
      <c r="K741" t="str">
        <f>"PTPN11"</f>
        <v>PTPN11</v>
      </c>
      <c r="L741" t="str">
        <f>"PTPN11"</f>
        <v>PTPN11</v>
      </c>
      <c r="M741">
        <v>0</v>
      </c>
      <c r="N741">
        <v>89370000</v>
      </c>
      <c r="O741">
        <v>70628000</v>
      </c>
      <c r="P741">
        <v>75468000</v>
      </c>
      <c r="Q741">
        <v>0</v>
      </c>
      <c r="R741">
        <v>47772000</v>
      </c>
      <c r="S741">
        <v>101750000</v>
      </c>
      <c r="T741">
        <v>69121000</v>
      </c>
      <c r="U741">
        <v>98901000</v>
      </c>
      <c r="V741">
        <v>84523000</v>
      </c>
      <c r="W741">
        <v>0</v>
      </c>
      <c r="X741">
        <v>63409000</v>
      </c>
    </row>
    <row r="742" spans="1:24">
      <c r="A742">
        <v>1469</v>
      </c>
      <c r="B742" t="s">
        <v>2020</v>
      </c>
      <c r="C742">
        <v>1</v>
      </c>
      <c r="D742" t="s">
        <v>2021</v>
      </c>
      <c r="E742">
        <v>8</v>
      </c>
      <c r="F742">
        <v>8</v>
      </c>
      <c r="G742">
        <v>8</v>
      </c>
      <c r="H742" t="s">
        <v>2020</v>
      </c>
      <c r="I742">
        <v>23.7</v>
      </c>
      <c r="J742">
        <v>52.561999999999998</v>
      </c>
      <c r="K742" t="str">
        <f>"BLMH"</f>
        <v>BLMH</v>
      </c>
      <c r="L742" t="str">
        <f>"BLMH"</f>
        <v>BLMH</v>
      </c>
      <c r="M742">
        <v>0</v>
      </c>
      <c r="N742">
        <v>167020000</v>
      </c>
      <c r="O742">
        <v>167060000</v>
      </c>
      <c r="P742">
        <v>180930000</v>
      </c>
      <c r="Q742">
        <v>0</v>
      </c>
      <c r="R742">
        <v>180040000</v>
      </c>
      <c r="S742">
        <v>0</v>
      </c>
      <c r="T742">
        <v>0</v>
      </c>
      <c r="U742">
        <v>120410000</v>
      </c>
      <c r="V742">
        <v>146370000</v>
      </c>
      <c r="W742">
        <v>282010000</v>
      </c>
      <c r="X742">
        <v>144450000</v>
      </c>
    </row>
    <row r="743" spans="1:24">
      <c r="A743">
        <v>132</v>
      </c>
      <c r="B743" t="s">
        <v>2022</v>
      </c>
      <c r="C743">
        <v>2</v>
      </c>
      <c r="D743" t="s">
        <v>2023</v>
      </c>
      <c r="E743">
        <v>7</v>
      </c>
      <c r="F743">
        <v>7</v>
      </c>
      <c r="G743">
        <v>7</v>
      </c>
      <c r="H743" t="s">
        <v>2024</v>
      </c>
      <c r="I743">
        <v>36.799999999999997</v>
      </c>
      <c r="J743">
        <v>27.4</v>
      </c>
      <c r="K743" t="str">
        <f>"STX7"</f>
        <v>STX7</v>
      </c>
      <c r="L743" t="str">
        <f>"STX7"</f>
        <v>STX7</v>
      </c>
      <c r="M743">
        <v>54521000</v>
      </c>
      <c r="N743">
        <v>0</v>
      </c>
      <c r="O743">
        <v>80046000</v>
      </c>
      <c r="P743">
        <v>91787000</v>
      </c>
      <c r="Q743">
        <v>0</v>
      </c>
      <c r="R743">
        <v>78413000</v>
      </c>
      <c r="S743">
        <v>54901000</v>
      </c>
      <c r="T743">
        <v>0</v>
      </c>
      <c r="U743">
        <v>101140000</v>
      </c>
      <c r="V743">
        <v>67530000</v>
      </c>
      <c r="W743">
        <v>0</v>
      </c>
      <c r="X743">
        <v>67533000</v>
      </c>
    </row>
    <row r="744" spans="1:24">
      <c r="A744">
        <v>986</v>
      </c>
      <c r="B744" t="s">
        <v>2025</v>
      </c>
      <c r="C744">
        <v>3</v>
      </c>
      <c r="D744" t="s">
        <v>2026</v>
      </c>
      <c r="E744">
        <v>12</v>
      </c>
      <c r="F744">
        <v>12</v>
      </c>
      <c r="G744">
        <v>9</v>
      </c>
      <c r="H744" t="s">
        <v>2027</v>
      </c>
      <c r="I744">
        <v>44.6</v>
      </c>
      <c r="J744">
        <v>37.417999999999999</v>
      </c>
      <c r="K744" t="str">
        <f>"GMPR;CXXC1"</f>
        <v>GMPR;CXXC1</v>
      </c>
      <c r="L744" t="str">
        <f>"GMPR;CXXC1"</f>
        <v>GMPR;CXXC1</v>
      </c>
      <c r="M744">
        <v>0</v>
      </c>
      <c r="N744">
        <v>135960000</v>
      </c>
      <c r="O744">
        <v>124650000</v>
      </c>
      <c r="P744">
        <v>129860000</v>
      </c>
      <c r="Q744">
        <v>0</v>
      </c>
      <c r="R744">
        <v>136610000</v>
      </c>
      <c r="S744">
        <v>0</v>
      </c>
      <c r="T744">
        <v>0</v>
      </c>
      <c r="U744">
        <v>104030000</v>
      </c>
      <c r="V744">
        <v>118970000</v>
      </c>
      <c r="W744">
        <v>98946000</v>
      </c>
      <c r="X744">
        <v>179400000</v>
      </c>
    </row>
    <row r="745" spans="1:24">
      <c r="A745">
        <v>1670</v>
      </c>
      <c r="B745" t="s">
        <v>2028</v>
      </c>
      <c r="C745">
        <v>1</v>
      </c>
      <c r="D745" t="s">
        <v>2029</v>
      </c>
      <c r="E745">
        <v>5</v>
      </c>
      <c r="F745">
        <v>5</v>
      </c>
      <c r="G745">
        <v>5</v>
      </c>
      <c r="H745" t="s">
        <v>2028</v>
      </c>
      <c r="I745">
        <v>50.3</v>
      </c>
      <c r="J745">
        <v>17.745000000000001</v>
      </c>
      <c r="K745" t="str">
        <f>"LAMTOR1"</f>
        <v>LAMTOR1</v>
      </c>
      <c r="L745" t="str">
        <f>"LAMTOR1"</f>
        <v>LAMTOR1</v>
      </c>
      <c r="M745">
        <v>0</v>
      </c>
      <c r="N745">
        <v>0</v>
      </c>
      <c r="O745">
        <v>120440000</v>
      </c>
      <c r="P745">
        <v>56836000</v>
      </c>
      <c r="Q745">
        <v>98935000</v>
      </c>
      <c r="R745">
        <v>160430000</v>
      </c>
      <c r="S745">
        <v>194180000</v>
      </c>
      <c r="T745">
        <v>140950000</v>
      </c>
      <c r="U745">
        <v>139260000</v>
      </c>
      <c r="V745">
        <v>0</v>
      </c>
      <c r="W745">
        <v>202390000</v>
      </c>
      <c r="X745">
        <v>157160000</v>
      </c>
    </row>
    <row r="746" spans="1:24">
      <c r="A746">
        <v>1761</v>
      </c>
      <c r="B746" t="s">
        <v>2030</v>
      </c>
      <c r="C746">
        <v>2</v>
      </c>
      <c r="D746" t="s">
        <v>2031</v>
      </c>
      <c r="E746">
        <v>7</v>
      </c>
      <c r="F746">
        <v>7</v>
      </c>
      <c r="G746">
        <v>7</v>
      </c>
      <c r="H746" t="s">
        <v>2032</v>
      </c>
      <c r="I746">
        <v>21.5</v>
      </c>
      <c r="J746">
        <v>49.35</v>
      </c>
      <c r="K746" t="str">
        <f>"CRLF3"</f>
        <v>CRLF3</v>
      </c>
      <c r="L746" t="str">
        <f>"CRLF3"</f>
        <v>CRLF3</v>
      </c>
      <c r="M746">
        <v>0</v>
      </c>
      <c r="N746">
        <v>112170000</v>
      </c>
      <c r="O746">
        <v>135580000</v>
      </c>
      <c r="P746">
        <v>153490000</v>
      </c>
      <c r="Q746">
        <v>87124000</v>
      </c>
      <c r="R746">
        <v>139510000</v>
      </c>
      <c r="S746">
        <v>78902000</v>
      </c>
      <c r="T746">
        <v>77946000</v>
      </c>
      <c r="U746">
        <v>0</v>
      </c>
      <c r="V746">
        <v>75026000</v>
      </c>
      <c r="W746">
        <v>0</v>
      </c>
      <c r="X746">
        <v>140480000</v>
      </c>
    </row>
    <row r="747" spans="1:24">
      <c r="A747">
        <v>2285</v>
      </c>
      <c r="B747" t="s">
        <v>2033</v>
      </c>
      <c r="C747">
        <v>2</v>
      </c>
      <c r="D747" t="s">
        <v>2034</v>
      </c>
      <c r="E747">
        <v>24</v>
      </c>
      <c r="F747">
        <v>20</v>
      </c>
      <c r="G747">
        <v>20</v>
      </c>
      <c r="H747" t="s">
        <v>2035</v>
      </c>
      <c r="I747">
        <v>26.6</v>
      </c>
      <c r="J747">
        <v>125.5</v>
      </c>
      <c r="K747" t="str">
        <f>"ASAP1"</f>
        <v>ASAP1</v>
      </c>
      <c r="L747" t="str">
        <f>"ASAP1"</f>
        <v>ASAP1</v>
      </c>
      <c r="M747">
        <v>0</v>
      </c>
      <c r="N747">
        <v>149900000</v>
      </c>
      <c r="O747">
        <v>104180000</v>
      </c>
      <c r="P747">
        <v>0</v>
      </c>
      <c r="Q747">
        <v>0</v>
      </c>
      <c r="R747">
        <v>148660000</v>
      </c>
      <c r="S747">
        <v>203650000</v>
      </c>
      <c r="T747">
        <v>0</v>
      </c>
      <c r="U747">
        <v>151530000</v>
      </c>
      <c r="V747">
        <v>0</v>
      </c>
      <c r="W747">
        <v>168880000</v>
      </c>
      <c r="X747">
        <v>240080000</v>
      </c>
    </row>
    <row r="748" spans="1:24">
      <c r="A748">
        <v>161</v>
      </c>
      <c r="B748" t="s">
        <v>2036</v>
      </c>
      <c r="C748">
        <v>1</v>
      </c>
      <c r="D748" t="s">
        <v>2037</v>
      </c>
      <c r="E748">
        <v>8</v>
      </c>
      <c r="F748">
        <v>8</v>
      </c>
      <c r="G748">
        <v>8</v>
      </c>
      <c r="H748" t="s">
        <v>2036</v>
      </c>
      <c r="I748">
        <v>32.5</v>
      </c>
      <c r="J748">
        <v>38.792000000000002</v>
      </c>
      <c r="K748" t="str">
        <f>"ASNA1"</f>
        <v>ASNA1</v>
      </c>
      <c r="L748" t="str">
        <f>"ASNA1"</f>
        <v>ASNA1</v>
      </c>
      <c r="M748">
        <v>0</v>
      </c>
      <c r="N748">
        <v>174380000</v>
      </c>
      <c r="O748">
        <v>164490000</v>
      </c>
      <c r="P748">
        <v>356780000</v>
      </c>
      <c r="Q748">
        <v>0</v>
      </c>
      <c r="R748">
        <v>186100000</v>
      </c>
      <c r="S748">
        <v>164540000</v>
      </c>
      <c r="T748">
        <v>217600000</v>
      </c>
      <c r="U748">
        <v>0</v>
      </c>
      <c r="V748">
        <v>220410000</v>
      </c>
      <c r="W748">
        <v>0</v>
      </c>
      <c r="X748">
        <v>226840000</v>
      </c>
    </row>
    <row r="749" spans="1:24">
      <c r="A749">
        <v>325</v>
      </c>
      <c r="B749" t="s">
        <v>2038</v>
      </c>
      <c r="C749">
        <v>1</v>
      </c>
      <c r="D749" t="s">
        <v>2039</v>
      </c>
      <c r="E749">
        <v>7</v>
      </c>
      <c r="F749">
        <v>7</v>
      </c>
      <c r="G749">
        <v>7</v>
      </c>
      <c r="H749" t="s">
        <v>2038</v>
      </c>
      <c r="I749">
        <v>37.200000000000003</v>
      </c>
      <c r="J749">
        <v>23.170999999999999</v>
      </c>
      <c r="K749" t="str">
        <f>"TIMP1"</f>
        <v>TIMP1</v>
      </c>
      <c r="L749" t="str">
        <f>"TIMP1"</f>
        <v>TIMP1</v>
      </c>
      <c r="M749">
        <v>0</v>
      </c>
      <c r="N749">
        <v>312720000</v>
      </c>
      <c r="O749">
        <v>472580000</v>
      </c>
      <c r="P749">
        <v>214910000</v>
      </c>
      <c r="Q749">
        <v>223190000</v>
      </c>
      <c r="R749">
        <v>324980000</v>
      </c>
      <c r="S749">
        <v>402340000</v>
      </c>
      <c r="T749">
        <v>210650000</v>
      </c>
      <c r="U749">
        <v>614410000</v>
      </c>
      <c r="V749">
        <v>384010000</v>
      </c>
      <c r="W749">
        <v>440050000</v>
      </c>
      <c r="X749">
        <v>603120000</v>
      </c>
    </row>
    <row r="750" spans="1:24">
      <c r="A750">
        <v>1069</v>
      </c>
      <c r="B750" t="s">
        <v>2040</v>
      </c>
      <c r="C750">
        <v>2</v>
      </c>
      <c r="D750" t="s">
        <v>2041</v>
      </c>
      <c r="E750">
        <v>6</v>
      </c>
      <c r="F750">
        <v>6</v>
      </c>
      <c r="G750">
        <v>6</v>
      </c>
      <c r="H750" t="s">
        <v>2042</v>
      </c>
      <c r="I750">
        <v>29.6</v>
      </c>
      <c r="J750">
        <v>30.727</v>
      </c>
      <c r="K750" t="str">
        <f>"GCLM"</f>
        <v>GCLM</v>
      </c>
      <c r="L750" t="str">
        <f>"GCLM"</f>
        <v>GCLM</v>
      </c>
      <c r="M750">
        <v>92627000</v>
      </c>
      <c r="N750">
        <v>63118000</v>
      </c>
      <c r="O750">
        <v>112140000</v>
      </c>
      <c r="P750">
        <v>0</v>
      </c>
      <c r="Q750">
        <v>69543000</v>
      </c>
      <c r="R750">
        <v>161120000</v>
      </c>
      <c r="S750">
        <v>189080000</v>
      </c>
      <c r="T750">
        <v>0</v>
      </c>
      <c r="U750">
        <v>0</v>
      </c>
      <c r="V750">
        <v>120160000</v>
      </c>
      <c r="W750">
        <v>188170000</v>
      </c>
      <c r="X750">
        <v>208120000</v>
      </c>
    </row>
    <row r="751" spans="1:24">
      <c r="A751">
        <v>1260</v>
      </c>
      <c r="B751" t="s">
        <v>2043</v>
      </c>
      <c r="C751">
        <v>5</v>
      </c>
      <c r="D751" t="s">
        <v>2044</v>
      </c>
      <c r="E751">
        <v>8</v>
      </c>
      <c r="F751">
        <v>8</v>
      </c>
      <c r="G751">
        <v>8</v>
      </c>
      <c r="H751" t="s">
        <v>2045</v>
      </c>
      <c r="I751">
        <v>28.6</v>
      </c>
      <c r="J751">
        <v>44.783999999999999</v>
      </c>
      <c r="K751" t="str">
        <f>"PSMC5;SPATA5"</f>
        <v>PSMC5;SPATA5</v>
      </c>
      <c r="L751" t="str">
        <f>"PSMC5;SPATA5"</f>
        <v>PSMC5;SPATA5</v>
      </c>
      <c r="M751">
        <v>57963000</v>
      </c>
      <c r="N751">
        <v>63235000</v>
      </c>
      <c r="O751">
        <v>73611000</v>
      </c>
      <c r="P751">
        <v>42486000</v>
      </c>
      <c r="Q751">
        <v>0</v>
      </c>
      <c r="R751">
        <v>70262000</v>
      </c>
      <c r="S751">
        <v>91266000</v>
      </c>
      <c r="T751">
        <v>0</v>
      </c>
      <c r="U751">
        <v>80726000</v>
      </c>
      <c r="V751">
        <v>62092000</v>
      </c>
      <c r="W751">
        <v>0</v>
      </c>
      <c r="X751">
        <v>81470000</v>
      </c>
    </row>
    <row r="752" spans="1:24">
      <c r="A752">
        <v>2095</v>
      </c>
      <c r="B752" t="s">
        <v>2046</v>
      </c>
      <c r="C752">
        <v>3</v>
      </c>
      <c r="D752" t="s">
        <v>2047</v>
      </c>
      <c r="E752">
        <v>17</v>
      </c>
      <c r="F752">
        <v>17</v>
      </c>
      <c r="G752">
        <v>17</v>
      </c>
      <c r="H752" t="s">
        <v>2048</v>
      </c>
      <c r="I752">
        <v>22</v>
      </c>
      <c r="J752">
        <v>101.67</v>
      </c>
      <c r="K752" t="str">
        <f>"UNC45A"</f>
        <v>UNC45A</v>
      </c>
      <c r="L752" t="str">
        <f>"UNC45A"</f>
        <v>UNC45A</v>
      </c>
      <c r="M752">
        <v>0</v>
      </c>
      <c r="N752">
        <v>0</v>
      </c>
      <c r="O752">
        <v>81682000</v>
      </c>
      <c r="P752">
        <v>94218000</v>
      </c>
      <c r="Q752">
        <v>0</v>
      </c>
      <c r="R752">
        <v>0</v>
      </c>
      <c r="S752">
        <v>83524000</v>
      </c>
      <c r="T752">
        <v>102640000</v>
      </c>
      <c r="U752">
        <v>65574000</v>
      </c>
      <c r="V752">
        <v>72599000</v>
      </c>
      <c r="W752">
        <v>0</v>
      </c>
      <c r="X752">
        <v>0</v>
      </c>
    </row>
    <row r="753" spans="1:24">
      <c r="A753">
        <v>2274</v>
      </c>
      <c r="B753" t="s">
        <v>2049</v>
      </c>
      <c r="C753">
        <v>1</v>
      </c>
      <c r="D753" t="s">
        <v>2050</v>
      </c>
      <c r="E753">
        <v>14</v>
      </c>
      <c r="F753">
        <v>13</v>
      </c>
      <c r="G753">
        <v>13</v>
      </c>
      <c r="H753" t="s">
        <v>2049</v>
      </c>
      <c r="I753">
        <v>26.5</v>
      </c>
      <c r="J753">
        <v>79.662999999999997</v>
      </c>
      <c r="K753" t="str">
        <f>"APPL1"</f>
        <v>APPL1</v>
      </c>
      <c r="L753" t="str">
        <f>"APPL1"</f>
        <v>APPL1</v>
      </c>
      <c r="M753">
        <v>0</v>
      </c>
      <c r="N753">
        <v>67001000</v>
      </c>
      <c r="O753">
        <v>54816000</v>
      </c>
      <c r="P753">
        <v>48661000</v>
      </c>
      <c r="Q753">
        <v>0</v>
      </c>
      <c r="R753">
        <v>63329000</v>
      </c>
      <c r="S753">
        <v>75205000</v>
      </c>
      <c r="T753">
        <v>73902000</v>
      </c>
      <c r="U753">
        <v>103090000</v>
      </c>
      <c r="V753">
        <v>77192000</v>
      </c>
      <c r="W753">
        <v>0</v>
      </c>
      <c r="X753">
        <v>95747000</v>
      </c>
    </row>
    <row r="754" spans="1:24">
      <c r="A754">
        <v>153</v>
      </c>
      <c r="B754" t="s">
        <v>2051</v>
      </c>
      <c r="C754">
        <v>4</v>
      </c>
      <c r="D754" t="s">
        <v>2052</v>
      </c>
      <c r="E754">
        <v>8</v>
      </c>
      <c r="F754">
        <v>8</v>
      </c>
      <c r="G754">
        <v>8</v>
      </c>
      <c r="H754" t="s">
        <v>2053</v>
      </c>
      <c r="I754">
        <v>29.6</v>
      </c>
      <c r="J754">
        <v>50.280999999999999</v>
      </c>
      <c r="K754" t="str">
        <f>"WIPF1"</f>
        <v>WIPF1</v>
      </c>
      <c r="L754" t="str">
        <f>"WIPF1"</f>
        <v>WIPF1</v>
      </c>
      <c r="M754">
        <v>0</v>
      </c>
      <c r="N754">
        <v>173850000</v>
      </c>
      <c r="O754">
        <v>114580000</v>
      </c>
      <c r="P754">
        <v>110700000</v>
      </c>
      <c r="Q754">
        <v>0</v>
      </c>
      <c r="R754">
        <v>121530000</v>
      </c>
      <c r="S754">
        <v>0</v>
      </c>
      <c r="T754">
        <v>0</v>
      </c>
      <c r="U754">
        <v>174860000</v>
      </c>
      <c r="V754">
        <v>145550000</v>
      </c>
      <c r="W754">
        <v>0</v>
      </c>
      <c r="X754">
        <v>112580000</v>
      </c>
    </row>
    <row r="755" spans="1:24">
      <c r="A755">
        <v>476</v>
      </c>
      <c r="B755" t="s">
        <v>2054</v>
      </c>
      <c r="C755">
        <v>1</v>
      </c>
      <c r="D755" t="s">
        <v>2055</v>
      </c>
      <c r="E755">
        <v>6</v>
      </c>
      <c r="F755">
        <v>6</v>
      </c>
      <c r="G755">
        <v>6</v>
      </c>
      <c r="H755" t="s">
        <v>2054</v>
      </c>
      <c r="I755">
        <v>46.2</v>
      </c>
      <c r="J755">
        <v>10.834</v>
      </c>
      <c r="K755" t="str">
        <f>"S100A8"</f>
        <v>S100A8</v>
      </c>
      <c r="L755" t="str">
        <f>"S100A8"</f>
        <v>S100A8</v>
      </c>
      <c r="M755">
        <v>115560000</v>
      </c>
      <c r="N755">
        <v>0</v>
      </c>
      <c r="O755">
        <v>0</v>
      </c>
      <c r="P755">
        <v>81469000</v>
      </c>
      <c r="Q755">
        <v>134730000</v>
      </c>
      <c r="R755">
        <v>373120000</v>
      </c>
      <c r="S755">
        <v>137240000</v>
      </c>
      <c r="T755">
        <v>77065000</v>
      </c>
      <c r="U755">
        <v>417120000</v>
      </c>
      <c r="V755">
        <v>108580000</v>
      </c>
      <c r="W755">
        <v>100500000</v>
      </c>
      <c r="X755">
        <v>0</v>
      </c>
    </row>
    <row r="756" spans="1:24">
      <c r="A756">
        <v>770</v>
      </c>
      <c r="B756" t="s">
        <v>2056</v>
      </c>
      <c r="C756">
        <v>2</v>
      </c>
      <c r="D756" t="s">
        <v>2057</v>
      </c>
      <c r="E756">
        <v>13</v>
      </c>
      <c r="F756">
        <v>13</v>
      </c>
      <c r="G756">
        <v>13</v>
      </c>
      <c r="H756" t="s">
        <v>2058</v>
      </c>
      <c r="I756">
        <v>29</v>
      </c>
      <c r="J756">
        <v>56.5</v>
      </c>
      <c r="K756" t="str">
        <f>"ATP6V1B2;ATP6V1B1"</f>
        <v>ATP6V1B2;ATP6V1B1</v>
      </c>
      <c r="L756" t="str">
        <f>"ATP6V1B2;ATP6V1B1"</f>
        <v>ATP6V1B2;ATP6V1B1</v>
      </c>
      <c r="M756">
        <v>0</v>
      </c>
      <c r="N756">
        <v>159650000</v>
      </c>
      <c r="O756">
        <v>158210000</v>
      </c>
      <c r="P756">
        <v>127590000</v>
      </c>
      <c r="Q756">
        <v>0</v>
      </c>
      <c r="R756">
        <v>205540000</v>
      </c>
      <c r="S756">
        <v>172380000</v>
      </c>
      <c r="T756">
        <v>0</v>
      </c>
      <c r="U756">
        <v>200950000</v>
      </c>
      <c r="V756">
        <v>139020000</v>
      </c>
      <c r="W756">
        <v>249060000</v>
      </c>
      <c r="X756">
        <v>251320000</v>
      </c>
    </row>
    <row r="757" spans="1:24">
      <c r="A757">
        <v>1178</v>
      </c>
      <c r="B757" t="s">
        <v>2059</v>
      </c>
      <c r="C757">
        <v>2</v>
      </c>
      <c r="D757" t="s">
        <v>2060</v>
      </c>
      <c r="E757">
        <v>10</v>
      </c>
      <c r="F757">
        <v>10</v>
      </c>
      <c r="G757">
        <v>9</v>
      </c>
      <c r="H757" t="s">
        <v>2061</v>
      </c>
      <c r="I757">
        <v>27.4</v>
      </c>
      <c r="J757">
        <v>43.170999999999999</v>
      </c>
      <c r="K757" t="str">
        <f>"RAD23B"</f>
        <v>RAD23B</v>
      </c>
      <c r="L757" t="str">
        <f>"RAD23B"</f>
        <v>RAD23B</v>
      </c>
      <c r="M757">
        <v>0</v>
      </c>
      <c r="N757">
        <v>36596000</v>
      </c>
      <c r="O757">
        <v>60071000</v>
      </c>
      <c r="P757">
        <v>80422000</v>
      </c>
      <c r="Q757">
        <v>0</v>
      </c>
      <c r="R757">
        <v>115830000</v>
      </c>
      <c r="S757">
        <v>0</v>
      </c>
      <c r="T757">
        <v>0</v>
      </c>
      <c r="U757">
        <v>0</v>
      </c>
      <c r="V757">
        <v>51320000</v>
      </c>
      <c r="W757">
        <v>22510000</v>
      </c>
      <c r="X757">
        <v>49404000</v>
      </c>
    </row>
    <row r="758" spans="1:24">
      <c r="A758">
        <v>2112</v>
      </c>
      <c r="B758" t="s">
        <v>2062</v>
      </c>
      <c r="C758">
        <v>2</v>
      </c>
      <c r="D758" t="s">
        <v>2063</v>
      </c>
      <c r="E758">
        <v>5</v>
      </c>
      <c r="F758">
        <v>5</v>
      </c>
      <c r="G758">
        <v>1</v>
      </c>
      <c r="H758" t="s">
        <v>2064</v>
      </c>
      <c r="I758">
        <v>25.9</v>
      </c>
      <c r="J758">
        <v>25.079000000000001</v>
      </c>
      <c r="K758" t="str">
        <f>"MOB1A"</f>
        <v>MOB1A</v>
      </c>
      <c r="L758" t="str">
        <f>"MOB1A"</f>
        <v>MOB1A</v>
      </c>
      <c r="M758">
        <v>0</v>
      </c>
      <c r="N758">
        <v>135830000</v>
      </c>
      <c r="O758">
        <v>239080000</v>
      </c>
      <c r="P758" s="8">
        <v>147000000</v>
      </c>
      <c r="Q758">
        <v>97044000</v>
      </c>
      <c r="R758">
        <v>174540000</v>
      </c>
      <c r="S758">
        <v>105150000</v>
      </c>
      <c r="T758">
        <v>0</v>
      </c>
      <c r="U758">
        <v>118890000</v>
      </c>
      <c r="V758">
        <v>206830000</v>
      </c>
      <c r="W758">
        <v>218760000</v>
      </c>
      <c r="X758">
        <v>162860000</v>
      </c>
    </row>
    <row r="759" spans="1:24">
      <c r="A759">
        <v>2215</v>
      </c>
      <c r="B759" t="s">
        <v>2065</v>
      </c>
      <c r="C759">
        <v>2</v>
      </c>
      <c r="D759" t="s">
        <v>2066</v>
      </c>
      <c r="E759">
        <v>8</v>
      </c>
      <c r="F759">
        <v>8</v>
      </c>
      <c r="G759">
        <v>8</v>
      </c>
      <c r="H759" t="s">
        <v>2067</v>
      </c>
      <c r="I759">
        <v>30.6</v>
      </c>
      <c r="J759">
        <v>23.096</v>
      </c>
      <c r="K759" t="str">
        <f>"CLEC1B"</f>
        <v>CLEC1B</v>
      </c>
      <c r="L759" t="str">
        <f>"CLEC1B"</f>
        <v>CLEC1B</v>
      </c>
      <c r="M759">
        <v>0</v>
      </c>
      <c r="N759">
        <v>69723000</v>
      </c>
      <c r="O759">
        <v>51845000</v>
      </c>
      <c r="P759">
        <v>73224000</v>
      </c>
      <c r="Q759">
        <v>57673000</v>
      </c>
      <c r="R759">
        <v>221190000</v>
      </c>
      <c r="S759">
        <v>46790000</v>
      </c>
      <c r="T759">
        <v>0</v>
      </c>
      <c r="U759">
        <v>40384000</v>
      </c>
      <c r="V759">
        <v>56679000</v>
      </c>
      <c r="W759">
        <v>51624000</v>
      </c>
      <c r="X759">
        <v>77144000</v>
      </c>
    </row>
    <row r="760" spans="1:24">
      <c r="A760">
        <v>372</v>
      </c>
      <c r="B760" t="s">
        <v>2068</v>
      </c>
      <c r="C760">
        <v>1</v>
      </c>
      <c r="D760" t="s">
        <v>2069</v>
      </c>
      <c r="E760">
        <v>4</v>
      </c>
      <c r="F760">
        <v>2</v>
      </c>
      <c r="G760">
        <v>2</v>
      </c>
      <c r="H760" t="s">
        <v>2068</v>
      </c>
      <c r="I760">
        <v>33.9</v>
      </c>
      <c r="J760">
        <v>13.436999999999999</v>
      </c>
      <c r="K760" t="s">
        <v>2070</v>
      </c>
      <c r="L760" t="s">
        <v>2070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29728000</v>
      </c>
    </row>
    <row r="761" spans="1:24">
      <c r="A761">
        <v>465</v>
      </c>
      <c r="B761" t="s">
        <v>2071</v>
      </c>
      <c r="C761">
        <v>1</v>
      </c>
      <c r="D761" t="s">
        <v>2072</v>
      </c>
      <c r="E761">
        <v>24</v>
      </c>
      <c r="F761">
        <v>8</v>
      </c>
      <c r="G761">
        <v>4</v>
      </c>
      <c r="H761" t="s">
        <v>2071</v>
      </c>
      <c r="I761">
        <v>63.8</v>
      </c>
      <c r="J761">
        <v>40.840000000000003</v>
      </c>
      <c r="K761" t="str">
        <f>"HLA-A"</f>
        <v>HLA-A</v>
      </c>
      <c r="L761" t="str">
        <f>"HLA-A"</f>
        <v>HLA-A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235090000</v>
      </c>
      <c r="S761">
        <v>0</v>
      </c>
      <c r="T761">
        <v>0</v>
      </c>
      <c r="U761">
        <v>0</v>
      </c>
      <c r="V761">
        <v>146920000</v>
      </c>
      <c r="W761">
        <v>0</v>
      </c>
      <c r="X761">
        <v>0</v>
      </c>
    </row>
    <row r="762" spans="1:24">
      <c r="A762">
        <v>1627</v>
      </c>
      <c r="B762" t="s">
        <v>2073</v>
      </c>
      <c r="C762">
        <v>2</v>
      </c>
      <c r="D762" t="s">
        <v>2074</v>
      </c>
      <c r="E762">
        <v>8</v>
      </c>
      <c r="F762">
        <v>8</v>
      </c>
      <c r="G762">
        <v>8</v>
      </c>
      <c r="H762" t="s">
        <v>2075</v>
      </c>
      <c r="I762">
        <v>29.8</v>
      </c>
      <c r="J762">
        <v>34.323999999999998</v>
      </c>
      <c r="K762" t="str">
        <f>"HSD17B12"</f>
        <v>HSD17B12</v>
      </c>
      <c r="L762" t="str">
        <f>"HSD17B12"</f>
        <v>HSD17B12</v>
      </c>
      <c r="M762">
        <v>123720000</v>
      </c>
      <c r="N762">
        <v>0</v>
      </c>
      <c r="O762">
        <v>0</v>
      </c>
      <c r="P762">
        <v>0</v>
      </c>
      <c r="Q762">
        <v>0</v>
      </c>
      <c r="R762">
        <v>94031000</v>
      </c>
      <c r="S762">
        <v>72837000</v>
      </c>
      <c r="T762">
        <v>0</v>
      </c>
      <c r="U762">
        <v>0</v>
      </c>
      <c r="V762">
        <v>0</v>
      </c>
      <c r="W762">
        <v>0</v>
      </c>
      <c r="X762">
        <v>106420000</v>
      </c>
    </row>
    <row r="763" spans="1:24">
      <c r="A763">
        <v>1694</v>
      </c>
      <c r="B763" t="s">
        <v>2076</v>
      </c>
      <c r="C763">
        <v>2</v>
      </c>
      <c r="D763" t="s">
        <v>2077</v>
      </c>
      <c r="E763">
        <v>6</v>
      </c>
      <c r="F763">
        <v>6</v>
      </c>
      <c r="G763">
        <v>6</v>
      </c>
      <c r="H763" t="s">
        <v>2078</v>
      </c>
      <c r="I763">
        <v>7</v>
      </c>
      <c r="J763">
        <v>104.9</v>
      </c>
      <c r="K763" t="str">
        <f>"PACS1"</f>
        <v>PACS1</v>
      </c>
      <c r="L763" t="str">
        <f>"PACS1"</f>
        <v>PACS1</v>
      </c>
      <c r="M763">
        <v>0</v>
      </c>
      <c r="N763">
        <v>60015000</v>
      </c>
      <c r="O763">
        <v>61646000</v>
      </c>
      <c r="P763">
        <v>0</v>
      </c>
      <c r="Q763">
        <v>0</v>
      </c>
      <c r="R763">
        <v>91838000</v>
      </c>
      <c r="S763">
        <v>0</v>
      </c>
      <c r="T763">
        <v>88621000</v>
      </c>
      <c r="U763">
        <v>0</v>
      </c>
      <c r="V763">
        <v>54779000</v>
      </c>
      <c r="W763">
        <v>0</v>
      </c>
      <c r="X763">
        <v>93352000</v>
      </c>
    </row>
    <row r="764" spans="1:24">
      <c r="A764">
        <v>1924</v>
      </c>
      <c r="B764" t="s">
        <v>2079</v>
      </c>
      <c r="C764">
        <v>6</v>
      </c>
      <c r="D764" t="s">
        <v>2080</v>
      </c>
      <c r="E764">
        <v>5</v>
      </c>
      <c r="F764">
        <v>5</v>
      </c>
      <c r="G764">
        <v>5</v>
      </c>
      <c r="H764" t="s">
        <v>2081</v>
      </c>
      <c r="I764">
        <v>52.7</v>
      </c>
      <c r="J764">
        <v>8.2553000000000001</v>
      </c>
      <c r="K764" t="str">
        <f>"CMTM5"</f>
        <v>CMTM5</v>
      </c>
      <c r="L764" t="str">
        <f>"CMTM5"</f>
        <v>CMTM5</v>
      </c>
      <c r="M764">
        <v>0</v>
      </c>
      <c r="N764">
        <v>0</v>
      </c>
      <c r="O764">
        <v>226760000</v>
      </c>
      <c r="P764">
        <v>0</v>
      </c>
      <c r="Q764">
        <v>250040000</v>
      </c>
      <c r="R764">
        <v>247190000</v>
      </c>
      <c r="S764">
        <v>0</v>
      </c>
      <c r="T764">
        <v>0</v>
      </c>
      <c r="U764">
        <v>0</v>
      </c>
      <c r="V764">
        <v>0</v>
      </c>
      <c r="W764">
        <v>552190000</v>
      </c>
      <c r="X764">
        <v>696550000</v>
      </c>
    </row>
    <row r="765" spans="1:24">
      <c r="A765">
        <v>255</v>
      </c>
      <c r="B765" t="s">
        <v>2082</v>
      </c>
      <c r="C765">
        <v>10</v>
      </c>
      <c r="D765" t="s">
        <v>2083</v>
      </c>
      <c r="E765">
        <v>13</v>
      </c>
      <c r="F765">
        <v>13</v>
      </c>
      <c r="G765">
        <v>13</v>
      </c>
      <c r="H765" t="s">
        <v>2084</v>
      </c>
      <c r="I765">
        <v>12</v>
      </c>
      <c r="J765">
        <v>117.67</v>
      </c>
      <c r="K765" t="str">
        <f>"SEC31A"</f>
        <v>SEC31A</v>
      </c>
      <c r="L765" t="str">
        <f>"SEC31A"</f>
        <v>SEC31A</v>
      </c>
      <c r="M765">
        <v>0</v>
      </c>
      <c r="N765">
        <v>96464000</v>
      </c>
      <c r="O765">
        <v>65223000</v>
      </c>
      <c r="P765">
        <v>0</v>
      </c>
      <c r="Q765">
        <v>0</v>
      </c>
      <c r="R765">
        <v>99914000</v>
      </c>
      <c r="S765">
        <v>0</v>
      </c>
      <c r="T765">
        <v>0</v>
      </c>
      <c r="U765">
        <v>66059000</v>
      </c>
      <c r="V765">
        <v>85362000</v>
      </c>
      <c r="W765">
        <v>87993000</v>
      </c>
      <c r="X765">
        <v>73488000</v>
      </c>
    </row>
    <row r="766" spans="1:24">
      <c r="A766">
        <v>519</v>
      </c>
      <c r="B766" t="s">
        <v>2085</v>
      </c>
      <c r="C766">
        <v>3</v>
      </c>
      <c r="D766" t="s">
        <v>2086</v>
      </c>
      <c r="E766">
        <v>10</v>
      </c>
      <c r="F766">
        <v>10</v>
      </c>
      <c r="G766">
        <v>10</v>
      </c>
      <c r="H766" t="s">
        <v>2087</v>
      </c>
      <c r="I766">
        <v>26.2</v>
      </c>
      <c r="J766">
        <v>44</v>
      </c>
      <c r="K766" t="str">
        <f>"SERPINE2"</f>
        <v>SERPINE2</v>
      </c>
      <c r="L766" t="str">
        <f>"SERPINE2"</f>
        <v>SERPINE2</v>
      </c>
      <c r="M766">
        <v>0</v>
      </c>
      <c r="N766">
        <v>60051000</v>
      </c>
      <c r="O766">
        <v>55926000</v>
      </c>
      <c r="P766">
        <v>107910000</v>
      </c>
      <c r="Q766">
        <v>0</v>
      </c>
      <c r="R766">
        <v>125180000</v>
      </c>
      <c r="S766">
        <v>0</v>
      </c>
      <c r="T766">
        <v>0</v>
      </c>
      <c r="U766">
        <v>143510000</v>
      </c>
      <c r="V766">
        <v>73552000</v>
      </c>
      <c r="W766">
        <v>0</v>
      </c>
      <c r="X766">
        <v>0</v>
      </c>
    </row>
    <row r="767" spans="1:24">
      <c r="A767">
        <v>585</v>
      </c>
      <c r="B767" t="s">
        <v>2088</v>
      </c>
      <c r="C767">
        <v>5</v>
      </c>
      <c r="D767" t="s">
        <v>2089</v>
      </c>
      <c r="E767">
        <v>8</v>
      </c>
      <c r="F767">
        <v>8</v>
      </c>
      <c r="G767">
        <v>8</v>
      </c>
      <c r="H767" t="s">
        <v>2090</v>
      </c>
      <c r="I767">
        <v>30.3</v>
      </c>
      <c r="J767">
        <v>23.661999999999999</v>
      </c>
      <c r="K767" t="str">
        <f>"CLTA"</f>
        <v>CLTA</v>
      </c>
      <c r="L767" t="str">
        <f>"CLTA"</f>
        <v>CLTA</v>
      </c>
      <c r="M767">
        <v>0</v>
      </c>
      <c r="N767">
        <v>88139000</v>
      </c>
      <c r="O767">
        <v>87961000</v>
      </c>
      <c r="P767">
        <v>113580000</v>
      </c>
      <c r="Q767">
        <v>99288000</v>
      </c>
      <c r="R767">
        <v>187960000</v>
      </c>
      <c r="S767">
        <v>103900000</v>
      </c>
      <c r="T767">
        <v>0</v>
      </c>
      <c r="U767">
        <v>104080000</v>
      </c>
      <c r="V767">
        <v>99648000</v>
      </c>
      <c r="W767">
        <v>0</v>
      </c>
      <c r="X767">
        <v>72749000</v>
      </c>
    </row>
    <row r="768" spans="1:24">
      <c r="A768">
        <v>915</v>
      </c>
      <c r="B768" t="s">
        <v>2091</v>
      </c>
      <c r="C768">
        <v>3</v>
      </c>
      <c r="D768" t="s">
        <v>2092</v>
      </c>
      <c r="E768">
        <v>9</v>
      </c>
      <c r="F768">
        <v>9</v>
      </c>
      <c r="G768">
        <v>9</v>
      </c>
      <c r="H768" t="s">
        <v>2093</v>
      </c>
      <c r="I768">
        <v>53.9</v>
      </c>
      <c r="J768">
        <v>20.006</v>
      </c>
      <c r="K768" t="str">
        <f>"SRI"</f>
        <v>SRI</v>
      </c>
      <c r="L768" t="str">
        <f>"SRI"</f>
        <v>SRI</v>
      </c>
      <c r="M768">
        <v>0</v>
      </c>
      <c r="N768">
        <v>124360000</v>
      </c>
      <c r="O768">
        <v>134390000</v>
      </c>
      <c r="P768">
        <v>147910000</v>
      </c>
      <c r="Q768">
        <v>111130000</v>
      </c>
      <c r="R768">
        <v>196130000</v>
      </c>
      <c r="S768">
        <v>174700000</v>
      </c>
      <c r="T768">
        <v>0</v>
      </c>
      <c r="U768">
        <v>115810000</v>
      </c>
      <c r="V768">
        <v>180300000</v>
      </c>
      <c r="W768">
        <v>0</v>
      </c>
      <c r="X768">
        <v>108160000</v>
      </c>
    </row>
    <row r="769" spans="1:24">
      <c r="A769">
        <v>1024</v>
      </c>
      <c r="B769" t="s">
        <v>2094</v>
      </c>
      <c r="C769">
        <v>2</v>
      </c>
      <c r="D769" t="s">
        <v>2095</v>
      </c>
      <c r="E769">
        <v>13</v>
      </c>
      <c r="F769">
        <v>13</v>
      </c>
      <c r="G769">
        <v>13</v>
      </c>
      <c r="H769" t="s">
        <v>2096</v>
      </c>
      <c r="I769">
        <v>15.6</v>
      </c>
      <c r="J769">
        <v>98.655000000000001</v>
      </c>
      <c r="K769" t="str">
        <f>"EPS15"</f>
        <v>EPS15</v>
      </c>
      <c r="L769" t="str">
        <f>"EPS15"</f>
        <v>EPS15</v>
      </c>
      <c r="M769">
        <v>60494000</v>
      </c>
      <c r="N769">
        <v>0</v>
      </c>
      <c r="O769">
        <v>70611000</v>
      </c>
      <c r="P769">
        <v>75109000</v>
      </c>
      <c r="Q769">
        <v>0</v>
      </c>
      <c r="R769">
        <v>52215000</v>
      </c>
      <c r="S769">
        <v>92620000</v>
      </c>
      <c r="T769">
        <v>0</v>
      </c>
      <c r="U769">
        <v>82516000</v>
      </c>
      <c r="V769">
        <v>76261000</v>
      </c>
      <c r="W769">
        <v>0</v>
      </c>
      <c r="X769">
        <v>96603000</v>
      </c>
    </row>
    <row r="770" spans="1:24">
      <c r="A770">
        <v>1212</v>
      </c>
      <c r="B770" t="s">
        <v>2097</v>
      </c>
      <c r="C770">
        <v>1</v>
      </c>
      <c r="D770" t="s">
        <v>2098</v>
      </c>
      <c r="E770">
        <v>8</v>
      </c>
      <c r="F770">
        <v>8</v>
      </c>
      <c r="G770">
        <v>8</v>
      </c>
      <c r="H770" t="s">
        <v>2097</v>
      </c>
      <c r="I770">
        <v>83.1</v>
      </c>
      <c r="J770">
        <v>12.895</v>
      </c>
      <c r="K770" t="str">
        <f>"MTPN"</f>
        <v>MTPN</v>
      </c>
      <c r="L770" t="str">
        <f>"MTPN"</f>
        <v>MTPN</v>
      </c>
      <c r="M770">
        <v>0</v>
      </c>
      <c r="N770">
        <v>167340000</v>
      </c>
      <c r="O770">
        <v>0</v>
      </c>
      <c r="P770">
        <v>448710000</v>
      </c>
      <c r="Q770">
        <v>477290000</v>
      </c>
      <c r="R770">
        <v>484750000</v>
      </c>
      <c r="S770">
        <v>382240000</v>
      </c>
      <c r="T770">
        <v>0</v>
      </c>
      <c r="U770">
        <v>584910000</v>
      </c>
      <c r="V770">
        <v>247520000</v>
      </c>
      <c r="W770">
        <v>0</v>
      </c>
      <c r="X770">
        <v>0</v>
      </c>
    </row>
    <row r="771" spans="1:24">
      <c r="A771">
        <v>1374</v>
      </c>
      <c r="B771" t="s">
        <v>2099</v>
      </c>
      <c r="C771">
        <v>7</v>
      </c>
      <c r="D771" t="s">
        <v>2100</v>
      </c>
      <c r="E771">
        <v>16</v>
      </c>
      <c r="F771">
        <v>16</v>
      </c>
      <c r="G771">
        <v>15</v>
      </c>
      <c r="H771" t="s">
        <v>2101</v>
      </c>
      <c r="I771">
        <v>22.8</v>
      </c>
      <c r="J771">
        <v>114.25</v>
      </c>
      <c r="K771" t="str">
        <f>"PTK2"</f>
        <v>PTK2</v>
      </c>
      <c r="L771" t="str">
        <f>"PTK2"</f>
        <v>PTK2</v>
      </c>
      <c r="M771">
        <v>0</v>
      </c>
      <c r="N771">
        <v>80285000</v>
      </c>
      <c r="O771">
        <v>0</v>
      </c>
      <c r="P771">
        <v>81270000</v>
      </c>
      <c r="Q771">
        <v>0</v>
      </c>
      <c r="R771">
        <v>82241000</v>
      </c>
      <c r="S771">
        <v>156690000</v>
      </c>
      <c r="T771">
        <v>0</v>
      </c>
      <c r="U771">
        <v>0</v>
      </c>
      <c r="V771">
        <v>0</v>
      </c>
      <c r="W771">
        <v>0</v>
      </c>
      <c r="X771">
        <v>201200000</v>
      </c>
    </row>
    <row r="772" spans="1:24">
      <c r="A772">
        <v>1705</v>
      </c>
      <c r="B772" t="s">
        <v>2102</v>
      </c>
      <c r="C772">
        <v>5</v>
      </c>
      <c r="D772" t="s">
        <v>2103</v>
      </c>
      <c r="E772">
        <v>11</v>
      </c>
      <c r="F772">
        <v>11</v>
      </c>
      <c r="G772">
        <v>11</v>
      </c>
      <c r="H772" t="s">
        <v>2104</v>
      </c>
      <c r="I772">
        <v>28.2</v>
      </c>
      <c r="J772">
        <v>55.555999999999997</v>
      </c>
      <c r="K772" t="str">
        <f>"TOM1L2"</f>
        <v>TOM1L2</v>
      </c>
      <c r="L772" t="str">
        <f>"TOM1L2"</f>
        <v>TOM1L2</v>
      </c>
      <c r="M772">
        <v>0</v>
      </c>
      <c r="N772">
        <v>103620000</v>
      </c>
      <c r="O772">
        <v>98144000</v>
      </c>
      <c r="P772">
        <v>65965000</v>
      </c>
      <c r="Q772">
        <v>0</v>
      </c>
      <c r="R772">
        <v>64302000</v>
      </c>
      <c r="S772">
        <v>190450000</v>
      </c>
      <c r="T772">
        <v>0</v>
      </c>
      <c r="U772">
        <v>0</v>
      </c>
      <c r="V772">
        <v>82872000</v>
      </c>
      <c r="W772">
        <v>115980000</v>
      </c>
      <c r="X772">
        <v>144740000</v>
      </c>
    </row>
    <row r="773" spans="1:24">
      <c r="A773">
        <v>2091</v>
      </c>
      <c r="B773" t="s">
        <v>2105</v>
      </c>
      <c r="C773">
        <v>5</v>
      </c>
      <c r="D773" t="s">
        <v>2106</v>
      </c>
      <c r="E773">
        <v>6</v>
      </c>
      <c r="F773">
        <v>6</v>
      </c>
      <c r="G773">
        <v>6</v>
      </c>
      <c r="H773" t="s">
        <v>2107</v>
      </c>
      <c r="I773">
        <v>27.5</v>
      </c>
      <c r="J773">
        <v>37.92</v>
      </c>
      <c r="K773" t="str">
        <f>"PPA2"</f>
        <v>PPA2</v>
      </c>
      <c r="L773" t="str">
        <f>"PPA2"</f>
        <v>PPA2</v>
      </c>
      <c r="M773">
        <v>87423000</v>
      </c>
      <c r="N773">
        <v>108720000</v>
      </c>
      <c r="O773">
        <v>79475000</v>
      </c>
      <c r="P773">
        <v>0</v>
      </c>
      <c r="Q773">
        <v>0</v>
      </c>
      <c r="R773">
        <v>102730000</v>
      </c>
      <c r="S773">
        <v>0</v>
      </c>
      <c r="T773">
        <v>0</v>
      </c>
      <c r="U773">
        <v>0</v>
      </c>
      <c r="V773">
        <v>125400000</v>
      </c>
      <c r="W773">
        <v>83802000</v>
      </c>
      <c r="X773">
        <v>148780000</v>
      </c>
    </row>
    <row r="774" spans="1:24">
      <c r="A774">
        <v>2259</v>
      </c>
      <c r="B774" t="s">
        <v>2108</v>
      </c>
      <c r="C774">
        <v>1</v>
      </c>
      <c r="D774" t="s">
        <v>2109</v>
      </c>
      <c r="E774">
        <v>15</v>
      </c>
      <c r="F774">
        <v>15</v>
      </c>
      <c r="G774">
        <v>15</v>
      </c>
      <c r="H774" t="s">
        <v>2108</v>
      </c>
      <c r="I774">
        <v>17.600000000000001</v>
      </c>
      <c r="J774">
        <v>123.91</v>
      </c>
      <c r="K774" t="str">
        <f>"XPO7"</f>
        <v>XPO7</v>
      </c>
      <c r="L774" t="str">
        <f>"XPO7"</f>
        <v>XPO7</v>
      </c>
      <c r="M774">
        <v>0</v>
      </c>
      <c r="N774">
        <v>104090000</v>
      </c>
      <c r="O774">
        <v>128550000</v>
      </c>
      <c r="P774">
        <v>0</v>
      </c>
      <c r="Q774">
        <v>0</v>
      </c>
      <c r="R774">
        <v>97441000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91696000</v>
      </c>
    </row>
    <row r="775" spans="1:24">
      <c r="A775">
        <v>2372</v>
      </c>
      <c r="B775" t="s">
        <v>2110</v>
      </c>
      <c r="C775">
        <v>5</v>
      </c>
      <c r="D775" t="s">
        <v>2111</v>
      </c>
      <c r="E775">
        <v>11</v>
      </c>
      <c r="F775">
        <v>11</v>
      </c>
      <c r="G775">
        <v>11</v>
      </c>
      <c r="H775" t="s">
        <v>2112</v>
      </c>
      <c r="I775">
        <v>26.7</v>
      </c>
      <c r="J775">
        <v>48.293999999999997</v>
      </c>
      <c r="K775" t="str">
        <f>"LRRFIP2"</f>
        <v>LRRFIP2</v>
      </c>
      <c r="L775" t="str">
        <f>"LRRFIP2"</f>
        <v>LRRFIP2</v>
      </c>
      <c r="M775">
        <v>0</v>
      </c>
      <c r="N775">
        <v>249950000</v>
      </c>
      <c r="O775">
        <v>217680000</v>
      </c>
      <c r="P775">
        <v>171220000</v>
      </c>
      <c r="Q775">
        <v>0</v>
      </c>
      <c r="R775">
        <v>165510000</v>
      </c>
      <c r="S775">
        <v>178790000</v>
      </c>
      <c r="T775">
        <v>0</v>
      </c>
      <c r="U775">
        <v>244750000</v>
      </c>
      <c r="V775">
        <v>0</v>
      </c>
      <c r="W775">
        <v>170300000</v>
      </c>
      <c r="X775">
        <v>312640000</v>
      </c>
    </row>
    <row r="776" spans="1:24">
      <c r="A776">
        <v>353</v>
      </c>
      <c r="B776" t="s">
        <v>2113</v>
      </c>
      <c r="C776">
        <v>1</v>
      </c>
      <c r="D776" t="s">
        <v>2114</v>
      </c>
      <c r="E776">
        <v>6</v>
      </c>
      <c r="F776">
        <v>2</v>
      </c>
      <c r="G776">
        <v>1</v>
      </c>
      <c r="H776" t="s">
        <v>2113</v>
      </c>
      <c r="I776">
        <v>66.099999999999994</v>
      </c>
      <c r="J776">
        <v>11.775</v>
      </c>
      <c r="K776" t="s">
        <v>476</v>
      </c>
      <c r="L776" t="s">
        <v>476</v>
      </c>
      <c r="M776">
        <v>1856700000</v>
      </c>
      <c r="N776">
        <v>0</v>
      </c>
      <c r="O776">
        <v>1251500000</v>
      </c>
      <c r="P776">
        <v>1170600000</v>
      </c>
      <c r="Q776">
        <v>1958600000</v>
      </c>
      <c r="R776">
        <v>637140000</v>
      </c>
      <c r="S776">
        <v>882710000</v>
      </c>
      <c r="T776">
        <v>1365400000</v>
      </c>
      <c r="U776">
        <v>499950000</v>
      </c>
      <c r="V776">
        <v>0</v>
      </c>
      <c r="W776">
        <v>0</v>
      </c>
      <c r="X776">
        <v>613870000</v>
      </c>
    </row>
    <row r="777" spans="1:24">
      <c r="A777">
        <v>544</v>
      </c>
      <c r="B777" t="s">
        <v>2115</v>
      </c>
      <c r="C777">
        <v>2</v>
      </c>
      <c r="D777" t="s">
        <v>2116</v>
      </c>
      <c r="E777">
        <v>13</v>
      </c>
      <c r="F777">
        <v>13</v>
      </c>
      <c r="G777">
        <v>13</v>
      </c>
      <c r="H777" t="s">
        <v>2117</v>
      </c>
      <c r="I777">
        <v>34</v>
      </c>
      <c r="J777">
        <v>50.212000000000003</v>
      </c>
      <c r="K777" t="str">
        <f>"FH"</f>
        <v>FH</v>
      </c>
      <c r="L777" t="str">
        <f>"FH"</f>
        <v>FH</v>
      </c>
      <c r="M777">
        <v>0</v>
      </c>
      <c r="N777">
        <v>59789000</v>
      </c>
      <c r="O777">
        <v>95893000</v>
      </c>
      <c r="P777">
        <v>81472000</v>
      </c>
      <c r="Q777">
        <v>0</v>
      </c>
      <c r="R777">
        <v>99285000</v>
      </c>
      <c r="S777">
        <v>85109000</v>
      </c>
      <c r="T777">
        <v>0</v>
      </c>
      <c r="U777">
        <v>105670000</v>
      </c>
      <c r="V777">
        <v>0</v>
      </c>
      <c r="W777">
        <v>87858000</v>
      </c>
      <c r="X777">
        <v>88107000</v>
      </c>
    </row>
    <row r="778" spans="1:24">
      <c r="A778">
        <v>583</v>
      </c>
      <c r="B778" t="s">
        <v>2118</v>
      </c>
      <c r="C778">
        <v>1</v>
      </c>
      <c r="D778" t="s">
        <v>2119</v>
      </c>
      <c r="E778">
        <v>27</v>
      </c>
      <c r="F778">
        <v>3</v>
      </c>
      <c r="G778">
        <v>3</v>
      </c>
      <c r="H778" t="s">
        <v>2118</v>
      </c>
      <c r="I778">
        <v>56.7</v>
      </c>
      <c r="J778">
        <v>28.385000000000002</v>
      </c>
      <c r="K778" t="str">
        <f>"TPM1"</f>
        <v>TPM1</v>
      </c>
      <c r="L778" t="str">
        <f>"TPM1"</f>
        <v>TPM1</v>
      </c>
      <c r="M778">
        <v>61502000</v>
      </c>
      <c r="N778">
        <v>105750000</v>
      </c>
      <c r="O778">
        <v>81040000</v>
      </c>
      <c r="P778">
        <v>125030000</v>
      </c>
      <c r="Q778">
        <v>52177000</v>
      </c>
      <c r="R778">
        <v>131720000</v>
      </c>
      <c r="S778">
        <v>0</v>
      </c>
      <c r="T778">
        <v>73893000</v>
      </c>
      <c r="U778">
        <v>83535000</v>
      </c>
      <c r="V778">
        <v>74586000</v>
      </c>
      <c r="W778">
        <v>110140000</v>
      </c>
      <c r="X778">
        <v>0</v>
      </c>
    </row>
    <row r="779" spans="1:24">
      <c r="A779">
        <v>1195</v>
      </c>
      <c r="B779" t="s">
        <v>2120</v>
      </c>
      <c r="C779">
        <v>2</v>
      </c>
      <c r="D779" t="s">
        <v>2121</v>
      </c>
      <c r="E779">
        <v>8</v>
      </c>
      <c r="F779">
        <v>8</v>
      </c>
      <c r="G779">
        <v>8</v>
      </c>
      <c r="H779" t="s">
        <v>2122</v>
      </c>
      <c r="I779">
        <v>29</v>
      </c>
      <c r="J779">
        <v>33.31</v>
      </c>
      <c r="K779" t="str">
        <f>"CASP6"</f>
        <v>CASP6</v>
      </c>
      <c r="L779" t="str">
        <f>"CASP6"</f>
        <v>CASP6</v>
      </c>
      <c r="M779">
        <v>0</v>
      </c>
      <c r="N779">
        <v>113880000</v>
      </c>
      <c r="O779">
        <v>101550000</v>
      </c>
      <c r="P779">
        <v>0</v>
      </c>
      <c r="Q779">
        <v>0</v>
      </c>
      <c r="R779">
        <v>72831000</v>
      </c>
      <c r="S779">
        <v>0</v>
      </c>
      <c r="T779">
        <v>68912000</v>
      </c>
      <c r="U779">
        <v>77523000</v>
      </c>
      <c r="V779">
        <v>70039000</v>
      </c>
      <c r="W779">
        <v>135370000</v>
      </c>
      <c r="X779">
        <v>129450000</v>
      </c>
    </row>
    <row r="780" spans="1:24">
      <c r="A780">
        <v>1201</v>
      </c>
      <c r="B780" t="s">
        <v>2123</v>
      </c>
      <c r="C780">
        <v>2</v>
      </c>
      <c r="D780" t="s">
        <v>2124</v>
      </c>
      <c r="E780">
        <v>11</v>
      </c>
      <c r="F780">
        <v>11</v>
      </c>
      <c r="G780">
        <v>11</v>
      </c>
      <c r="H780" t="s">
        <v>2125</v>
      </c>
      <c r="I780">
        <v>15.7</v>
      </c>
      <c r="J780">
        <v>92.48</v>
      </c>
      <c r="K780" t="str">
        <f>"EIF3B"</f>
        <v>EIF3B</v>
      </c>
      <c r="L780" t="str">
        <f>"EIF3B"</f>
        <v>EIF3B</v>
      </c>
      <c r="M780">
        <v>0</v>
      </c>
      <c r="N780">
        <v>72058000</v>
      </c>
      <c r="O780">
        <v>88949000</v>
      </c>
      <c r="P780">
        <v>51291000</v>
      </c>
      <c r="Q780">
        <v>0</v>
      </c>
      <c r="R780">
        <v>72851000</v>
      </c>
      <c r="S780">
        <v>0</v>
      </c>
      <c r="T780">
        <v>0</v>
      </c>
      <c r="U780">
        <v>0</v>
      </c>
      <c r="V780">
        <v>61556000</v>
      </c>
      <c r="W780">
        <v>0</v>
      </c>
      <c r="X780">
        <v>75172000</v>
      </c>
    </row>
    <row r="781" spans="1:24">
      <c r="A781">
        <v>1832</v>
      </c>
      <c r="B781" t="s">
        <v>2126</v>
      </c>
      <c r="C781">
        <v>2</v>
      </c>
      <c r="D781" t="s">
        <v>2127</v>
      </c>
      <c r="E781">
        <v>10</v>
      </c>
      <c r="F781">
        <v>10</v>
      </c>
      <c r="G781">
        <v>10</v>
      </c>
      <c r="H781" t="s">
        <v>2128</v>
      </c>
      <c r="I781">
        <v>20</v>
      </c>
      <c r="J781">
        <v>53.348999999999997</v>
      </c>
      <c r="K781" t="str">
        <f>"PLEKHO2"</f>
        <v>PLEKHO2</v>
      </c>
      <c r="L781" t="str">
        <f>"PLEKHO2"</f>
        <v>PLEKHO2</v>
      </c>
      <c r="M781">
        <v>0</v>
      </c>
      <c r="N781">
        <v>0</v>
      </c>
      <c r="O781">
        <v>87768000</v>
      </c>
      <c r="P781">
        <v>96643000</v>
      </c>
      <c r="Q781">
        <v>0</v>
      </c>
      <c r="R781">
        <v>83007000</v>
      </c>
      <c r="S781">
        <v>0</v>
      </c>
      <c r="T781">
        <v>69393000</v>
      </c>
      <c r="U781">
        <v>0</v>
      </c>
      <c r="V781">
        <v>80388000</v>
      </c>
      <c r="W781">
        <v>81180000</v>
      </c>
      <c r="X781">
        <v>75227000</v>
      </c>
    </row>
    <row r="782" spans="1:24">
      <c r="A782">
        <v>178</v>
      </c>
      <c r="B782" t="s">
        <v>2129</v>
      </c>
      <c r="C782">
        <v>2</v>
      </c>
      <c r="D782" t="s">
        <v>2130</v>
      </c>
      <c r="E782">
        <v>6</v>
      </c>
      <c r="F782">
        <v>6</v>
      </c>
      <c r="G782">
        <v>6</v>
      </c>
      <c r="H782" t="s">
        <v>2131</v>
      </c>
      <c r="I782">
        <v>51.4</v>
      </c>
      <c r="J782">
        <v>16.800999999999998</v>
      </c>
      <c r="K782" t="str">
        <f>"GMFG;GMFB"</f>
        <v>GMFG;GMFB</v>
      </c>
      <c r="L782" t="str">
        <f>"GMFG;GMFB"</f>
        <v>GMFG;GMFB</v>
      </c>
      <c r="M782">
        <v>99101000</v>
      </c>
      <c r="N782">
        <v>119250000</v>
      </c>
      <c r="O782">
        <v>0</v>
      </c>
      <c r="P782">
        <v>129200000</v>
      </c>
      <c r="Q782">
        <v>110230000</v>
      </c>
      <c r="R782">
        <v>0</v>
      </c>
      <c r="S782">
        <v>111990000</v>
      </c>
      <c r="T782">
        <v>0</v>
      </c>
      <c r="U782">
        <v>0</v>
      </c>
      <c r="V782">
        <v>127200000</v>
      </c>
      <c r="W782">
        <v>0</v>
      </c>
      <c r="X782">
        <v>165370000</v>
      </c>
    </row>
    <row r="783" spans="1:24">
      <c r="A783">
        <v>186</v>
      </c>
      <c r="B783" t="s">
        <v>2132</v>
      </c>
      <c r="C783">
        <v>9</v>
      </c>
      <c r="D783" t="s">
        <v>2133</v>
      </c>
      <c r="E783">
        <v>13</v>
      </c>
      <c r="F783">
        <v>13</v>
      </c>
      <c r="G783">
        <v>13</v>
      </c>
      <c r="H783" t="s">
        <v>2134</v>
      </c>
      <c r="I783">
        <v>26.9</v>
      </c>
      <c r="J783">
        <v>58.734999999999999</v>
      </c>
      <c r="K783" t="str">
        <f>"SYNCRIP;HNRNPR"</f>
        <v>SYNCRIP;HNRNPR</v>
      </c>
      <c r="L783" t="str">
        <f>"SYNCRIP;HNRNPR"</f>
        <v>SYNCRIP;HNRNPR</v>
      </c>
      <c r="M783">
        <v>0</v>
      </c>
      <c r="N783">
        <v>103210000</v>
      </c>
      <c r="O783">
        <v>95874000</v>
      </c>
      <c r="P783">
        <v>114260000</v>
      </c>
      <c r="Q783">
        <v>0</v>
      </c>
      <c r="R783">
        <v>135870000</v>
      </c>
      <c r="S783">
        <v>0</v>
      </c>
      <c r="T783">
        <v>0</v>
      </c>
      <c r="U783">
        <v>116900000</v>
      </c>
      <c r="V783">
        <v>0</v>
      </c>
      <c r="W783">
        <v>0</v>
      </c>
      <c r="X783">
        <v>112970000</v>
      </c>
    </row>
    <row r="784" spans="1:24">
      <c r="A784">
        <v>478</v>
      </c>
      <c r="B784" t="s">
        <v>2135</v>
      </c>
      <c r="C784">
        <v>1</v>
      </c>
      <c r="D784" t="s">
        <v>2136</v>
      </c>
      <c r="E784">
        <v>15</v>
      </c>
      <c r="F784">
        <v>6</v>
      </c>
      <c r="G784">
        <v>6</v>
      </c>
      <c r="H784" t="s">
        <v>2135</v>
      </c>
      <c r="I784">
        <v>43</v>
      </c>
      <c r="J784">
        <v>32.851999999999997</v>
      </c>
      <c r="K784" t="str">
        <f>"SLC25A5"</f>
        <v>SLC25A5</v>
      </c>
      <c r="L784" t="str">
        <f>"SLC25A5"</f>
        <v>SLC25A5</v>
      </c>
      <c r="M784">
        <v>181790000</v>
      </c>
      <c r="N784">
        <v>0</v>
      </c>
      <c r="O784">
        <v>0</v>
      </c>
      <c r="P784">
        <v>262240000</v>
      </c>
      <c r="Q784">
        <v>0</v>
      </c>
      <c r="R784">
        <v>228410000</v>
      </c>
      <c r="S784">
        <v>351310000</v>
      </c>
      <c r="T784">
        <v>250430000</v>
      </c>
      <c r="U784">
        <v>315240000</v>
      </c>
      <c r="V784">
        <v>158320000</v>
      </c>
      <c r="W784">
        <v>444520000</v>
      </c>
      <c r="X784">
        <v>457340000</v>
      </c>
    </row>
    <row r="785" spans="1:24">
      <c r="A785">
        <v>537</v>
      </c>
      <c r="B785" t="s">
        <v>2137</v>
      </c>
      <c r="C785">
        <v>2</v>
      </c>
      <c r="D785" t="s">
        <v>2138</v>
      </c>
      <c r="E785">
        <v>7</v>
      </c>
      <c r="F785">
        <v>7</v>
      </c>
      <c r="G785">
        <v>7</v>
      </c>
      <c r="H785" t="s">
        <v>2139</v>
      </c>
      <c r="I785">
        <v>65.7</v>
      </c>
      <c r="J785">
        <v>14.557</v>
      </c>
      <c r="K785" t="str">
        <f>"APRT"</f>
        <v>APRT</v>
      </c>
      <c r="L785" t="str">
        <f>"APRT"</f>
        <v>APRT</v>
      </c>
      <c r="M785">
        <v>242030000</v>
      </c>
      <c r="N785">
        <v>139090000</v>
      </c>
      <c r="O785">
        <v>196360000</v>
      </c>
      <c r="P785">
        <v>162240000</v>
      </c>
      <c r="Q785">
        <v>330380000</v>
      </c>
      <c r="R785">
        <v>309270000</v>
      </c>
      <c r="S785">
        <v>325510000</v>
      </c>
      <c r="T785">
        <v>214570000</v>
      </c>
      <c r="U785">
        <v>233240000</v>
      </c>
      <c r="V785">
        <v>244110000</v>
      </c>
      <c r="W785">
        <v>335370000</v>
      </c>
      <c r="X785">
        <v>263540000</v>
      </c>
    </row>
    <row r="786" spans="1:24">
      <c r="A786">
        <v>667</v>
      </c>
      <c r="B786" t="s">
        <v>2140</v>
      </c>
      <c r="C786">
        <v>4</v>
      </c>
      <c r="D786" t="s">
        <v>2141</v>
      </c>
      <c r="E786">
        <v>6</v>
      </c>
      <c r="F786">
        <v>6</v>
      </c>
      <c r="G786">
        <v>6</v>
      </c>
      <c r="H786" t="s">
        <v>2142</v>
      </c>
      <c r="I786">
        <v>32.6</v>
      </c>
      <c r="J786">
        <v>19.594999999999999</v>
      </c>
      <c r="K786" t="str">
        <f>"TPT1;TPT1P8"</f>
        <v>TPT1;TPT1P8</v>
      </c>
      <c r="L786" t="str">
        <f>"TPT1;TPT1P8"</f>
        <v>TPT1;TPT1P8</v>
      </c>
      <c r="M786">
        <v>0</v>
      </c>
      <c r="N786">
        <v>250400000</v>
      </c>
      <c r="O786">
        <v>179520000</v>
      </c>
      <c r="P786">
        <v>0</v>
      </c>
      <c r="Q786">
        <v>0</v>
      </c>
      <c r="R786">
        <v>144250000</v>
      </c>
      <c r="S786">
        <v>115630000</v>
      </c>
      <c r="T786">
        <v>69282000</v>
      </c>
      <c r="U786">
        <v>142340000</v>
      </c>
      <c r="V786">
        <v>160800000</v>
      </c>
      <c r="W786">
        <v>143950000</v>
      </c>
      <c r="X786">
        <v>174420000</v>
      </c>
    </row>
    <row r="787" spans="1:24">
      <c r="A787">
        <v>1063</v>
      </c>
      <c r="B787" t="s">
        <v>2143</v>
      </c>
      <c r="C787">
        <v>1</v>
      </c>
      <c r="D787" t="s">
        <v>2144</v>
      </c>
      <c r="E787">
        <v>10</v>
      </c>
      <c r="F787">
        <v>10</v>
      </c>
      <c r="G787">
        <v>10</v>
      </c>
      <c r="H787" t="s">
        <v>2143</v>
      </c>
      <c r="I787">
        <v>19.899999999999999</v>
      </c>
      <c r="J787">
        <v>80.698999999999998</v>
      </c>
      <c r="K787" t="str">
        <f>"PREP"</f>
        <v>PREP</v>
      </c>
      <c r="L787" t="str">
        <f>"PREP"</f>
        <v>PREP</v>
      </c>
      <c r="M787">
        <v>0</v>
      </c>
      <c r="N787">
        <v>124810000</v>
      </c>
      <c r="O787">
        <v>134220000</v>
      </c>
      <c r="P787">
        <v>0</v>
      </c>
      <c r="Q787">
        <v>60284000</v>
      </c>
      <c r="R787">
        <v>77467000</v>
      </c>
      <c r="S787">
        <v>145160000</v>
      </c>
      <c r="T787">
        <v>94535000</v>
      </c>
      <c r="U787">
        <v>85721000</v>
      </c>
      <c r="V787">
        <v>98990000</v>
      </c>
      <c r="W787">
        <v>117350000</v>
      </c>
      <c r="X787">
        <v>68912000</v>
      </c>
    </row>
    <row r="788" spans="1:24">
      <c r="A788">
        <v>1082</v>
      </c>
      <c r="B788" t="s">
        <v>2145</v>
      </c>
      <c r="C788">
        <v>1</v>
      </c>
      <c r="D788" t="s">
        <v>2146</v>
      </c>
      <c r="E788">
        <v>9</v>
      </c>
      <c r="F788">
        <v>9</v>
      </c>
      <c r="G788">
        <v>9</v>
      </c>
      <c r="H788" t="s">
        <v>2145</v>
      </c>
      <c r="I788">
        <v>25.1</v>
      </c>
      <c r="J788">
        <v>57.548000000000002</v>
      </c>
      <c r="K788" t="str">
        <f>"LMAN1"</f>
        <v>LMAN1</v>
      </c>
      <c r="L788" t="str">
        <f>"LMAN1"</f>
        <v>LMAN1</v>
      </c>
      <c r="M788">
        <v>0</v>
      </c>
      <c r="N788">
        <v>213370000</v>
      </c>
      <c r="O788">
        <v>283960000</v>
      </c>
      <c r="P788">
        <v>247380000</v>
      </c>
      <c r="Q788">
        <v>0</v>
      </c>
      <c r="R788">
        <v>153580000</v>
      </c>
      <c r="S788">
        <v>305280000</v>
      </c>
      <c r="T788">
        <v>0</v>
      </c>
      <c r="U788">
        <v>0</v>
      </c>
      <c r="V788">
        <v>198400000</v>
      </c>
      <c r="W788">
        <v>0</v>
      </c>
      <c r="X788">
        <v>299190000</v>
      </c>
    </row>
    <row r="789" spans="1:24">
      <c r="A789">
        <v>1249</v>
      </c>
      <c r="B789" t="s">
        <v>2147</v>
      </c>
      <c r="C789">
        <v>1</v>
      </c>
      <c r="D789" t="s">
        <v>2148</v>
      </c>
      <c r="E789">
        <v>4</v>
      </c>
      <c r="F789">
        <v>4</v>
      </c>
      <c r="G789">
        <v>4</v>
      </c>
      <c r="H789" t="s">
        <v>2147</v>
      </c>
      <c r="I789">
        <v>37.799999999999997</v>
      </c>
      <c r="J789">
        <v>13.714</v>
      </c>
      <c r="K789" t="str">
        <f>"B2M"</f>
        <v>B2M</v>
      </c>
      <c r="L789" t="str">
        <f>"B2M"</f>
        <v>B2M</v>
      </c>
      <c r="M789">
        <v>64606000</v>
      </c>
      <c r="N789">
        <v>46452000</v>
      </c>
      <c r="O789">
        <v>105910000</v>
      </c>
      <c r="P789">
        <v>119660000</v>
      </c>
      <c r="Q789">
        <v>0</v>
      </c>
      <c r="R789">
        <v>198010000</v>
      </c>
      <c r="S789">
        <v>47417000</v>
      </c>
      <c r="T789">
        <v>73342000</v>
      </c>
      <c r="U789">
        <v>0</v>
      </c>
      <c r="V789">
        <v>110360000</v>
      </c>
      <c r="W789">
        <v>0</v>
      </c>
      <c r="X789">
        <v>0</v>
      </c>
    </row>
    <row r="790" spans="1:24">
      <c r="A790">
        <v>1418</v>
      </c>
      <c r="B790" t="s">
        <v>2149</v>
      </c>
      <c r="C790">
        <v>1</v>
      </c>
      <c r="D790" t="s">
        <v>2150</v>
      </c>
      <c r="E790">
        <v>10</v>
      </c>
      <c r="F790">
        <v>10</v>
      </c>
      <c r="G790">
        <v>10</v>
      </c>
      <c r="H790" t="s">
        <v>2149</v>
      </c>
      <c r="I790">
        <v>36.9</v>
      </c>
      <c r="J790">
        <v>35.816000000000003</v>
      </c>
      <c r="K790" t="str">
        <f>"ECH1"</f>
        <v>ECH1</v>
      </c>
      <c r="L790" t="str">
        <f>"ECH1"</f>
        <v>ECH1</v>
      </c>
      <c r="M790">
        <v>0</v>
      </c>
      <c r="N790">
        <v>0</v>
      </c>
      <c r="O790">
        <v>200160000</v>
      </c>
      <c r="P790">
        <v>181620000</v>
      </c>
      <c r="Q790">
        <v>162150000</v>
      </c>
      <c r="R790">
        <v>119140000</v>
      </c>
      <c r="S790">
        <v>146430000</v>
      </c>
      <c r="T790">
        <v>0</v>
      </c>
      <c r="U790">
        <v>148160000</v>
      </c>
      <c r="V790">
        <v>177010000</v>
      </c>
      <c r="W790">
        <v>157680000</v>
      </c>
      <c r="X790">
        <v>232500000</v>
      </c>
    </row>
    <row r="791" spans="1:24">
      <c r="A791">
        <v>823</v>
      </c>
      <c r="B791" t="s">
        <v>2151</v>
      </c>
      <c r="C791">
        <v>2</v>
      </c>
      <c r="D791" t="s">
        <v>2152</v>
      </c>
      <c r="E791">
        <v>8</v>
      </c>
      <c r="F791">
        <v>8</v>
      </c>
      <c r="G791">
        <v>8</v>
      </c>
      <c r="H791" t="s">
        <v>2153</v>
      </c>
      <c r="I791">
        <v>34.700000000000003</v>
      </c>
      <c r="J791">
        <v>33.177999999999997</v>
      </c>
      <c r="K791" t="str">
        <f>"MPST"</f>
        <v>MPST</v>
      </c>
      <c r="L791" t="str">
        <f>"MPST"</f>
        <v>MPST</v>
      </c>
      <c r="M791">
        <v>144520000</v>
      </c>
      <c r="N791">
        <v>135500000</v>
      </c>
      <c r="O791">
        <v>116330000</v>
      </c>
      <c r="P791">
        <v>150160000</v>
      </c>
      <c r="Q791">
        <v>101970000</v>
      </c>
      <c r="R791">
        <v>88071000</v>
      </c>
      <c r="S791">
        <v>106740000</v>
      </c>
      <c r="T791">
        <v>0</v>
      </c>
      <c r="U791">
        <v>0</v>
      </c>
      <c r="V791">
        <v>0</v>
      </c>
      <c r="W791">
        <v>217570000</v>
      </c>
      <c r="X791">
        <v>172650000</v>
      </c>
    </row>
    <row r="792" spans="1:24">
      <c r="A792">
        <v>861</v>
      </c>
      <c r="B792" t="s">
        <v>2154</v>
      </c>
      <c r="C792">
        <v>2</v>
      </c>
      <c r="D792" t="s">
        <v>2155</v>
      </c>
      <c r="E792">
        <v>10</v>
      </c>
      <c r="F792">
        <v>10</v>
      </c>
      <c r="G792">
        <v>4</v>
      </c>
      <c r="H792" t="s">
        <v>2156</v>
      </c>
      <c r="I792">
        <v>45</v>
      </c>
      <c r="J792">
        <v>25.744</v>
      </c>
      <c r="K792" t="str">
        <f>"GSTM2"</f>
        <v>GSTM2</v>
      </c>
      <c r="L792" t="str">
        <f>"GSTM2"</f>
        <v>GSTM2</v>
      </c>
      <c r="M792">
        <v>0</v>
      </c>
      <c r="N792">
        <v>150610000</v>
      </c>
      <c r="O792">
        <v>87778000</v>
      </c>
      <c r="P792">
        <v>0</v>
      </c>
      <c r="Q792">
        <v>74832000</v>
      </c>
      <c r="R792">
        <v>125350000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</row>
    <row r="793" spans="1:24">
      <c r="A793">
        <v>1447</v>
      </c>
      <c r="B793" t="s">
        <v>2157</v>
      </c>
      <c r="C793">
        <v>1</v>
      </c>
      <c r="D793" t="s">
        <v>2158</v>
      </c>
      <c r="E793">
        <v>25</v>
      </c>
      <c r="F793">
        <v>18</v>
      </c>
      <c r="G793">
        <v>18</v>
      </c>
      <c r="H793" t="s">
        <v>2157</v>
      </c>
      <c r="I793">
        <v>19.8</v>
      </c>
      <c r="J793">
        <v>158.16999999999999</v>
      </c>
      <c r="K793" t="str">
        <f>"ROCK1"</f>
        <v>ROCK1</v>
      </c>
      <c r="L793" t="str">
        <f>"ROCK1"</f>
        <v>ROCK1</v>
      </c>
      <c r="M793">
        <v>0</v>
      </c>
      <c r="N793">
        <v>94507000</v>
      </c>
      <c r="O793">
        <v>62477000</v>
      </c>
      <c r="P793">
        <v>0</v>
      </c>
      <c r="Q793">
        <v>45738000</v>
      </c>
      <c r="R793">
        <v>54572000</v>
      </c>
      <c r="S793">
        <v>0</v>
      </c>
      <c r="T793">
        <v>0</v>
      </c>
      <c r="U793">
        <v>0</v>
      </c>
      <c r="V793">
        <v>46482000</v>
      </c>
      <c r="W793">
        <v>0</v>
      </c>
      <c r="X793">
        <v>0</v>
      </c>
    </row>
    <row r="794" spans="1:24">
      <c r="A794">
        <v>1816</v>
      </c>
      <c r="B794" t="s">
        <v>2159</v>
      </c>
      <c r="C794">
        <v>1</v>
      </c>
      <c r="D794" t="s">
        <v>2160</v>
      </c>
      <c r="E794">
        <v>13</v>
      </c>
      <c r="F794">
        <v>13</v>
      </c>
      <c r="G794">
        <v>13</v>
      </c>
      <c r="H794" t="s">
        <v>2159</v>
      </c>
      <c r="I794">
        <v>33.5</v>
      </c>
      <c r="J794">
        <v>54.765999999999998</v>
      </c>
      <c r="K794" t="str">
        <f>"TRIM58"</f>
        <v>TRIM58</v>
      </c>
      <c r="L794" t="str">
        <f>"TRIM58"</f>
        <v>TRIM58</v>
      </c>
      <c r="M794">
        <v>0</v>
      </c>
      <c r="N794">
        <v>80586000</v>
      </c>
      <c r="O794">
        <v>144240000</v>
      </c>
      <c r="P794">
        <v>0</v>
      </c>
      <c r="Q794">
        <v>0</v>
      </c>
      <c r="R794">
        <v>95678000</v>
      </c>
      <c r="S794">
        <v>0</v>
      </c>
      <c r="T794">
        <v>78819000</v>
      </c>
      <c r="U794">
        <v>0</v>
      </c>
      <c r="V794">
        <v>102470000</v>
      </c>
      <c r="W794">
        <v>0</v>
      </c>
      <c r="X794">
        <v>0</v>
      </c>
    </row>
    <row r="795" spans="1:24">
      <c r="A795">
        <v>2245</v>
      </c>
      <c r="B795" t="s">
        <v>2161</v>
      </c>
      <c r="C795">
        <v>6</v>
      </c>
      <c r="D795" t="s">
        <v>2162</v>
      </c>
      <c r="E795">
        <v>13</v>
      </c>
      <c r="F795">
        <v>13</v>
      </c>
      <c r="G795">
        <v>13</v>
      </c>
      <c r="H795" t="s">
        <v>2163</v>
      </c>
      <c r="I795">
        <v>26.7</v>
      </c>
      <c r="J795">
        <v>67.119</v>
      </c>
      <c r="K795" t="str">
        <f>"LIMA1;LIMD2"</f>
        <v>LIMA1;LIMD2</v>
      </c>
      <c r="L795" t="str">
        <f>"LIMA1;LIMD2"</f>
        <v>LIMA1;LIMD2</v>
      </c>
      <c r="M795">
        <v>0</v>
      </c>
      <c r="N795">
        <v>0</v>
      </c>
      <c r="O795">
        <v>67160000</v>
      </c>
      <c r="P795">
        <v>0</v>
      </c>
      <c r="Q795">
        <v>0</v>
      </c>
      <c r="R795">
        <v>58781000</v>
      </c>
      <c r="S795">
        <v>64543000</v>
      </c>
      <c r="T795">
        <v>49923000</v>
      </c>
      <c r="U795">
        <v>0</v>
      </c>
      <c r="V795">
        <v>57657000</v>
      </c>
      <c r="W795">
        <v>0</v>
      </c>
      <c r="X795">
        <v>53362000</v>
      </c>
    </row>
    <row r="796" spans="1:24">
      <c r="A796">
        <v>184</v>
      </c>
      <c r="B796" t="s">
        <v>2164</v>
      </c>
      <c r="C796">
        <v>4</v>
      </c>
      <c r="D796" t="s">
        <v>2165</v>
      </c>
      <c r="E796">
        <v>9</v>
      </c>
      <c r="F796">
        <v>9</v>
      </c>
      <c r="G796">
        <v>7</v>
      </c>
      <c r="H796" t="s">
        <v>2166</v>
      </c>
      <c r="I796">
        <v>45.7</v>
      </c>
      <c r="J796">
        <v>18.762</v>
      </c>
      <c r="K796" t="str">
        <f>"SNX3"</f>
        <v>SNX3</v>
      </c>
      <c r="L796" t="str">
        <f>"SNX3"</f>
        <v>SNX3</v>
      </c>
      <c r="M796">
        <v>0</v>
      </c>
      <c r="N796">
        <v>0</v>
      </c>
      <c r="O796">
        <v>67452000</v>
      </c>
      <c r="P796">
        <v>106590000</v>
      </c>
      <c r="Q796">
        <v>76488000</v>
      </c>
      <c r="R796">
        <v>110570000</v>
      </c>
      <c r="S796">
        <v>55700000</v>
      </c>
      <c r="T796">
        <v>0</v>
      </c>
      <c r="U796">
        <v>0</v>
      </c>
      <c r="V796">
        <v>68167000</v>
      </c>
      <c r="W796">
        <v>53680000</v>
      </c>
      <c r="X796">
        <v>182310000</v>
      </c>
    </row>
    <row r="797" spans="1:24">
      <c r="A797">
        <v>236</v>
      </c>
      <c r="B797" t="s">
        <v>2167</v>
      </c>
      <c r="C797">
        <v>3</v>
      </c>
      <c r="D797" t="s">
        <v>2168</v>
      </c>
      <c r="E797">
        <v>15</v>
      </c>
      <c r="F797">
        <v>15</v>
      </c>
      <c r="G797">
        <v>15</v>
      </c>
      <c r="H797" t="s">
        <v>2169</v>
      </c>
      <c r="I797">
        <v>15.4</v>
      </c>
      <c r="J797">
        <v>133.69999999999999</v>
      </c>
      <c r="K797" t="str">
        <f>"ATRN"</f>
        <v>ATRN</v>
      </c>
      <c r="L797" t="str">
        <f>"ATRN"</f>
        <v>ATRN</v>
      </c>
      <c r="M797">
        <v>0</v>
      </c>
      <c r="N797">
        <v>0</v>
      </c>
      <c r="O797">
        <v>88502000</v>
      </c>
      <c r="P797">
        <v>318480000</v>
      </c>
      <c r="Q797">
        <v>755950000</v>
      </c>
      <c r="R797">
        <v>76875000</v>
      </c>
      <c r="S797">
        <v>138170000</v>
      </c>
      <c r="T797">
        <v>262590000</v>
      </c>
      <c r="U797">
        <v>199280000</v>
      </c>
      <c r="V797">
        <v>274420000</v>
      </c>
      <c r="W797">
        <v>0</v>
      </c>
      <c r="X797">
        <v>0</v>
      </c>
    </row>
    <row r="798" spans="1:24">
      <c r="A798">
        <v>779</v>
      </c>
      <c r="B798" t="s">
        <v>2170</v>
      </c>
      <c r="C798">
        <v>2</v>
      </c>
      <c r="D798" t="s">
        <v>2171</v>
      </c>
      <c r="E798">
        <v>13</v>
      </c>
      <c r="F798">
        <v>13</v>
      </c>
      <c r="G798">
        <v>13</v>
      </c>
      <c r="H798" t="s">
        <v>2172</v>
      </c>
      <c r="I798">
        <v>69.2</v>
      </c>
      <c r="J798">
        <v>24.449000000000002</v>
      </c>
      <c r="K798" t="str">
        <f>"COMT"</f>
        <v>COMT</v>
      </c>
      <c r="L798" t="str">
        <f>"COMT"</f>
        <v>COMT</v>
      </c>
      <c r="M798">
        <v>0</v>
      </c>
      <c r="N798">
        <v>177570000</v>
      </c>
      <c r="O798">
        <v>65200000</v>
      </c>
      <c r="P798">
        <v>115190000</v>
      </c>
      <c r="Q798">
        <v>0</v>
      </c>
      <c r="R798">
        <v>85049000</v>
      </c>
      <c r="S798" s="8">
        <v>173000000</v>
      </c>
      <c r="T798">
        <v>110420000</v>
      </c>
      <c r="U798">
        <v>0</v>
      </c>
      <c r="V798">
        <v>103880000</v>
      </c>
      <c r="W798">
        <v>0</v>
      </c>
      <c r="X798">
        <v>0</v>
      </c>
    </row>
    <row r="799" spans="1:24">
      <c r="A799">
        <v>786</v>
      </c>
      <c r="B799" t="s">
        <v>2173</v>
      </c>
      <c r="C799">
        <v>1</v>
      </c>
      <c r="D799" t="s">
        <v>2174</v>
      </c>
      <c r="E799">
        <v>7</v>
      </c>
      <c r="F799">
        <v>7</v>
      </c>
      <c r="G799">
        <v>7</v>
      </c>
      <c r="H799" t="s">
        <v>2173</v>
      </c>
      <c r="I799">
        <v>34.5</v>
      </c>
      <c r="J799">
        <v>25.552</v>
      </c>
      <c r="K799" t="str">
        <f>"GPX3"</f>
        <v>GPX3</v>
      </c>
      <c r="L799" t="str">
        <f>"GPX3"</f>
        <v>GPX3</v>
      </c>
      <c r="M799">
        <v>711210000</v>
      </c>
      <c r="N799">
        <v>198180000</v>
      </c>
      <c r="O799">
        <v>0</v>
      </c>
      <c r="P799">
        <v>0</v>
      </c>
      <c r="Q799">
        <v>0</v>
      </c>
      <c r="R799">
        <v>0</v>
      </c>
      <c r="S799">
        <v>175030000</v>
      </c>
      <c r="T799">
        <v>0</v>
      </c>
      <c r="U799">
        <v>0</v>
      </c>
      <c r="V799">
        <v>0</v>
      </c>
      <c r="W799">
        <v>389810000</v>
      </c>
      <c r="X799">
        <v>0</v>
      </c>
    </row>
    <row r="800" spans="1:24">
      <c r="A800">
        <v>967</v>
      </c>
      <c r="B800" t="s">
        <v>2175</v>
      </c>
      <c r="C800">
        <v>4</v>
      </c>
      <c r="D800" t="s">
        <v>2176</v>
      </c>
      <c r="E800">
        <v>6</v>
      </c>
      <c r="F800">
        <v>6</v>
      </c>
      <c r="G800">
        <v>6</v>
      </c>
      <c r="H800" t="s">
        <v>2177</v>
      </c>
      <c r="I800">
        <v>30.1</v>
      </c>
      <c r="J800">
        <v>29.221</v>
      </c>
      <c r="K800" t="str">
        <f>"BSG"</f>
        <v>BSG</v>
      </c>
      <c r="L800" t="str">
        <f>"BSG"</f>
        <v>BSG</v>
      </c>
      <c r="M800">
        <v>0</v>
      </c>
      <c r="N800">
        <v>90501000</v>
      </c>
      <c r="O800">
        <v>67660000</v>
      </c>
      <c r="P800">
        <v>93516000</v>
      </c>
      <c r="Q800">
        <v>0</v>
      </c>
      <c r="R800">
        <v>0</v>
      </c>
      <c r="S800">
        <v>0</v>
      </c>
      <c r="T800">
        <v>0</v>
      </c>
      <c r="U800">
        <v>102370000</v>
      </c>
      <c r="V800">
        <v>106590000</v>
      </c>
      <c r="W800">
        <v>0</v>
      </c>
      <c r="X800">
        <v>98468000</v>
      </c>
    </row>
    <row r="801" spans="1:24">
      <c r="A801">
        <v>1351</v>
      </c>
      <c r="B801" t="s">
        <v>2178</v>
      </c>
      <c r="C801">
        <v>3</v>
      </c>
      <c r="D801" t="s">
        <v>2179</v>
      </c>
      <c r="E801">
        <v>16</v>
      </c>
      <c r="F801">
        <v>16</v>
      </c>
      <c r="G801">
        <v>16</v>
      </c>
      <c r="H801" t="s">
        <v>2180</v>
      </c>
      <c r="I801">
        <v>27.3</v>
      </c>
      <c r="J801">
        <v>70.513999999999996</v>
      </c>
      <c r="K801" t="str">
        <f>"GUCY1B3"</f>
        <v>GUCY1B3</v>
      </c>
      <c r="L801" t="str">
        <f>"GUCY1B3"</f>
        <v>GUCY1B3</v>
      </c>
      <c r="M801">
        <v>54283000</v>
      </c>
      <c r="N801">
        <v>100230000</v>
      </c>
      <c r="O801">
        <v>83825000</v>
      </c>
      <c r="P801">
        <v>47328000</v>
      </c>
      <c r="Q801">
        <v>0</v>
      </c>
      <c r="R801">
        <v>97493000</v>
      </c>
      <c r="S801">
        <v>0</v>
      </c>
      <c r="T801">
        <v>62986000</v>
      </c>
      <c r="U801">
        <v>116150000</v>
      </c>
      <c r="V801">
        <v>47736000</v>
      </c>
      <c r="W801">
        <v>98230000</v>
      </c>
      <c r="X801">
        <v>103920000</v>
      </c>
    </row>
    <row r="802" spans="1:24">
      <c r="A802">
        <v>1878</v>
      </c>
      <c r="B802" t="s">
        <v>2181</v>
      </c>
      <c r="C802">
        <v>1</v>
      </c>
      <c r="D802" t="s">
        <v>2182</v>
      </c>
      <c r="E802">
        <v>6</v>
      </c>
      <c r="F802">
        <v>6</v>
      </c>
      <c r="G802">
        <v>6</v>
      </c>
      <c r="H802" t="s">
        <v>2181</v>
      </c>
      <c r="I802">
        <v>31.8</v>
      </c>
      <c r="J802">
        <v>23.786999999999999</v>
      </c>
      <c r="K802" t="str">
        <f>"OSTF1"</f>
        <v>OSTF1</v>
      </c>
      <c r="L802" t="str">
        <f>"OSTF1"</f>
        <v>OSTF1</v>
      </c>
      <c r="M802">
        <v>0</v>
      </c>
      <c r="N802">
        <v>195730000</v>
      </c>
      <c r="O802">
        <v>169780000</v>
      </c>
      <c r="P802">
        <v>107990000</v>
      </c>
      <c r="Q802">
        <v>0</v>
      </c>
      <c r="R802">
        <v>189100000</v>
      </c>
      <c r="S802">
        <v>123810000</v>
      </c>
      <c r="T802">
        <v>0</v>
      </c>
      <c r="U802">
        <v>0</v>
      </c>
      <c r="V802">
        <v>153450000</v>
      </c>
      <c r="W802">
        <v>0</v>
      </c>
      <c r="X802">
        <v>147200000</v>
      </c>
    </row>
    <row r="803" spans="1:24">
      <c r="A803">
        <v>2262</v>
      </c>
      <c r="B803" t="s">
        <v>2183</v>
      </c>
      <c r="C803">
        <v>3</v>
      </c>
      <c r="D803" t="s">
        <v>2184</v>
      </c>
      <c r="E803">
        <v>8</v>
      </c>
      <c r="F803">
        <v>8</v>
      </c>
      <c r="G803">
        <v>8</v>
      </c>
      <c r="H803" t="s">
        <v>2185</v>
      </c>
      <c r="I803">
        <v>34.799999999999997</v>
      </c>
      <c r="J803">
        <v>25.565000000000001</v>
      </c>
      <c r="K803" t="str">
        <f>"AK3"</f>
        <v>AK3</v>
      </c>
      <c r="L803" t="str">
        <f>"AK3"</f>
        <v>AK3</v>
      </c>
      <c r="M803">
        <v>0</v>
      </c>
      <c r="N803">
        <v>49589000</v>
      </c>
      <c r="O803">
        <v>78690000</v>
      </c>
      <c r="P803">
        <v>91476000</v>
      </c>
      <c r="Q803">
        <v>0</v>
      </c>
      <c r="R803">
        <v>112120000</v>
      </c>
      <c r="S803">
        <v>0</v>
      </c>
      <c r="T803">
        <v>95077000</v>
      </c>
      <c r="U803">
        <v>102570000</v>
      </c>
      <c r="V803">
        <v>98757000</v>
      </c>
      <c r="W803">
        <v>0</v>
      </c>
      <c r="X803">
        <v>77461000</v>
      </c>
    </row>
    <row r="804" spans="1:24">
      <c r="A804">
        <v>2340</v>
      </c>
      <c r="B804" t="s">
        <v>2186</v>
      </c>
      <c r="C804">
        <v>2</v>
      </c>
      <c r="D804" t="s">
        <v>2187</v>
      </c>
      <c r="E804">
        <v>6</v>
      </c>
      <c r="F804">
        <v>6</v>
      </c>
      <c r="G804">
        <v>6</v>
      </c>
      <c r="H804" t="s">
        <v>2188</v>
      </c>
      <c r="I804">
        <v>20.399999999999999</v>
      </c>
      <c r="J804">
        <v>32.267000000000003</v>
      </c>
      <c r="K804" t="str">
        <f>"DHRS7"</f>
        <v>DHRS7</v>
      </c>
      <c r="L804" t="str">
        <f>"DHRS7"</f>
        <v>DHRS7</v>
      </c>
      <c r="M804">
        <v>77439000</v>
      </c>
      <c r="N804">
        <v>62530000</v>
      </c>
      <c r="O804">
        <v>117720000</v>
      </c>
      <c r="P804">
        <v>0</v>
      </c>
      <c r="Q804">
        <v>0</v>
      </c>
      <c r="R804">
        <v>82074000</v>
      </c>
      <c r="S804">
        <v>92929000</v>
      </c>
      <c r="T804">
        <v>71992000</v>
      </c>
      <c r="U804">
        <v>112670000</v>
      </c>
      <c r="V804">
        <v>66160000</v>
      </c>
      <c r="W804">
        <v>192870000</v>
      </c>
      <c r="X804">
        <v>128980000</v>
      </c>
    </row>
    <row r="805" spans="1:24">
      <c r="A805">
        <v>79</v>
      </c>
      <c r="B805" t="s">
        <v>2189</v>
      </c>
      <c r="C805">
        <v>3</v>
      </c>
      <c r="D805" t="s">
        <v>2190</v>
      </c>
      <c r="E805">
        <v>8</v>
      </c>
      <c r="F805">
        <v>8</v>
      </c>
      <c r="G805">
        <v>8</v>
      </c>
      <c r="H805" t="s">
        <v>2191</v>
      </c>
      <c r="I805">
        <v>31.4</v>
      </c>
      <c r="J805">
        <v>32.531999999999996</v>
      </c>
      <c r="K805" t="str">
        <f>"PPP6C"</f>
        <v>PPP6C</v>
      </c>
      <c r="L805" t="str">
        <f>"PPP6C"</f>
        <v>PPP6C</v>
      </c>
      <c r="M805">
        <v>101530000</v>
      </c>
      <c r="N805">
        <v>60026000</v>
      </c>
      <c r="O805">
        <v>50053000</v>
      </c>
      <c r="P805">
        <v>0</v>
      </c>
      <c r="Q805">
        <v>0</v>
      </c>
      <c r="R805">
        <v>102580000</v>
      </c>
      <c r="S805">
        <v>102010000</v>
      </c>
      <c r="T805">
        <v>0</v>
      </c>
      <c r="U805">
        <v>134570000</v>
      </c>
      <c r="V805">
        <v>0</v>
      </c>
      <c r="W805">
        <v>101690000</v>
      </c>
      <c r="X805">
        <v>118690000</v>
      </c>
    </row>
    <row r="806" spans="1:24">
      <c r="A806">
        <v>340</v>
      </c>
      <c r="B806" t="s">
        <v>2192</v>
      </c>
      <c r="C806">
        <v>1</v>
      </c>
      <c r="D806" t="s">
        <v>2193</v>
      </c>
      <c r="E806">
        <v>3</v>
      </c>
      <c r="F806">
        <v>3</v>
      </c>
      <c r="G806">
        <v>2</v>
      </c>
      <c r="H806" t="s">
        <v>2192</v>
      </c>
      <c r="I806">
        <v>24.8</v>
      </c>
      <c r="J806">
        <v>12.781000000000001</v>
      </c>
      <c r="K806" t="str">
        <f>"IGKV1-5"</f>
        <v>IGKV1-5</v>
      </c>
      <c r="L806" t="str">
        <f>"IGKV1-5"</f>
        <v>IGKV1-5</v>
      </c>
      <c r="M806">
        <v>711680000</v>
      </c>
      <c r="N806">
        <v>309640000</v>
      </c>
      <c r="O806">
        <v>679560000</v>
      </c>
      <c r="P806">
        <v>678190000</v>
      </c>
      <c r="Q806">
        <v>742740000</v>
      </c>
      <c r="R806">
        <v>0</v>
      </c>
      <c r="S806">
        <v>0</v>
      </c>
      <c r="T806">
        <v>534860000</v>
      </c>
      <c r="U806">
        <v>0</v>
      </c>
      <c r="V806">
        <v>300930000</v>
      </c>
      <c r="W806">
        <v>0</v>
      </c>
      <c r="X806">
        <v>0</v>
      </c>
    </row>
    <row r="807" spans="1:24">
      <c r="A807">
        <v>463</v>
      </c>
      <c r="B807" t="s">
        <v>2194</v>
      </c>
      <c r="C807">
        <v>1</v>
      </c>
      <c r="D807" t="s">
        <v>2195</v>
      </c>
      <c r="E807">
        <v>3</v>
      </c>
      <c r="F807">
        <v>3</v>
      </c>
      <c r="G807">
        <v>3</v>
      </c>
      <c r="H807" t="s">
        <v>2194</v>
      </c>
      <c r="I807">
        <v>26.1</v>
      </c>
      <c r="J807">
        <v>12.574999999999999</v>
      </c>
      <c r="K807" t="s">
        <v>2196</v>
      </c>
      <c r="L807" t="s">
        <v>2196</v>
      </c>
      <c r="M807">
        <v>1677400000</v>
      </c>
      <c r="N807">
        <v>523410000</v>
      </c>
      <c r="O807">
        <v>799820000</v>
      </c>
      <c r="P807">
        <v>1046100000</v>
      </c>
      <c r="Q807">
        <v>1514900000</v>
      </c>
      <c r="R807">
        <v>1013300000</v>
      </c>
      <c r="S807">
        <v>0</v>
      </c>
      <c r="T807">
        <v>1069400000</v>
      </c>
      <c r="U807">
        <v>588600000</v>
      </c>
      <c r="V807">
        <v>733160000</v>
      </c>
      <c r="W807">
        <v>774900000</v>
      </c>
      <c r="X807">
        <v>0</v>
      </c>
    </row>
    <row r="808" spans="1:24">
      <c r="A808">
        <v>638</v>
      </c>
      <c r="B808" t="s">
        <v>2197</v>
      </c>
      <c r="C808">
        <v>2</v>
      </c>
      <c r="D808" t="s">
        <v>2198</v>
      </c>
      <c r="E808">
        <v>11</v>
      </c>
      <c r="F808">
        <v>11</v>
      </c>
      <c r="G808">
        <v>11</v>
      </c>
      <c r="H808" t="s">
        <v>2199</v>
      </c>
      <c r="I808">
        <v>25.7</v>
      </c>
      <c r="J808">
        <v>46.588000000000001</v>
      </c>
      <c r="K808" t="str">
        <f>"ACADM"</f>
        <v>ACADM</v>
      </c>
      <c r="L808" t="str">
        <f>"ACADM"</f>
        <v>ACADM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97854000</v>
      </c>
      <c r="S808">
        <v>130350000</v>
      </c>
      <c r="T808">
        <v>0</v>
      </c>
      <c r="U808">
        <v>145880000</v>
      </c>
      <c r="V808">
        <v>92956000</v>
      </c>
      <c r="W808">
        <v>0</v>
      </c>
      <c r="X808">
        <v>99686000</v>
      </c>
    </row>
    <row r="809" spans="1:24">
      <c r="A809">
        <v>1763</v>
      </c>
      <c r="B809" t="s">
        <v>2200</v>
      </c>
      <c r="C809">
        <v>1</v>
      </c>
      <c r="D809" t="s">
        <v>2201</v>
      </c>
      <c r="E809">
        <v>7</v>
      </c>
      <c r="F809">
        <v>7</v>
      </c>
      <c r="G809">
        <v>7</v>
      </c>
      <c r="H809" t="s">
        <v>2200</v>
      </c>
      <c r="I809">
        <v>17.399999999999999</v>
      </c>
      <c r="J809">
        <v>72.563999999999993</v>
      </c>
      <c r="K809" t="str">
        <f>"SLC9A9"</f>
        <v>SLC9A9</v>
      </c>
      <c r="L809" t="str">
        <f>"SLC9A9"</f>
        <v>SLC9A9</v>
      </c>
      <c r="M809">
        <v>49152000</v>
      </c>
      <c r="N809">
        <v>0</v>
      </c>
      <c r="O809">
        <v>261570000</v>
      </c>
      <c r="P809">
        <v>119950000</v>
      </c>
      <c r="Q809">
        <v>186410000</v>
      </c>
      <c r="R809">
        <v>159070000</v>
      </c>
      <c r="S809">
        <v>166710000</v>
      </c>
      <c r="T809">
        <v>0</v>
      </c>
      <c r="U809">
        <v>174740000</v>
      </c>
      <c r="V809">
        <v>0</v>
      </c>
      <c r="W809">
        <v>156080000</v>
      </c>
      <c r="X809">
        <v>188330000</v>
      </c>
    </row>
    <row r="810" spans="1:24">
      <c r="A810">
        <v>2280</v>
      </c>
      <c r="B810" t="s">
        <v>2202</v>
      </c>
      <c r="C810">
        <v>1</v>
      </c>
      <c r="D810" t="s">
        <v>2203</v>
      </c>
      <c r="E810">
        <v>7</v>
      </c>
      <c r="F810">
        <v>7</v>
      </c>
      <c r="G810">
        <v>7</v>
      </c>
      <c r="H810" t="s">
        <v>2202</v>
      </c>
      <c r="I810">
        <v>33.799999999999997</v>
      </c>
      <c r="J810">
        <v>24.347000000000001</v>
      </c>
      <c r="K810" t="str">
        <f>"RAB21"</f>
        <v>RAB21</v>
      </c>
      <c r="L810" t="str">
        <f>"RAB21"</f>
        <v>RAB21</v>
      </c>
      <c r="M810">
        <v>0</v>
      </c>
      <c r="N810">
        <v>144720000</v>
      </c>
      <c r="O810">
        <v>198030000</v>
      </c>
      <c r="P810">
        <v>133630000</v>
      </c>
      <c r="Q810">
        <v>0</v>
      </c>
      <c r="R810">
        <v>156360000</v>
      </c>
      <c r="S810">
        <v>0</v>
      </c>
      <c r="T810">
        <v>0</v>
      </c>
      <c r="U810">
        <v>0</v>
      </c>
      <c r="V810">
        <v>142360000</v>
      </c>
      <c r="W810">
        <v>94627000</v>
      </c>
      <c r="X810">
        <v>101470000</v>
      </c>
    </row>
    <row r="811" spans="1:24">
      <c r="A811">
        <v>105</v>
      </c>
      <c r="B811" t="s">
        <v>2204</v>
      </c>
      <c r="C811">
        <v>5</v>
      </c>
      <c r="D811" t="s">
        <v>2205</v>
      </c>
      <c r="E811">
        <v>19</v>
      </c>
      <c r="F811">
        <v>19</v>
      </c>
      <c r="G811">
        <v>18</v>
      </c>
      <c r="H811" t="s">
        <v>2206</v>
      </c>
      <c r="I811">
        <v>21.3</v>
      </c>
      <c r="J811">
        <v>109.1</v>
      </c>
      <c r="K811" t="str">
        <f>"PPP1R12A"</f>
        <v>PPP1R12A</v>
      </c>
      <c r="L811" t="str">
        <f>"PPP1R12A"</f>
        <v>PPP1R12A</v>
      </c>
      <c r="M811">
        <v>534990000</v>
      </c>
      <c r="N811">
        <v>0</v>
      </c>
      <c r="O811">
        <v>0</v>
      </c>
      <c r="P811">
        <v>0</v>
      </c>
      <c r="Q811">
        <v>0</v>
      </c>
      <c r="R811">
        <v>497540000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</row>
    <row r="812" spans="1:24">
      <c r="A812">
        <v>107</v>
      </c>
      <c r="B812" t="s">
        <v>2207</v>
      </c>
      <c r="C812">
        <v>1</v>
      </c>
      <c r="D812" t="s">
        <v>2208</v>
      </c>
      <c r="E812">
        <v>13</v>
      </c>
      <c r="F812">
        <v>13</v>
      </c>
      <c r="G812">
        <v>13</v>
      </c>
      <c r="H812" t="s">
        <v>2207</v>
      </c>
      <c r="I812">
        <v>13.5</v>
      </c>
      <c r="J812">
        <v>123.38</v>
      </c>
      <c r="K812" t="str">
        <f>"XPO1"</f>
        <v>XPO1</v>
      </c>
      <c r="L812" t="str">
        <f>"XPO1"</f>
        <v>XPO1</v>
      </c>
      <c r="M812">
        <v>74699000</v>
      </c>
      <c r="N812">
        <v>64112000</v>
      </c>
      <c r="O812">
        <v>89370000</v>
      </c>
      <c r="P812">
        <v>0</v>
      </c>
      <c r="Q812">
        <v>0</v>
      </c>
      <c r="R812">
        <v>71791000</v>
      </c>
      <c r="S812">
        <v>114120000</v>
      </c>
      <c r="T812">
        <v>64520000</v>
      </c>
      <c r="U812">
        <v>0</v>
      </c>
      <c r="V812">
        <v>79081000</v>
      </c>
      <c r="W812">
        <v>0</v>
      </c>
      <c r="X812">
        <v>123610000</v>
      </c>
    </row>
    <row r="813" spans="1:24">
      <c r="A813">
        <v>210</v>
      </c>
      <c r="B813" t="s">
        <v>2209</v>
      </c>
      <c r="C813">
        <v>2</v>
      </c>
      <c r="D813" t="s">
        <v>2210</v>
      </c>
      <c r="E813">
        <v>5</v>
      </c>
      <c r="F813">
        <v>5</v>
      </c>
      <c r="G813">
        <v>5</v>
      </c>
      <c r="H813" t="s">
        <v>2211</v>
      </c>
      <c r="I813">
        <v>23.8</v>
      </c>
      <c r="J813">
        <v>21.664000000000001</v>
      </c>
      <c r="K813" t="str">
        <f>"PDCD6"</f>
        <v>PDCD6</v>
      </c>
      <c r="L813" t="str">
        <f>"PDCD6"</f>
        <v>PDCD6</v>
      </c>
      <c r="M813">
        <v>0</v>
      </c>
      <c r="N813">
        <v>125130000</v>
      </c>
      <c r="O813">
        <v>122790000</v>
      </c>
      <c r="P813">
        <v>0</v>
      </c>
      <c r="Q813">
        <v>157140000</v>
      </c>
      <c r="R813">
        <v>128680000</v>
      </c>
      <c r="S813">
        <v>0</v>
      </c>
      <c r="T813">
        <v>166240000</v>
      </c>
      <c r="U813">
        <v>178190000</v>
      </c>
      <c r="V813">
        <v>119010000</v>
      </c>
      <c r="W813">
        <v>0</v>
      </c>
      <c r="X813">
        <v>0</v>
      </c>
    </row>
    <row r="814" spans="1:24">
      <c r="A814">
        <v>498</v>
      </c>
      <c r="B814" t="s">
        <v>2212</v>
      </c>
      <c r="C814">
        <v>1</v>
      </c>
      <c r="D814" t="s">
        <v>2213</v>
      </c>
      <c r="E814">
        <v>5</v>
      </c>
      <c r="F814">
        <v>5</v>
      </c>
      <c r="G814">
        <v>3</v>
      </c>
      <c r="H814" t="s">
        <v>2212</v>
      </c>
      <c r="I814">
        <v>37.6</v>
      </c>
      <c r="J814">
        <v>14.707000000000001</v>
      </c>
      <c r="K814" t="s">
        <v>2214</v>
      </c>
      <c r="L814" t="s">
        <v>2214</v>
      </c>
      <c r="M814">
        <v>2973200000</v>
      </c>
      <c r="N814">
        <v>0</v>
      </c>
      <c r="O814">
        <v>1842300000</v>
      </c>
      <c r="P814">
        <v>0</v>
      </c>
      <c r="Q814">
        <v>3411500000</v>
      </c>
      <c r="R814">
        <v>0</v>
      </c>
      <c r="S814">
        <v>0</v>
      </c>
      <c r="T814">
        <v>2541400000</v>
      </c>
      <c r="U814">
        <v>0</v>
      </c>
      <c r="V814">
        <v>2506700000</v>
      </c>
      <c r="W814">
        <v>0</v>
      </c>
      <c r="X814">
        <v>0</v>
      </c>
    </row>
    <row r="815" spans="1:24">
      <c r="A815">
        <v>597</v>
      </c>
      <c r="B815" t="s">
        <v>2215</v>
      </c>
      <c r="C815">
        <v>15</v>
      </c>
      <c r="D815" t="s">
        <v>2216</v>
      </c>
      <c r="E815">
        <v>5</v>
      </c>
      <c r="F815">
        <v>5</v>
      </c>
      <c r="G815">
        <v>0</v>
      </c>
      <c r="H815" t="s">
        <v>2217</v>
      </c>
      <c r="I815">
        <v>43.8</v>
      </c>
      <c r="J815">
        <v>13.936</v>
      </c>
      <c r="K815" t="str">
        <f>"HIST1H2AJ;HIST1H2AH;H2AFJ;HIST1H2AD;HIST1H2AG;H2AFX;H2AFV;H2AFZ;HIST2H2AB;HIST1H2AA"</f>
        <v>HIST1H2AJ;HIST1H2AH;H2AFJ;HIST1H2AD;HIST1H2AG;H2AFX;H2AFV;H2AFZ;HIST2H2AB;HIST1H2AA</v>
      </c>
      <c r="L815" t="str">
        <f>"HIST1H2AJ;HIST1H2AH;H2AFJ;HIST1H2AD;HIST1H2AG;H2AFX;H2AFV;H2AFZ;HIST2H2AB;HIST1H2AA"</f>
        <v>HIST1H2AJ;HIST1H2AH;H2AFJ;HIST1H2AD;HIST1H2AG;H2AFX;H2AFV;H2AFZ;HIST2H2AB;HIST1H2AA</v>
      </c>
      <c r="M815">
        <v>0</v>
      </c>
      <c r="N815">
        <v>0</v>
      </c>
      <c r="O815">
        <v>74703000</v>
      </c>
      <c r="P815">
        <v>0</v>
      </c>
      <c r="Q815">
        <v>186770000</v>
      </c>
      <c r="R815" s="8">
        <v>4671000000</v>
      </c>
      <c r="S815">
        <v>569910000</v>
      </c>
      <c r="T815">
        <v>0</v>
      </c>
      <c r="U815">
        <v>0</v>
      </c>
      <c r="V815">
        <v>460230000</v>
      </c>
      <c r="W815">
        <v>190250000</v>
      </c>
      <c r="X815">
        <v>0</v>
      </c>
    </row>
    <row r="816" spans="1:24">
      <c r="A816">
        <v>673</v>
      </c>
      <c r="B816" t="s">
        <v>2218</v>
      </c>
      <c r="C816">
        <v>4</v>
      </c>
      <c r="D816" t="s">
        <v>2219</v>
      </c>
      <c r="E816">
        <v>14</v>
      </c>
      <c r="F816">
        <v>10</v>
      </c>
      <c r="G816">
        <v>10</v>
      </c>
      <c r="H816" t="s">
        <v>2220</v>
      </c>
      <c r="I816">
        <v>28.6</v>
      </c>
      <c r="J816">
        <v>70.81</v>
      </c>
      <c r="K816" t="str">
        <f>"PLS3;PLS1"</f>
        <v>PLS3;PLS1</v>
      </c>
      <c r="L816" t="str">
        <f>"PLS3;PLS1"</f>
        <v>PLS3;PLS1</v>
      </c>
      <c r="M816">
        <v>0</v>
      </c>
      <c r="N816">
        <v>102450000</v>
      </c>
      <c r="O816">
        <v>94570000</v>
      </c>
      <c r="P816">
        <v>75274000</v>
      </c>
      <c r="Q816">
        <v>74615000</v>
      </c>
      <c r="R816">
        <v>154040000</v>
      </c>
      <c r="S816">
        <v>0</v>
      </c>
      <c r="T816">
        <v>90093000</v>
      </c>
      <c r="U816">
        <v>0</v>
      </c>
      <c r="V816">
        <v>115260000</v>
      </c>
      <c r="W816">
        <v>0</v>
      </c>
      <c r="X816">
        <v>84484000</v>
      </c>
    </row>
    <row r="817" spans="1:24">
      <c r="A817">
        <v>947</v>
      </c>
      <c r="B817" t="s">
        <v>2221</v>
      </c>
      <c r="C817">
        <v>3</v>
      </c>
      <c r="D817" t="s">
        <v>2222</v>
      </c>
      <c r="E817">
        <v>11</v>
      </c>
      <c r="F817">
        <v>11</v>
      </c>
      <c r="G817">
        <v>10</v>
      </c>
      <c r="H817" t="s">
        <v>2223</v>
      </c>
      <c r="I817">
        <v>30.8</v>
      </c>
      <c r="J817">
        <v>53.454000000000001</v>
      </c>
      <c r="K817" t="str">
        <f>"SHMT2"</f>
        <v>SHMT2</v>
      </c>
      <c r="L817" t="str">
        <f>"SHMT2"</f>
        <v>SHMT2</v>
      </c>
      <c r="M817">
        <v>0</v>
      </c>
      <c r="N817">
        <v>80265000</v>
      </c>
      <c r="O817">
        <v>98181000</v>
      </c>
      <c r="P817">
        <v>0</v>
      </c>
      <c r="Q817">
        <v>0</v>
      </c>
      <c r="R817">
        <v>52737000</v>
      </c>
      <c r="S817">
        <v>96768000</v>
      </c>
      <c r="T817">
        <v>0</v>
      </c>
      <c r="U817">
        <v>131830000</v>
      </c>
      <c r="V817">
        <v>81855000</v>
      </c>
      <c r="W817">
        <v>62341000</v>
      </c>
      <c r="X817">
        <v>108280000</v>
      </c>
    </row>
    <row r="818" spans="1:24">
      <c r="A818">
        <v>1038</v>
      </c>
      <c r="B818" t="s">
        <v>2224</v>
      </c>
      <c r="C818">
        <v>2</v>
      </c>
      <c r="D818" t="s">
        <v>2225</v>
      </c>
      <c r="E818">
        <v>7</v>
      </c>
      <c r="F818">
        <v>7</v>
      </c>
      <c r="G818">
        <v>7</v>
      </c>
      <c r="H818" t="s">
        <v>2226</v>
      </c>
      <c r="I818">
        <v>60</v>
      </c>
      <c r="J818">
        <v>23.239000000000001</v>
      </c>
      <c r="K818" t="str">
        <f>"RANBP1"</f>
        <v>RANBP1</v>
      </c>
      <c r="L818" t="str">
        <f>"RANBP1"</f>
        <v>RANBP1</v>
      </c>
      <c r="M818">
        <v>158030000</v>
      </c>
      <c r="N818">
        <v>0</v>
      </c>
      <c r="O818">
        <v>170260000</v>
      </c>
      <c r="P818">
        <v>174780000</v>
      </c>
      <c r="Q818">
        <v>0</v>
      </c>
      <c r="R818">
        <v>107500000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</row>
    <row r="819" spans="1:24">
      <c r="A819">
        <v>1149</v>
      </c>
      <c r="B819" t="s">
        <v>2227</v>
      </c>
      <c r="C819">
        <v>6</v>
      </c>
      <c r="D819" t="s">
        <v>2228</v>
      </c>
      <c r="E819">
        <v>8</v>
      </c>
      <c r="F819">
        <v>8</v>
      </c>
      <c r="G819">
        <v>8</v>
      </c>
      <c r="H819" t="s">
        <v>2229</v>
      </c>
      <c r="I819">
        <v>17</v>
      </c>
      <c r="J819">
        <v>66.316000000000003</v>
      </c>
      <c r="K819" t="str">
        <f>"RAP1GDS1"</f>
        <v>RAP1GDS1</v>
      </c>
      <c r="L819" t="str">
        <f>"RAP1GDS1"</f>
        <v>RAP1GDS1</v>
      </c>
      <c r="M819">
        <v>91995000</v>
      </c>
      <c r="N819">
        <v>102260000</v>
      </c>
      <c r="O819">
        <v>111950000</v>
      </c>
      <c r="P819">
        <v>86228000</v>
      </c>
      <c r="Q819">
        <v>0</v>
      </c>
      <c r="R819">
        <v>68689000</v>
      </c>
      <c r="S819">
        <v>109350000</v>
      </c>
      <c r="T819">
        <v>0</v>
      </c>
      <c r="U819">
        <v>153080000</v>
      </c>
      <c r="V819">
        <v>0</v>
      </c>
      <c r="W819">
        <v>128700000</v>
      </c>
      <c r="X819">
        <v>144270000</v>
      </c>
    </row>
    <row r="820" spans="1:24">
      <c r="A820">
        <v>1588</v>
      </c>
      <c r="B820" t="s">
        <v>2230</v>
      </c>
      <c r="C820">
        <v>1</v>
      </c>
      <c r="D820" t="s">
        <v>2231</v>
      </c>
      <c r="E820">
        <v>11</v>
      </c>
      <c r="F820">
        <v>11</v>
      </c>
      <c r="G820">
        <v>11</v>
      </c>
      <c r="H820" t="s">
        <v>2230</v>
      </c>
      <c r="I820">
        <v>31.7</v>
      </c>
      <c r="J820">
        <v>44.468000000000004</v>
      </c>
      <c r="K820" t="str">
        <f>"CDC37"</f>
        <v>CDC37</v>
      </c>
      <c r="L820" t="str">
        <f>"CDC37"</f>
        <v>CDC37</v>
      </c>
      <c r="M820">
        <v>0</v>
      </c>
      <c r="N820">
        <v>98196000</v>
      </c>
      <c r="O820">
        <v>88697000</v>
      </c>
      <c r="P820">
        <v>108060000</v>
      </c>
      <c r="Q820">
        <v>0</v>
      </c>
      <c r="R820">
        <v>86292000</v>
      </c>
      <c r="S820" s="8">
        <v>151000000</v>
      </c>
      <c r="T820">
        <v>0</v>
      </c>
      <c r="U820">
        <v>0</v>
      </c>
      <c r="V820">
        <v>0</v>
      </c>
      <c r="W820">
        <v>0</v>
      </c>
      <c r="X820">
        <v>154800000</v>
      </c>
    </row>
    <row r="821" spans="1:24">
      <c r="A821">
        <v>1776</v>
      </c>
      <c r="B821" t="s">
        <v>2232</v>
      </c>
      <c r="C821">
        <v>3</v>
      </c>
      <c r="D821" t="s">
        <v>2233</v>
      </c>
      <c r="E821">
        <v>7</v>
      </c>
      <c r="F821">
        <v>7</v>
      </c>
      <c r="G821">
        <v>7</v>
      </c>
      <c r="H821" t="s">
        <v>2234</v>
      </c>
      <c r="I821">
        <v>13.5</v>
      </c>
      <c r="J821">
        <v>85.126000000000005</v>
      </c>
      <c r="K821" t="str">
        <f>"ALDH16A1"</f>
        <v>ALDH16A1</v>
      </c>
      <c r="L821" t="str">
        <f>"ALDH16A1"</f>
        <v>ALDH16A1</v>
      </c>
      <c r="M821">
        <v>91312000</v>
      </c>
      <c r="N821">
        <v>112690000</v>
      </c>
      <c r="O821">
        <v>134170000</v>
      </c>
      <c r="P821">
        <v>0</v>
      </c>
      <c r="Q821">
        <v>0</v>
      </c>
      <c r="R821">
        <v>107200000</v>
      </c>
      <c r="S821">
        <v>0</v>
      </c>
      <c r="T821">
        <v>0</v>
      </c>
      <c r="U821">
        <v>0</v>
      </c>
      <c r="V821">
        <v>0</v>
      </c>
      <c r="W821">
        <v>136470000</v>
      </c>
      <c r="X821">
        <v>140610000</v>
      </c>
    </row>
    <row r="822" spans="1:24">
      <c r="A822">
        <v>1922</v>
      </c>
      <c r="B822" t="s">
        <v>2235</v>
      </c>
      <c r="C822">
        <v>2</v>
      </c>
      <c r="D822" t="s">
        <v>2236</v>
      </c>
      <c r="E822">
        <v>11</v>
      </c>
      <c r="F822">
        <v>11</v>
      </c>
      <c r="G822">
        <v>11</v>
      </c>
      <c r="H822" t="s">
        <v>2237</v>
      </c>
      <c r="I822">
        <v>29.6</v>
      </c>
      <c r="J822">
        <v>49.389000000000003</v>
      </c>
      <c r="K822" t="str">
        <f>"AP2M1"</f>
        <v>AP2M1</v>
      </c>
      <c r="L822" t="str">
        <f>"AP2M1"</f>
        <v>AP2M1</v>
      </c>
      <c r="M822">
        <v>0</v>
      </c>
      <c r="N822">
        <v>64805000</v>
      </c>
      <c r="O822">
        <v>0</v>
      </c>
      <c r="P822">
        <v>0</v>
      </c>
      <c r="Q822">
        <v>0</v>
      </c>
      <c r="R822">
        <v>118970000</v>
      </c>
      <c r="S822">
        <v>54772000</v>
      </c>
      <c r="T822">
        <v>0</v>
      </c>
      <c r="U822">
        <v>0</v>
      </c>
      <c r="V822">
        <v>59851000</v>
      </c>
      <c r="W822">
        <v>0</v>
      </c>
      <c r="X822">
        <v>0</v>
      </c>
    </row>
    <row r="823" spans="1:24">
      <c r="A823">
        <v>2065</v>
      </c>
      <c r="B823" t="s">
        <v>2238</v>
      </c>
      <c r="C823">
        <v>3</v>
      </c>
      <c r="D823" t="s">
        <v>2239</v>
      </c>
      <c r="E823">
        <v>13</v>
      </c>
      <c r="F823">
        <v>13</v>
      </c>
      <c r="G823">
        <v>13</v>
      </c>
      <c r="H823" t="s">
        <v>2240</v>
      </c>
      <c r="I823">
        <v>25.6</v>
      </c>
      <c r="J823">
        <v>73.230999999999995</v>
      </c>
      <c r="K823" t="str">
        <f>"MTMR12"</f>
        <v>MTMR12</v>
      </c>
      <c r="L823" t="str">
        <f>"MTMR12"</f>
        <v>MTMR12</v>
      </c>
      <c r="M823">
        <v>67622000</v>
      </c>
      <c r="N823">
        <v>73284000</v>
      </c>
      <c r="O823">
        <v>72474000</v>
      </c>
      <c r="P823">
        <v>0</v>
      </c>
      <c r="Q823">
        <v>0</v>
      </c>
      <c r="R823">
        <v>69998000</v>
      </c>
      <c r="S823">
        <v>0</v>
      </c>
      <c r="T823">
        <v>0</v>
      </c>
      <c r="U823">
        <v>72757000</v>
      </c>
      <c r="V823">
        <v>95194000</v>
      </c>
      <c r="W823">
        <v>0</v>
      </c>
      <c r="X823">
        <v>71930000</v>
      </c>
    </row>
    <row r="824" spans="1:24">
      <c r="A824">
        <v>2328</v>
      </c>
      <c r="B824" t="s">
        <v>2241</v>
      </c>
      <c r="C824">
        <v>3</v>
      </c>
      <c r="D824" t="s">
        <v>2242</v>
      </c>
      <c r="E824">
        <v>13</v>
      </c>
      <c r="F824">
        <v>13</v>
      </c>
      <c r="G824">
        <v>13</v>
      </c>
      <c r="H824" t="s">
        <v>2243</v>
      </c>
      <c r="I824">
        <v>13.6</v>
      </c>
      <c r="J824">
        <v>129.72</v>
      </c>
      <c r="K824" t="str">
        <f>"ATP8A1"</f>
        <v>ATP8A1</v>
      </c>
      <c r="L824" t="str">
        <f>"ATP8A1"</f>
        <v>ATP8A1</v>
      </c>
      <c r="M824">
        <v>0</v>
      </c>
      <c r="N824">
        <v>89898000</v>
      </c>
      <c r="O824">
        <v>81866000</v>
      </c>
      <c r="P824">
        <v>69808000</v>
      </c>
      <c r="Q824">
        <v>0</v>
      </c>
      <c r="R824">
        <v>49162000</v>
      </c>
      <c r="S824">
        <v>0</v>
      </c>
      <c r="T824">
        <v>0</v>
      </c>
      <c r="U824">
        <v>0</v>
      </c>
      <c r="V824">
        <v>42806000</v>
      </c>
      <c r="W824">
        <v>141330000</v>
      </c>
      <c r="X824">
        <v>77115000</v>
      </c>
    </row>
    <row r="825" spans="1:24">
      <c r="A825">
        <v>2343</v>
      </c>
      <c r="B825" t="s">
        <v>2244</v>
      </c>
      <c r="C825">
        <v>1</v>
      </c>
      <c r="D825" t="s">
        <v>2245</v>
      </c>
      <c r="E825">
        <v>6</v>
      </c>
      <c r="F825">
        <v>6</v>
      </c>
      <c r="G825">
        <v>6</v>
      </c>
      <c r="H825" t="s">
        <v>2244</v>
      </c>
      <c r="I825">
        <v>32.9</v>
      </c>
      <c r="J825">
        <v>19.457999999999998</v>
      </c>
      <c r="K825" t="str">
        <f>"UFC1"</f>
        <v>UFC1</v>
      </c>
      <c r="L825" t="str">
        <f>"UFC1"</f>
        <v>UFC1</v>
      </c>
      <c r="M825">
        <v>111460000</v>
      </c>
      <c r="N825">
        <v>155240000</v>
      </c>
      <c r="O825">
        <v>152870000</v>
      </c>
      <c r="P825">
        <v>109270000</v>
      </c>
      <c r="Q825">
        <v>0</v>
      </c>
      <c r="R825">
        <v>171280000</v>
      </c>
      <c r="S825">
        <v>139030000</v>
      </c>
      <c r="T825">
        <v>0</v>
      </c>
      <c r="U825">
        <v>205200000</v>
      </c>
      <c r="V825">
        <v>201220000</v>
      </c>
      <c r="W825">
        <v>181140000</v>
      </c>
      <c r="X825">
        <v>241480000</v>
      </c>
    </row>
    <row r="826" spans="1:24">
      <c r="A826">
        <v>1372</v>
      </c>
      <c r="B826" t="s">
        <v>2246</v>
      </c>
      <c r="C826">
        <v>4</v>
      </c>
      <c r="D826" t="s">
        <v>2247</v>
      </c>
      <c r="E826">
        <v>18</v>
      </c>
      <c r="F826">
        <v>11</v>
      </c>
      <c r="G826">
        <v>9</v>
      </c>
      <c r="H826" t="s">
        <v>2248</v>
      </c>
      <c r="I826">
        <v>23.5</v>
      </c>
      <c r="J826">
        <v>96.04</v>
      </c>
      <c r="K826" t="str">
        <f>"DNM1"</f>
        <v>DNM1</v>
      </c>
      <c r="L826" t="str">
        <f>"DNM1"</f>
        <v>DNM1</v>
      </c>
      <c r="M826">
        <v>0</v>
      </c>
      <c r="N826">
        <v>143370000</v>
      </c>
      <c r="O826">
        <v>96641000</v>
      </c>
      <c r="P826">
        <v>0</v>
      </c>
      <c r="Q826">
        <v>0</v>
      </c>
      <c r="R826">
        <v>0</v>
      </c>
      <c r="S826">
        <v>86984000</v>
      </c>
      <c r="T826">
        <v>73446000</v>
      </c>
      <c r="U826">
        <v>124130000</v>
      </c>
      <c r="V826">
        <v>0</v>
      </c>
      <c r="W826">
        <v>76774000</v>
      </c>
      <c r="X826">
        <v>61669000</v>
      </c>
    </row>
    <row r="827" spans="1:24">
      <c r="A827">
        <v>1434</v>
      </c>
      <c r="B827" t="s">
        <v>2249</v>
      </c>
      <c r="C827">
        <v>3</v>
      </c>
      <c r="D827" t="s">
        <v>2250</v>
      </c>
      <c r="E827">
        <v>17</v>
      </c>
      <c r="F827">
        <v>17</v>
      </c>
      <c r="G827">
        <v>17</v>
      </c>
      <c r="H827" t="s">
        <v>2251</v>
      </c>
      <c r="I827">
        <v>24</v>
      </c>
      <c r="J827">
        <v>100.2</v>
      </c>
      <c r="K827" t="str">
        <f>"PSMD2"</f>
        <v>PSMD2</v>
      </c>
      <c r="L827" t="str">
        <f>"PSMD2"</f>
        <v>PSMD2</v>
      </c>
      <c r="M827">
        <v>0</v>
      </c>
      <c r="N827">
        <v>212030000</v>
      </c>
      <c r="O827">
        <v>129640000</v>
      </c>
      <c r="P827">
        <v>0</v>
      </c>
      <c r="Q827">
        <v>154560000</v>
      </c>
      <c r="R827">
        <v>69097000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105990000</v>
      </c>
    </row>
    <row r="828" spans="1:24">
      <c r="A828">
        <v>1479</v>
      </c>
      <c r="B828" t="s">
        <v>2252</v>
      </c>
      <c r="C828">
        <v>2</v>
      </c>
      <c r="D828" t="s">
        <v>2253</v>
      </c>
      <c r="E828">
        <v>14</v>
      </c>
      <c r="F828">
        <v>13</v>
      </c>
      <c r="G828">
        <v>13</v>
      </c>
      <c r="H828" t="s">
        <v>2254</v>
      </c>
      <c r="I828">
        <v>17.399999999999999</v>
      </c>
      <c r="J828">
        <v>140.86000000000001</v>
      </c>
      <c r="K828" t="str">
        <f>"NID2"</f>
        <v>NID2</v>
      </c>
      <c r="L828" t="str">
        <f>"NID2"</f>
        <v>NID2</v>
      </c>
      <c r="M828">
        <v>0</v>
      </c>
      <c r="N828">
        <v>114730000</v>
      </c>
      <c r="O828">
        <v>152550000</v>
      </c>
      <c r="P828">
        <v>146010000</v>
      </c>
      <c r="Q828">
        <v>0</v>
      </c>
      <c r="R828">
        <v>0</v>
      </c>
      <c r="S828">
        <v>0</v>
      </c>
      <c r="T828">
        <v>0</v>
      </c>
      <c r="U828">
        <v>137920000</v>
      </c>
      <c r="V828">
        <v>145190000</v>
      </c>
      <c r="W828">
        <v>0</v>
      </c>
      <c r="X828">
        <v>116570000</v>
      </c>
    </row>
    <row r="829" spans="1:24">
      <c r="A829">
        <v>1554</v>
      </c>
      <c r="B829" t="s">
        <v>2255</v>
      </c>
      <c r="C829">
        <v>1</v>
      </c>
      <c r="D829" t="s">
        <v>2256</v>
      </c>
      <c r="E829">
        <v>9</v>
      </c>
      <c r="F829">
        <v>9</v>
      </c>
      <c r="G829">
        <v>9</v>
      </c>
      <c r="H829" t="s">
        <v>2255</v>
      </c>
      <c r="I829">
        <v>28.8</v>
      </c>
      <c r="J829">
        <v>20.497</v>
      </c>
      <c r="K829" t="str">
        <f>"RHEB"</f>
        <v>RHEB</v>
      </c>
      <c r="L829" t="str">
        <f>"RHEB"</f>
        <v>RHEB</v>
      </c>
      <c r="M829">
        <v>71277000</v>
      </c>
      <c r="N829">
        <v>0</v>
      </c>
      <c r="O829">
        <v>85524000</v>
      </c>
      <c r="P829">
        <v>0</v>
      </c>
      <c r="Q829">
        <v>0</v>
      </c>
      <c r="R829">
        <v>90553000</v>
      </c>
      <c r="S829">
        <v>73172000</v>
      </c>
      <c r="T829">
        <v>0</v>
      </c>
      <c r="U829">
        <v>71552000</v>
      </c>
      <c r="V829">
        <v>0</v>
      </c>
      <c r="W829">
        <v>0</v>
      </c>
      <c r="X829">
        <v>33802000</v>
      </c>
    </row>
    <row r="830" spans="1:24">
      <c r="A830">
        <v>1995</v>
      </c>
      <c r="B830" t="s">
        <v>2257</v>
      </c>
      <c r="C830">
        <v>2</v>
      </c>
      <c r="D830" t="s">
        <v>2258</v>
      </c>
      <c r="E830">
        <v>7</v>
      </c>
      <c r="F830">
        <v>7</v>
      </c>
      <c r="G830">
        <v>7</v>
      </c>
      <c r="H830" t="s">
        <v>2259</v>
      </c>
      <c r="I830">
        <v>36.4</v>
      </c>
      <c r="J830">
        <v>26.922999999999998</v>
      </c>
      <c r="K830" t="str">
        <f>"HSD17B10"</f>
        <v>HSD17B10</v>
      </c>
      <c r="L830" t="str">
        <f>"HSD17B10"</f>
        <v>HSD17B10</v>
      </c>
      <c r="M830">
        <v>75608000</v>
      </c>
      <c r="N830">
        <v>0</v>
      </c>
      <c r="O830">
        <v>81675000</v>
      </c>
      <c r="P830">
        <v>123290000</v>
      </c>
      <c r="Q830">
        <v>0</v>
      </c>
      <c r="R830">
        <v>68265000</v>
      </c>
      <c r="S830">
        <v>134770000</v>
      </c>
      <c r="T830">
        <v>0</v>
      </c>
      <c r="U830">
        <v>0</v>
      </c>
      <c r="V830">
        <v>0</v>
      </c>
      <c r="W830">
        <v>161180000</v>
      </c>
      <c r="X830">
        <v>0</v>
      </c>
    </row>
    <row r="831" spans="1:24">
      <c r="A831">
        <v>2126</v>
      </c>
      <c r="B831" t="s">
        <v>2260</v>
      </c>
      <c r="C831">
        <v>3</v>
      </c>
      <c r="D831" t="s">
        <v>2261</v>
      </c>
      <c r="E831">
        <v>9</v>
      </c>
      <c r="F831">
        <v>9</v>
      </c>
      <c r="G831">
        <v>9</v>
      </c>
      <c r="H831" t="s">
        <v>2262</v>
      </c>
      <c r="I831">
        <v>30.2</v>
      </c>
      <c r="J831">
        <v>33.231999999999999</v>
      </c>
      <c r="K831" t="str">
        <f>"GLOD4"</f>
        <v>GLOD4</v>
      </c>
      <c r="L831" t="str">
        <f>"GLOD4"</f>
        <v>GLOD4</v>
      </c>
      <c r="M831">
        <v>0</v>
      </c>
      <c r="N831">
        <v>142690000</v>
      </c>
      <c r="O831">
        <v>100140000</v>
      </c>
      <c r="P831">
        <v>80807000</v>
      </c>
      <c r="Q831">
        <v>0</v>
      </c>
      <c r="R831">
        <v>135320000</v>
      </c>
      <c r="S831">
        <v>0</v>
      </c>
      <c r="T831">
        <v>0</v>
      </c>
      <c r="U831">
        <v>87877000</v>
      </c>
      <c r="V831">
        <v>78587000</v>
      </c>
      <c r="W831">
        <v>0</v>
      </c>
      <c r="X831">
        <v>0</v>
      </c>
    </row>
    <row r="832" spans="1:24">
      <c r="A832">
        <v>2272</v>
      </c>
      <c r="B832" t="s">
        <v>2263</v>
      </c>
      <c r="C832">
        <v>13</v>
      </c>
      <c r="D832" t="s">
        <v>2264</v>
      </c>
      <c r="E832">
        <v>18</v>
      </c>
      <c r="F832">
        <v>18</v>
      </c>
      <c r="G832">
        <v>11</v>
      </c>
      <c r="H832" t="s">
        <v>2265</v>
      </c>
      <c r="I832">
        <v>16.899999999999999</v>
      </c>
      <c r="J832">
        <v>144.25</v>
      </c>
      <c r="K832" t="str">
        <f>"TNIK;MAP4K4"</f>
        <v>TNIK;MAP4K4</v>
      </c>
      <c r="L832" t="str">
        <f>"TNIK;MAP4K4"</f>
        <v>TNIK;MAP4K4</v>
      </c>
      <c r="M832">
        <v>0</v>
      </c>
      <c r="N832">
        <v>224940000</v>
      </c>
      <c r="O832">
        <v>142210000</v>
      </c>
      <c r="P832">
        <v>114480000</v>
      </c>
      <c r="Q832">
        <v>0</v>
      </c>
      <c r="R832">
        <v>0</v>
      </c>
      <c r="S832">
        <v>0</v>
      </c>
      <c r="T832">
        <v>99580000</v>
      </c>
      <c r="U832">
        <v>132590000</v>
      </c>
      <c r="V832">
        <v>0</v>
      </c>
      <c r="W832">
        <v>171800000</v>
      </c>
      <c r="X832">
        <v>258670000</v>
      </c>
    </row>
    <row r="833" spans="1:24">
      <c r="A833">
        <v>2291</v>
      </c>
      <c r="B833" t="s">
        <v>2266</v>
      </c>
      <c r="C833">
        <v>2</v>
      </c>
      <c r="D833" t="s">
        <v>2267</v>
      </c>
      <c r="E833">
        <v>8</v>
      </c>
      <c r="F833">
        <v>8</v>
      </c>
      <c r="G833">
        <v>8</v>
      </c>
      <c r="H833" t="s">
        <v>2268</v>
      </c>
      <c r="I833">
        <v>31.1</v>
      </c>
      <c r="J833">
        <v>32.192999999999998</v>
      </c>
      <c r="K833" t="str">
        <f>"DAPP1"</f>
        <v>DAPP1</v>
      </c>
      <c r="L833" t="str">
        <f>"DAPP1"</f>
        <v>DAPP1</v>
      </c>
      <c r="M833">
        <v>107320000</v>
      </c>
      <c r="N833">
        <v>0</v>
      </c>
      <c r="O833">
        <v>136050000</v>
      </c>
      <c r="P833">
        <v>0</v>
      </c>
      <c r="Q833">
        <v>66068000</v>
      </c>
      <c r="R833">
        <v>104740000</v>
      </c>
      <c r="S833">
        <v>59747000</v>
      </c>
      <c r="T833">
        <v>83804000</v>
      </c>
      <c r="U833">
        <v>0</v>
      </c>
      <c r="V833">
        <v>105080000</v>
      </c>
      <c r="W833">
        <v>0</v>
      </c>
      <c r="X833">
        <v>0</v>
      </c>
    </row>
    <row r="834" spans="1:24">
      <c r="A834">
        <v>148</v>
      </c>
      <c r="B834" t="s">
        <v>2269</v>
      </c>
      <c r="C834">
        <v>7</v>
      </c>
      <c r="D834" t="s">
        <v>2270</v>
      </c>
      <c r="E834">
        <v>7</v>
      </c>
      <c r="F834">
        <v>7</v>
      </c>
      <c r="G834">
        <v>7</v>
      </c>
      <c r="H834" t="s">
        <v>2271</v>
      </c>
      <c r="I834">
        <v>36.9</v>
      </c>
      <c r="J834">
        <v>22.236999999999998</v>
      </c>
      <c r="K834" t="str">
        <f>"TPD52L2"</f>
        <v>TPD52L2</v>
      </c>
      <c r="L834" t="str">
        <f>"TPD52L2"</f>
        <v>TPD52L2</v>
      </c>
      <c r="M834">
        <v>0</v>
      </c>
      <c r="N834">
        <v>83476000</v>
      </c>
      <c r="O834">
        <v>111980000</v>
      </c>
      <c r="P834">
        <v>0</v>
      </c>
      <c r="Q834">
        <v>0</v>
      </c>
      <c r="R834">
        <v>85153000</v>
      </c>
      <c r="S834">
        <v>61126000</v>
      </c>
      <c r="T834">
        <v>0</v>
      </c>
      <c r="U834">
        <v>77532000</v>
      </c>
      <c r="V834">
        <v>92864000</v>
      </c>
      <c r="W834">
        <v>0</v>
      </c>
      <c r="X834">
        <v>110640000</v>
      </c>
    </row>
    <row r="835" spans="1:24">
      <c r="A835">
        <v>359</v>
      </c>
      <c r="B835" t="s">
        <v>2272</v>
      </c>
      <c r="C835">
        <v>2</v>
      </c>
      <c r="D835" t="s">
        <v>2273</v>
      </c>
      <c r="E835">
        <v>4</v>
      </c>
      <c r="F835">
        <v>4</v>
      </c>
      <c r="G835">
        <v>3</v>
      </c>
      <c r="H835" t="s">
        <v>2274</v>
      </c>
      <c r="I835">
        <v>14.4</v>
      </c>
      <c r="J835">
        <v>11.452999999999999</v>
      </c>
      <c r="K835" t="s">
        <v>2275</v>
      </c>
      <c r="L835" t="s">
        <v>2275</v>
      </c>
      <c r="M835">
        <v>0</v>
      </c>
      <c r="N835">
        <v>156160000</v>
      </c>
      <c r="O835">
        <v>0</v>
      </c>
      <c r="P835">
        <v>588660000</v>
      </c>
      <c r="Q835">
        <v>447810000</v>
      </c>
      <c r="R835">
        <v>529200000</v>
      </c>
      <c r="S835">
        <v>142940000</v>
      </c>
      <c r="T835">
        <v>340790000</v>
      </c>
      <c r="U835">
        <v>0</v>
      </c>
      <c r="V835">
        <v>516620000</v>
      </c>
      <c r="W835">
        <v>272860000</v>
      </c>
      <c r="X835">
        <v>0</v>
      </c>
    </row>
    <row r="836" spans="1:24">
      <c r="A836">
        <v>724</v>
      </c>
      <c r="B836" t="s">
        <v>2276</v>
      </c>
      <c r="C836">
        <v>2</v>
      </c>
      <c r="D836" t="s">
        <v>2277</v>
      </c>
      <c r="E836">
        <v>13</v>
      </c>
      <c r="F836">
        <v>1</v>
      </c>
      <c r="G836">
        <v>1</v>
      </c>
      <c r="H836" t="s">
        <v>2278</v>
      </c>
      <c r="I836">
        <v>17</v>
      </c>
      <c r="J836">
        <v>71.027000000000001</v>
      </c>
      <c r="K836" t="str">
        <f>"HSPA6;HSPA7"</f>
        <v>HSPA6;HSPA7</v>
      </c>
      <c r="L836" t="str">
        <f>"HSPA6;HSPA7"</f>
        <v>HSPA6;HSPA7</v>
      </c>
      <c r="M836">
        <v>84465000</v>
      </c>
      <c r="N836">
        <v>139990000</v>
      </c>
      <c r="O836">
        <v>195810000</v>
      </c>
      <c r="P836">
        <v>131220000</v>
      </c>
      <c r="Q836">
        <v>0</v>
      </c>
      <c r="R836">
        <v>0</v>
      </c>
      <c r="S836">
        <v>0</v>
      </c>
      <c r="T836">
        <v>96192000</v>
      </c>
      <c r="U836">
        <v>0</v>
      </c>
      <c r="V836">
        <v>110520000</v>
      </c>
      <c r="W836">
        <v>0</v>
      </c>
      <c r="X836">
        <v>0</v>
      </c>
    </row>
    <row r="837" spans="1:24">
      <c r="A837">
        <v>815</v>
      </c>
      <c r="B837" t="s">
        <v>2279</v>
      </c>
      <c r="C837">
        <v>1</v>
      </c>
      <c r="D837" t="s">
        <v>2280</v>
      </c>
      <c r="E837">
        <v>5</v>
      </c>
      <c r="F837">
        <v>5</v>
      </c>
      <c r="G837">
        <v>5</v>
      </c>
      <c r="H837" t="s">
        <v>2279</v>
      </c>
      <c r="I837">
        <v>27.6</v>
      </c>
      <c r="J837">
        <v>24.763000000000002</v>
      </c>
      <c r="K837" t="str">
        <f>"EEF1B2"</f>
        <v>EEF1B2</v>
      </c>
      <c r="L837" t="str">
        <f>"EEF1B2"</f>
        <v>EEF1B2</v>
      </c>
      <c r="M837">
        <v>0</v>
      </c>
      <c r="N837">
        <v>396910000</v>
      </c>
      <c r="O837">
        <v>270520000</v>
      </c>
      <c r="P837">
        <v>425750000</v>
      </c>
      <c r="Q837">
        <v>0</v>
      </c>
      <c r="R837">
        <v>167360000</v>
      </c>
      <c r="S837">
        <v>0</v>
      </c>
      <c r="T837">
        <v>284560000</v>
      </c>
      <c r="U837">
        <v>282560000</v>
      </c>
      <c r="V837">
        <v>204420000</v>
      </c>
      <c r="W837">
        <v>0</v>
      </c>
      <c r="X837">
        <v>0</v>
      </c>
    </row>
    <row r="838" spans="1:24">
      <c r="A838">
        <v>829</v>
      </c>
      <c r="B838" t="s">
        <v>2281</v>
      </c>
      <c r="C838">
        <v>2</v>
      </c>
      <c r="D838" t="s">
        <v>2282</v>
      </c>
      <c r="E838">
        <v>10</v>
      </c>
      <c r="F838">
        <v>10</v>
      </c>
      <c r="G838">
        <v>10</v>
      </c>
      <c r="H838" t="s">
        <v>2283</v>
      </c>
      <c r="I838">
        <v>38.299999999999997</v>
      </c>
      <c r="J838">
        <v>29.483000000000001</v>
      </c>
      <c r="K838" t="str">
        <f>"PSMA4"</f>
        <v>PSMA4</v>
      </c>
      <c r="L838" t="str">
        <f>"PSMA4"</f>
        <v>PSMA4</v>
      </c>
      <c r="M838">
        <v>0</v>
      </c>
      <c r="N838">
        <v>92559000</v>
      </c>
      <c r="O838">
        <v>89857000</v>
      </c>
      <c r="P838">
        <v>113630000</v>
      </c>
      <c r="Q838">
        <v>0</v>
      </c>
      <c r="R838">
        <v>115390000</v>
      </c>
      <c r="S838">
        <v>153200000</v>
      </c>
      <c r="T838">
        <v>0</v>
      </c>
      <c r="U838">
        <v>162820000</v>
      </c>
      <c r="V838">
        <v>0</v>
      </c>
      <c r="W838">
        <v>0</v>
      </c>
      <c r="X838">
        <v>227680000</v>
      </c>
    </row>
    <row r="839" spans="1:24">
      <c r="A839">
        <v>973</v>
      </c>
      <c r="B839" t="s">
        <v>2284</v>
      </c>
      <c r="C839">
        <v>2</v>
      </c>
      <c r="D839" t="s">
        <v>2285</v>
      </c>
      <c r="E839">
        <v>10</v>
      </c>
      <c r="F839">
        <v>10</v>
      </c>
      <c r="G839">
        <v>10</v>
      </c>
      <c r="H839" t="s">
        <v>2286</v>
      </c>
      <c r="I839">
        <v>28.4</v>
      </c>
      <c r="J839">
        <v>48.633000000000003</v>
      </c>
      <c r="K839" t="str">
        <f>"PSMC2"</f>
        <v>PSMC2</v>
      </c>
      <c r="L839" t="str">
        <f>"PSMC2"</f>
        <v>PSMC2</v>
      </c>
      <c r="M839">
        <v>0</v>
      </c>
      <c r="N839">
        <v>0</v>
      </c>
      <c r="O839">
        <v>0</v>
      </c>
      <c r="P839">
        <v>71459000</v>
      </c>
      <c r="Q839">
        <v>55609000</v>
      </c>
      <c r="R839">
        <v>64093000</v>
      </c>
      <c r="S839">
        <v>93652000</v>
      </c>
      <c r="T839">
        <v>0</v>
      </c>
      <c r="U839">
        <v>84782000</v>
      </c>
      <c r="V839">
        <v>51241000</v>
      </c>
      <c r="W839">
        <v>0</v>
      </c>
      <c r="X839">
        <v>87190000</v>
      </c>
    </row>
    <row r="840" spans="1:24">
      <c r="A840">
        <v>1073</v>
      </c>
      <c r="B840" t="s">
        <v>2287</v>
      </c>
      <c r="C840">
        <v>2</v>
      </c>
      <c r="D840" t="s">
        <v>2288</v>
      </c>
      <c r="E840">
        <v>12</v>
      </c>
      <c r="F840">
        <v>12</v>
      </c>
      <c r="G840">
        <v>12</v>
      </c>
      <c r="H840" t="s">
        <v>2289</v>
      </c>
      <c r="I840">
        <v>29.3</v>
      </c>
      <c r="J840">
        <v>52.384</v>
      </c>
      <c r="K840" t="str">
        <f>"GSS"</f>
        <v>GSS</v>
      </c>
      <c r="L840" t="str">
        <f>"GSS"</f>
        <v>GSS</v>
      </c>
      <c r="M840">
        <v>0</v>
      </c>
      <c r="N840">
        <v>0</v>
      </c>
      <c r="O840">
        <v>163600000</v>
      </c>
      <c r="P840">
        <v>116320000</v>
      </c>
      <c r="Q840">
        <v>0</v>
      </c>
      <c r="R840">
        <v>137470000</v>
      </c>
      <c r="S840">
        <v>141420000</v>
      </c>
      <c r="T840">
        <v>103910000</v>
      </c>
      <c r="U840">
        <v>0</v>
      </c>
      <c r="V840">
        <v>0</v>
      </c>
      <c r="W840">
        <v>136550000</v>
      </c>
      <c r="X840">
        <v>186770000</v>
      </c>
    </row>
    <row r="841" spans="1:24">
      <c r="A841">
        <v>1291</v>
      </c>
      <c r="B841" t="s">
        <v>2290</v>
      </c>
      <c r="C841">
        <v>1</v>
      </c>
      <c r="D841" t="s">
        <v>2291</v>
      </c>
      <c r="E841">
        <v>53</v>
      </c>
      <c r="F841">
        <v>1</v>
      </c>
      <c r="G841">
        <v>1</v>
      </c>
      <c r="H841" t="s">
        <v>2290</v>
      </c>
      <c r="I841">
        <v>99.7</v>
      </c>
      <c r="J841">
        <v>41.792000000000002</v>
      </c>
      <c r="K841" t="str">
        <f>"ACTG1"</f>
        <v>ACTG1</v>
      </c>
      <c r="L841" t="str">
        <f>"ACTG1"</f>
        <v>ACTG1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181840000</v>
      </c>
    </row>
    <row r="842" spans="1:24">
      <c r="A842">
        <v>1955</v>
      </c>
      <c r="B842" t="s">
        <v>2292</v>
      </c>
      <c r="C842">
        <v>2</v>
      </c>
      <c r="D842" t="s">
        <v>2293</v>
      </c>
      <c r="E842">
        <v>1</v>
      </c>
      <c r="F842">
        <v>1</v>
      </c>
      <c r="G842">
        <v>1</v>
      </c>
      <c r="H842" t="s">
        <v>2294</v>
      </c>
      <c r="I842">
        <v>8.1999999999999993</v>
      </c>
      <c r="J842">
        <v>16.963999999999999</v>
      </c>
      <c r="K842" t="str">
        <f>"LRR1"</f>
        <v>LRR1</v>
      </c>
      <c r="L842" t="str">
        <f>"LRR1"</f>
        <v>LRR1</v>
      </c>
      <c r="M842">
        <v>83852000</v>
      </c>
      <c r="N842">
        <v>0</v>
      </c>
      <c r="O842">
        <v>39217000</v>
      </c>
      <c r="P842">
        <v>48822000</v>
      </c>
      <c r="Q842">
        <v>51782000</v>
      </c>
      <c r="R842">
        <v>60300000</v>
      </c>
      <c r="S842">
        <v>0</v>
      </c>
      <c r="T842">
        <v>35004000</v>
      </c>
      <c r="U842">
        <v>0</v>
      </c>
      <c r="V842">
        <v>62806000</v>
      </c>
      <c r="W842">
        <v>0</v>
      </c>
      <c r="X842">
        <v>0</v>
      </c>
    </row>
    <row r="843" spans="1:24">
      <c r="A843">
        <v>2038</v>
      </c>
      <c r="B843" t="s">
        <v>2295</v>
      </c>
      <c r="C843">
        <v>2</v>
      </c>
      <c r="D843" t="s">
        <v>2296</v>
      </c>
      <c r="E843">
        <v>5</v>
      </c>
      <c r="F843">
        <v>5</v>
      </c>
      <c r="G843">
        <v>5</v>
      </c>
      <c r="H843" t="s">
        <v>2297</v>
      </c>
      <c r="I843">
        <v>22.4</v>
      </c>
      <c r="J843">
        <v>41.35</v>
      </c>
      <c r="K843" t="str">
        <f>"ACAT2"</f>
        <v>ACAT2</v>
      </c>
      <c r="L843" t="str">
        <f>"ACAT2"</f>
        <v>ACAT2</v>
      </c>
      <c r="M843">
        <v>0</v>
      </c>
      <c r="N843">
        <v>136060000</v>
      </c>
      <c r="O843">
        <v>205670000</v>
      </c>
      <c r="P843">
        <v>194570000</v>
      </c>
      <c r="Q843">
        <v>0</v>
      </c>
      <c r="R843">
        <v>0</v>
      </c>
      <c r="S843">
        <v>178180000</v>
      </c>
      <c r="T843">
        <v>116490000</v>
      </c>
      <c r="U843">
        <v>319690000</v>
      </c>
      <c r="V843">
        <v>148360000</v>
      </c>
      <c r="W843">
        <v>249870000</v>
      </c>
      <c r="X843">
        <v>249670000</v>
      </c>
    </row>
    <row r="844" spans="1:24">
      <c r="A844">
        <v>2242</v>
      </c>
      <c r="B844" t="s">
        <v>2298</v>
      </c>
      <c r="C844">
        <v>2</v>
      </c>
      <c r="D844" t="s">
        <v>2299</v>
      </c>
      <c r="E844">
        <v>4</v>
      </c>
      <c r="F844">
        <v>4</v>
      </c>
      <c r="G844">
        <v>4</v>
      </c>
      <c r="H844" t="s">
        <v>2300</v>
      </c>
      <c r="I844">
        <v>9.6999999999999993</v>
      </c>
      <c r="J844">
        <v>42.054000000000002</v>
      </c>
      <c r="K844" t="str">
        <f>"FETUB"</f>
        <v>FETUB</v>
      </c>
      <c r="L844" t="str">
        <f>"FETUB"</f>
        <v>FETUB</v>
      </c>
      <c r="M844">
        <v>120700000</v>
      </c>
      <c r="N844">
        <v>79799000</v>
      </c>
      <c r="O844">
        <v>101310000</v>
      </c>
      <c r="P844">
        <v>80786000</v>
      </c>
      <c r="Q844">
        <v>134700000</v>
      </c>
      <c r="R844">
        <v>98455000</v>
      </c>
      <c r="S844">
        <v>0</v>
      </c>
      <c r="T844">
        <v>81174000</v>
      </c>
      <c r="U844">
        <v>0</v>
      </c>
      <c r="V844">
        <v>89813000</v>
      </c>
      <c r="W844">
        <v>120320000</v>
      </c>
      <c r="X844">
        <v>223480000</v>
      </c>
    </row>
    <row r="845" spans="1:24">
      <c r="A845">
        <v>83</v>
      </c>
      <c r="B845" t="s">
        <v>2301</v>
      </c>
      <c r="C845">
        <v>3</v>
      </c>
      <c r="D845" t="s">
        <v>2302</v>
      </c>
      <c r="E845">
        <v>6</v>
      </c>
      <c r="F845">
        <v>6</v>
      </c>
      <c r="G845">
        <v>6</v>
      </c>
      <c r="H845" t="s">
        <v>2303</v>
      </c>
      <c r="I845">
        <v>28.4</v>
      </c>
      <c r="J845">
        <v>28.795999999999999</v>
      </c>
      <c r="K845" t="str">
        <f>"COPE"</f>
        <v>COPE</v>
      </c>
      <c r="L845" t="str">
        <f>"COPE"</f>
        <v>COPE</v>
      </c>
      <c r="M845">
        <v>0</v>
      </c>
      <c r="N845">
        <v>0</v>
      </c>
      <c r="O845">
        <v>124060000</v>
      </c>
      <c r="P845">
        <v>93903000</v>
      </c>
      <c r="Q845">
        <v>0</v>
      </c>
      <c r="R845">
        <v>145630000</v>
      </c>
      <c r="S845">
        <v>0</v>
      </c>
      <c r="T845">
        <v>0</v>
      </c>
      <c r="U845">
        <v>137400000</v>
      </c>
      <c r="V845">
        <v>98775000</v>
      </c>
      <c r="W845">
        <v>0</v>
      </c>
      <c r="X845">
        <v>247760000</v>
      </c>
    </row>
    <row r="846" spans="1:24">
      <c r="A846">
        <v>202</v>
      </c>
      <c r="B846" t="s">
        <v>2304</v>
      </c>
      <c r="C846">
        <v>1</v>
      </c>
      <c r="D846" t="s">
        <v>2305</v>
      </c>
      <c r="E846">
        <v>7</v>
      </c>
      <c r="F846">
        <v>7</v>
      </c>
      <c r="G846">
        <v>6</v>
      </c>
      <c r="H846" t="s">
        <v>2304</v>
      </c>
      <c r="I846">
        <v>15.1</v>
      </c>
      <c r="J846">
        <v>60.13</v>
      </c>
      <c r="K846" t="str">
        <f>"CPNE3"</f>
        <v>CPNE3</v>
      </c>
      <c r="L846" t="str">
        <f>"CPNE3"</f>
        <v>CPNE3</v>
      </c>
      <c r="M846">
        <v>0</v>
      </c>
      <c r="N846">
        <v>209710000</v>
      </c>
      <c r="O846">
        <v>122220000</v>
      </c>
      <c r="P846">
        <v>0</v>
      </c>
      <c r="Q846">
        <v>120820000</v>
      </c>
      <c r="R846">
        <v>141580000</v>
      </c>
      <c r="S846">
        <v>170270000</v>
      </c>
      <c r="T846">
        <v>0</v>
      </c>
      <c r="U846">
        <v>143040000</v>
      </c>
      <c r="V846">
        <v>0</v>
      </c>
      <c r="W846">
        <v>183660000</v>
      </c>
      <c r="X846">
        <v>213430000</v>
      </c>
    </row>
    <row r="847" spans="1:24">
      <c r="A847">
        <v>856</v>
      </c>
      <c r="B847" t="s">
        <v>2306</v>
      </c>
      <c r="C847">
        <v>2</v>
      </c>
      <c r="D847" t="s">
        <v>2307</v>
      </c>
      <c r="E847">
        <v>7</v>
      </c>
      <c r="F847">
        <v>7</v>
      </c>
      <c r="G847">
        <v>7</v>
      </c>
      <c r="H847" t="s">
        <v>2308</v>
      </c>
      <c r="I847">
        <v>25.4</v>
      </c>
      <c r="J847">
        <v>29.768999999999998</v>
      </c>
      <c r="K847" t="str">
        <f>"PSMB8"</f>
        <v>PSMB8</v>
      </c>
      <c r="L847" t="str">
        <f>"PSMB8"</f>
        <v>PSMB8</v>
      </c>
      <c r="M847">
        <v>87574000</v>
      </c>
      <c r="N847">
        <v>95502000</v>
      </c>
      <c r="O847">
        <v>130320000</v>
      </c>
      <c r="P847">
        <v>137080000</v>
      </c>
      <c r="Q847">
        <v>92874000</v>
      </c>
      <c r="R847">
        <v>153020000</v>
      </c>
      <c r="S847">
        <v>0</v>
      </c>
      <c r="T847">
        <v>123150000</v>
      </c>
      <c r="U847">
        <v>291680000</v>
      </c>
      <c r="V847">
        <v>118030000</v>
      </c>
      <c r="W847">
        <v>0</v>
      </c>
      <c r="X847">
        <v>251870000</v>
      </c>
    </row>
    <row r="848" spans="1:24">
      <c r="A848">
        <v>1095</v>
      </c>
      <c r="B848" t="s">
        <v>2309</v>
      </c>
      <c r="C848">
        <v>1</v>
      </c>
      <c r="D848" t="s">
        <v>2310</v>
      </c>
      <c r="E848">
        <v>5</v>
      </c>
      <c r="F848">
        <v>5</v>
      </c>
      <c r="G848">
        <v>5</v>
      </c>
      <c r="H848" t="s">
        <v>2309</v>
      </c>
      <c r="I848">
        <v>25.9</v>
      </c>
      <c r="J848">
        <v>22.949000000000002</v>
      </c>
      <c r="K848" t="str">
        <f>"PSMB3"</f>
        <v>PSMB3</v>
      </c>
      <c r="L848" t="str">
        <f>"PSMB3"</f>
        <v>PSMB3</v>
      </c>
      <c r="M848">
        <v>121510000</v>
      </c>
      <c r="N848">
        <v>96122000</v>
      </c>
      <c r="O848">
        <v>112030000</v>
      </c>
      <c r="P848">
        <v>95290000</v>
      </c>
      <c r="Q848">
        <v>98514000</v>
      </c>
      <c r="R848">
        <v>94392000</v>
      </c>
      <c r="S848">
        <v>127040000</v>
      </c>
      <c r="T848">
        <v>0</v>
      </c>
      <c r="U848">
        <v>84635000</v>
      </c>
      <c r="V848">
        <v>0</v>
      </c>
      <c r="W848">
        <v>102050000</v>
      </c>
      <c r="X848">
        <v>114530000</v>
      </c>
    </row>
    <row r="849" spans="1:24">
      <c r="A849">
        <v>1882</v>
      </c>
      <c r="B849" t="s">
        <v>2311</v>
      </c>
      <c r="C849">
        <v>1</v>
      </c>
      <c r="D849" t="s">
        <v>2312</v>
      </c>
      <c r="E849">
        <v>9</v>
      </c>
      <c r="F849">
        <v>9</v>
      </c>
      <c r="G849">
        <v>9</v>
      </c>
      <c r="H849" t="s">
        <v>2311</v>
      </c>
      <c r="I849">
        <v>29</v>
      </c>
      <c r="J849">
        <v>37.578000000000003</v>
      </c>
      <c r="K849" t="str">
        <f>"COPS5"</f>
        <v>COPS5</v>
      </c>
      <c r="L849" t="str">
        <f>"COPS5"</f>
        <v>COPS5</v>
      </c>
      <c r="M849">
        <v>0</v>
      </c>
      <c r="N849">
        <v>59312000</v>
      </c>
      <c r="O849">
        <v>0</v>
      </c>
      <c r="P849">
        <v>0</v>
      </c>
      <c r="Q849">
        <v>0</v>
      </c>
      <c r="R849">
        <v>55410000</v>
      </c>
      <c r="S849">
        <v>35181000</v>
      </c>
      <c r="T849">
        <v>44436000</v>
      </c>
      <c r="U849">
        <v>60331000</v>
      </c>
      <c r="V849">
        <v>45251000</v>
      </c>
      <c r="W849">
        <v>0</v>
      </c>
      <c r="X849">
        <v>0</v>
      </c>
    </row>
    <row r="850" spans="1:24">
      <c r="A850">
        <v>2131</v>
      </c>
      <c r="B850" t="s">
        <v>2313</v>
      </c>
      <c r="C850">
        <v>1</v>
      </c>
      <c r="D850" t="s">
        <v>2314</v>
      </c>
      <c r="E850">
        <v>1</v>
      </c>
      <c r="F850">
        <v>1</v>
      </c>
      <c r="G850">
        <v>1</v>
      </c>
      <c r="H850" t="s">
        <v>2313</v>
      </c>
      <c r="I850">
        <v>0.7</v>
      </c>
      <c r="J850">
        <v>317.45</v>
      </c>
      <c r="K850" t="str">
        <f>"CELSR2"</f>
        <v>CELSR2</v>
      </c>
      <c r="L850" t="str">
        <f>"CELSR2"</f>
        <v>CELSR2</v>
      </c>
      <c r="M850">
        <v>1361500000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</row>
    <row r="851" spans="1:24">
      <c r="A851">
        <v>2134</v>
      </c>
      <c r="B851" t="s">
        <v>2315</v>
      </c>
      <c r="C851">
        <v>2</v>
      </c>
      <c r="D851" t="s">
        <v>2316</v>
      </c>
      <c r="E851">
        <v>8</v>
      </c>
      <c r="F851">
        <v>8</v>
      </c>
      <c r="G851">
        <v>8</v>
      </c>
      <c r="H851" t="s">
        <v>2317</v>
      </c>
      <c r="I851">
        <v>23.1</v>
      </c>
      <c r="J851">
        <v>46.48</v>
      </c>
      <c r="K851" t="str">
        <f>"APMAP"</f>
        <v>APMAP</v>
      </c>
      <c r="L851" t="str">
        <f>"APMAP"</f>
        <v>APMAP</v>
      </c>
      <c r="M851">
        <v>0</v>
      </c>
      <c r="N851">
        <v>96647000</v>
      </c>
      <c r="O851">
        <v>60349000</v>
      </c>
      <c r="P851">
        <v>0</v>
      </c>
      <c r="Q851">
        <v>0</v>
      </c>
      <c r="R851">
        <v>95237000</v>
      </c>
      <c r="S851">
        <v>60921000</v>
      </c>
      <c r="T851">
        <v>0</v>
      </c>
      <c r="U851">
        <v>74738000</v>
      </c>
      <c r="V851">
        <v>71545000</v>
      </c>
      <c r="W851">
        <v>0</v>
      </c>
      <c r="X851">
        <v>102350000</v>
      </c>
    </row>
    <row r="852" spans="1:24">
      <c r="A852">
        <v>2296</v>
      </c>
      <c r="B852" t="s">
        <v>2318</v>
      </c>
      <c r="C852">
        <v>2</v>
      </c>
      <c r="D852" t="s">
        <v>2319</v>
      </c>
      <c r="E852">
        <v>10</v>
      </c>
      <c r="F852">
        <v>10</v>
      </c>
      <c r="G852">
        <v>10</v>
      </c>
      <c r="H852" t="s">
        <v>2320</v>
      </c>
      <c r="I852">
        <v>30.3</v>
      </c>
      <c r="J852">
        <v>42.945</v>
      </c>
      <c r="K852" t="str">
        <f>"PSMD13"</f>
        <v>PSMD13</v>
      </c>
      <c r="L852" t="str">
        <f>"PSMD13"</f>
        <v>PSMD13</v>
      </c>
      <c r="M852">
        <v>0</v>
      </c>
      <c r="N852">
        <v>67572000</v>
      </c>
      <c r="O852">
        <v>69460000</v>
      </c>
      <c r="P852">
        <v>0</v>
      </c>
      <c r="Q852">
        <v>0</v>
      </c>
      <c r="R852">
        <v>59487000</v>
      </c>
      <c r="S852">
        <v>52923000</v>
      </c>
      <c r="T852">
        <v>0</v>
      </c>
      <c r="U852">
        <v>45857000</v>
      </c>
      <c r="V852">
        <v>0</v>
      </c>
      <c r="W852">
        <v>71495000</v>
      </c>
      <c r="X852">
        <v>72219000</v>
      </c>
    </row>
    <row r="853" spans="1:24">
      <c r="A853">
        <v>104</v>
      </c>
      <c r="B853" t="s">
        <v>2321</v>
      </c>
      <c r="C853">
        <v>2</v>
      </c>
      <c r="D853" t="s">
        <v>2322</v>
      </c>
      <c r="E853">
        <v>9</v>
      </c>
      <c r="F853">
        <v>9</v>
      </c>
      <c r="G853">
        <v>9</v>
      </c>
      <c r="H853" t="s">
        <v>2323</v>
      </c>
      <c r="I853">
        <v>14.8</v>
      </c>
      <c r="J853">
        <v>76.375</v>
      </c>
      <c r="K853" t="str">
        <f>"HGS"</f>
        <v>HGS</v>
      </c>
      <c r="L853" t="str">
        <f>"HGS"</f>
        <v>HGS</v>
      </c>
      <c r="M853">
        <v>3135500000</v>
      </c>
      <c r="N853">
        <v>3922600000</v>
      </c>
      <c r="O853">
        <v>3595900000</v>
      </c>
      <c r="P853">
        <v>2432200000</v>
      </c>
      <c r="Q853">
        <v>2482900000</v>
      </c>
      <c r="R853">
        <v>2889400000</v>
      </c>
      <c r="S853">
        <v>0</v>
      </c>
      <c r="T853">
        <v>0</v>
      </c>
      <c r="U853">
        <v>0</v>
      </c>
      <c r="V853">
        <v>2772200000</v>
      </c>
      <c r="W853">
        <v>5603500000</v>
      </c>
      <c r="X853" s="8">
        <v>3848000000</v>
      </c>
    </row>
    <row r="854" spans="1:24">
      <c r="A854">
        <v>587</v>
      </c>
      <c r="B854" t="s">
        <v>2324</v>
      </c>
      <c r="C854">
        <v>2</v>
      </c>
      <c r="D854" t="s">
        <v>2325</v>
      </c>
      <c r="E854">
        <v>7</v>
      </c>
      <c r="F854">
        <v>7</v>
      </c>
      <c r="G854">
        <v>7</v>
      </c>
      <c r="H854" t="s">
        <v>2326</v>
      </c>
      <c r="I854">
        <v>23.5</v>
      </c>
      <c r="J854">
        <v>35.881999999999998</v>
      </c>
      <c r="K854" t="str">
        <f>"ANXA4"</f>
        <v>ANXA4</v>
      </c>
      <c r="L854" t="str">
        <f>"ANXA4"</f>
        <v>ANXA4</v>
      </c>
      <c r="M854">
        <v>74573000</v>
      </c>
      <c r="N854">
        <v>131290000</v>
      </c>
      <c r="O854">
        <v>142980000</v>
      </c>
      <c r="P854">
        <v>0</v>
      </c>
      <c r="Q854">
        <v>0</v>
      </c>
      <c r="R854">
        <v>122950000</v>
      </c>
      <c r="S854">
        <v>0</v>
      </c>
      <c r="T854">
        <v>0</v>
      </c>
      <c r="U854">
        <v>89575000</v>
      </c>
      <c r="V854">
        <v>143880000</v>
      </c>
      <c r="W854">
        <v>92928000</v>
      </c>
      <c r="X854">
        <v>98036000</v>
      </c>
    </row>
    <row r="855" spans="1:24">
      <c r="A855">
        <v>768</v>
      </c>
      <c r="B855" t="s">
        <v>2327</v>
      </c>
      <c r="C855">
        <v>4</v>
      </c>
      <c r="D855" t="s">
        <v>2328</v>
      </c>
      <c r="E855">
        <v>13</v>
      </c>
      <c r="F855">
        <v>13</v>
      </c>
      <c r="G855">
        <v>13</v>
      </c>
      <c r="H855" t="s">
        <v>2329</v>
      </c>
      <c r="I855">
        <v>19.2</v>
      </c>
      <c r="J855">
        <v>100.4</v>
      </c>
      <c r="K855" t="str">
        <f>"RASA1"</f>
        <v>RASA1</v>
      </c>
      <c r="L855" t="str">
        <f>"RASA1"</f>
        <v>RASA1</v>
      </c>
      <c r="M855">
        <v>0</v>
      </c>
      <c r="N855">
        <v>79738000</v>
      </c>
      <c r="O855">
        <v>69526000</v>
      </c>
      <c r="P855">
        <v>0</v>
      </c>
      <c r="Q855">
        <v>0</v>
      </c>
      <c r="R855">
        <v>56662000</v>
      </c>
      <c r="S855">
        <v>96053000</v>
      </c>
      <c r="T855">
        <v>0</v>
      </c>
      <c r="U855">
        <v>60776000</v>
      </c>
      <c r="V855">
        <v>0</v>
      </c>
      <c r="W855">
        <v>0</v>
      </c>
      <c r="X855">
        <v>99547000</v>
      </c>
    </row>
    <row r="856" spans="1:24">
      <c r="A856">
        <v>1516</v>
      </c>
      <c r="B856" t="s">
        <v>2330</v>
      </c>
      <c r="C856">
        <v>1</v>
      </c>
      <c r="D856" t="s">
        <v>2331</v>
      </c>
      <c r="E856">
        <v>16</v>
      </c>
      <c r="F856">
        <v>16</v>
      </c>
      <c r="G856">
        <v>16</v>
      </c>
      <c r="H856" t="s">
        <v>2330</v>
      </c>
      <c r="I856">
        <v>23.7</v>
      </c>
      <c r="J856">
        <v>99.325999999999993</v>
      </c>
      <c r="K856" t="str">
        <f>"MVP"</f>
        <v>MVP</v>
      </c>
      <c r="L856" t="str">
        <f>"MVP"</f>
        <v>MVP</v>
      </c>
      <c r="M856">
        <v>0</v>
      </c>
      <c r="N856">
        <v>58895000</v>
      </c>
      <c r="O856">
        <v>75878000</v>
      </c>
      <c r="P856">
        <v>0</v>
      </c>
      <c r="Q856">
        <v>0</v>
      </c>
      <c r="R856">
        <v>168210000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75450000</v>
      </c>
    </row>
    <row r="857" spans="1:24">
      <c r="A857">
        <v>1565</v>
      </c>
      <c r="B857" t="s">
        <v>2332</v>
      </c>
      <c r="C857">
        <v>2</v>
      </c>
      <c r="D857" t="s">
        <v>2333</v>
      </c>
      <c r="E857">
        <v>5</v>
      </c>
      <c r="F857">
        <v>5</v>
      </c>
      <c r="G857">
        <v>5</v>
      </c>
      <c r="H857" t="s">
        <v>2334</v>
      </c>
      <c r="I857">
        <v>33.299999999999997</v>
      </c>
      <c r="J857">
        <v>26.183</v>
      </c>
      <c r="K857" t="str">
        <f>"TSN"</f>
        <v>TSN</v>
      </c>
      <c r="L857" t="str">
        <f>"TSN"</f>
        <v>TSN</v>
      </c>
      <c r="M857">
        <v>0</v>
      </c>
      <c r="N857">
        <v>91377000</v>
      </c>
      <c r="O857">
        <v>98354000</v>
      </c>
      <c r="P857">
        <v>52254000</v>
      </c>
      <c r="Q857">
        <v>0</v>
      </c>
      <c r="R857">
        <v>69197000</v>
      </c>
      <c r="S857">
        <v>106360000</v>
      </c>
      <c r="T857">
        <v>0</v>
      </c>
      <c r="U857">
        <v>150390000</v>
      </c>
      <c r="V857">
        <v>0</v>
      </c>
      <c r="W857">
        <v>129480000</v>
      </c>
      <c r="X857">
        <v>0</v>
      </c>
    </row>
    <row r="858" spans="1:24">
      <c r="A858">
        <v>2300</v>
      </c>
      <c r="B858" t="s">
        <v>2335</v>
      </c>
      <c r="C858">
        <v>7</v>
      </c>
      <c r="D858" t="s">
        <v>2336</v>
      </c>
      <c r="E858">
        <v>26</v>
      </c>
      <c r="F858">
        <v>25</v>
      </c>
      <c r="G858">
        <v>24</v>
      </c>
      <c r="H858" t="s">
        <v>2337</v>
      </c>
      <c r="I858">
        <v>4.0999999999999996</v>
      </c>
      <c r="J858">
        <v>838.3</v>
      </c>
      <c r="K858" t="str">
        <f>"MACF1;AXIN1"</f>
        <v>MACF1;AXIN1</v>
      </c>
      <c r="L858" t="str">
        <f>"MACF1;AXIN1"</f>
        <v>MACF1;AXIN1</v>
      </c>
      <c r="M858">
        <v>0</v>
      </c>
      <c r="N858">
        <v>56017000</v>
      </c>
      <c r="O858">
        <v>50745000</v>
      </c>
      <c r="P858">
        <v>56005000</v>
      </c>
      <c r="Q858">
        <v>0</v>
      </c>
      <c r="R858">
        <v>61130000</v>
      </c>
      <c r="S858">
        <v>63110000</v>
      </c>
      <c r="T858">
        <v>0</v>
      </c>
      <c r="U858">
        <v>0</v>
      </c>
      <c r="V858">
        <v>0</v>
      </c>
      <c r="W858">
        <v>0</v>
      </c>
      <c r="X858">
        <v>0</v>
      </c>
    </row>
    <row r="859" spans="1:24">
      <c r="A859">
        <v>2341</v>
      </c>
      <c r="B859" t="s">
        <v>2338</v>
      </c>
      <c r="C859">
        <v>1</v>
      </c>
      <c r="D859" t="s">
        <v>2339</v>
      </c>
      <c r="E859">
        <v>8</v>
      </c>
      <c r="F859">
        <v>8</v>
      </c>
      <c r="G859">
        <v>8</v>
      </c>
      <c r="H859" t="s">
        <v>2338</v>
      </c>
      <c r="I859">
        <v>28.4</v>
      </c>
      <c r="J859">
        <v>28.763000000000002</v>
      </c>
      <c r="K859" t="str">
        <f>"SBDS"</f>
        <v>SBDS</v>
      </c>
      <c r="L859" t="str">
        <f>"SBDS"</f>
        <v>SBDS</v>
      </c>
      <c r="M859">
        <v>0</v>
      </c>
      <c r="N859">
        <v>89732000</v>
      </c>
      <c r="O859">
        <v>164590000</v>
      </c>
      <c r="P859">
        <v>0</v>
      </c>
      <c r="Q859">
        <v>0</v>
      </c>
      <c r="R859">
        <v>83911000</v>
      </c>
      <c r="S859">
        <v>0</v>
      </c>
      <c r="T859">
        <v>111400000</v>
      </c>
      <c r="U859">
        <v>93749000</v>
      </c>
      <c r="V859">
        <v>78914000</v>
      </c>
      <c r="W859">
        <v>0</v>
      </c>
      <c r="X859">
        <v>81213000</v>
      </c>
    </row>
    <row r="860" spans="1:24">
      <c r="A860">
        <v>128</v>
      </c>
      <c r="B860" t="s">
        <v>2340</v>
      </c>
      <c r="C860">
        <v>2</v>
      </c>
      <c r="D860" t="s">
        <v>2341</v>
      </c>
      <c r="E860">
        <v>16</v>
      </c>
      <c r="F860">
        <v>16</v>
      </c>
      <c r="G860">
        <v>16</v>
      </c>
      <c r="H860" t="s">
        <v>2342</v>
      </c>
      <c r="I860">
        <v>20.9</v>
      </c>
      <c r="J860">
        <v>104.74</v>
      </c>
      <c r="K860" t="str">
        <f>"INPP4B"</f>
        <v>INPP4B</v>
      </c>
      <c r="L860" t="str">
        <f>"INPP4B"</f>
        <v>INPP4B</v>
      </c>
      <c r="M860">
        <v>0</v>
      </c>
      <c r="N860">
        <v>0</v>
      </c>
      <c r="O860">
        <v>97727000</v>
      </c>
      <c r="P860">
        <v>0</v>
      </c>
      <c r="Q860">
        <v>0</v>
      </c>
      <c r="R860">
        <v>62874000</v>
      </c>
      <c r="S860">
        <v>0</v>
      </c>
      <c r="T860">
        <v>68615000</v>
      </c>
      <c r="U860">
        <v>0</v>
      </c>
      <c r="V860">
        <v>0</v>
      </c>
      <c r="W860">
        <v>0</v>
      </c>
      <c r="X860">
        <v>0</v>
      </c>
    </row>
    <row r="861" spans="1:24">
      <c r="A861">
        <v>362</v>
      </c>
      <c r="B861" t="s">
        <v>2343</v>
      </c>
      <c r="C861">
        <v>1</v>
      </c>
      <c r="D861" t="s">
        <v>2344</v>
      </c>
      <c r="E861">
        <v>1</v>
      </c>
      <c r="F861">
        <v>1</v>
      </c>
      <c r="G861">
        <v>1</v>
      </c>
      <c r="H861" t="s">
        <v>2343</v>
      </c>
      <c r="I861">
        <v>17.8</v>
      </c>
      <c r="J861">
        <v>11.516999999999999</v>
      </c>
      <c r="K861" t="s">
        <v>2345</v>
      </c>
      <c r="L861" t="s">
        <v>2345</v>
      </c>
      <c r="M861">
        <v>405880000</v>
      </c>
      <c r="N861">
        <v>249670000</v>
      </c>
      <c r="O861">
        <v>637770000</v>
      </c>
      <c r="P861">
        <v>733540000</v>
      </c>
      <c r="Q861">
        <v>355190000</v>
      </c>
      <c r="R861">
        <v>273210000</v>
      </c>
      <c r="S861">
        <v>227890000</v>
      </c>
      <c r="T861">
        <v>471520000</v>
      </c>
      <c r="U861">
        <v>219920000</v>
      </c>
      <c r="V861">
        <v>628250000</v>
      </c>
      <c r="W861">
        <v>447790000</v>
      </c>
      <c r="X861">
        <v>207830000</v>
      </c>
    </row>
    <row r="862" spans="1:24">
      <c r="A862">
        <v>610</v>
      </c>
      <c r="B862" t="s">
        <v>2346</v>
      </c>
      <c r="C862">
        <v>1</v>
      </c>
      <c r="D862" t="s">
        <v>2347</v>
      </c>
      <c r="E862">
        <v>26</v>
      </c>
      <c r="F862">
        <v>4</v>
      </c>
      <c r="G862">
        <v>0</v>
      </c>
      <c r="H862" t="s">
        <v>2346</v>
      </c>
      <c r="I862">
        <v>64.7</v>
      </c>
      <c r="J862">
        <v>40.975999999999999</v>
      </c>
      <c r="K862" t="str">
        <f>"HLA-A"</f>
        <v>HLA-A</v>
      </c>
      <c r="L862" t="str">
        <f>"HLA-A"</f>
        <v>HLA-A</v>
      </c>
      <c r="M862">
        <v>308200000</v>
      </c>
      <c r="N862">
        <v>261300000</v>
      </c>
      <c r="O862">
        <v>0</v>
      </c>
      <c r="P862">
        <v>0</v>
      </c>
      <c r="Q862">
        <v>132530000</v>
      </c>
      <c r="R862">
        <v>476400000</v>
      </c>
      <c r="S862">
        <v>200450000</v>
      </c>
      <c r="T862">
        <v>262280000</v>
      </c>
      <c r="U862">
        <v>390950000</v>
      </c>
      <c r="V862">
        <v>0</v>
      </c>
      <c r="W862">
        <v>0</v>
      </c>
      <c r="X862">
        <v>338170000</v>
      </c>
    </row>
    <row r="863" spans="1:24">
      <c r="A863">
        <v>647</v>
      </c>
      <c r="B863" t="s">
        <v>2348</v>
      </c>
      <c r="C863">
        <v>6</v>
      </c>
      <c r="D863" t="s">
        <v>2349</v>
      </c>
      <c r="E863">
        <v>14</v>
      </c>
      <c r="F863">
        <v>14</v>
      </c>
      <c r="G863">
        <v>14</v>
      </c>
      <c r="H863" t="s">
        <v>2350</v>
      </c>
      <c r="I863">
        <v>31.5</v>
      </c>
      <c r="J863">
        <v>54.845999999999997</v>
      </c>
      <c r="K863" t="str">
        <f>"HARS;HARS2"</f>
        <v>HARS;HARS2</v>
      </c>
      <c r="L863" t="str">
        <f>"HARS;HARS2"</f>
        <v>HARS;HARS2</v>
      </c>
      <c r="M863">
        <v>0</v>
      </c>
      <c r="N863">
        <v>71145000</v>
      </c>
      <c r="O863">
        <v>72794000</v>
      </c>
      <c r="P863">
        <v>0</v>
      </c>
      <c r="Q863">
        <v>0</v>
      </c>
      <c r="R863">
        <v>79334000</v>
      </c>
      <c r="S863">
        <v>0</v>
      </c>
      <c r="T863">
        <v>0</v>
      </c>
      <c r="U863">
        <v>94120000</v>
      </c>
      <c r="V863">
        <v>0</v>
      </c>
      <c r="W863">
        <v>0</v>
      </c>
      <c r="X863">
        <v>77848000</v>
      </c>
    </row>
    <row r="864" spans="1:24">
      <c r="A864">
        <v>1059</v>
      </c>
      <c r="B864" t="s">
        <v>2351</v>
      </c>
      <c r="C864">
        <v>2</v>
      </c>
      <c r="D864" t="s">
        <v>2352</v>
      </c>
      <c r="E864">
        <v>14</v>
      </c>
      <c r="F864">
        <v>14</v>
      </c>
      <c r="G864">
        <v>14</v>
      </c>
      <c r="H864" t="s">
        <v>2353</v>
      </c>
      <c r="I864">
        <v>20.5</v>
      </c>
      <c r="J864">
        <v>87.798000000000002</v>
      </c>
      <c r="K864" t="str">
        <f>"QARS"</f>
        <v>QARS</v>
      </c>
      <c r="L864" t="str">
        <f>"QARS"</f>
        <v>QARS</v>
      </c>
      <c r="M864">
        <v>0</v>
      </c>
      <c r="N864">
        <v>54404000</v>
      </c>
      <c r="O864">
        <v>44355000</v>
      </c>
      <c r="P864">
        <v>39086000</v>
      </c>
      <c r="Q864">
        <v>0</v>
      </c>
      <c r="R864">
        <v>80043000</v>
      </c>
      <c r="S864">
        <v>38455000</v>
      </c>
      <c r="T864">
        <v>0</v>
      </c>
      <c r="U864">
        <v>91407000</v>
      </c>
      <c r="V864">
        <v>50294000</v>
      </c>
      <c r="W864">
        <v>50187000</v>
      </c>
      <c r="X864">
        <v>103670000</v>
      </c>
    </row>
    <row r="865" spans="1:24">
      <c r="A865">
        <v>1186</v>
      </c>
      <c r="B865" t="s">
        <v>2354</v>
      </c>
      <c r="C865">
        <v>4</v>
      </c>
      <c r="D865" t="s">
        <v>2355</v>
      </c>
      <c r="E865">
        <v>11</v>
      </c>
      <c r="F865">
        <v>11</v>
      </c>
      <c r="G865">
        <v>11</v>
      </c>
      <c r="H865" t="s">
        <v>2356</v>
      </c>
      <c r="I865">
        <v>15.1</v>
      </c>
      <c r="J865">
        <v>107.78</v>
      </c>
      <c r="K865" t="str">
        <f>"CSE1L"</f>
        <v>CSE1L</v>
      </c>
      <c r="L865" t="str">
        <f>"CSE1L"</f>
        <v>CSE1L</v>
      </c>
      <c r="M865">
        <v>0</v>
      </c>
      <c r="N865">
        <v>65899000</v>
      </c>
      <c r="O865">
        <v>67223000</v>
      </c>
      <c r="P865">
        <v>68544000</v>
      </c>
      <c r="Q865">
        <v>0</v>
      </c>
      <c r="R865">
        <v>71330000</v>
      </c>
      <c r="S865">
        <v>89128000</v>
      </c>
      <c r="T865">
        <v>0</v>
      </c>
      <c r="U865">
        <v>0</v>
      </c>
      <c r="V865">
        <v>49977000</v>
      </c>
      <c r="W865">
        <v>144080000</v>
      </c>
      <c r="X865">
        <v>100460000</v>
      </c>
    </row>
    <row r="866" spans="1:24">
      <c r="A866">
        <v>1233</v>
      </c>
      <c r="B866" t="s">
        <v>2357</v>
      </c>
      <c r="C866">
        <v>3</v>
      </c>
      <c r="D866" t="s">
        <v>2358</v>
      </c>
      <c r="E866">
        <v>8</v>
      </c>
      <c r="F866">
        <v>8</v>
      </c>
      <c r="G866">
        <v>8</v>
      </c>
      <c r="H866" t="s">
        <v>2359</v>
      </c>
      <c r="I866">
        <v>41</v>
      </c>
      <c r="J866">
        <v>22.405999999999999</v>
      </c>
      <c r="K866" t="str">
        <f>"UBE2K"</f>
        <v>UBE2K</v>
      </c>
      <c r="L866" t="str">
        <f>"UBE2K"</f>
        <v>UBE2K</v>
      </c>
      <c r="M866">
        <v>0</v>
      </c>
      <c r="N866">
        <v>137310000</v>
      </c>
      <c r="O866">
        <v>163300000</v>
      </c>
      <c r="P866">
        <v>0</v>
      </c>
      <c r="Q866">
        <v>0</v>
      </c>
      <c r="R866">
        <v>139800000</v>
      </c>
      <c r="S866">
        <v>0</v>
      </c>
      <c r="T866">
        <v>169610000</v>
      </c>
      <c r="U866">
        <v>113170000</v>
      </c>
      <c r="V866">
        <v>0</v>
      </c>
      <c r="W866">
        <v>0</v>
      </c>
      <c r="X866">
        <v>0</v>
      </c>
    </row>
    <row r="867" spans="1:24">
      <c r="A867">
        <v>1363</v>
      </c>
      <c r="B867" t="s">
        <v>2360</v>
      </c>
      <c r="C867">
        <v>1</v>
      </c>
      <c r="D867" t="s">
        <v>2361</v>
      </c>
      <c r="E867">
        <v>13</v>
      </c>
      <c r="F867">
        <v>13</v>
      </c>
      <c r="G867">
        <v>13</v>
      </c>
      <c r="H867" t="s">
        <v>2360</v>
      </c>
      <c r="I867">
        <v>19.7</v>
      </c>
      <c r="J867">
        <v>80.472999999999999</v>
      </c>
      <c r="K867" t="str">
        <f>"GBE1"</f>
        <v>GBE1</v>
      </c>
      <c r="L867" t="str">
        <f>"GBE1"</f>
        <v>GBE1</v>
      </c>
      <c r="M867">
        <v>0</v>
      </c>
      <c r="N867">
        <v>60615000</v>
      </c>
      <c r="O867">
        <v>78240000</v>
      </c>
      <c r="P867">
        <v>0</v>
      </c>
      <c r="Q867">
        <v>0</v>
      </c>
      <c r="R867">
        <v>44486000</v>
      </c>
      <c r="S867">
        <v>0</v>
      </c>
      <c r="T867">
        <v>0</v>
      </c>
      <c r="U867">
        <v>0</v>
      </c>
      <c r="V867">
        <v>55550000</v>
      </c>
      <c r="W867">
        <v>0</v>
      </c>
      <c r="X867">
        <v>0</v>
      </c>
    </row>
    <row r="868" spans="1:24">
      <c r="A868">
        <v>1713</v>
      </c>
      <c r="B868" t="s">
        <v>2362</v>
      </c>
      <c r="C868">
        <v>4</v>
      </c>
      <c r="D868" t="s">
        <v>2363</v>
      </c>
      <c r="E868">
        <v>4</v>
      </c>
      <c r="F868">
        <v>4</v>
      </c>
      <c r="G868">
        <v>3</v>
      </c>
      <c r="H868" t="s">
        <v>2364</v>
      </c>
      <c r="I868">
        <v>10.199999999999999</v>
      </c>
      <c r="J868">
        <v>40.537999999999997</v>
      </c>
      <c r="K868" t="str">
        <f>"BZW1"</f>
        <v>BZW1</v>
      </c>
      <c r="L868" t="str">
        <f>"BZW1"</f>
        <v>BZW1</v>
      </c>
      <c r="M868">
        <v>0</v>
      </c>
      <c r="N868">
        <v>103690000</v>
      </c>
      <c r="O868">
        <v>80433000</v>
      </c>
      <c r="P868">
        <v>84621000</v>
      </c>
      <c r="Q868">
        <v>0</v>
      </c>
      <c r="R868">
        <v>45073000</v>
      </c>
      <c r="S868">
        <v>0</v>
      </c>
      <c r="T868">
        <v>0</v>
      </c>
      <c r="U868">
        <v>0</v>
      </c>
      <c r="V868">
        <v>63651000</v>
      </c>
      <c r="W868">
        <v>0</v>
      </c>
      <c r="X868">
        <v>59999000</v>
      </c>
    </row>
    <row r="869" spans="1:24">
      <c r="A869">
        <v>2313</v>
      </c>
      <c r="B869" t="s">
        <v>2365</v>
      </c>
      <c r="C869">
        <v>2</v>
      </c>
      <c r="D869" t="s">
        <v>2366</v>
      </c>
      <c r="E869">
        <v>6</v>
      </c>
      <c r="F869">
        <v>6</v>
      </c>
      <c r="G869">
        <v>6</v>
      </c>
      <c r="H869" t="s">
        <v>2367</v>
      </c>
      <c r="I869">
        <v>11.8</v>
      </c>
      <c r="J869">
        <v>61.012999999999998</v>
      </c>
      <c r="K869" t="str">
        <f>"EIF3L"</f>
        <v>EIF3L</v>
      </c>
      <c r="L869" t="str">
        <f>"EIF3L"</f>
        <v>EIF3L</v>
      </c>
      <c r="M869">
        <v>0</v>
      </c>
      <c r="N869">
        <v>0</v>
      </c>
      <c r="O869">
        <v>68257000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71275000</v>
      </c>
      <c r="V869">
        <v>68297000</v>
      </c>
      <c r="W869">
        <v>0</v>
      </c>
      <c r="X869">
        <v>92584000</v>
      </c>
    </row>
    <row r="870" spans="1:24">
      <c r="A870">
        <v>174</v>
      </c>
      <c r="B870" t="s">
        <v>2368</v>
      </c>
      <c r="C870">
        <v>2</v>
      </c>
      <c r="D870" t="s">
        <v>2369</v>
      </c>
      <c r="E870">
        <v>10</v>
      </c>
      <c r="F870">
        <v>10</v>
      </c>
      <c r="G870">
        <v>3</v>
      </c>
      <c r="H870" t="s">
        <v>2370</v>
      </c>
      <c r="I870">
        <v>24</v>
      </c>
      <c r="J870">
        <v>58.951000000000001</v>
      </c>
      <c r="K870" t="str">
        <f>"AHCYL1"</f>
        <v>AHCYL1</v>
      </c>
      <c r="L870" t="str">
        <f>"AHCYL1"</f>
        <v>AHCYL1</v>
      </c>
      <c r="M870">
        <v>91461000</v>
      </c>
      <c r="N870">
        <v>137180000</v>
      </c>
      <c r="O870">
        <v>138400000</v>
      </c>
      <c r="P870">
        <v>153900000</v>
      </c>
      <c r="Q870">
        <v>90171000</v>
      </c>
      <c r="R870">
        <v>127660000</v>
      </c>
      <c r="S870">
        <v>0</v>
      </c>
      <c r="T870">
        <v>80561000</v>
      </c>
      <c r="U870">
        <v>109970000</v>
      </c>
      <c r="V870">
        <v>83011000</v>
      </c>
      <c r="W870">
        <v>0</v>
      </c>
      <c r="X870">
        <v>107680000</v>
      </c>
    </row>
    <row r="871" spans="1:24">
      <c r="A871">
        <v>401</v>
      </c>
      <c r="B871" t="s">
        <v>2371</v>
      </c>
      <c r="C871">
        <v>1</v>
      </c>
      <c r="D871" t="s">
        <v>2372</v>
      </c>
      <c r="E871">
        <v>5</v>
      </c>
      <c r="F871">
        <v>5</v>
      </c>
      <c r="G871">
        <v>5</v>
      </c>
      <c r="H871" t="s">
        <v>2371</v>
      </c>
      <c r="I871">
        <v>37.299999999999997</v>
      </c>
      <c r="J871">
        <v>9.3317999999999994</v>
      </c>
      <c r="K871" t="str">
        <f>"APOC1"</f>
        <v>APOC1</v>
      </c>
      <c r="L871" t="str">
        <f>"APOC1"</f>
        <v>APOC1</v>
      </c>
      <c r="M871">
        <v>400430000</v>
      </c>
      <c r="N871">
        <v>0</v>
      </c>
      <c r="O871">
        <v>101160000</v>
      </c>
      <c r="P871">
        <v>0</v>
      </c>
      <c r="Q871">
        <v>72727000</v>
      </c>
      <c r="R871">
        <v>0</v>
      </c>
      <c r="S871">
        <v>246610000</v>
      </c>
      <c r="T871">
        <v>159220000</v>
      </c>
      <c r="U871">
        <v>0</v>
      </c>
      <c r="V871">
        <v>131880000</v>
      </c>
      <c r="W871">
        <v>0</v>
      </c>
      <c r="X871">
        <v>0</v>
      </c>
    </row>
    <row r="872" spans="1:24">
      <c r="A872">
        <v>835</v>
      </c>
      <c r="B872" t="s">
        <v>2373</v>
      </c>
      <c r="C872">
        <v>1</v>
      </c>
      <c r="D872" t="s">
        <v>2374</v>
      </c>
      <c r="E872">
        <v>6</v>
      </c>
      <c r="F872">
        <v>6</v>
      </c>
      <c r="G872">
        <v>6</v>
      </c>
      <c r="H872" t="s">
        <v>2373</v>
      </c>
      <c r="I872">
        <v>45.5</v>
      </c>
      <c r="J872">
        <v>11.728</v>
      </c>
      <c r="K872" t="str">
        <f>"S100A4"</f>
        <v>S100A4</v>
      </c>
      <c r="L872" t="str">
        <f>"S100A4"</f>
        <v>S100A4</v>
      </c>
      <c r="M872">
        <v>0</v>
      </c>
      <c r="N872">
        <v>90130000</v>
      </c>
      <c r="O872">
        <v>99360000</v>
      </c>
      <c r="P872">
        <v>0</v>
      </c>
      <c r="Q872">
        <v>186080000</v>
      </c>
      <c r="R872">
        <v>0</v>
      </c>
      <c r="S872">
        <v>120840000</v>
      </c>
      <c r="T872">
        <v>192060000</v>
      </c>
      <c r="U872">
        <v>380270000</v>
      </c>
      <c r="V872">
        <v>312480000</v>
      </c>
      <c r="W872">
        <v>0</v>
      </c>
      <c r="X872">
        <v>32636000</v>
      </c>
    </row>
    <row r="873" spans="1:24">
      <c r="A873">
        <v>1968</v>
      </c>
      <c r="B873" t="s">
        <v>2375</v>
      </c>
      <c r="C873">
        <v>4</v>
      </c>
      <c r="D873" t="s">
        <v>2376</v>
      </c>
      <c r="E873">
        <v>17</v>
      </c>
      <c r="F873">
        <v>17</v>
      </c>
      <c r="G873">
        <v>17</v>
      </c>
      <c r="H873" t="s">
        <v>2377</v>
      </c>
      <c r="I873">
        <v>7.3</v>
      </c>
      <c r="J873">
        <v>347.67</v>
      </c>
      <c r="K873" t="str">
        <f>"VPS13A"</f>
        <v>VPS13A</v>
      </c>
      <c r="L873" t="str">
        <f>"VPS13A"</f>
        <v>VPS13A</v>
      </c>
      <c r="M873">
        <v>0</v>
      </c>
      <c r="N873">
        <v>88128000</v>
      </c>
      <c r="O873">
        <v>0</v>
      </c>
      <c r="P873">
        <v>0</v>
      </c>
      <c r="Q873">
        <v>0</v>
      </c>
      <c r="R873">
        <v>39942000</v>
      </c>
      <c r="S873">
        <v>0</v>
      </c>
      <c r="T873">
        <v>0</v>
      </c>
      <c r="U873">
        <v>78502000</v>
      </c>
      <c r="V873">
        <v>45105000</v>
      </c>
      <c r="W873">
        <v>76582000</v>
      </c>
      <c r="X873">
        <v>71926000</v>
      </c>
    </row>
    <row r="874" spans="1:24">
      <c r="A874">
        <v>496</v>
      </c>
      <c r="B874" t="s">
        <v>2378</v>
      </c>
      <c r="C874">
        <v>3</v>
      </c>
      <c r="D874" t="s">
        <v>2379</v>
      </c>
      <c r="E874">
        <v>15</v>
      </c>
      <c r="F874">
        <v>8</v>
      </c>
      <c r="G874">
        <v>8</v>
      </c>
      <c r="H874" t="s">
        <v>2380</v>
      </c>
      <c r="I874">
        <v>30.5</v>
      </c>
      <c r="J874">
        <v>60.14</v>
      </c>
      <c r="K874" t="str">
        <f>"FYN"</f>
        <v>FYN</v>
      </c>
      <c r="L874" t="str">
        <f>"FYN"</f>
        <v>FYN</v>
      </c>
      <c r="M874">
        <v>0</v>
      </c>
      <c r="N874">
        <v>0</v>
      </c>
      <c r="O874">
        <v>94645000</v>
      </c>
      <c r="P874">
        <v>0</v>
      </c>
      <c r="Q874">
        <v>0</v>
      </c>
      <c r="R874">
        <v>100410000</v>
      </c>
      <c r="S874">
        <v>126210000</v>
      </c>
      <c r="T874">
        <v>0</v>
      </c>
      <c r="U874">
        <v>123940000</v>
      </c>
      <c r="V874">
        <v>103080000</v>
      </c>
      <c r="W874">
        <v>149820000</v>
      </c>
      <c r="X874">
        <v>107710000</v>
      </c>
    </row>
    <row r="875" spans="1:24">
      <c r="A875">
        <v>762</v>
      </c>
      <c r="B875" t="s">
        <v>2381</v>
      </c>
      <c r="C875">
        <v>1</v>
      </c>
      <c r="D875" t="s">
        <v>2382</v>
      </c>
      <c r="E875">
        <v>8</v>
      </c>
      <c r="F875">
        <v>8</v>
      </c>
      <c r="G875">
        <v>8</v>
      </c>
      <c r="H875" t="s">
        <v>2381</v>
      </c>
      <c r="I875">
        <v>44.4</v>
      </c>
      <c r="J875">
        <v>26.489000000000001</v>
      </c>
      <c r="K875" t="str">
        <f>"PSMB1"</f>
        <v>PSMB1</v>
      </c>
      <c r="L875" t="str">
        <f>"PSMB1"</f>
        <v>PSMB1</v>
      </c>
      <c r="M875">
        <v>0</v>
      </c>
      <c r="N875">
        <v>0</v>
      </c>
      <c r="O875">
        <v>101150000</v>
      </c>
      <c r="P875">
        <v>0</v>
      </c>
      <c r="Q875">
        <v>0</v>
      </c>
      <c r="R875">
        <v>114510000</v>
      </c>
      <c r="S875">
        <v>0</v>
      </c>
      <c r="T875">
        <v>0</v>
      </c>
      <c r="U875">
        <v>206800000</v>
      </c>
      <c r="V875">
        <v>132090000</v>
      </c>
      <c r="W875">
        <v>0</v>
      </c>
      <c r="X875">
        <v>137910000</v>
      </c>
    </row>
    <row r="876" spans="1:24">
      <c r="A876">
        <v>796</v>
      </c>
      <c r="B876" t="s">
        <v>2383</v>
      </c>
      <c r="C876">
        <v>1</v>
      </c>
      <c r="D876" t="s">
        <v>2384</v>
      </c>
      <c r="E876">
        <v>6</v>
      </c>
      <c r="F876">
        <v>6</v>
      </c>
      <c r="G876">
        <v>5</v>
      </c>
      <c r="H876" t="s">
        <v>2383</v>
      </c>
      <c r="I876">
        <v>64.099999999999994</v>
      </c>
      <c r="J876">
        <v>13.009</v>
      </c>
      <c r="K876" t="s">
        <v>2385</v>
      </c>
      <c r="L876" t="s">
        <v>2385</v>
      </c>
      <c r="M876">
        <v>0</v>
      </c>
      <c r="N876">
        <v>180570000</v>
      </c>
      <c r="O876">
        <v>0</v>
      </c>
      <c r="P876">
        <v>223670000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</row>
    <row r="877" spans="1:24">
      <c r="A877">
        <v>1077</v>
      </c>
      <c r="B877" t="s">
        <v>2386</v>
      </c>
      <c r="C877">
        <v>4</v>
      </c>
      <c r="D877" t="s">
        <v>2387</v>
      </c>
      <c r="E877">
        <v>10</v>
      </c>
      <c r="F877">
        <v>10</v>
      </c>
      <c r="G877">
        <v>10</v>
      </c>
      <c r="H877" t="s">
        <v>2388</v>
      </c>
      <c r="I877">
        <v>42.8</v>
      </c>
      <c r="J877">
        <v>31.54</v>
      </c>
      <c r="K877" t="str">
        <f>"PITPNB;PITPNA"</f>
        <v>PITPNB;PITPNA</v>
      </c>
      <c r="L877" t="str">
        <f>"PITPNB;PITPNA"</f>
        <v>PITPNB;PITPNA</v>
      </c>
      <c r="M877">
        <v>0</v>
      </c>
      <c r="N877">
        <v>102170000</v>
      </c>
      <c r="O877">
        <v>110990000</v>
      </c>
      <c r="P877">
        <v>0</v>
      </c>
      <c r="Q877">
        <v>0</v>
      </c>
      <c r="R877">
        <v>67068000</v>
      </c>
      <c r="S877">
        <v>155490000</v>
      </c>
      <c r="T877">
        <v>0</v>
      </c>
      <c r="U877">
        <v>115820000</v>
      </c>
      <c r="V877">
        <v>0</v>
      </c>
      <c r="W877">
        <v>111940000</v>
      </c>
      <c r="X877">
        <v>0</v>
      </c>
    </row>
    <row r="878" spans="1:24">
      <c r="A878">
        <v>1648</v>
      </c>
      <c r="B878" t="s">
        <v>2389</v>
      </c>
      <c r="C878">
        <v>4</v>
      </c>
      <c r="D878" t="s">
        <v>2390</v>
      </c>
      <c r="E878">
        <v>10</v>
      </c>
      <c r="F878">
        <v>10</v>
      </c>
      <c r="G878">
        <v>10</v>
      </c>
      <c r="H878" t="s">
        <v>2391</v>
      </c>
      <c r="I878">
        <v>12.1</v>
      </c>
      <c r="J878">
        <v>123.49</v>
      </c>
      <c r="K878" t="str">
        <f>"STXBP5;STXBP5L"</f>
        <v>STXBP5;STXBP5L</v>
      </c>
      <c r="L878" t="str">
        <f>"STXBP5;STXBP5L"</f>
        <v>STXBP5;STXBP5L</v>
      </c>
      <c r="M878">
        <v>0</v>
      </c>
      <c r="N878">
        <v>963580000</v>
      </c>
      <c r="O878">
        <v>1020200000</v>
      </c>
      <c r="P878">
        <v>751920000</v>
      </c>
      <c r="Q878">
        <v>1358100000</v>
      </c>
      <c r="R878">
        <v>538600000</v>
      </c>
      <c r="S878">
        <v>1199300000</v>
      </c>
      <c r="T878">
        <v>0</v>
      </c>
      <c r="U878">
        <v>0</v>
      </c>
      <c r="V878">
        <v>0</v>
      </c>
      <c r="W878">
        <v>0</v>
      </c>
      <c r="X878">
        <v>0</v>
      </c>
    </row>
    <row r="879" spans="1:24">
      <c r="A879">
        <v>1663</v>
      </c>
      <c r="B879" t="s">
        <v>2392</v>
      </c>
      <c r="C879">
        <v>7</v>
      </c>
      <c r="D879" t="s">
        <v>2393</v>
      </c>
      <c r="E879">
        <v>12</v>
      </c>
      <c r="F879">
        <v>12</v>
      </c>
      <c r="G879">
        <v>12</v>
      </c>
      <c r="H879" t="s">
        <v>2394</v>
      </c>
      <c r="I879">
        <v>18</v>
      </c>
      <c r="J879">
        <v>78.379000000000005</v>
      </c>
      <c r="K879" t="str">
        <f>"RAP1GAP2;RAP1GAP"</f>
        <v>RAP1GAP2;RAP1GAP</v>
      </c>
      <c r="L879" t="str">
        <f>"RAP1GAP2;RAP1GAP"</f>
        <v>RAP1GAP2;RAP1GAP</v>
      </c>
      <c r="M879">
        <v>0</v>
      </c>
      <c r="N879">
        <v>91885000</v>
      </c>
      <c r="O879">
        <v>100060000</v>
      </c>
      <c r="P879">
        <v>0</v>
      </c>
      <c r="Q879">
        <v>0</v>
      </c>
      <c r="R879">
        <v>99923000</v>
      </c>
      <c r="S879">
        <v>145190000</v>
      </c>
      <c r="T879">
        <v>0</v>
      </c>
      <c r="U879">
        <v>100010000</v>
      </c>
      <c r="V879">
        <v>0</v>
      </c>
      <c r="W879">
        <v>0</v>
      </c>
      <c r="X879">
        <v>140600000</v>
      </c>
    </row>
    <row r="880" spans="1:24">
      <c r="A880">
        <v>2347</v>
      </c>
      <c r="B880" t="s">
        <v>2395</v>
      </c>
      <c r="C880">
        <v>1</v>
      </c>
      <c r="D880" t="s">
        <v>2396</v>
      </c>
      <c r="E880">
        <v>7</v>
      </c>
      <c r="F880">
        <v>7</v>
      </c>
      <c r="G880">
        <v>7</v>
      </c>
      <c r="H880" t="s">
        <v>2395</v>
      </c>
      <c r="I880">
        <v>22.4</v>
      </c>
      <c r="J880">
        <v>55.21</v>
      </c>
      <c r="K880" t="str">
        <f>"RTCB"</f>
        <v>RTCB</v>
      </c>
      <c r="L880" t="str">
        <f>"RTCB"</f>
        <v>RTCB</v>
      </c>
      <c r="M880">
        <v>0</v>
      </c>
      <c r="N880">
        <v>96851000</v>
      </c>
      <c r="O880">
        <v>75250000</v>
      </c>
      <c r="P880">
        <v>0</v>
      </c>
      <c r="Q880">
        <v>0</v>
      </c>
      <c r="R880">
        <v>83162000</v>
      </c>
      <c r="S880">
        <v>121200000</v>
      </c>
      <c r="T880">
        <v>0</v>
      </c>
      <c r="U880">
        <v>0</v>
      </c>
      <c r="V880">
        <v>73343000</v>
      </c>
      <c r="W880">
        <v>0</v>
      </c>
      <c r="X880">
        <v>76979000</v>
      </c>
    </row>
    <row r="881" spans="1:24">
      <c r="A881">
        <v>297</v>
      </c>
      <c r="B881" t="s">
        <v>2397</v>
      </c>
      <c r="C881">
        <v>1</v>
      </c>
      <c r="D881" t="s">
        <v>2398</v>
      </c>
      <c r="E881">
        <v>5</v>
      </c>
      <c r="F881">
        <v>5</v>
      </c>
      <c r="G881">
        <v>5</v>
      </c>
      <c r="H881" t="s">
        <v>2397</v>
      </c>
      <c r="I881">
        <v>27.8</v>
      </c>
      <c r="J881">
        <v>25.565000000000001</v>
      </c>
      <c r="K881" t="str">
        <f>"MT-CO2"</f>
        <v>MT-CO2</v>
      </c>
      <c r="L881" t="str">
        <f>"MT-CO2"</f>
        <v>MT-CO2</v>
      </c>
      <c r="M881">
        <v>0</v>
      </c>
      <c r="N881">
        <v>0</v>
      </c>
      <c r="O881">
        <v>0</v>
      </c>
      <c r="P881">
        <v>140670000</v>
      </c>
      <c r="Q881">
        <v>0</v>
      </c>
      <c r="R881">
        <v>197430000</v>
      </c>
      <c r="S881">
        <v>128260000</v>
      </c>
      <c r="T881">
        <v>0</v>
      </c>
      <c r="U881">
        <v>228240000</v>
      </c>
      <c r="V881">
        <v>225760000</v>
      </c>
      <c r="W881">
        <v>398410000</v>
      </c>
      <c r="X881">
        <v>256870000</v>
      </c>
    </row>
    <row r="882" spans="1:24">
      <c r="A882">
        <v>593</v>
      </c>
      <c r="B882" t="s">
        <v>2399</v>
      </c>
      <c r="C882">
        <v>4</v>
      </c>
      <c r="D882" t="s">
        <v>2400</v>
      </c>
      <c r="E882">
        <v>10</v>
      </c>
      <c r="F882">
        <v>10</v>
      </c>
      <c r="G882">
        <v>10</v>
      </c>
      <c r="H882" t="s">
        <v>2401</v>
      </c>
      <c r="I882">
        <v>23.3</v>
      </c>
      <c r="J882">
        <v>66.850999999999999</v>
      </c>
      <c r="K882" t="str">
        <f>"LTA4H"</f>
        <v>LTA4H</v>
      </c>
      <c r="L882" t="str">
        <f>"LTA4H"</f>
        <v>LTA4H</v>
      </c>
      <c r="M882">
        <v>68131000</v>
      </c>
      <c r="N882">
        <v>97927000</v>
      </c>
      <c r="O882">
        <v>81324000</v>
      </c>
      <c r="P882">
        <v>0</v>
      </c>
      <c r="Q882">
        <v>65706000</v>
      </c>
      <c r="R882">
        <v>98434000</v>
      </c>
      <c r="S882">
        <v>98054000</v>
      </c>
      <c r="T882">
        <v>0</v>
      </c>
      <c r="U882">
        <v>100680000</v>
      </c>
      <c r="V882">
        <v>0</v>
      </c>
      <c r="W882">
        <v>105990000</v>
      </c>
      <c r="X882">
        <v>89962000</v>
      </c>
    </row>
    <row r="883" spans="1:24">
      <c r="A883">
        <v>989</v>
      </c>
      <c r="B883" t="s">
        <v>2402</v>
      </c>
      <c r="C883">
        <v>3</v>
      </c>
      <c r="D883" t="s">
        <v>2403</v>
      </c>
      <c r="E883">
        <v>5</v>
      </c>
      <c r="F883">
        <v>5</v>
      </c>
      <c r="G883">
        <v>5</v>
      </c>
      <c r="H883" t="s">
        <v>2404</v>
      </c>
      <c r="I883">
        <v>29.5</v>
      </c>
      <c r="J883">
        <v>22.312999999999999</v>
      </c>
      <c r="K883" t="str">
        <f>"HPCAL1;HPCA;NCALD"</f>
        <v>HPCAL1;HPCA;NCALD</v>
      </c>
      <c r="L883" t="str">
        <f>"HPCAL1;HPCA;NCALD"</f>
        <v>HPCAL1;HPCA;NCALD</v>
      </c>
      <c r="M883">
        <v>0</v>
      </c>
      <c r="N883">
        <v>151180000</v>
      </c>
      <c r="O883">
        <v>154190000</v>
      </c>
      <c r="P883">
        <v>156570000</v>
      </c>
      <c r="Q883">
        <v>90781000</v>
      </c>
      <c r="R883">
        <v>161710000</v>
      </c>
      <c r="S883">
        <v>117720000</v>
      </c>
      <c r="T883">
        <v>0</v>
      </c>
      <c r="U883">
        <v>131320000</v>
      </c>
      <c r="V883">
        <v>0</v>
      </c>
      <c r="W883">
        <v>0</v>
      </c>
      <c r="X883">
        <v>142350000</v>
      </c>
    </row>
    <row r="884" spans="1:24">
      <c r="A884">
        <v>1267</v>
      </c>
      <c r="B884" t="s">
        <v>2405</v>
      </c>
      <c r="C884">
        <v>1</v>
      </c>
      <c r="D884" t="s">
        <v>2406</v>
      </c>
      <c r="E884">
        <v>12</v>
      </c>
      <c r="F884">
        <v>12</v>
      </c>
      <c r="G884">
        <v>12</v>
      </c>
      <c r="H884" t="s">
        <v>2405</v>
      </c>
      <c r="I884">
        <v>36.799999999999997</v>
      </c>
      <c r="J884">
        <v>44.171999999999997</v>
      </c>
      <c r="K884" t="str">
        <f>"PSMC6"</f>
        <v>PSMC6</v>
      </c>
      <c r="L884" t="str">
        <f>"PSMC6"</f>
        <v>PSMC6</v>
      </c>
      <c r="M884">
        <v>0</v>
      </c>
      <c r="N884">
        <v>57478000</v>
      </c>
      <c r="O884">
        <v>63849000</v>
      </c>
      <c r="P884">
        <v>0</v>
      </c>
      <c r="Q884">
        <v>0</v>
      </c>
      <c r="R884">
        <v>54068000</v>
      </c>
      <c r="S884">
        <v>0</v>
      </c>
      <c r="T884">
        <v>0</v>
      </c>
      <c r="U884">
        <v>27310000</v>
      </c>
      <c r="V884">
        <v>39380000</v>
      </c>
      <c r="W884">
        <v>67479000</v>
      </c>
      <c r="X884">
        <v>252010000</v>
      </c>
    </row>
    <row r="885" spans="1:24">
      <c r="A885">
        <v>1551</v>
      </c>
      <c r="B885" t="s">
        <v>2407</v>
      </c>
      <c r="C885">
        <v>13</v>
      </c>
      <c r="D885" t="s">
        <v>2408</v>
      </c>
      <c r="E885">
        <v>10</v>
      </c>
      <c r="F885">
        <v>6</v>
      </c>
      <c r="G885">
        <v>6</v>
      </c>
      <c r="H885" t="s">
        <v>2409</v>
      </c>
      <c r="I885">
        <v>42.9</v>
      </c>
      <c r="J885">
        <v>38.15</v>
      </c>
      <c r="K885" t="str">
        <f>"PCBP2;PCBP3"</f>
        <v>PCBP2;PCBP3</v>
      </c>
      <c r="L885" t="str">
        <f>"PCBP2;PCBP3"</f>
        <v>PCBP2;PCBP3</v>
      </c>
      <c r="M885">
        <v>0</v>
      </c>
      <c r="N885">
        <v>128650000</v>
      </c>
      <c r="O885">
        <v>158780000</v>
      </c>
      <c r="P885">
        <v>133070000</v>
      </c>
      <c r="Q885">
        <v>0</v>
      </c>
      <c r="R885">
        <v>294590000</v>
      </c>
      <c r="S885">
        <v>0</v>
      </c>
      <c r="T885">
        <v>0</v>
      </c>
      <c r="U885">
        <v>161430000</v>
      </c>
      <c r="V885">
        <v>0</v>
      </c>
      <c r="W885">
        <v>0</v>
      </c>
      <c r="X885">
        <v>0</v>
      </c>
    </row>
    <row r="886" spans="1:24">
      <c r="A886">
        <v>1977</v>
      </c>
      <c r="B886" t="s">
        <v>2410</v>
      </c>
      <c r="C886">
        <v>2</v>
      </c>
      <c r="D886" t="s">
        <v>2411</v>
      </c>
      <c r="E886">
        <v>6</v>
      </c>
      <c r="F886">
        <v>6</v>
      </c>
      <c r="G886">
        <v>6</v>
      </c>
      <c r="H886" t="s">
        <v>2412</v>
      </c>
      <c r="I886">
        <v>28.7</v>
      </c>
      <c r="J886">
        <v>27.324999999999999</v>
      </c>
      <c r="K886" t="str">
        <f>"TBCB"</f>
        <v>TBCB</v>
      </c>
      <c r="L886" t="str">
        <f>"TBCB"</f>
        <v>TBCB</v>
      </c>
      <c r="M886">
        <v>0</v>
      </c>
      <c r="N886">
        <v>53728000</v>
      </c>
      <c r="O886">
        <v>74456000</v>
      </c>
      <c r="P886">
        <v>49571000</v>
      </c>
      <c r="Q886">
        <v>33413000</v>
      </c>
      <c r="R886">
        <v>0</v>
      </c>
      <c r="S886">
        <v>71383000</v>
      </c>
      <c r="T886">
        <v>0</v>
      </c>
      <c r="U886">
        <v>65957000</v>
      </c>
      <c r="V886">
        <v>0</v>
      </c>
      <c r="W886">
        <v>59014000</v>
      </c>
      <c r="X886">
        <v>87256000</v>
      </c>
    </row>
    <row r="887" spans="1:24">
      <c r="A887">
        <v>2001</v>
      </c>
      <c r="B887" t="s">
        <v>2413</v>
      </c>
      <c r="C887">
        <v>1</v>
      </c>
      <c r="D887" t="s">
        <v>2414</v>
      </c>
      <c r="E887">
        <v>5</v>
      </c>
      <c r="F887">
        <v>5</v>
      </c>
      <c r="G887">
        <v>5</v>
      </c>
      <c r="H887" t="s">
        <v>2413</v>
      </c>
      <c r="I887">
        <v>7.2</v>
      </c>
      <c r="J887">
        <v>75.775000000000006</v>
      </c>
      <c r="K887" t="str">
        <f>"TM9SF2"</f>
        <v>TM9SF2</v>
      </c>
      <c r="L887" t="str">
        <f>"TM9SF2"</f>
        <v>TM9SF2</v>
      </c>
      <c r="M887">
        <v>0</v>
      </c>
      <c r="N887">
        <v>146910000</v>
      </c>
      <c r="O887">
        <v>87629000</v>
      </c>
      <c r="P887">
        <v>98836000</v>
      </c>
      <c r="Q887">
        <v>0</v>
      </c>
      <c r="R887">
        <v>102790000</v>
      </c>
      <c r="S887">
        <v>175790000</v>
      </c>
      <c r="T887">
        <v>0</v>
      </c>
      <c r="U887">
        <v>135960000</v>
      </c>
      <c r="V887">
        <v>0</v>
      </c>
      <c r="W887">
        <v>0</v>
      </c>
      <c r="X887">
        <v>89014000</v>
      </c>
    </row>
    <row r="888" spans="1:24">
      <c r="A888">
        <v>2070</v>
      </c>
      <c r="B888" t="s">
        <v>2415</v>
      </c>
      <c r="C888">
        <v>5</v>
      </c>
      <c r="D888" t="s">
        <v>2416</v>
      </c>
      <c r="E888">
        <v>3</v>
      </c>
      <c r="F888">
        <v>3</v>
      </c>
      <c r="G888">
        <v>3</v>
      </c>
      <c r="H888" t="s">
        <v>2417</v>
      </c>
      <c r="I888">
        <v>32.6</v>
      </c>
      <c r="J888">
        <v>25.065999999999999</v>
      </c>
      <c r="K888" t="str">
        <f>"MFF"</f>
        <v>MFF</v>
      </c>
      <c r="L888" t="str">
        <f>"MFF"</f>
        <v>MFF</v>
      </c>
      <c r="M888">
        <v>0</v>
      </c>
      <c r="N888">
        <v>102040000</v>
      </c>
      <c r="O888">
        <v>132420000</v>
      </c>
      <c r="P888">
        <v>87461000</v>
      </c>
      <c r="Q888">
        <v>0</v>
      </c>
      <c r="R888">
        <v>171590000</v>
      </c>
      <c r="S888">
        <v>191920000</v>
      </c>
      <c r="T888">
        <v>116120000</v>
      </c>
      <c r="U888">
        <v>0</v>
      </c>
      <c r="V888">
        <v>126300000</v>
      </c>
      <c r="W888">
        <v>0</v>
      </c>
      <c r="X888">
        <v>138160000</v>
      </c>
    </row>
    <row r="889" spans="1:24">
      <c r="A889">
        <v>2196</v>
      </c>
      <c r="B889" t="s">
        <v>2418</v>
      </c>
      <c r="C889">
        <v>3</v>
      </c>
      <c r="D889" t="s">
        <v>2419</v>
      </c>
      <c r="E889">
        <v>17</v>
      </c>
      <c r="F889">
        <v>17</v>
      </c>
      <c r="G889">
        <v>17</v>
      </c>
      <c r="H889" t="s">
        <v>2420</v>
      </c>
      <c r="I889">
        <v>30.7</v>
      </c>
      <c r="J889">
        <v>82.587999999999994</v>
      </c>
      <c r="K889" t="str">
        <f>"DPP3"</f>
        <v>DPP3</v>
      </c>
      <c r="L889" t="str">
        <f>"DPP3"</f>
        <v>DPP3</v>
      </c>
      <c r="M889">
        <v>92431000</v>
      </c>
      <c r="N889">
        <v>92967000</v>
      </c>
      <c r="O889">
        <v>94973000</v>
      </c>
      <c r="P889">
        <v>0</v>
      </c>
      <c r="Q889">
        <v>0</v>
      </c>
      <c r="R889">
        <v>102440000</v>
      </c>
      <c r="S889">
        <v>0</v>
      </c>
      <c r="T889">
        <v>0</v>
      </c>
      <c r="U889">
        <v>95148000</v>
      </c>
      <c r="V889">
        <v>0</v>
      </c>
      <c r="W889">
        <v>0</v>
      </c>
      <c r="X889">
        <v>0</v>
      </c>
    </row>
    <row r="890" spans="1:24">
      <c r="A890">
        <v>2254</v>
      </c>
      <c r="B890" t="s">
        <v>2421</v>
      </c>
      <c r="C890">
        <v>1</v>
      </c>
      <c r="D890" t="s">
        <v>2422</v>
      </c>
      <c r="E890">
        <v>5</v>
      </c>
      <c r="F890">
        <v>5</v>
      </c>
      <c r="G890">
        <v>5</v>
      </c>
      <c r="H890" t="s">
        <v>2421</v>
      </c>
      <c r="I890">
        <v>15</v>
      </c>
      <c r="J890">
        <v>59.844000000000001</v>
      </c>
      <c r="K890" t="str">
        <f>"NRBP1"</f>
        <v>NRBP1</v>
      </c>
      <c r="L890" t="str">
        <f>"NRBP1"</f>
        <v>NRBP1</v>
      </c>
      <c r="M890">
        <v>91827000</v>
      </c>
      <c r="N890">
        <v>63851000</v>
      </c>
      <c r="O890">
        <v>0</v>
      </c>
      <c r="P890">
        <v>0</v>
      </c>
      <c r="Q890">
        <v>0</v>
      </c>
      <c r="R890">
        <v>72932000</v>
      </c>
      <c r="S890">
        <v>0</v>
      </c>
      <c r="T890">
        <v>47650000</v>
      </c>
      <c r="U890">
        <v>0</v>
      </c>
      <c r="V890">
        <v>40652000</v>
      </c>
      <c r="W890">
        <v>0</v>
      </c>
      <c r="X890">
        <v>0</v>
      </c>
    </row>
    <row r="891" spans="1:24">
      <c r="A891">
        <v>2265</v>
      </c>
      <c r="B891" t="s">
        <v>2423</v>
      </c>
      <c r="C891">
        <v>1</v>
      </c>
      <c r="D891" t="s">
        <v>2424</v>
      </c>
      <c r="E891">
        <v>4</v>
      </c>
      <c r="F891">
        <v>4</v>
      </c>
      <c r="G891">
        <v>4</v>
      </c>
      <c r="H891" t="s">
        <v>2423</v>
      </c>
      <c r="I891">
        <v>59.8</v>
      </c>
      <c r="J891">
        <v>12.326000000000001</v>
      </c>
      <c r="K891" t="str">
        <f>"SH3BGRL2"</f>
        <v>SH3BGRL2</v>
      </c>
      <c r="L891" t="str">
        <f>"SH3BGRL2"</f>
        <v>SH3BGRL2</v>
      </c>
      <c r="M891">
        <v>434870000</v>
      </c>
      <c r="N891">
        <v>401620000</v>
      </c>
      <c r="O891">
        <v>431770000</v>
      </c>
      <c r="P891">
        <v>0</v>
      </c>
      <c r="Q891">
        <v>0</v>
      </c>
      <c r="R891">
        <v>246230000</v>
      </c>
      <c r="S891">
        <v>608710000</v>
      </c>
      <c r="T891">
        <v>0</v>
      </c>
      <c r="U891">
        <v>638730000</v>
      </c>
      <c r="V891">
        <v>374040000</v>
      </c>
      <c r="W891">
        <v>432730000</v>
      </c>
      <c r="X891">
        <v>0</v>
      </c>
    </row>
    <row r="892" spans="1:24">
      <c r="A892">
        <v>142</v>
      </c>
      <c r="B892" t="s">
        <v>2425</v>
      </c>
      <c r="C892">
        <v>2</v>
      </c>
      <c r="D892" t="s">
        <v>2426</v>
      </c>
      <c r="E892">
        <v>12</v>
      </c>
      <c r="F892">
        <v>12</v>
      </c>
      <c r="G892">
        <v>12</v>
      </c>
      <c r="H892" t="s">
        <v>2427</v>
      </c>
      <c r="I892">
        <v>25.8</v>
      </c>
      <c r="J892">
        <v>60.976999999999997</v>
      </c>
      <c r="K892" t="str">
        <f>"PSMD3"</f>
        <v>PSMD3</v>
      </c>
      <c r="L892" t="str">
        <f>"PSMD3"</f>
        <v>PSMD3</v>
      </c>
      <c r="M892">
        <v>0</v>
      </c>
      <c r="N892">
        <v>87272000</v>
      </c>
      <c r="O892">
        <v>63025000</v>
      </c>
      <c r="P892">
        <v>0</v>
      </c>
      <c r="Q892">
        <v>0</v>
      </c>
      <c r="R892">
        <v>58402000</v>
      </c>
      <c r="S892">
        <v>0</v>
      </c>
      <c r="T892">
        <v>0</v>
      </c>
      <c r="U892">
        <v>138150000</v>
      </c>
      <c r="V892">
        <v>0</v>
      </c>
      <c r="W892">
        <v>0</v>
      </c>
      <c r="X892">
        <v>69841000</v>
      </c>
    </row>
    <row r="893" spans="1:24">
      <c r="A893">
        <v>348</v>
      </c>
      <c r="B893" t="s">
        <v>2428</v>
      </c>
      <c r="C893">
        <v>1</v>
      </c>
      <c r="D893" t="s">
        <v>2429</v>
      </c>
      <c r="E893">
        <v>2</v>
      </c>
      <c r="F893">
        <v>2</v>
      </c>
      <c r="G893">
        <v>2</v>
      </c>
      <c r="H893" t="s">
        <v>2428</v>
      </c>
      <c r="I893">
        <v>30.4</v>
      </c>
      <c r="J893">
        <v>11.744999999999999</v>
      </c>
      <c r="K893" t="s">
        <v>2430</v>
      </c>
      <c r="L893" t="s">
        <v>2430</v>
      </c>
      <c r="M893">
        <v>0</v>
      </c>
      <c r="N893">
        <v>0</v>
      </c>
      <c r="O893">
        <v>143780000</v>
      </c>
      <c r="P893">
        <v>282590000</v>
      </c>
      <c r="Q893">
        <v>262050000</v>
      </c>
      <c r="R893">
        <v>0</v>
      </c>
      <c r="S893">
        <v>356980000</v>
      </c>
      <c r="T893">
        <v>149130000</v>
      </c>
      <c r="U893">
        <v>105680000</v>
      </c>
      <c r="V893">
        <v>0</v>
      </c>
      <c r="W893">
        <v>280140000</v>
      </c>
      <c r="X893">
        <v>112910000</v>
      </c>
    </row>
    <row r="894" spans="1:24">
      <c r="A894">
        <v>546</v>
      </c>
      <c r="B894" t="s">
        <v>2431</v>
      </c>
      <c r="C894">
        <v>2</v>
      </c>
      <c r="D894" t="s">
        <v>2432</v>
      </c>
      <c r="E894">
        <v>19</v>
      </c>
      <c r="F894">
        <v>19</v>
      </c>
      <c r="G894">
        <v>19</v>
      </c>
      <c r="H894" t="s">
        <v>2433</v>
      </c>
      <c r="I894">
        <v>36</v>
      </c>
      <c r="J894">
        <v>72.423000000000002</v>
      </c>
      <c r="K894" t="str">
        <f>"ANXA6"</f>
        <v>ANXA6</v>
      </c>
      <c r="L894" t="str">
        <f>"ANXA6"</f>
        <v>ANXA6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492330000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</row>
    <row r="895" spans="1:24">
      <c r="A895">
        <v>599</v>
      </c>
      <c r="B895" t="s">
        <v>2434</v>
      </c>
      <c r="C895">
        <v>2</v>
      </c>
      <c r="D895" t="s">
        <v>2435</v>
      </c>
      <c r="E895">
        <v>20</v>
      </c>
      <c r="F895">
        <v>20</v>
      </c>
      <c r="G895">
        <v>20</v>
      </c>
      <c r="H895" t="s">
        <v>2436</v>
      </c>
      <c r="I895">
        <v>23.2</v>
      </c>
      <c r="J895">
        <v>102.26</v>
      </c>
      <c r="K895" t="str">
        <f>"SLFN14"</f>
        <v>SLFN14</v>
      </c>
      <c r="L895" t="str">
        <f>"SLFN14"</f>
        <v>SLFN14</v>
      </c>
      <c r="M895">
        <v>0</v>
      </c>
      <c r="N895">
        <v>75108000</v>
      </c>
      <c r="O895">
        <v>70046000</v>
      </c>
      <c r="P895">
        <v>0</v>
      </c>
      <c r="Q895">
        <v>0</v>
      </c>
      <c r="R895">
        <v>117520000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</row>
    <row r="896" spans="1:24">
      <c r="A896">
        <v>881</v>
      </c>
      <c r="B896" t="s">
        <v>2437</v>
      </c>
      <c r="C896">
        <v>1</v>
      </c>
      <c r="D896" t="s">
        <v>2438</v>
      </c>
      <c r="E896">
        <v>9</v>
      </c>
      <c r="F896">
        <v>9</v>
      </c>
      <c r="G896">
        <v>9</v>
      </c>
      <c r="H896" t="s">
        <v>2437</v>
      </c>
      <c r="I896">
        <v>67.5</v>
      </c>
      <c r="J896">
        <v>22.119</v>
      </c>
      <c r="K896" t="str">
        <f>"BLVRB"</f>
        <v>BLVRB</v>
      </c>
      <c r="L896" t="str">
        <f>"BLVRB"</f>
        <v>BLVRB</v>
      </c>
      <c r="M896">
        <v>0</v>
      </c>
      <c r="N896">
        <v>0</v>
      </c>
      <c r="O896">
        <v>103150000</v>
      </c>
      <c r="P896">
        <v>127070000</v>
      </c>
      <c r="Q896">
        <v>80919000</v>
      </c>
      <c r="R896">
        <v>232240000</v>
      </c>
      <c r="S896">
        <v>0</v>
      </c>
      <c r="T896">
        <v>0</v>
      </c>
      <c r="U896">
        <v>85126000</v>
      </c>
      <c r="V896">
        <v>0</v>
      </c>
      <c r="W896">
        <v>0</v>
      </c>
      <c r="X896">
        <v>0</v>
      </c>
    </row>
    <row r="897" spans="1:24">
      <c r="A897">
        <v>1357</v>
      </c>
      <c r="B897" t="s">
        <v>2439</v>
      </c>
      <c r="C897">
        <v>2</v>
      </c>
      <c r="D897" t="s">
        <v>2440</v>
      </c>
      <c r="E897">
        <v>7</v>
      </c>
      <c r="F897">
        <v>7</v>
      </c>
      <c r="G897">
        <v>7</v>
      </c>
      <c r="H897" t="s">
        <v>2441</v>
      </c>
      <c r="I897">
        <v>21.7</v>
      </c>
      <c r="J897">
        <v>34.061</v>
      </c>
      <c r="K897" t="str">
        <f>"SLC25A11"</f>
        <v>SLC25A11</v>
      </c>
      <c r="L897" t="str">
        <f>"SLC25A11"</f>
        <v>SLC25A11</v>
      </c>
      <c r="M897">
        <v>0</v>
      </c>
      <c r="N897">
        <v>0</v>
      </c>
      <c r="O897">
        <v>28503000</v>
      </c>
      <c r="P897">
        <v>0</v>
      </c>
      <c r="Q897">
        <v>0</v>
      </c>
      <c r="R897">
        <v>71487000</v>
      </c>
      <c r="S897">
        <v>144340000</v>
      </c>
      <c r="T897">
        <v>110230000</v>
      </c>
      <c r="U897">
        <v>0</v>
      </c>
      <c r="V897">
        <v>106480000</v>
      </c>
      <c r="W897">
        <v>0</v>
      </c>
      <c r="X897">
        <v>143580000</v>
      </c>
    </row>
    <row r="898" spans="1:24">
      <c r="A898">
        <v>1533</v>
      </c>
      <c r="B898" t="s">
        <v>2442</v>
      </c>
      <c r="C898">
        <v>2</v>
      </c>
      <c r="D898" t="s">
        <v>2443</v>
      </c>
      <c r="E898">
        <v>5</v>
      </c>
      <c r="F898">
        <v>5</v>
      </c>
      <c r="G898">
        <v>5</v>
      </c>
      <c r="H898" t="s">
        <v>2444</v>
      </c>
      <c r="I898">
        <v>24.1</v>
      </c>
      <c r="J898">
        <v>25.2</v>
      </c>
      <c r="K898" t="str">
        <f>"EIF4H"</f>
        <v>EIF4H</v>
      </c>
      <c r="L898" t="str">
        <f>"EIF4H"</f>
        <v>EIF4H</v>
      </c>
      <c r="M898">
        <v>0</v>
      </c>
      <c r="N898">
        <v>87711000</v>
      </c>
      <c r="O898">
        <v>65837000</v>
      </c>
      <c r="P898">
        <v>78570000</v>
      </c>
      <c r="Q898">
        <v>0</v>
      </c>
      <c r="R898">
        <v>76055000</v>
      </c>
      <c r="S898">
        <v>0</v>
      </c>
      <c r="T898">
        <v>0</v>
      </c>
      <c r="U898">
        <v>0</v>
      </c>
      <c r="V898">
        <v>70489000</v>
      </c>
      <c r="W898">
        <v>0</v>
      </c>
      <c r="X898">
        <v>71847000</v>
      </c>
    </row>
    <row r="899" spans="1:24">
      <c r="A899">
        <v>1570</v>
      </c>
      <c r="B899" t="s">
        <v>2445</v>
      </c>
      <c r="C899">
        <v>1</v>
      </c>
      <c r="D899" t="s">
        <v>2446</v>
      </c>
      <c r="E899">
        <v>5</v>
      </c>
      <c r="F899">
        <v>5</v>
      </c>
      <c r="G899">
        <v>5</v>
      </c>
      <c r="H899" t="s">
        <v>2445</v>
      </c>
      <c r="I899">
        <v>22.3</v>
      </c>
      <c r="J899">
        <v>38.613999999999997</v>
      </c>
      <c r="K899" t="str">
        <f>"CD226"</f>
        <v>CD226</v>
      </c>
      <c r="L899" t="str">
        <f>"CD226"</f>
        <v>CD226</v>
      </c>
      <c r="M899">
        <v>0</v>
      </c>
      <c r="N899">
        <v>58816000</v>
      </c>
      <c r="O899">
        <v>68287000</v>
      </c>
      <c r="P899">
        <v>173650000</v>
      </c>
      <c r="Q899">
        <v>282500000</v>
      </c>
      <c r="R899">
        <v>675910000</v>
      </c>
      <c r="S899">
        <v>272560000</v>
      </c>
      <c r="T899">
        <v>0</v>
      </c>
      <c r="U899">
        <v>501100000</v>
      </c>
      <c r="V899">
        <v>166920000</v>
      </c>
      <c r="W899">
        <v>0</v>
      </c>
      <c r="X899">
        <v>0</v>
      </c>
    </row>
    <row r="900" spans="1:24">
      <c r="A900">
        <v>1647</v>
      </c>
      <c r="B900" t="s">
        <v>2447</v>
      </c>
      <c r="C900">
        <v>6</v>
      </c>
      <c r="D900" t="s">
        <v>2448</v>
      </c>
      <c r="E900">
        <v>19</v>
      </c>
      <c r="F900">
        <v>19</v>
      </c>
      <c r="G900">
        <v>19</v>
      </c>
      <c r="H900" t="s">
        <v>2449</v>
      </c>
      <c r="I900">
        <v>4.2</v>
      </c>
      <c r="J900">
        <v>571.85</v>
      </c>
      <c r="K900" t="str">
        <f>"UBR4"</f>
        <v>UBR4</v>
      </c>
      <c r="L900" t="str">
        <f>"UBR4"</f>
        <v>UBR4</v>
      </c>
      <c r="M900">
        <v>0</v>
      </c>
      <c r="N900">
        <v>63978000</v>
      </c>
      <c r="O900">
        <v>43863000</v>
      </c>
      <c r="P900">
        <v>0</v>
      </c>
      <c r="Q900">
        <v>0</v>
      </c>
      <c r="R900">
        <v>39891000</v>
      </c>
      <c r="S900">
        <v>0</v>
      </c>
      <c r="T900">
        <v>0</v>
      </c>
      <c r="U900">
        <v>32849000</v>
      </c>
      <c r="V900">
        <v>0</v>
      </c>
      <c r="W900">
        <v>0</v>
      </c>
      <c r="X900">
        <v>0</v>
      </c>
    </row>
    <row r="901" spans="1:24">
      <c r="A901">
        <v>2002</v>
      </c>
      <c r="B901" t="s">
        <v>2450</v>
      </c>
      <c r="C901">
        <v>2</v>
      </c>
      <c r="D901" t="s">
        <v>2451</v>
      </c>
      <c r="E901">
        <v>8</v>
      </c>
      <c r="F901">
        <v>8</v>
      </c>
      <c r="G901">
        <v>8</v>
      </c>
      <c r="H901" t="s">
        <v>2452</v>
      </c>
      <c r="I901">
        <v>24.6</v>
      </c>
      <c r="J901">
        <v>43.944000000000003</v>
      </c>
      <c r="K901" t="str">
        <f>"TSG101"</f>
        <v>TSG101</v>
      </c>
      <c r="L901" t="str">
        <f>"TSG101"</f>
        <v>TSG101</v>
      </c>
      <c r="M901">
        <v>0</v>
      </c>
      <c r="N901">
        <v>128630000</v>
      </c>
      <c r="O901">
        <v>94847000</v>
      </c>
      <c r="P901">
        <v>0</v>
      </c>
      <c r="Q901">
        <v>0</v>
      </c>
      <c r="R901">
        <v>101530000</v>
      </c>
      <c r="S901">
        <v>0</v>
      </c>
      <c r="T901">
        <v>0</v>
      </c>
      <c r="U901">
        <v>0</v>
      </c>
      <c r="V901">
        <v>118120000</v>
      </c>
      <c r="W901">
        <v>0</v>
      </c>
      <c r="X901">
        <v>0</v>
      </c>
    </row>
    <row r="902" spans="1:24">
      <c r="A902">
        <v>2007</v>
      </c>
      <c r="B902" t="s">
        <v>2453</v>
      </c>
      <c r="C902">
        <v>1</v>
      </c>
      <c r="D902" t="s">
        <v>2454</v>
      </c>
      <c r="E902">
        <v>4</v>
      </c>
      <c r="F902">
        <v>4</v>
      </c>
      <c r="G902">
        <v>4</v>
      </c>
      <c r="H902" t="s">
        <v>2453</v>
      </c>
      <c r="I902">
        <v>27.6</v>
      </c>
      <c r="J902">
        <v>18.617000000000001</v>
      </c>
      <c r="K902" t="str">
        <f>"RARRES2"</f>
        <v>RARRES2</v>
      </c>
      <c r="L902" t="str">
        <f>"RARRES2"</f>
        <v>RARRES2</v>
      </c>
      <c r="M902">
        <v>0</v>
      </c>
      <c r="N902">
        <v>77417000</v>
      </c>
      <c r="O902">
        <v>69884000</v>
      </c>
      <c r="P902">
        <v>0</v>
      </c>
      <c r="Q902">
        <v>0</v>
      </c>
      <c r="R902">
        <v>89596000</v>
      </c>
      <c r="S902">
        <v>0</v>
      </c>
      <c r="T902">
        <v>0</v>
      </c>
      <c r="U902">
        <v>45017000</v>
      </c>
      <c r="V902">
        <v>0</v>
      </c>
      <c r="W902">
        <v>0</v>
      </c>
      <c r="X902">
        <v>97134000</v>
      </c>
    </row>
    <row r="903" spans="1:24">
      <c r="A903">
        <v>2028</v>
      </c>
      <c r="B903" t="s">
        <v>2455</v>
      </c>
      <c r="C903">
        <v>1</v>
      </c>
      <c r="D903" t="s">
        <v>2456</v>
      </c>
      <c r="E903">
        <v>7</v>
      </c>
      <c r="F903">
        <v>7</v>
      </c>
      <c r="G903">
        <v>7</v>
      </c>
      <c r="H903" t="s">
        <v>2455</v>
      </c>
      <c r="I903">
        <v>28.8</v>
      </c>
      <c r="J903">
        <v>44.875</v>
      </c>
      <c r="K903" t="str">
        <f>"TMEM43"</f>
        <v>TMEM43</v>
      </c>
      <c r="L903" t="str">
        <f>"TMEM43"</f>
        <v>TMEM43</v>
      </c>
      <c r="M903">
        <v>0</v>
      </c>
      <c r="N903">
        <v>114550000</v>
      </c>
      <c r="O903">
        <v>114370000</v>
      </c>
      <c r="P903">
        <v>52462000</v>
      </c>
      <c r="Q903">
        <v>0</v>
      </c>
      <c r="R903">
        <v>0</v>
      </c>
      <c r="S903">
        <v>0</v>
      </c>
      <c r="T903">
        <v>106390000</v>
      </c>
      <c r="U903">
        <v>144680000</v>
      </c>
      <c r="V903">
        <v>59010000</v>
      </c>
      <c r="W903">
        <v>0</v>
      </c>
      <c r="X903">
        <v>113190000</v>
      </c>
    </row>
    <row r="904" spans="1:24">
      <c r="A904">
        <v>2136</v>
      </c>
      <c r="B904" t="s">
        <v>2457</v>
      </c>
      <c r="C904">
        <v>3</v>
      </c>
      <c r="D904" t="s">
        <v>2458</v>
      </c>
      <c r="E904">
        <v>8</v>
      </c>
      <c r="F904">
        <v>8</v>
      </c>
      <c r="G904">
        <v>8</v>
      </c>
      <c r="H904" t="s">
        <v>2459</v>
      </c>
      <c r="I904">
        <v>42.7</v>
      </c>
      <c r="J904">
        <v>22.977</v>
      </c>
      <c r="K904" t="str">
        <f>"RAB18"</f>
        <v>RAB18</v>
      </c>
      <c r="L904" t="str">
        <f>"RAB18"</f>
        <v>RAB18</v>
      </c>
      <c r="M904">
        <v>0</v>
      </c>
      <c r="N904">
        <v>51193000</v>
      </c>
      <c r="O904">
        <v>73934000</v>
      </c>
      <c r="P904">
        <v>0</v>
      </c>
      <c r="Q904">
        <v>0</v>
      </c>
      <c r="R904">
        <v>75002000</v>
      </c>
      <c r="S904">
        <v>89990000</v>
      </c>
      <c r="T904">
        <v>0</v>
      </c>
      <c r="U904">
        <v>76223000</v>
      </c>
      <c r="V904">
        <v>0</v>
      </c>
      <c r="W904">
        <v>122090000</v>
      </c>
      <c r="X904">
        <v>104790000</v>
      </c>
    </row>
    <row r="905" spans="1:24">
      <c r="A905">
        <v>2380</v>
      </c>
      <c r="B905" t="s">
        <v>2460</v>
      </c>
      <c r="C905">
        <v>1</v>
      </c>
      <c r="D905" t="s">
        <v>2461</v>
      </c>
      <c r="E905">
        <v>5</v>
      </c>
      <c r="F905">
        <v>5</v>
      </c>
      <c r="G905">
        <v>5</v>
      </c>
      <c r="H905" t="s">
        <v>2460</v>
      </c>
      <c r="I905">
        <v>20.100000000000001</v>
      </c>
      <c r="J905">
        <v>33.331000000000003</v>
      </c>
      <c r="K905" t="str">
        <f>"MTCH2"</f>
        <v>MTCH2</v>
      </c>
      <c r="L905" t="str">
        <f>"MTCH2"</f>
        <v>MTCH2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126240000</v>
      </c>
      <c r="V905">
        <v>0</v>
      </c>
      <c r="W905">
        <v>178390000</v>
      </c>
      <c r="X905">
        <v>103370000</v>
      </c>
    </row>
    <row r="906" spans="1:24">
      <c r="A906">
        <v>450</v>
      </c>
      <c r="B906" t="s">
        <v>2462</v>
      </c>
      <c r="C906">
        <v>1</v>
      </c>
      <c r="D906" t="s">
        <v>2463</v>
      </c>
      <c r="E906">
        <v>4</v>
      </c>
      <c r="F906">
        <v>4</v>
      </c>
      <c r="G906">
        <v>2</v>
      </c>
      <c r="H906" t="s">
        <v>2462</v>
      </c>
      <c r="I906">
        <v>26.6</v>
      </c>
      <c r="J906">
        <v>11.725</v>
      </c>
      <c r="K906" t="s">
        <v>2464</v>
      </c>
      <c r="L906" t="s">
        <v>2464</v>
      </c>
      <c r="M906">
        <v>0</v>
      </c>
      <c r="N906">
        <v>0</v>
      </c>
      <c r="O906">
        <v>0</v>
      </c>
      <c r="P906">
        <v>533480000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</row>
    <row r="907" spans="1:24">
      <c r="A907">
        <v>561</v>
      </c>
      <c r="B907" t="s">
        <v>2465</v>
      </c>
      <c r="C907">
        <v>1</v>
      </c>
      <c r="D907" t="s">
        <v>2466</v>
      </c>
      <c r="E907">
        <v>4</v>
      </c>
      <c r="F907">
        <v>4</v>
      </c>
      <c r="G907">
        <v>4</v>
      </c>
      <c r="H907" t="s">
        <v>2465</v>
      </c>
      <c r="I907">
        <v>11.1</v>
      </c>
      <c r="J907">
        <v>35.421999999999997</v>
      </c>
      <c r="K907" t="str">
        <f>"CYC1"</f>
        <v>CYC1</v>
      </c>
      <c r="L907" t="str">
        <f>"CYC1"</f>
        <v>CYC1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167500000</v>
      </c>
      <c r="S907">
        <v>251300000</v>
      </c>
      <c r="T907">
        <v>0</v>
      </c>
      <c r="U907">
        <v>167580000</v>
      </c>
      <c r="V907">
        <v>185760000</v>
      </c>
      <c r="W907">
        <v>0</v>
      </c>
      <c r="X907">
        <v>202200000</v>
      </c>
    </row>
    <row r="908" spans="1:24">
      <c r="A908">
        <v>761</v>
      </c>
      <c r="B908" t="s">
        <v>2467</v>
      </c>
      <c r="C908">
        <v>4</v>
      </c>
      <c r="D908" t="s">
        <v>2468</v>
      </c>
      <c r="E908">
        <v>12</v>
      </c>
      <c r="F908">
        <v>5</v>
      </c>
      <c r="G908">
        <v>5</v>
      </c>
      <c r="H908" t="s">
        <v>2469</v>
      </c>
      <c r="I908">
        <v>52.9</v>
      </c>
      <c r="J908">
        <v>23.547999999999998</v>
      </c>
      <c r="K908" t="str">
        <f>"RAB6A"</f>
        <v>RAB6A</v>
      </c>
      <c r="L908" t="str">
        <f>"RAB6A"</f>
        <v>RAB6A</v>
      </c>
      <c r="M908">
        <v>60279000</v>
      </c>
      <c r="N908">
        <v>0</v>
      </c>
      <c r="O908">
        <v>91481000</v>
      </c>
      <c r="P908">
        <v>0</v>
      </c>
      <c r="Q908">
        <v>0</v>
      </c>
      <c r="R908">
        <v>133380000</v>
      </c>
      <c r="S908">
        <v>0</v>
      </c>
      <c r="T908">
        <v>0</v>
      </c>
      <c r="U908">
        <v>111020000</v>
      </c>
      <c r="V908">
        <v>110030000</v>
      </c>
      <c r="W908">
        <v>0</v>
      </c>
      <c r="X908">
        <v>0</v>
      </c>
    </row>
    <row r="909" spans="1:24">
      <c r="A909">
        <v>1137</v>
      </c>
      <c r="B909" t="s">
        <v>2470</v>
      </c>
      <c r="C909">
        <v>1</v>
      </c>
      <c r="D909" t="s">
        <v>2471</v>
      </c>
      <c r="E909">
        <v>6</v>
      </c>
      <c r="F909">
        <v>6</v>
      </c>
      <c r="G909">
        <v>6</v>
      </c>
      <c r="H909" t="s">
        <v>2470</v>
      </c>
      <c r="I909">
        <v>27.8</v>
      </c>
      <c r="J909">
        <v>37.024999999999999</v>
      </c>
      <c r="K909" t="str">
        <f>"PSMD7"</f>
        <v>PSMD7</v>
      </c>
      <c r="L909" t="str">
        <f>"PSMD7"</f>
        <v>PSMD7</v>
      </c>
      <c r="M909">
        <v>120920000</v>
      </c>
      <c r="N909">
        <v>46071000</v>
      </c>
      <c r="O909">
        <v>40468000</v>
      </c>
      <c r="P909">
        <v>0</v>
      </c>
      <c r="Q909">
        <v>0</v>
      </c>
      <c r="R909">
        <v>103910000</v>
      </c>
      <c r="S909">
        <v>0</v>
      </c>
      <c r="T909">
        <v>116910000</v>
      </c>
      <c r="U909">
        <v>170970000</v>
      </c>
      <c r="V909">
        <v>109940000</v>
      </c>
      <c r="W909">
        <v>0</v>
      </c>
      <c r="X909">
        <v>84385000</v>
      </c>
    </row>
    <row r="910" spans="1:24">
      <c r="A910">
        <v>2175</v>
      </c>
      <c r="B910" t="s">
        <v>2472</v>
      </c>
      <c r="C910">
        <v>2</v>
      </c>
      <c r="D910" t="s">
        <v>2473</v>
      </c>
      <c r="E910">
        <v>7</v>
      </c>
      <c r="F910">
        <v>7</v>
      </c>
      <c r="G910">
        <v>7</v>
      </c>
      <c r="H910" t="s">
        <v>2474</v>
      </c>
      <c r="I910">
        <v>34.6</v>
      </c>
      <c r="J910">
        <v>36.747999999999998</v>
      </c>
      <c r="K910" t="str">
        <f>"FAM49B"</f>
        <v>FAM49B</v>
      </c>
      <c r="L910" t="str">
        <f>"FAM49B"</f>
        <v>FAM49B</v>
      </c>
      <c r="M910">
        <v>0</v>
      </c>
      <c r="N910">
        <v>135420000</v>
      </c>
      <c r="O910">
        <v>115360000</v>
      </c>
      <c r="P910">
        <v>100330000</v>
      </c>
      <c r="Q910">
        <v>0</v>
      </c>
      <c r="R910">
        <v>103640000</v>
      </c>
      <c r="S910">
        <v>0</v>
      </c>
      <c r="T910">
        <v>0</v>
      </c>
      <c r="U910">
        <v>90175000</v>
      </c>
      <c r="V910">
        <v>121370000</v>
      </c>
      <c r="W910">
        <v>0</v>
      </c>
      <c r="X910">
        <v>109030000</v>
      </c>
    </row>
    <row r="911" spans="1:24">
      <c r="A911">
        <v>2332</v>
      </c>
      <c r="B911" t="s">
        <v>2475</v>
      </c>
      <c r="C911">
        <v>14</v>
      </c>
      <c r="D911" t="s">
        <v>2476</v>
      </c>
      <c r="E911">
        <v>10</v>
      </c>
      <c r="F911">
        <v>10</v>
      </c>
      <c r="G911">
        <v>10</v>
      </c>
      <c r="H911" t="s">
        <v>2477</v>
      </c>
      <c r="I911">
        <v>16.7</v>
      </c>
      <c r="J911">
        <v>84.34</v>
      </c>
      <c r="K911" t="str">
        <f>"GIT1;GIT2"</f>
        <v>GIT1;GIT2</v>
      </c>
      <c r="L911" t="str">
        <f>"GIT1;GIT2"</f>
        <v>GIT1;GIT2</v>
      </c>
      <c r="M911">
        <v>0</v>
      </c>
      <c r="N911">
        <v>89187000</v>
      </c>
      <c r="O911">
        <v>70161000</v>
      </c>
      <c r="P911">
        <v>0</v>
      </c>
      <c r="Q911">
        <v>0</v>
      </c>
      <c r="R911">
        <v>72181000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107510000</v>
      </c>
    </row>
    <row r="912" spans="1:24">
      <c r="A912">
        <v>2369</v>
      </c>
      <c r="B912" t="s">
        <v>2478</v>
      </c>
      <c r="C912">
        <v>1</v>
      </c>
      <c r="D912" t="s">
        <v>2479</v>
      </c>
      <c r="E912">
        <v>11</v>
      </c>
      <c r="F912">
        <v>11</v>
      </c>
      <c r="G912">
        <v>11</v>
      </c>
      <c r="H912" t="s">
        <v>2478</v>
      </c>
      <c r="I912">
        <v>20.7</v>
      </c>
      <c r="J912">
        <v>66.590999999999994</v>
      </c>
      <c r="K912" t="str">
        <f>"SNX9"</f>
        <v>SNX9</v>
      </c>
      <c r="L912" t="str">
        <f>"SNX9"</f>
        <v>SNX9</v>
      </c>
      <c r="M912">
        <v>0</v>
      </c>
      <c r="N912">
        <v>145850000</v>
      </c>
      <c r="O912">
        <v>0</v>
      </c>
      <c r="P912">
        <v>0</v>
      </c>
      <c r="Q912">
        <v>0</v>
      </c>
      <c r="R912">
        <v>139330000</v>
      </c>
      <c r="S912">
        <v>165970000</v>
      </c>
      <c r="T912">
        <v>118010000</v>
      </c>
      <c r="U912">
        <v>0</v>
      </c>
      <c r="V912">
        <v>0</v>
      </c>
      <c r="W912">
        <v>0</v>
      </c>
      <c r="X912">
        <v>0</v>
      </c>
    </row>
    <row r="913" spans="1:24">
      <c r="A913">
        <v>58</v>
      </c>
      <c r="B913" t="s">
        <v>2480</v>
      </c>
      <c r="C913">
        <v>5</v>
      </c>
      <c r="D913" t="s">
        <v>2481</v>
      </c>
      <c r="E913">
        <v>10</v>
      </c>
      <c r="F913">
        <v>10</v>
      </c>
      <c r="G913">
        <v>10</v>
      </c>
      <c r="H913" t="s">
        <v>2482</v>
      </c>
      <c r="I913">
        <v>9.4</v>
      </c>
      <c r="J913">
        <v>116.19</v>
      </c>
      <c r="K913" t="str">
        <f>"AP3B1;AP3B2"</f>
        <v>AP3B1;AP3B2</v>
      </c>
      <c r="L913" t="str">
        <f>"AP3B1;AP3B2"</f>
        <v>AP3B1;AP3B2</v>
      </c>
      <c r="M913">
        <v>0</v>
      </c>
      <c r="N913">
        <v>56582000</v>
      </c>
      <c r="O913">
        <v>66444000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76228000</v>
      </c>
      <c r="V913">
        <v>0</v>
      </c>
      <c r="W913">
        <v>0</v>
      </c>
      <c r="X913">
        <v>61581000</v>
      </c>
    </row>
    <row r="914" spans="1:24">
      <c r="A914">
        <v>85</v>
      </c>
      <c r="B914" t="s">
        <v>2483</v>
      </c>
      <c r="C914">
        <v>1</v>
      </c>
      <c r="D914" t="s">
        <v>2484</v>
      </c>
      <c r="E914">
        <v>6</v>
      </c>
      <c r="F914">
        <v>6</v>
      </c>
      <c r="G914">
        <v>6</v>
      </c>
      <c r="H914" t="s">
        <v>2483</v>
      </c>
      <c r="I914">
        <v>21.5</v>
      </c>
      <c r="J914">
        <v>29.04</v>
      </c>
      <c r="K914" t="str">
        <f>"CCS"</f>
        <v>CCS</v>
      </c>
      <c r="L914" t="str">
        <f>"CCS"</f>
        <v>CCS</v>
      </c>
      <c r="M914">
        <v>0</v>
      </c>
      <c r="N914">
        <v>0</v>
      </c>
      <c r="O914">
        <v>197390000</v>
      </c>
      <c r="P914">
        <v>185860000</v>
      </c>
      <c r="Q914">
        <v>0</v>
      </c>
      <c r="R914">
        <v>190810000</v>
      </c>
      <c r="S914">
        <v>0</v>
      </c>
      <c r="T914">
        <v>0</v>
      </c>
      <c r="U914">
        <v>0</v>
      </c>
      <c r="V914">
        <v>0</v>
      </c>
      <c r="W914">
        <v>68640000</v>
      </c>
      <c r="X914">
        <v>68364000</v>
      </c>
    </row>
    <row r="915" spans="1:24">
      <c r="A915">
        <v>310</v>
      </c>
      <c r="B915" t="s">
        <v>2485</v>
      </c>
      <c r="C915">
        <v>2</v>
      </c>
      <c r="D915" t="s">
        <v>2486</v>
      </c>
      <c r="E915">
        <v>8</v>
      </c>
      <c r="F915">
        <v>8</v>
      </c>
      <c r="G915">
        <v>8</v>
      </c>
      <c r="H915" t="s">
        <v>2487</v>
      </c>
      <c r="I915">
        <v>26</v>
      </c>
      <c r="J915">
        <v>47.616999999999997</v>
      </c>
      <c r="K915" t="str">
        <f>"F9"</f>
        <v>F9</v>
      </c>
      <c r="L915" t="str">
        <f>"F9"</f>
        <v>F9</v>
      </c>
      <c r="M915">
        <v>129190000</v>
      </c>
      <c r="N915">
        <v>69449000</v>
      </c>
      <c r="O915">
        <v>0</v>
      </c>
      <c r="P915">
        <v>0</v>
      </c>
      <c r="Q915">
        <v>123880000</v>
      </c>
      <c r="R915">
        <v>49160000</v>
      </c>
      <c r="S915">
        <v>150750000</v>
      </c>
      <c r="T915">
        <v>185960000</v>
      </c>
      <c r="U915">
        <v>0</v>
      </c>
      <c r="V915">
        <v>80365000</v>
      </c>
      <c r="W915">
        <v>0</v>
      </c>
      <c r="X915">
        <v>0</v>
      </c>
    </row>
    <row r="916" spans="1:24">
      <c r="A916">
        <v>620</v>
      </c>
      <c r="B916" t="s">
        <v>2488</v>
      </c>
      <c r="C916">
        <v>1</v>
      </c>
      <c r="D916" t="s">
        <v>2489</v>
      </c>
      <c r="E916">
        <v>10</v>
      </c>
      <c r="F916">
        <v>5</v>
      </c>
      <c r="G916">
        <v>5</v>
      </c>
      <c r="H916" t="s">
        <v>2488</v>
      </c>
      <c r="I916">
        <v>60.6</v>
      </c>
      <c r="J916">
        <v>11.553000000000001</v>
      </c>
      <c r="K916" t="str">
        <f>"PF4V1"</f>
        <v>PF4V1</v>
      </c>
      <c r="L916" t="str">
        <f>"PF4V1"</f>
        <v>PF4V1</v>
      </c>
      <c r="M916">
        <v>0</v>
      </c>
      <c r="N916">
        <v>81262000</v>
      </c>
      <c r="O916">
        <v>100920000</v>
      </c>
      <c r="P916">
        <v>0</v>
      </c>
      <c r="Q916">
        <v>0</v>
      </c>
      <c r="R916">
        <v>85296000</v>
      </c>
      <c r="S916">
        <v>0</v>
      </c>
      <c r="T916">
        <v>166300000</v>
      </c>
      <c r="U916">
        <v>77857000</v>
      </c>
      <c r="V916">
        <v>65225000</v>
      </c>
      <c r="W916">
        <v>0</v>
      </c>
      <c r="X916">
        <v>0</v>
      </c>
    </row>
    <row r="917" spans="1:24">
      <c r="A917">
        <v>630</v>
      </c>
      <c r="B917" t="s">
        <v>2490</v>
      </c>
      <c r="C917">
        <v>3</v>
      </c>
      <c r="D917" t="s">
        <v>2491</v>
      </c>
      <c r="E917">
        <v>8</v>
      </c>
      <c r="F917">
        <v>8</v>
      </c>
      <c r="G917">
        <v>8</v>
      </c>
      <c r="H917" t="s">
        <v>2492</v>
      </c>
      <c r="I917">
        <v>33.1</v>
      </c>
      <c r="J917">
        <v>37.200000000000003</v>
      </c>
      <c r="K917" t="str">
        <f>"PDHB"</f>
        <v>PDHB</v>
      </c>
      <c r="L917" t="str">
        <f>"PDHB"</f>
        <v>PDHB</v>
      </c>
      <c r="M917">
        <v>0</v>
      </c>
      <c r="N917">
        <v>123820000</v>
      </c>
      <c r="O917">
        <v>0</v>
      </c>
      <c r="P917">
        <v>0</v>
      </c>
      <c r="Q917">
        <v>0</v>
      </c>
      <c r="R917">
        <v>223200000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197760000</v>
      </c>
    </row>
    <row r="918" spans="1:24">
      <c r="A918">
        <v>867</v>
      </c>
      <c r="B918" t="s">
        <v>2493</v>
      </c>
      <c r="C918">
        <v>8</v>
      </c>
      <c r="D918" t="s">
        <v>2494</v>
      </c>
      <c r="E918">
        <v>14</v>
      </c>
      <c r="F918">
        <v>14</v>
      </c>
      <c r="G918">
        <v>14</v>
      </c>
      <c r="H918" t="s">
        <v>2495</v>
      </c>
      <c r="I918">
        <v>20.100000000000001</v>
      </c>
      <c r="J918">
        <v>105.12</v>
      </c>
      <c r="K918" t="str">
        <f>"PCSK6"</f>
        <v>PCSK6</v>
      </c>
      <c r="L918" t="str">
        <f>"PCSK6"</f>
        <v>PCSK6</v>
      </c>
      <c r="M918">
        <v>0</v>
      </c>
      <c r="N918">
        <v>0</v>
      </c>
      <c r="O918">
        <v>75237000</v>
      </c>
      <c r="P918">
        <v>0</v>
      </c>
      <c r="Q918">
        <v>0</v>
      </c>
      <c r="R918">
        <v>53268000</v>
      </c>
      <c r="S918">
        <v>54690000</v>
      </c>
      <c r="T918">
        <v>0</v>
      </c>
      <c r="U918">
        <v>0</v>
      </c>
      <c r="V918">
        <v>0</v>
      </c>
      <c r="W918">
        <v>0</v>
      </c>
      <c r="X918">
        <v>70516000</v>
      </c>
    </row>
    <row r="919" spans="1:24">
      <c r="A919">
        <v>1205</v>
      </c>
      <c r="B919" t="s">
        <v>2496</v>
      </c>
      <c r="C919">
        <v>1</v>
      </c>
      <c r="D919" t="s">
        <v>2497</v>
      </c>
      <c r="E919">
        <v>8</v>
      </c>
      <c r="F919">
        <v>8</v>
      </c>
      <c r="G919">
        <v>8</v>
      </c>
      <c r="H919" t="s">
        <v>2496</v>
      </c>
      <c r="I919">
        <v>34.299999999999997</v>
      </c>
      <c r="J919">
        <v>42.12</v>
      </c>
      <c r="K919" t="str">
        <f>"CTSW"</f>
        <v>CTSW</v>
      </c>
      <c r="L919" t="str">
        <f>"CTSW"</f>
        <v>CTSW</v>
      </c>
      <c r="M919">
        <v>0</v>
      </c>
      <c r="N919">
        <v>0</v>
      </c>
      <c r="O919">
        <v>66095000</v>
      </c>
      <c r="P919">
        <v>105910000</v>
      </c>
      <c r="Q919">
        <v>0</v>
      </c>
      <c r="R919">
        <v>134400000</v>
      </c>
      <c r="S919">
        <v>0</v>
      </c>
      <c r="T919">
        <v>127950000</v>
      </c>
      <c r="U919">
        <v>0</v>
      </c>
      <c r="V919">
        <v>132680000</v>
      </c>
      <c r="W919">
        <v>0</v>
      </c>
      <c r="X919">
        <v>85101000</v>
      </c>
    </row>
    <row r="920" spans="1:24">
      <c r="A920">
        <v>1673</v>
      </c>
      <c r="B920" t="s">
        <v>2498</v>
      </c>
      <c r="C920">
        <v>6</v>
      </c>
      <c r="D920" t="s">
        <v>2499</v>
      </c>
      <c r="E920">
        <v>7</v>
      </c>
      <c r="F920">
        <v>7</v>
      </c>
      <c r="G920">
        <v>7</v>
      </c>
      <c r="H920" t="s">
        <v>2500</v>
      </c>
      <c r="I920">
        <v>32.6</v>
      </c>
      <c r="J920">
        <v>30.344999999999999</v>
      </c>
      <c r="K920" t="str">
        <f>"TANGO2"</f>
        <v>TANGO2</v>
      </c>
      <c r="L920" t="str">
        <f>"TANGO2"</f>
        <v>TANGO2</v>
      </c>
      <c r="M920">
        <v>0</v>
      </c>
      <c r="N920">
        <v>0</v>
      </c>
      <c r="O920">
        <v>109720000</v>
      </c>
      <c r="P920">
        <v>0</v>
      </c>
      <c r="Q920">
        <v>0</v>
      </c>
      <c r="R920">
        <v>107160000</v>
      </c>
      <c r="S920">
        <v>0</v>
      </c>
      <c r="T920">
        <v>0</v>
      </c>
      <c r="U920">
        <v>107370000</v>
      </c>
      <c r="V920">
        <v>70011000</v>
      </c>
      <c r="W920">
        <v>88092000</v>
      </c>
      <c r="X920">
        <v>81678000</v>
      </c>
    </row>
    <row r="921" spans="1:24">
      <c r="A921">
        <v>1974</v>
      </c>
      <c r="B921" t="s">
        <v>2501</v>
      </c>
      <c r="C921">
        <v>7</v>
      </c>
      <c r="D921" t="s">
        <v>2502</v>
      </c>
      <c r="E921">
        <v>13</v>
      </c>
      <c r="F921">
        <v>13</v>
      </c>
      <c r="G921">
        <v>12</v>
      </c>
      <c r="H921" t="s">
        <v>2503</v>
      </c>
      <c r="I921">
        <v>28.4</v>
      </c>
      <c r="J921">
        <v>79.816999999999993</v>
      </c>
      <c r="K921" t="str">
        <f>"RUFY1;RUFY3"</f>
        <v>RUFY1;RUFY3</v>
      </c>
      <c r="L921" t="str">
        <f>"RUFY1;RUFY3"</f>
        <v>RUFY1;RUFY3</v>
      </c>
      <c r="M921">
        <v>0</v>
      </c>
      <c r="N921">
        <v>76442000</v>
      </c>
      <c r="O921">
        <v>0</v>
      </c>
      <c r="P921">
        <v>0</v>
      </c>
      <c r="Q921">
        <v>0</v>
      </c>
      <c r="R921">
        <v>61274000</v>
      </c>
      <c r="S921">
        <v>0</v>
      </c>
      <c r="T921">
        <v>0</v>
      </c>
      <c r="U921">
        <v>0</v>
      </c>
      <c r="V921">
        <v>81057000</v>
      </c>
      <c r="W921">
        <v>0</v>
      </c>
      <c r="X921">
        <v>57623000</v>
      </c>
    </row>
    <row r="922" spans="1:24">
      <c r="A922">
        <v>2036</v>
      </c>
      <c r="B922" t="s">
        <v>2504</v>
      </c>
      <c r="C922">
        <v>1</v>
      </c>
      <c r="D922" t="s">
        <v>2505</v>
      </c>
      <c r="E922">
        <v>5</v>
      </c>
      <c r="F922">
        <v>5</v>
      </c>
      <c r="G922">
        <v>5</v>
      </c>
      <c r="H922" t="s">
        <v>2504</v>
      </c>
      <c r="I922">
        <v>20.399999999999999</v>
      </c>
      <c r="J922">
        <v>27.277000000000001</v>
      </c>
      <c r="K922" t="str">
        <f>"TMED9"</f>
        <v>TMED9</v>
      </c>
      <c r="L922" t="str">
        <f>"TMED9"</f>
        <v>TMED9</v>
      </c>
      <c r="M922">
        <v>0</v>
      </c>
      <c r="N922">
        <v>0</v>
      </c>
      <c r="O922">
        <v>71599000</v>
      </c>
      <c r="P922">
        <v>0</v>
      </c>
      <c r="Q922">
        <v>0</v>
      </c>
      <c r="R922">
        <v>71993000</v>
      </c>
      <c r="S922">
        <v>54503000</v>
      </c>
      <c r="T922">
        <v>0</v>
      </c>
      <c r="U922">
        <v>0</v>
      </c>
      <c r="V922">
        <v>48813000</v>
      </c>
      <c r="W922">
        <v>90681000</v>
      </c>
      <c r="X922">
        <v>83699000</v>
      </c>
    </row>
    <row r="923" spans="1:24">
      <c r="A923">
        <v>2317</v>
      </c>
      <c r="B923" t="s">
        <v>2506</v>
      </c>
      <c r="C923">
        <v>2</v>
      </c>
      <c r="D923" t="s">
        <v>2507</v>
      </c>
      <c r="E923">
        <v>5</v>
      </c>
      <c r="F923">
        <v>5</v>
      </c>
      <c r="G923">
        <v>5</v>
      </c>
      <c r="H923" t="s">
        <v>2508</v>
      </c>
      <c r="I923">
        <v>14.2</v>
      </c>
      <c r="J923">
        <v>38.213000000000001</v>
      </c>
      <c r="K923" t="str">
        <f>"ST3GAL6"</f>
        <v>ST3GAL6</v>
      </c>
      <c r="L923" t="str">
        <f>"ST3GAL6"</f>
        <v>ST3GAL6</v>
      </c>
      <c r="M923">
        <v>228790000</v>
      </c>
      <c r="N923">
        <v>0</v>
      </c>
      <c r="O923">
        <v>0</v>
      </c>
      <c r="P923">
        <v>115450000</v>
      </c>
      <c r="Q923">
        <v>0</v>
      </c>
      <c r="R923">
        <v>223630000</v>
      </c>
      <c r="S923">
        <v>191160000</v>
      </c>
      <c r="T923">
        <v>307070000</v>
      </c>
      <c r="U923">
        <v>256650000</v>
      </c>
      <c r="V923">
        <v>0</v>
      </c>
      <c r="W923">
        <v>0</v>
      </c>
      <c r="X923">
        <v>115510000</v>
      </c>
    </row>
    <row r="924" spans="1:24">
      <c r="A924">
        <v>278</v>
      </c>
      <c r="B924" t="s">
        <v>2509</v>
      </c>
      <c r="C924">
        <v>1</v>
      </c>
      <c r="D924" t="s">
        <v>2510</v>
      </c>
      <c r="E924">
        <v>7</v>
      </c>
      <c r="F924">
        <v>7</v>
      </c>
      <c r="G924">
        <v>3</v>
      </c>
      <c r="H924" t="s">
        <v>2509</v>
      </c>
      <c r="I924">
        <v>13.1</v>
      </c>
      <c r="J924">
        <v>58.021999999999998</v>
      </c>
      <c r="K924" t="str">
        <f>"OXSR1"</f>
        <v>OXSR1</v>
      </c>
      <c r="L924" t="str">
        <f>"OXSR1"</f>
        <v>OXSR1</v>
      </c>
      <c r="M924">
        <v>0</v>
      </c>
      <c r="N924">
        <v>0</v>
      </c>
      <c r="O924">
        <v>50243000</v>
      </c>
      <c r="P924">
        <v>0</v>
      </c>
      <c r="Q924">
        <v>0</v>
      </c>
      <c r="R924">
        <v>51345000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</row>
    <row r="925" spans="1:24">
      <c r="A925">
        <v>938</v>
      </c>
      <c r="B925" t="s">
        <v>2511</v>
      </c>
      <c r="C925">
        <v>6</v>
      </c>
      <c r="D925" t="s">
        <v>2512</v>
      </c>
      <c r="E925">
        <v>10</v>
      </c>
      <c r="F925">
        <v>10</v>
      </c>
      <c r="G925">
        <v>10</v>
      </c>
      <c r="H925" t="s">
        <v>2513</v>
      </c>
      <c r="I925">
        <v>19.8</v>
      </c>
      <c r="J925">
        <v>57.488</v>
      </c>
      <c r="K925" t="str">
        <f>"GK;GK3P;GK2"</f>
        <v>GK;GK3P;GK2</v>
      </c>
      <c r="L925" t="str">
        <f>"GK;GK3P;GK2"</f>
        <v>GK;GK3P;GK2</v>
      </c>
      <c r="M925">
        <v>0</v>
      </c>
      <c r="N925">
        <v>77150000</v>
      </c>
      <c r="O925">
        <v>95576000</v>
      </c>
      <c r="P925">
        <v>121010000</v>
      </c>
      <c r="Q925">
        <v>0</v>
      </c>
      <c r="R925">
        <v>0</v>
      </c>
      <c r="S925">
        <v>0</v>
      </c>
      <c r="T925">
        <v>89326000</v>
      </c>
      <c r="U925">
        <v>0</v>
      </c>
      <c r="V925">
        <v>86299000</v>
      </c>
      <c r="W925">
        <v>165150000</v>
      </c>
      <c r="X925">
        <v>99834000</v>
      </c>
    </row>
    <row r="926" spans="1:24">
      <c r="A926">
        <v>1134</v>
      </c>
      <c r="B926" t="s">
        <v>2514</v>
      </c>
      <c r="C926">
        <v>1</v>
      </c>
      <c r="D926" t="s">
        <v>2515</v>
      </c>
      <c r="E926">
        <v>4</v>
      </c>
      <c r="F926">
        <v>4</v>
      </c>
      <c r="G926">
        <v>4</v>
      </c>
      <c r="H926" t="s">
        <v>2514</v>
      </c>
      <c r="I926">
        <v>12</v>
      </c>
      <c r="J926">
        <v>44.98</v>
      </c>
      <c r="K926" t="str">
        <f>"P2RX1"</f>
        <v>P2RX1</v>
      </c>
      <c r="L926" t="str">
        <f>"P2RX1"</f>
        <v>P2RX1</v>
      </c>
      <c r="M926">
        <v>0</v>
      </c>
      <c r="N926">
        <v>84381000</v>
      </c>
      <c r="O926">
        <v>91885000</v>
      </c>
      <c r="P926">
        <v>0</v>
      </c>
      <c r="Q926">
        <v>0</v>
      </c>
      <c r="R926">
        <v>0</v>
      </c>
      <c r="S926">
        <v>0</v>
      </c>
      <c r="T926">
        <v>81050000</v>
      </c>
      <c r="U926">
        <v>153050000</v>
      </c>
      <c r="V926">
        <v>0</v>
      </c>
      <c r="W926">
        <v>0</v>
      </c>
      <c r="X926">
        <v>0</v>
      </c>
    </row>
    <row r="927" spans="1:24">
      <c r="A927">
        <v>1520</v>
      </c>
      <c r="B927" t="s">
        <v>2516</v>
      </c>
      <c r="C927">
        <v>1</v>
      </c>
      <c r="D927" t="s">
        <v>2517</v>
      </c>
      <c r="E927">
        <v>2</v>
      </c>
      <c r="F927">
        <v>1</v>
      </c>
      <c r="G927">
        <v>1</v>
      </c>
      <c r="H927" t="s">
        <v>2516</v>
      </c>
      <c r="I927">
        <v>6</v>
      </c>
      <c r="J927">
        <v>25.006</v>
      </c>
      <c r="K927" t="str">
        <f>"RAB39A"</f>
        <v>RAB39A</v>
      </c>
      <c r="L927" t="str">
        <f>"RAB39A"</f>
        <v>RAB39A</v>
      </c>
      <c r="M927">
        <v>267460000</v>
      </c>
      <c r="N927">
        <v>693900000</v>
      </c>
      <c r="O927">
        <v>619380000</v>
      </c>
      <c r="P927">
        <v>471620000</v>
      </c>
      <c r="Q927">
        <v>0</v>
      </c>
      <c r="R927">
        <v>385990000</v>
      </c>
      <c r="S927">
        <v>473170000</v>
      </c>
      <c r="T927">
        <v>394260000</v>
      </c>
      <c r="U927">
        <v>0</v>
      </c>
      <c r="V927">
        <v>554620000</v>
      </c>
      <c r="W927">
        <v>0</v>
      </c>
      <c r="X927">
        <v>700880000</v>
      </c>
    </row>
    <row r="928" spans="1:24">
      <c r="A928">
        <v>1545</v>
      </c>
      <c r="B928" t="s">
        <v>2518</v>
      </c>
      <c r="C928">
        <v>1</v>
      </c>
      <c r="D928" t="s">
        <v>2519</v>
      </c>
      <c r="E928">
        <v>9</v>
      </c>
      <c r="F928">
        <v>9</v>
      </c>
      <c r="G928">
        <v>9</v>
      </c>
      <c r="H928" t="s">
        <v>2518</v>
      </c>
      <c r="I928">
        <v>27.7</v>
      </c>
      <c r="J928">
        <v>54.19</v>
      </c>
      <c r="K928" t="str">
        <f>"STK38"</f>
        <v>STK38</v>
      </c>
      <c r="L928" t="str">
        <f>"STK38"</f>
        <v>STK38</v>
      </c>
      <c r="M928">
        <v>0</v>
      </c>
      <c r="N928">
        <v>0</v>
      </c>
      <c r="O928">
        <v>99428000</v>
      </c>
      <c r="P928">
        <v>58347000</v>
      </c>
      <c r="Q928">
        <v>0</v>
      </c>
      <c r="R928">
        <v>0</v>
      </c>
      <c r="S928">
        <v>130510000</v>
      </c>
      <c r="T928">
        <v>0</v>
      </c>
      <c r="U928">
        <v>87146000</v>
      </c>
      <c r="V928">
        <v>78271000</v>
      </c>
      <c r="W928">
        <v>0</v>
      </c>
      <c r="X928">
        <v>43246000</v>
      </c>
    </row>
    <row r="929" spans="1:24">
      <c r="A929">
        <v>1782</v>
      </c>
      <c r="B929" t="s">
        <v>2520</v>
      </c>
      <c r="C929">
        <v>1</v>
      </c>
      <c r="D929" t="s">
        <v>2521</v>
      </c>
      <c r="E929">
        <v>5</v>
      </c>
      <c r="F929">
        <v>5</v>
      </c>
      <c r="G929">
        <v>5</v>
      </c>
      <c r="H929" t="s">
        <v>2520</v>
      </c>
      <c r="I929">
        <v>27.9</v>
      </c>
      <c r="J929">
        <v>29.443000000000001</v>
      </c>
      <c r="K929" t="str">
        <f>"CA13"</f>
        <v>CA13</v>
      </c>
      <c r="L929" t="str">
        <f>"CA13"</f>
        <v>CA13</v>
      </c>
      <c r="M929">
        <v>0</v>
      </c>
      <c r="N929">
        <v>70445000</v>
      </c>
      <c r="O929">
        <v>90765000</v>
      </c>
      <c r="P929">
        <v>141760000</v>
      </c>
      <c r="Q929">
        <v>0</v>
      </c>
      <c r="R929">
        <v>0</v>
      </c>
      <c r="S929">
        <v>48811000</v>
      </c>
      <c r="T929">
        <v>0</v>
      </c>
      <c r="U929">
        <v>104620000</v>
      </c>
      <c r="V929">
        <v>0</v>
      </c>
      <c r="W929">
        <v>99326000</v>
      </c>
      <c r="X929">
        <v>93601000</v>
      </c>
    </row>
    <row r="930" spans="1:24">
      <c r="A930">
        <v>1853</v>
      </c>
      <c r="B930" t="s">
        <v>2522</v>
      </c>
      <c r="C930">
        <v>1</v>
      </c>
      <c r="D930" t="s">
        <v>2523</v>
      </c>
      <c r="E930">
        <v>2</v>
      </c>
      <c r="F930">
        <v>2</v>
      </c>
      <c r="G930">
        <v>2</v>
      </c>
      <c r="H930" t="s">
        <v>2522</v>
      </c>
      <c r="I930">
        <v>0.7</v>
      </c>
      <c r="J930">
        <v>2284.3000000000002</v>
      </c>
      <c r="K930" t="str">
        <f>"MUC16"</f>
        <v>MUC16</v>
      </c>
      <c r="L930" t="str">
        <f>"MUC16"</f>
        <v>MUC16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</row>
    <row r="931" spans="1:24">
      <c r="A931">
        <v>1903</v>
      </c>
      <c r="B931" t="s">
        <v>2524</v>
      </c>
      <c r="C931">
        <v>1</v>
      </c>
      <c r="D931" t="s">
        <v>2525</v>
      </c>
      <c r="E931">
        <v>4</v>
      </c>
      <c r="F931">
        <v>4</v>
      </c>
      <c r="G931">
        <v>4</v>
      </c>
      <c r="H931" t="s">
        <v>2524</v>
      </c>
      <c r="I931">
        <v>25.3</v>
      </c>
      <c r="J931">
        <v>17.341999999999999</v>
      </c>
      <c r="K931" t="str">
        <f>"FAM162A"</f>
        <v>FAM162A</v>
      </c>
      <c r="L931" t="str">
        <f>"FAM162A"</f>
        <v>FAM162A</v>
      </c>
      <c r="M931">
        <v>0</v>
      </c>
      <c r="N931">
        <v>83412000</v>
      </c>
      <c r="O931">
        <v>89455000</v>
      </c>
      <c r="P931">
        <v>71998000</v>
      </c>
      <c r="Q931">
        <v>0</v>
      </c>
      <c r="R931">
        <v>120190000</v>
      </c>
      <c r="S931">
        <v>141430000</v>
      </c>
      <c r="T931">
        <v>0</v>
      </c>
      <c r="U931">
        <v>71852000</v>
      </c>
      <c r="V931">
        <v>0</v>
      </c>
      <c r="W931">
        <v>0</v>
      </c>
      <c r="X931">
        <v>46500000</v>
      </c>
    </row>
    <row r="932" spans="1:24">
      <c r="A932">
        <v>2281</v>
      </c>
      <c r="B932" t="s">
        <v>2526</v>
      </c>
      <c r="C932">
        <v>1</v>
      </c>
      <c r="D932" t="s">
        <v>2527</v>
      </c>
      <c r="E932">
        <v>12</v>
      </c>
      <c r="F932">
        <v>12</v>
      </c>
      <c r="G932">
        <v>12</v>
      </c>
      <c r="H932" t="s">
        <v>2526</v>
      </c>
      <c r="I932">
        <v>49.4</v>
      </c>
      <c r="J932">
        <v>27.401</v>
      </c>
      <c r="K932" t="str">
        <f>"PSME2"</f>
        <v>PSME2</v>
      </c>
      <c r="L932" t="str">
        <f>"PSME2"</f>
        <v>PSME2</v>
      </c>
      <c r="M932">
        <v>0</v>
      </c>
      <c r="N932">
        <v>71890000</v>
      </c>
      <c r="O932">
        <v>0</v>
      </c>
      <c r="P932">
        <v>72277000</v>
      </c>
      <c r="Q932">
        <v>0</v>
      </c>
      <c r="R932">
        <v>122840000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</row>
    <row r="933" spans="1:24">
      <c r="A933">
        <v>2284</v>
      </c>
      <c r="B933" t="s">
        <v>2528</v>
      </c>
      <c r="C933">
        <v>3</v>
      </c>
      <c r="D933" t="s">
        <v>2529</v>
      </c>
      <c r="E933">
        <v>11</v>
      </c>
      <c r="F933">
        <v>11</v>
      </c>
      <c r="G933">
        <v>11</v>
      </c>
      <c r="H933" t="s">
        <v>2530</v>
      </c>
      <c r="I933">
        <v>22</v>
      </c>
      <c r="J933">
        <v>73.277000000000001</v>
      </c>
      <c r="K933" t="str">
        <f>"ACSL5"</f>
        <v>ACSL5</v>
      </c>
      <c r="L933" t="str">
        <f>"ACSL5"</f>
        <v>ACSL5</v>
      </c>
      <c r="M933">
        <v>0</v>
      </c>
      <c r="N933">
        <v>0</v>
      </c>
      <c r="O933">
        <v>0</v>
      </c>
      <c r="P933">
        <v>68273000</v>
      </c>
      <c r="Q933">
        <v>0</v>
      </c>
      <c r="R933">
        <v>89997000</v>
      </c>
      <c r="S933">
        <v>0</v>
      </c>
      <c r="T933">
        <v>0</v>
      </c>
      <c r="U933">
        <v>89819000</v>
      </c>
      <c r="V933">
        <v>0</v>
      </c>
      <c r="W933">
        <v>0</v>
      </c>
      <c r="X933">
        <v>0</v>
      </c>
    </row>
    <row r="934" spans="1:24">
      <c r="A934">
        <v>2299</v>
      </c>
      <c r="B934" t="s">
        <v>2531</v>
      </c>
      <c r="C934">
        <v>4</v>
      </c>
      <c r="D934" t="s">
        <v>2532</v>
      </c>
      <c r="E934">
        <v>12</v>
      </c>
      <c r="F934">
        <v>12</v>
      </c>
      <c r="G934">
        <v>12</v>
      </c>
      <c r="H934" t="s">
        <v>2533</v>
      </c>
      <c r="I934">
        <v>42.2</v>
      </c>
      <c r="J934">
        <v>40.572000000000003</v>
      </c>
      <c r="K934" t="str">
        <f>"NSFL1C"</f>
        <v>NSFL1C</v>
      </c>
      <c r="L934" t="str">
        <f>"NSFL1C"</f>
        <v>NSFL1C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64292000</v>
      </c>
      <c r="S934">
        <v>0</v>
      </c>
      <c r="T934">
        <v>0</v>
      </c>
      <c r="U934">
        <v>81009000</v>
      </c>
      <c r="V934">
        <v>0</v>
      </c>
      <c r="W934">
        <v>0</v>
      </c>
      <c r="X934">
        <v>82952000</v>
      </c>
    </row>
    <row r="935" spans="1:24">
      <c r="A935">
        <v>2381</v>
      </c>
      <c r="B935" t="s">
        <v>2534</v>
      </c>
      <c r="C935">
        <v>2</v>
      </c>
      <c r="D935" t="s">
        <v>2535</v>
      </c>
      <c r="E935">
        <v>13</v>
      </c>
      <c r="F935">
        <v>13</v>
      </c>
      <c r="G935">
        <v>13</v>
      </c>
      <c r="H935" t="s">
        <v>2536</v>
      </c>
      <c r="I935">
        <v>10.199999999999999</v>
      </c>
      <c r="J935">
        <v>208.76</v>
      </c>
      <c r="K935" t="str">
        <f>"ARFGEF1;ARFGEF2"</f>
        <v>ARFGEF1;ARFGEF2</v>
      </c>
      <c r="L935" t="str">
        <f>"ARFGEF1;ARFGEF2"</f>
        <v>ARFGEF1;ARFGEF2</v>
      </c>
      <c r="M935">
        <v>0</v>
      </c>
      <c r="N935">
        <v>52718000</v>
      </c>
      <c r="O935">
        <v>42160000</v>
      </c>
      <c r="P935">
        <v>0</v>
      </c>
      <c r="Q935">
        <v>0</v>
      </c>
      <c r="R935">
        <v>29947000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62120000</v>
      </c>
    </row>
    <row r="936" spans="1:24">
      <c r="A936">
        <v>7</v>
      </c>
      <c r="B936" t="s">
        <v>2537</v>
      </c>
      <c r="C936">
        <v>2</v>
      </c>
      <c r="D936" t="s">
        <v>2538</v>
      </c>
      <c r="E936">
        <v>10</v>
      </c>
      <c r="F936">
        <v>10</v>
      </c>
      <c r="G936">
        <v>10</v>
      </c>
      <c r="H936" t="s">
        <v>2539</v>
      </c>
      <c r="I936">
        <v>10.6</v>
      </c>
      <c r="J936">
        <v>135.88999999999999</v>
      </c>
      <c r="K936" t="str">
        <f>"DENND3"</f>
        <v>DENND3</v>
      </c>
      <c r="L936" t="str">
        <f>"DENND3"</f>
        <v>DENND3</v>
      </c>
      <c r="M936">
        <v>0</v>
      </c>
      <c r="N936">
        <v>70194000</v>
      </c>
      <c r="O936">
        <v>68481000</v>
      </c>
      <c r="P936">
        <v>52795000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</row>
    <row r="937" spans="1:24">
      <c r="A937">
        <v>55</v>
      </c>
      <c r="B937" t="s">
        <v>2540</v>
      </c>
      <c r="C937">
        <v>1</v>
      </c>
      <c r="D937" t="s">
        <v>2541</v>
      </c>
      <c r="E937">
        <v>11</v>
      </c>
      <c r="F937">
        <v>11</v>
      </c>
      <c r="G937">
        <v>11</v>
      </c>
      <c r="H937" t="s">
        <v>2540</v>
      </c>
      <c r="I937">
        <v>21.5</v>
      </c>
      <c r="J937">
        <v>67.763999999999996</v>
      </c>
      <c r="K937" t="str">
        <f>"STXBP3"</f>
        <v>STXBP3</v>
      </c>
      <c r="L937" t="str">
        <f>"STXBP3"</f>
        <v>STXBP3</v>
      </c>
      <c r="M937">
        <v>0</v>
      </c>
      <c r="N937">
        <v>66291000</v>
      </c>
      <c r="O937">
        <v>57106000</v>
      </c>
      <c r="P937">
        <v>0</v>
      </c>
      <c r="Q937">
        <v>0</v>
      </c>
      <c r="R937">
        <v>80457000</v>
      </c>
      <c r="S937">
        <v>0</v>
      </c>
      <c r="T937">
        <v>0</v>
      </c>
      <c r="U937">
        <v>91975000</v>
      </c>
      <c r="V937">
        <v>60408000</v>
      </c>
      <c r="W937">
        <v>72042000</v>
      </c>
      <c r="X937">
        <v>75175000</v>
      </c>
    </row>
    <row r="938" spans="1:24">
      <c r="A938">
        <v>441</v>
      </c>
      <c r="B938" t="s">
        <v>2542</v>
      </c>
      <c r="C938">
        <v>1</v>
      </c>
      <c r="D938" t="s">
        <v>2543</v>
      </c>
      <c r="E938">
        <v>11</v>
      </c>
      <c r="F938">
        <v>11</v>
      </c>
      <c r="G938">
        <v>11</v>
      </c>
      <c r="H938" t="s">
        <v>2542</v>
      </c>
      <c r="I938">
        <v>38.700000000000003</v>
      </c>
      <c r="J938">
        <v>38.713999999999999</v>
      </c>
      <c r="K938" t="str">
        <f>"ANXA1"</f>
        <v>ANXA1</v>
      </c>
      <c r="L938" t="str">
        <f>"ANXA1"</f>
        <v>ANXA1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355400000</v>
      </c>
      <c r="S938">
        <v>136190000</v>
      </c>
      <c r="T938">
        <v>0</v>
      </c>
      <c r="U938">
        <v>217170000</v>
      </c>
      <c r="V938">
        <v>0</v>
      </c>
      <c r="W938">
        <v>0</v>
      </c>
      <c r="X938">
        <v>0</v>
      </c>
    </row>
    <row r="939" spans="1:24">
      <c r="A939">
        <v>560</v>
      </c>
      <c r="B939" t="s">
        <v>2544</v>
      </c>
      <c r="C939">
        <v>1</v>
      </c>
      <c r="D939" t="s">
        <v>2545</v>
      </c>
      <c r="E939">
        <v>7</v>
      </c>
      <c r="F939">
        <v>7</v>
      </c>
      <c r="G939">
        <v>7</v>
      </c>
      <c r="H939" t="s">
        <v>2544</v>
      </c>
      <c r="I939">
        <v>31.5</v>
      </c>
      <c r="J939">
        <v>40.076000000000001</v>
      </c>
      <c r="K939" t="str">
        <f>"CD14"</f>
        <v>CD14</v>
      </c>
      <c r="L939" t="str">
        <f>"CD14"</f>
        <v>CD14</v>
      </c>
      <c r="M939">
        <v>203440000</v>
      </c>
      <c r="N939">
        <v>0</v>
      </c>
      <c r="O939">
        <v>78918000</v>
      </c>
      <c r="P939">
        <v>0</v>
      </c>
      <c r="Q939">
        <v>83447000</v>
      </c>
      <c r="R939">
        <v>83752000</v>
      </c>
      <c r="S939">
        <v>0</v>
      </c>
      <c r="T939">
        <v>150850000</v>
      </c>
      <c r="U939">
        <v>0</v>
      </c>
      <c r="V939">
        <v>93460000</v>
      </c>
      <c r="W939">
        <v>0</v>
      </c>
      <c r="X939">
        <v>0</v>
      </c>
    </row>
    <row r="940" spans="1:24">
      <c r="A940">
        <v>682</v>
      </c>
      <c r="B940" t="s">
        <v>2546</v>
      </c>
      <c r="C940">
        <v>2</v>
      </c>
      <c r="D940" t="s">
        <v>2547</v>
      </c>
      <c r="E940">
        <v>11</v>
      </c>
      <c r="F940">
        <v>11</v>
      </c>
      <c r="G940">
        <v>11</v>
      </c>
      <c r="H940" t="s">
        <v>2548</v>
      </c>
      <c r="I940">
        <v>30.2</v>
      </c>
      <c r="J940">
        <v>54.012999999999998</v>
      </c>
      <c r="K940" t="str">
        <f>"HCLS1"</f>
        <v>HCLS1</v>
      </c>
      <c r="L940" t="str">
        <f>"HCLS1"</f>
        <v>HCLS1</v>
      </c>
      <c r="M940">
        <v>0</v>
      </c>
      <c r="N940">
        <v>95935000</v>
      </c>
      <c r="O940">
        <v>0</v>
      </c>
      <c r="P940">
        <v>131260000</v>
      </c>
      <c r="Q940">
        <v>35510000</v>
      </c>
      <c r="R940">
        <v>87955000</v>
      </c>
      <c r="S940">
        <v>0</v>
      </c>
      <c r="T940">
        <v>0</v>
      </c>
      <c r="U940">
        <v>100520000</v>
      </c>
      <c r="V940">
        <v>72534000</v>
      </c>
      <c r="W940">
        <v>0</v>
      </c>
      <c r="X940">
        <v>0</v>
      </c>
    </row>
    <row r="941" spans="1:24">
      <c r="A941">
        <v>891</v>
      </c>
      <c r="B941" t="s">
        <v>2549</v>
      </c>
      <c r="C941">
        <v>1</v>
      </c>
      <c r="D941" t="s">
        <v>2550</v>
      </c>
      <c r="E941">
        <v>4</v>
      </c>
      <c r="F941">
        <v>4</v>
      </c>
      <c r="G941">
        <v>4</v>
      </c>
      <c r="H941" t="s">
        <v>2549</v>
      </c>
      <c r="I941">
        <v>39.5</v>
      </c>
      <c r="J941">
        <v>9.6674000000000007</v>
      </c>
      <c r="K941" t="str">
        <f>"FCER1G"</f>
        <v>FCER1G</v>
      </c>
      <c r="L941" t="str">
        <f>"FCER1G"</f>
        <v>FCER1G</v>
      </c>
      <c r="M941">
        <v>0</v>
      </c>
      <c r="N941">
        <v>60582000</v>
      </c>
      <c r="O941">
        <v>71954000</v>
      </c>
      <c r="P941">
        <v>0</v>
      </c>
      <c r="Q941">
        <v>0</v>
      </c>
      <c r="R941">
        <v>122450000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</row>
    <row r="942" spans="1:24">
      <c r="A942">
        <v>972</v>
      </c>
      <c r="B942" t="s">
        <v>2551</v>
      </c>
      <c r="C942">
        <v>3</v>
      </c>
      <c r="D942" t="s">
        <v>2552</v>
      </c>
      <c r="E942">
        <v>7</v>
      </c>
      <c r="F942">
        <v>7</v>
      </c>
      <c r="G942">
        <v>7</v>
      </c>
      <c r="H942" t="s">
        <v>2553</v>
      </c>
      <c r="I942">
        <v>25.5</v>
      </c>
      <c r="J942">
        <v>34.36</v>
      </c>
      <c r="K942" t="str">
        <f>"HMGCL"</f>
        <v>HMGCL</v>
      </c>
      <c r="L942" t="str">
        <f>"HMGCL"</f>
        <v>HMGCL</v>
      </c>
      <c r="M942">
        <v>0</v>
      </c>
      <c r="N942">
        <v>101780000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</row>
    <row r="943" spans="1:24">
      <c r="A943">
        <v>1017</v>
      </c>
      <c r="B943" t="s">
        <v>2554</v>
      </c>
      <c r="C943">
        <v>2</v>
      </c>
      <c r="D943" t="s">
        <v>2555</v>
      </c>
      <c r="E943">
        <v>14</v>
      </c>
      <c r="F943">
        <v>14</v>
      </c>
      <c r="G943">
        <v>14</v>
      </c>
      <c r="H943" t="s">
        <v>2556</v>
      </c>
      <c r="I943">
        <v>23.3</v>
      </c>
      <c r="J943">
        <v>87.334000000000003</v>
      </c>
      <c r="K943" t="str">
        <f>"STAT1"</f>
        <v>STAT1</v>
      </c>
      <c r="L943" t="str">
        <f>"STAT1"</f>
        <v>STAT1</v>
      </c>
      <c r="M943">
        <v>0</v>
      </c>
      <c r="N943">
        <v>0</v>
      </c>
      <c r="O943">
        <v>239040000</v>
      </c>
      <c r="P943">
        <v>0</v>
      </c>
      <c r="Q943">
        <v>0</v>
      </c>
      <c r="R943">
        <v>0</v>
      </c>
      <c r="S943">
        <v>141430000</v>
      </c>
      <c r="T943">
        <v>0</v>
      </c>
      <c r="U943">
        <v>234850000</v>
      </c>
      <c r="V943">
        <v>0</v>
      </c>
      <c r="W943">
        <v>0</v>
      </c>
      <c r="X943">
        <v>0</v>
      </c>
    </row>
    <row r="944" spans="1:24">
      <c r="A944">
        <v>1055</v>
      </c>
      <c r="B944" t="s">
        <v>2557</v>
      </c>
      <c r="C944">
        <v>2</v>
      </c>
      <c r="D944" t="s">
        <v>2558</v>
      </c>
      <c r="E944">
        <v>9</v>
      </c>
      <c r="F944">
        <v>9</v>
      </c>
      <c r="G944">
        <v>9</v>
      </c>
      <c r="H944" t="s">
        <v>2559</v>
      </c>
      <c r="I944">
        <v>11.5</v>
      </c>
      <c r="J944">
        <v>80.528999999999996</v>
      </c>
      <c r="K944" t="str">
        <f>"STT3A"</f>
        <v>STT3A</v>
      </c>
      <c r="L944" t="str">
        <f>"STT3A"</f>
        <v>STT3A</v>
      </c>
      <c r="M944">
        <v>0</v>
      </c>
      <c r="N944">
        <v>101940000</v>
      </c>
      <c r="O944">
        <v>62061000</v>
      </c>
      <c r="P944">
        <v>127930000</v>
      </c>
      <c r="Q944">
        <v>0</v>
      </c>
      <c r="R944">
        <v>86615000</v>
      </c>
      <c r="S944">
        <v>96183000</v>
      </c>
      <c r="T944">
        <v>0</v>
      </c>
      <c r="U944">
        <v>0</v>
      </c>
      <c r="V944">
        <v>0</v>
      </c>
      <c r="W944">
        <v>0</v>
      </c>
      <c r="X944">
        <v>0</v>
      </c>
    </row>
    <row r="945" spans="1:24">
      <c r="A945">
        <v>1700</v>
      </c>
      <c r="B945" t="s">
        <v>2560</v>
      </c>
      <c r="C945">
        <v>7</v>
      </c>
      <c r="D945" t="s">
        <v>2561</v>
      </c>
      <c r="E945">
        <v>3</v>
      </c>
      <c r="F945">
        <v>3</v>
      </c>
      <c r="G945">
        <v>3</v>
      </c>
      <c r="H945" t="s">
        <v>2562</v>
      </c>
      <c r="I945">
        <v>21.5</v>
      </c>
      <c r="J945">
        <v>22.495999999999999</v>
      </c>
      <c r="K945" t="str">
        <f>"RBPMS2;RBPMS"</f>
        <v>RBPMS2;RBPMS</v>
      </c>
      <c r="L945" t="str">
        <f>"RBPMS2;RBPMS"</f>
        <v>RBPMS2;RBPMS</v>
      </c>
      <c r="M945">
        <v>0</v>
      </c>
      <c r="N945">
        <v>0</v>
      </c>
      <c r="O945">
        <v>59348000</v>
      </c>
      <c r="P945">
        <v>23196000</v>
      </c>
      <c r="Q945">
        <v>0</v>
      </c>
      <c r="R945">
        <v>65308000</v>
      </c>
      <c r="S945">
        <v>58838000</v>
      </c>
      <c r="T945">
        <v>0</v>
      </c>
      <c r="U945">
        <v>72354000</v>
      </c>
      <c r="V945">
        <v>28595000</v>
      </c>
      <c r="W945">
        <v>0</v>
      </c>
      <c r="X945">
        <v>68883000</v>
      </c>
    </row>
    <row r="946" spans="1:24">
      <c r="A946">
        <v>1834</v>
      </c>
      <c r="B946" t="s">
        <v>2563</v>
      </c>
      <c r="C946">
        <v>4</v>
      </c>
      <c r="D946" t="s">
        <v>2564</v>
      </c>
      <c r="E946">
        <v>12</v>
      </c>
      <c r="F946">
        <v>12</v>
      </c>
      <c r="G946">
        <v>12</v>
      </c>
      <c r="H946" t="s">
        <v>2565</v>
      </c>
      <c r="I946">
        <v>14.6</v>
      </c>
      <c r="J946">
        <v>117.87</v>
      </c>
      <c r="K946" t="str">
        <f>"MICAL1"</f>
        <v>MICAL1</v>
      </c>
      <c r="L946" t="str">
        <f>"MICAL1"</f>
        <v>MICAL1</v>
      </c>
      <c r="M946">
        <v>0</v>
      </c>
      <c r="N946">
        <v>47561000</v>
      </c>
      <c r="O946">
        <v>82301000</v>
      </c>
      <c r="P946">
        <v>0</v>
      </c>
      <c r="Q946">
        <v>0</v>
      </c>
      <c r="R946">
        <v>58072000</v>
      </c>
      <c r="S946">
        <v>0</v>
      </c>
      <c r="T946">
        <v>70323000</v>
      </c>
      <c r="U946">
        <v>0</v>
      </c>
      <c r="V946">
        <v>0</v>
      </c>
      <c r="W946">
        <v>0</v>
      </c>
      <c r="X946">
        <v>0</v>
      </c>
    </row>
    <row r="947" spans="1:24">
      <c r="A947">
        <v>1933</v>
      </c>
      <c r="B947" t="s">
        <v>2566</v>
      </c>
      <c r="C947">
        <v>1</v>
      </c>
      <c r="D947" t="s">
        <v>2567</v>
      </c>
      <c r="E947">
        <v>3</v>
      </c>
      <c r="F947">
        <v>3</v>
      </c>
      <c r="G947">
        <v>3</v>
      </c>
      <c r="H947" t="s">
        <v>2566</v>
      </c>
      <c r="I947">
        <v>7.1</v>
      </c>
      <c r="J947">
        <v>44.875999999999998</v>
      </c>
      <c r="K947" t="str">
        <f>"CERS2"</f>
        <v>CERS2</v>
      </c>
      <c r="L947" t="str">
        <f>"CERS2"</f>
        <v>CERS2</v>
      </c>
      <c r="M947">
        <v>186330000</v>
      </c>
      <c r="N947">
        <v>319720000</v>
      </c>
      <c r="O947">
        <v>269150000</v>
      </c>
      <c r="P947">
        <v>0</v>
      </c>
      <c r="Q947">
        <v>171740000</v>
      </c>
      <c r="R947">
        <v>296390000</v>
      </c>
      <c r="S947">
        <v>284130000</v>
      </c>
      <c r="T947">
        <v>212360000</v>
      </c>
      <c r="U947">
        <v>332250000</v>
      </c>
      <c r="V947">
        <v>262770000</v>
      </c>
      <c r="W947">
        <v>0</v>
      </c>
      <c r="X947">
        <v>284990000</v>
      </c>
    </row>
    <row r="948" spans="1:24">
      <c r="A948">
        <v>2089</v>
      </c>
      <c r="B948" t="s">
        <v>2568</v>
      </c>
      <c r="C948">
        <v>1</v>
      </c>
      <c r="D948" t="s">
        <v>2569</v>
      </c>
      <c r="E948">
        <v>15</v>
      </c>
      <c r="F948">
        <v>12</v>
      </c>
      <c r="G948">
        <v>12</v>
      </c>
      <c r="H948" t="s">
        <v>2568</v>
      </c>
      <c r="I948">
        <v>19.7</v>
      </c>
      <c r="J948">
        <v>105.4</v>
      </c>
      <c r="K948" t="str">
        <f>"TAOK3"</f>
        <v>TAOK3</v>
      </c>
      <c r="L948" t="str">
        <f>"TAOK3"</f>
        <v>TAOK3</v>
      </c>
      <c r="M948">
        <v>0</v>
      </c>
      <c r="N948">
        <v>88961000</v>
      </c>
      <c r="O948">
        <v>74917000</v>
      </c>
      <c r="P948">
        <v>66404000</v>
      </c>
      <c r="Q948">
        <v>0</v>
      </c>
      <c r="R948">
        <v>88109000</v>
      </c>
      <c r="S948">
        <v>71590000</v>
      </c>
      <c r="T948">
        <v>0</v>
      </c>
      <c r="U948">
        <v>0</v>
      </c>
      <c r="V948">
        <v>0</v>
      </c>
      <c r="W948">
        <v>66237000</v>
      </c>
      <c r="X948">
        <v>0</v>
      </c>
    </row>
    <row r="949" spans="1:24">
      <c r="A949">
        <v>51</v>
      </c>
      <c r="B949" t="s">
        <v>2570</v>
      </c>
      <c r="C949">
        <v>3</v>
      </c>
      <c r="D949" t="s">
        <v>2571</v>
      </c>
      <c r="E949">
        <v>12</v>
      </c>
      <c r="F949">
        <v>12</v>
      </c>
      <c r="G949">
        <v>12</v>
      </c>
      <c r="H949" t="s">
        <v>2572</v>
      </c>
      <c r="I949">
        <v>13.5</v>
      </c>
      <c r="J949">
        <v>117.91</v>
      </c>
      <c r="K949" t="str">
        <f>"MYO1C"</f>
        <v>MYO1C</v>
      </c>
      <c r="L949" t="str">
        <f>"MYO1C"</f>
        <v>MYO1C</v>
      </c>
      <c r="M949">
        <v>0</v>
      </c>
      <c r="N949">
        <v>68122000</v>
      </c>
      <c r="O949">
        <v>40234000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105250000</v>
      </c>
      <c r="W949">
        <v>0</v>
      </c>
      <c r="X949">
        <v>0</v>
      </c>
    </row>
    <row r="950" spans="1:24">
      <c r="A950">
        <v>913</v>
      </c>
      <c r="B950" t="s">
        <v>2573</v>
      </c>
      <c r="C950">
        <v>2</v>
      </c>
      <c r="D950" t="s">
        <v>2574</v>
      </c>
      <c r="E950">
        <v>6</v>
      </c>
      <c r="F950">
        <v>6</v>
      </c>
      <c r="G950">
        <v>6</v>
      </c>
      <c r="H950" t="s">
        <v>2575</v>
      </c>
      <c r="I950">
        <v>21.9</v>
      </c>
      <c r="J950">
        <v>48.328000000000003</v>
      </c>
      <c r="K950" t="str">
        <f>"ADSL"</f>
        <v>ADSL</v>
      </c>
      <c r="L950" t="str">
        <f>"ADSL"</f>
        <v>ADSL</v>
      </c>
      <c r="M950">
        <v>105040000</v>
      </c>
      <c r="N950">
        <v>109140000</v>
      </c>
      <c r="O950">
        <v>127280000</v>
      </c>
      <c r="P950">
        <v>0</v>
      </c>
      <c r="Q950">
        <v>0</v>
      </c>
      <c r="R950">
        <v>0</v>
      </c>
      <c r="S950">
        <v>0</v>
      </c>
      <c r="T950">
        <v>84485000</v>
      </c>
      <c r="U950">
        <v>0</v>
      </c>
      <c r="V950">
        <v>96815000</v>
      </c>
      <c r="W950">
        <v>0</v>
      </c>
      <c r="X950">
        <v>0</v>
      </c>
    </row>
    <row r="951" spans="1:24">
      <c r="A951">
        <v>1096</v>
      </c>
      <c r="B951" t="s">
        <v>2576</v>
      </c>
      <c r="C951">
        <v>1</v>
      </c>
      <c r="D951" t="s">
        <v>2577</v>
      </c>
      <c r="E951">
        <v>5</v>
      </c>
      <c r="F951">
        <v>5</v>
      </c>
      <c r="G951">
        <v>5</v>
      </c>
      <c r="H951" t="s">
        <v>2576</v>
      </c>
      <c r="I951">
        <v>30.8</v>
      </c>
      <c r="J951">
        <v>22.835999999999999</v>
      </c>
      <c r="K951" t="str">
        <f>"PSMB2"</f>
        <v>PSMB2</v>
      </c>
      <c r="L951" t="str">
        <f>"PSMB2"</f>
        <v>PSMB2</v>
      </c>
      <c r="M951">
        <v>0</v>
      </c>
      <c r="N951">
        <v>112270000</v>
      </c>
      <c r="O951">
        <v>116980000</v>
      </c>
      <c r="P951">
        <v>0</v>
      </c>
      <c r="Q951">
        <v>0</v>
      </c>
      <c r="R951">
        <v>94093000</v>
      </c>
      <c r="S951">
        <v>0</v>
      </c>
      <c r="T951">
        <v>0</v>
      </c>
      <c r="U951">
        <v>145790000</v>
      </c>
      <c r="V951">
        <v>0</v>
      </c>
      <c r="W951">
        <v>0</v>
      </c>
      <c r="X951">
        <v>93930000</v>
      </c>
    </row>
    <row r="952" spans="1:24">
      <c r="A952">
        <v>1174</v>
      </c>
      <c r="B952" t="s">
        <v>2578</v>
      </c>
      <c r="C952">
        <v>2</v>
      </c>
      <c r="D952" t="s">
        <v>2579</v>
      </c>
      <c r="E952">
        <v>10</v>
      </c>
      <c r="F952">
        <v>10</v>
      </c>
      <c r="G952">
        <v>10</v>
      </c>
      <c r="H952" t="s">
        <v>2580</v>
      </c>
      <c r="I952">
        <v>19.899999999999999</v>
      </c>
      <c r="J952">
        <v>67.14</v>
      </c>
      <c r="K952" t="str">
        <f>"RARS"</f>
        <v>RARS</v>
      </c>
      <c r="L952" t="str">
        <f>"RARS"</f>
        <v>RARS</v>
      </c>
      <c r="M952">
        <v>0</v>
      </c>
      <c r="N952">
        <v>48945000</v>
      </c>
      <c r="O952">
        <v>72903000</v>
      </c>
      <c r="P952">
        <v>59093000</v>
      </c>
      <c r="Q952">
        <v>0</v>
      </c>
      <c r="R952">
        <v>69414000</v>
      </c>
      <c r="S952">
        <v>122930000</v>
      </c>
      <c r="T952">
        <v>0</v>
      </c>
      <c r="U952">
        <v>0</v>
      </c>
      <c r="V952">
        <v>0</v>
      </c>
      <c r="W952">
        <v>69930000</v>
      </c>
      <c r="X952">
        <v>59929000</v>
      </c>
    </row>
    <row r="953" spans="1:24">
      <c r="A953">
        <v>1502</v>
      </c>
      <c r="B953" t="s">
        <v>2581</v>
      </c>
      <c r="C953">
        <v>3</v>
      </c>
      <c r="D953" t="s">
        <v>2582</v>
      </c>
      <c r="E953">
        <v>10</v>
      </c>
      <c r="F953">
        <v>10</v>
      </c>
      <c r="G953">
        <v>10</v>
      </c>
      <c r="H953" t="s">
        <v>2583</v>
      </c>
      <c r="I953">
        <v>11.7</v>
      </c>
      <c r="J953">
        <v>124.98</v>
      </c>
      <c r="K953" t="str">
        <f>"PDE3A;PDE3B"</f>
        <v>PDE3A;PDE3B</v>
      </c>
      <c r="L953" t="str">
        <f>"PDE3A;PDE3B"</f>
        <v>PDE3A;PDE3B</v>
      </c>
      <c r="M953">
        <v>0</v>
      </c>
      <c r="N953">
        <v>101530000</v>
      </c>
      <c r="O953">
        <v>204290000</v>
      </c>
      <c r="P953">
        <v>148730000</v>
      </c>
      <c r="Q953">
        <v>0</v>
      </c>
      <c r="R953">
        <v>73662000</v>
      </c>
      <c r="S953">
        <v>0</v>
      </c>
      <c r="T953">
        <v>0</v>
      </c>
      <c r="U953">
        <v>89254000</v>
      </c>
      <c r="V953">
        <v>0</v>
      </c>
      <c r="W953">
        <v>61081000</v>
      </c>
      <c r="X953">
        <v>71322000</v>
      </c>
    </row>
    <row r="954" spans="1:24">
      <c r="A954">
        <v>1792</v>
      </c>
      <c r="B954" t="s">
        <v>2584</v>
      </c>
      <c r="C954">
        <v>1</v>
      </c>
      <c r="D954" t="s">
        <v>2585</v>
      </c>
      <c r="E954">
        <v>5</v>
      </c>
      <c r="F954">
        <v>5</v>
      </c>
      <c r="G954">
        <v>5</v>
      </c>
      <c r="H954" t="s">
        <v>2584</v>
      </c>
      <c r="I954">
        <v>22.6</v>
      </c>
      <c r="J954">
        <v>26.591999999999999</v>
      </c>
      <c r="K954" t="str">
        <f>"MYCT1"</f>
        <v>MYCT1</v>
      </c>
      <c r="L954" t="str">
        <f>"MYCT1"</f>
        <v>MYCT1</v>
      </c>
      <c r="M954">
        <v>0</v>
      </c>
      <c r="N954">
        <v>175430000</v>
      </c>
      <c r="O954">
        <v>0</v>
      </c>
      <c r="P954">
        <v>100280000</v>
      </c>
      <c r="Q954">
        <v>0</v>
      </c>
      <c r="R954">
        <v>113950000</v>
      </c>
      <c r="S954">
        <v>126160000</v>
      </c>
      <c r="T954">
        <v>0</v>
      </c>
      <c r="U954">
        <v>205160000</v>
      </c>
      <c r="V954">
        <v>0</v>
      </c>
      <c r="W954">
        <v>0</v>
      </c>
      <c r="X954">
        <v>233570000</v>
      </c>
    </row>
    <row r="955" spans="1:24">
      <c r="A955">
        <v>276</v>
      </c>
      <c r="B955" t="s">
        <v>2586</v>
      </c>
      <c r="C955">
        <v>1</v>
      </c>
      <c r="D955" t="s">
        <v>2587</v>
      </c>
      <c r="E955">
        <v>5</v>
      </c>
      <c r="F955">
        <v>5</v>
      </c>
      <c r="G955">
        <v>5</v>
      </c>
      <c r="H955" t="s">
        <v>2586</v>
      </c>
      <c r="I955">
        <v>16</v>
      </c>
      <c r="J955">
        <v>51.417000000000002</v>
      </c>
      <c r="K955" t="str">
        <f>"CDS2"</f>
        <v>CDS2</v>
      </c>
      <c r="L955" t="str">
        <f>"CDS2"</f>
        <v>CDS2</v>
      </c>
      <c r="M955">
        <v>0</v>
      </c>
      <c r="N955">
        <v>90800000</v>
      </c>
      <c r="O955">
        <v>0</v>
      </c>
      <c r="P955">
        <v>0</v>
      </c>
      <c r="Q955">
        <v>0</v>
      </c>
      <c r="R955">
        <v>152790000</v>
      </c>
      <c r="S955">
        <v>0</v>
      </c>
      <c r="T955">
        <v>0</v>
      </c>
      <c r="U955">
        <v>0</v>
      </c>
      <c r="V955">
        <v>77653000</v>
      </c>
      <c r="W955">
        <v>0</v>
      </c>
      <c r="X955">
        <v>80034000</v>
      </c>
    </row>
    <row r="956" spans="1:24">
      <c r="A956">
        <v>373</v>
      </c>
      <c r="B956" t="s">
        <v>2588</v>
      </c>
      <c r="C956">
        <v>1</v>
      </c>
      <c r="D956" t="s">
        <v>2589</v>
      </c>
      <c r="E956">
        <v>5</v>
      </c>
      <c r="F956">
        <v>3</v>
      </c>
      <c r="G956">
        <v>3</v>
      </c>
      <c r="H956" t="s">
        <v>2588</v>
      </c>
      <c r="I956">
        <v>30.2</v>
      </c>
      <c r="J956">
        <v>13.718</v>
      </c>
      <c r="K956" t="s">
        <v>2070</v>
      </c>
      <c r="L956" t="s">
        <v>2070</v>
      </c>
      <c r="M956">
        <v>0</v>
      </c>
      <c r="N956">
        <v>0</v>
      </c>
      <c r="O956">
        <v>0</v>
      </c>
      <c r="P956">
        <v>0</v>
      </c>
      <c r="Q956">
        <v>265780000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</row>
    <row r="957" spans="1:24">
      <c r="A957">
        <v>734</v>
      </c>
      <c r="B957" t="s">
        <v>2590</v>
      </c>
      <c r="C957">
        <v>1</v>
      </c>
      <c r="D957" t="s">
        <v>2591</v>
      </c>
      <c r="E957">
        <v>15</v>
      </c>
      <c r="F957">
        <v>15</v>
      </c>
      <c r="G957">
        <v>15</v>
      </c>
      <c r="H957" t="s">
        <v>2590</v>
      </c>
      <c r="I957">
        <v>40</v>
      </c>
      <c r="J957">
        <v>49.966000000000001</v>
      </c>
      <c r="K957" t="str">
        <f>"PTPN1"</f>
        <v>PTPN1</v>
      </c>
      <c r="L957" t="str">
        <f>"PTPN1"</f>
        <v>PTPN1</v>
      </c>
      <c r="M957">
        <v>0</v>
      </c>
      <c r="N957">
        <v>105180000</v>
      </c>
      <c r="O957">
        <v>116590000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63910000</v>
      </c>
      <c r="X957">
        <v>72109000</v>
      </c>
    </row>
    <row r="958" spans="1:24">
      <c r="A958">
        <v>901</v>
      </c>
      <c r="B958" t="s">
        <v>2592</v>
      </c>
      <c r="C958">
        <v>2</v>
      </c>
      <c r="D958" t="s">
        <v>2593</v>
      </c>
      <c r="E958">
        <v>17</v>
      </c>
      <c r="F958">
        <v>4</v>
      </c>
      <c r="G958">
        <v>0</v>
      </c>
      <c r="H958" t="s">
        <v>2594</v>
      </c>
      <c r="I958">
        <v>55.5</v>
      </c>
      <c r="J958">
        <v>40.387999999999998</v>
      </c>
      <c r="K958" t="str">
        <f>"HLA-B"</f>
        <v>HLA-B</v>
      </c>
      <c r="L958" t="str">
        <f>"HLA-B"</f>
        <v>HLA-B</v>
      </c>
      <c r="M958">
        <v>0</v>
      </c>
      <c r="N958">
        <v>0</v>
      </c>
      <c r="O958">
        <v>444360000</v>
      </c>
      <c r="P958">
        <v>0</v>
      </c>
      <c r="Q958">
        <v>0</v>
      </c>
      <c r="R958">
        <v>0</v>
      </c>
      <c r="S958">
        <v>112200000</v>
      </c>
      <c r="T958">
        <v>0</v>
      </c>
      <c r="U958">
        <v>288910000</v>
      </c>
      <c r="V958">
        <v>219020000</v>
      </c>
      <c r="W958">
        <v>0</v>
      </c>
      <c r="X958">
        <v>288770000</v>
      </c>
    </row>
    <row r="959" spans="1:24">
      <c r="A959">
        <v>1092</v>
      </c>
      <c r="B959" t="s">
        <v>2595</v>
      </c>
      <c r="C959">
        <v>2</v>
      </c>
      <c r="D959" t="s">
        <v>2596</v>
      </c>
      <c r="E959">
        <v>11</v>
      </c>
      <c r="F959">
        <v>11</v>
      </c>
      <c r="G959">
        <v>11</v>
      </c>
      <c r="H959" t="s">
        <v>2597</v>
      </c>
      <c r="I959">
        <v>38</v>
      </c>
      <c r="J959">
        <v>38.518000000000001</v>
      </c>
      <c r="K959" t="str">
        <f>"PPM1F"</f>
        <v>PPM1F</v>
      </c>
      <c r="L959" t="str">
        <f>"PPM1F"</f>
        <v>PPM1F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190750000</v>
      </c>
      <c r="S959">
        <v>209700000</v>
      </c>
      <c r="T959">
        <v>0</v>
      </c>
      <c r="U959">
        <v>0</v>
      </c>
      <c r="V959">
        <v>241710000</v>
      </c>
      <c r="W959">
        <v>0</v>
      </c>
      <c r="X959">
        <v>0</v>
      </c>
    </row>
    <row r="960" spans="1:24">
      <c r="A960">
        <v>1167</v>
      </c>
      <c r="B960" t="s">
        <v>2598</v>
      </c>
      <c r="C960">
        <v>3</v>
      </c>
      <c r="D960" t="s">
        <v>2599</v>
      </c>
      <c r="E960">
        <v>4</v>
      </c>
      <c r="F960">
        <v>4</v>
      </c>
      <c r="G960">
        <v>4</v>
      </c>
      <c r="H960" t="s">
        <v>2600</v>
      </c>
      <c r="I960">
        <v>8.1999999999999993</v>
      </c>
      <c r="J960">
        <v>51.853000000000002</v>
      </c>
      <c r="K960" t="str">
        <f>"CTSC"</f>
        <v>CTSC</v>
      </c>
      <c r="L960" t="str">
        <f>"CTSC"</f>
        <v>CTSC</v>
      </c>
      <c r="M960">
        <v>167620000</v>
      </c>
      <c r="N960">
        <v>137760000</v>
      </c>
      <c r="O960">
        <v>131820000</v>
      </c>
      <c r="P960">
        <v>97168000</v>
      </c>
      <c r="Q960">
        <v>80279000</v>
      </c>
      <c r="R960">
        <v>101880000</v>
      </c>
      <c r="S960">
        <v>0</v>
      </c>
      <c r="T960">
        <v>0</v>
      </c>
      <c r="U960">
        <v>0</v>
      </c>
      <c r="V960">
        <v>142420000</v>
      </c>
      <c r="W960">
        <v>0</v>
      </c>
      <c r="X960">
        <v>180440000</v>
      </c>
    </row>
    <row r="961" spans="1:24">
      <c r="A961">
        <v>1308</v>
      </c>
      <c r="B961" t="s">
        <v>2601</v>
      </c>
      <c r="C961">
        <v>4</v>
      </c>
      <c r="D961" t="s">
        <v>2602</v>
      </c>
      <c r="E961">
        <v>2</v>
      </c>
      <c r="F961">
        <v>2</v>
      </c>
      <c r="G961">
        <v>2</v>
      </c>
      <c r="H961" t="s">
        <v>2603</v>
      </c>
      <c r="I961">
        <v>12.2</v>
      </c>
      <c r="J961">
        <v>25.568999999999999</v>
      </c>
      <c r="K961" t="str">
        <f>"PAFAH1B2"</f>
        <v>PAFAH1B2</v>
      </c>
      <c r="L961" t="str">
        <f>"PAFAH1B2"</f>
        <v>PAFAH1B2</v>
      </c>
      <c r="M961">
        <v>0</v>
      </c>
      <c r="N961">
        <v>114800000</v>
      </c>
      <c r="O961">
        <v>102860000</v>
      </c>
      <c r="P961">
        <v>0</v>
      </c>
      <c r="Q961">
        <v>0</v>
      </c>
      <c r="R961">
        <v>139920000</v>
      </c>
      <c r="S961">
        <v>148590000</v>
      </c>
      <c r="T961">
        <v>0</v>
      </c>
      <c r="U961">
        <v>145160000</v>
      </c>
      <c r="V961">
        <v>102100000</v>
      </c>
      <c r="W961">
        <v>0</v>
      </c>
      <c r="X961">
        <v>185520000</v>
      </c>
    </row>
    <row r="962" spans="1:24">
      <c r="A962">
        <v>1584</v>
      </c>
      <c r="B962" t="s">
        <v>2604</v>
      </c>
      <c r="C962">
        <v>3</v>
      </c>
      <c r="D962" t="s">
        <v>2605</v>
      </c>
      <c r="E962">
        <v>6</v>
      </c>
      <c r="F962">
        <v>6</v>
      </c>
      <c r="G962">
        <v>6</v>
      </c>
      <c r="H962" t="s">
        <v>2606</v>
      </c>
      <c r="I962">
        <v>8.3000000000000007</v>
      </c>
      <c r="J962">
        <v>103.93</v>
      </c>
      <c r="K962" t="str">
        <f>"PKN1"</f>
        <v>PKN1</v>
      </c>
      <c r="L962" t="str">
        <f>"PKN1"</f>
        <v>PKN1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52368000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</row>
    <row r="963" spans="1:24">
      <c r="A963">
        <v>1900</v>
      </c>
      <c r="B963" t="s">
        <v>2607</v>
      </c>
      <c r="C963">
        <v>1</v>
      </c>
      <c r="D963" t="s">
        <v>2608</v>
      </c>
      <c r="E963">
        <v>2</v>
      </c>
      <c r="F963">
        <v>2</v>
      </c>
      <c r="G963">
        <v>2</v>
      </c>
      <c r="H963" t="s">
        <v>2607</v>
      </c>
      <c r="I963">
        <v>4.8</v>
      </c>
      <c r="J963">
        <v>34.606999999999999</v>
      </c>
      <c r="K963" t="str">
        <f>"TMBIM1"</f>
        <v>TMBIM1</v>
      </c>
      <c r="L963" t="str">
        <f>"TMBIM1"</f>
        <v>TMBIM1</v>
      </c>
      <c r="M963">
        <v>99626000</v>
      </c>
      <c r="N963">
        <v>60752000</v>
      </c>
      <c r="O963">
        <v>96244000</v>
      </c>
      <c r="P963">
        <v>65474000</v>
      </c>
      <c r="Q963">
        <v>64261000</v>
      </c>
      <c r="R963">
        <v>137440000</v>
      </c>
      <c r="S963">
        <v>152920000</v>
      </c>
      <c r="T963">
        <v>107350000</v>
      </c>
      <c r="U963">
        <v>0</v>
      </c>
      <c r="V963">
        <v>114890000</v>
      </c>
      <c r="W963">
        <v>82526000</v>
      </c>
      <c r="X963">
        <v>104270000</v>
      </c>
    </row>
    <row r="964" spans="1:24">
      <c r="A964">
        <v>2074</v>
      </c>
      <c r="B964" t="s">
        <v>2609</v>
      </c>
      <c r="C964">
        <v>4</v>
      </c>
      <c r="D964" t="s">
        <v>2610</v>
      </c>
      <c r="E964">
        <v>11</v>
      </c>
      <c r="F964">
        <v>11</v>
      </c>
      <c r="G964">
        <v>11</v>
      </c>
      <c r="H964" t="s">
        <v>2611</v>
      </c>
      <c r="I964">
        <v>44.2</v>
      </c>
      <c r="J964">
        <v>32.558</v>
      </c>
      <c r="K964" t="str">
        <f>"NT5C3A"</f>
        <v>NT5C3A</v>
      </c>
      <c r="L964" t="str">
        <f>"NT5C3A"</f>
        <v>NT5C3A</v>
      </c>
      <c r="M964">
        <v>84832000</v>
      </c>
      <c r="N964">
        <v>67193000</v>
      </c>
      <c r="O964">
        <v>83956000</v>
      </c>
      <c r="P964">
        <v>85755000</v>
      </c>
      <c r="Q964">
        <v>0</v>
      </c>
      <c r="R964">
        <v>0</v>
      </c>
      <c r="S964">
        <v>0</v>
      </c>
      <c r="T964">
        <v>70819000</v>
      </c>
      <c r="U964">
        <v>108020000</v>
      </c>
      <c r="V964">
        <v>94360000</v>
      </c>
      <c r="W964">
        <v>0</v>
      </c>
      <c r="X964">
        <v>0</v>
      </c>
    </row>
    <row r="965" spans="1:24">
      <c r="A965">
        <v>2168</v>
      </c>
      <c r="B965" t="s">
        <v>2612</v>
      </c>
      <c r="C965">
        <v>2</v>
      </c>
      <c r="D965" t="s">
        <v>2613</v>
      </c>
      <c r="E965">
        <v>10</v>
      </c>
      <c r="F965">
        <v>10</v>
      </c>
      <c r="G965">
        <v>10</v>
      </c>
      <c r="H965" t="s">
        <v>2614</v>
      </c>
      <c r="I965">
        <v>20.9</v>
      </c>
      <c r="J965">
        <v>66.114999999999995</v>
      </c>
      <c r="K965" t="str">
        <f>"FARSB"</f>
        <v>FARSB</v>
      </c>
      <c r="L965" t="str">
        <f>"FARSB"</f>
        <v>FARSB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62124000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53093000</v>
      </c>
    </row>
    <row r="966" spans="1:24">
      <c r="A966">
        <v>214</v>
      </c>
      <c r="B966" t="s">
        <v>2615</v>
      </c>
      <c r="C966">
        <v>1</v>
      </c>
      <c r="D966" t="s">
        <v>2616</v>
      </c>
      <c r="E966">
        <v>5</v>
      </c>
      <c r="F966">
        <v>5</v>
      </c>
      <c r="G966">
        <v>5</v>
      </c>
      <c r="H966" t="s">
        <v>2615</v>
      </c>
      <c r="I966">
        <v>70.2</v>
      </c>
      <c r="J966">
        <v>12.773999999999999</v>
      </c>
      <c r="K966" t="str">
        <f>"SH3BGRL"</f>
        <v>SH3BGRL</v>
      </c>
      <c r="L966" t="str">
        <f>"SH3BGRL"</f>
        <v>SH3BGRL</v>
      </c>
      <c r="M966">
        <v>0</v>
      </c>
      <c r="N966">
        <v>0</v>
      </c>
      <c r="O966">
        <v>54727000</v>
      </c>
      <c r="P966">
        <v>0</v>
      </c>
      <c r="Q966">
        <v>0</v>
      </c>
      <c r="R966">
        <v>111370000</v>
      </c>
      <c r="S966">
        <v>102690000</v>
      </c>
      <c r="T966">
        <v>0</v>
      </c>
      <c r="U966">
        <v>0</v>
      </c>
      <c r="V966">
        <v>51210000</v>
      </c>
      <c r="W966">
        <v>0</v>
      </c>
      <c r="X966">
        <v>0</v>
      </c>
    </row>
    <row r="967" spans="1:24">
      <c r="A967">
        <v>408</v>
      </c>
      <c r="B967" t="s">
        <v>2617</v>
      </c>
      <c r="C967">
        <v>1</v>
      </c>
      <c r="D967" t="s">
        <v>2618</v>
      </c>
      <c r="E967">
        <v>12</v>
      </c>
      <c r="F967">
        <v>12</v>
      </c>
      <c r="G967">
        <v>12</v>
      </c>
      <c r="H967" t="s">
        <v>2617</v>
      </c>
      <c r="I967">
        <v>20</v>
      </c>
      <c r="J967">
        <v>101.79</v>
      </c>
      <c r="K967" t="str">
        <f>"SLC4A1"</f>
        <v>SLC4A1</v>
      </c>
      <c r="L967" t="str">
        <f>"SLC4A1"</f>
        <v>SLC4A1</v>
      </c>
      <c r="M967">
        <v>0</v>
      </c>
      <c r="N967">
        <v>96879000</v>
      </c>
      <c r="O967">
        <v>53444000</v>
      </c>
      <c r="P967">
        <v>111130000</v>
      </c>
      <c r="Q967">
        <v>0</v>
      </c>
      <c r="R967">
        <v>169420000</v>
      </c>
      <c r="S967">
        <v>117890000</v>
      </c>
      <c r="T967">
        <v>0</v>
      </c>
      <c r="U967">
        <v>0</v>
      </c>
      <c r="V967">
        <v>0</v>
      </c>
      <c r="W967">
        <v>99228000</v>
      </c>
      <c r="X967">
        <v>0</v>
      </c>
    </row>
    <row r="968" spans="1:24">
      <c r="A968">
        <v>926</v>
      </c>
      <c r="B968" t="s">
        <v>2619</v>
      </c>
      <c r="C968">
        <v>2</v>
      </c>
      <c r="D968" t="s">
        <v>2620</v>
      </c>
      <c r="E968">
        <v>9</v>
      </c>
      <c r="F968">
        <v>9</v>
      </c>
      <c r="G968">
        <v>8</v>
      </c>
      <c r="H968" t="s">
        <v>2621</v>
      </c>
      <c r="I968">
        <v>26.9</v>
      </c>
      <c r="J968">
        <v>51.082999999999998</v>
      </c>
      <c r="K968" t="str">
        <f>"AKT2"</f>
        <v>AKT2</v>
      </c>
      <c r="L968" t="str">
        <f>"AKT2"</f>
        <v>AKT2</v>
      </c>
      <c r="M968">
        <v>0</v>
      </c>
      <c r="N968">
        <v>50404000</v>
      </c>
      <c r="O968">
        <v>61255000</v>
      </c>
      <c r="P968">
        <v>0</v>
      </c>
      <c r="Q968">
        <v>0</v>
      </c>
      <c r="R968">
        <v>51615000</v>
      </c>
      <c r="S968">
        <v>0</v>
      </c>
      <c r="T968">
        <v>43564000</v>
      </c>
      <c r="U968">
        <v>0</v>
      </c>
      <c r="V968">
        <v>0</v>
      </c>
      <c r="W968">
        <v>0</v>
      </c>
      <c r="X968">
        <v>52737000</v>
      </c>
    </row>
    <row r="969" spans="1:24">
      <c r="A969">
        <v>975</v>
      </c>
      <c r="B969" t="s">
        <v>2622</v>
      </c>
      <c r="C969">
        <v>1</v>
      </c>
      <c r="D969" t="s">
        <v>2623</v>
      </c>
      <c r="E969">
        <v>8</v>
      </c>
      <c r="F969">
        <v>8</v>
      </c>
      <c r="G969">
        <v>5</v>
      </c>
      <c r="H969" t="s">
        <v>2622</v>
      </c>
      <c r="I969">
        <v>27.8</v>
      </c>
      <c r="J969">
        <v>44.423999999999999</v>
      </c>
      <c r="K969" t="str">
        <f>"MAP2K2"</f>
        <v>MAP2K2</v>
      </c>
      <c r="L969" t="str">
        <f>"MAP2K2"</f>
        <v>MAP2K2</v>
      </c>
      <c r="M969">
        <v>0</v>
      </c>
      <c r="N969">
        <v>97369000</v>
      </c>
      <c r="O969">
        <v>103950000</v>
      </c>
      <c r="P969">
        <v>0</v>
      </c>
      <c r="Q969">
        <v>89120000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</row>
    <row r="970" spans="1:24">
      <c r="A970">
        <v>1328</v>
      </c>
      <c r="B970" t="s">
        <v>2624</v>
      </c>
      <c r="C970">
        <v>1</v>
      </c>
      <c r="D970" t="s">
        <v>2625</v>
      </c>
      <c r="E970">
        <v>7</v>
      </c>
      <c r="F970">
        <v>7</v>
      </c>
      <c r="G970">
        <v>7</v>
      </c>
      <c r="H970" t="s">
        <v>2624</v>
      </c>
      <c r="I970">
        <v>32.4</v>
      </c>
      <c r="J970">
        <v>38.006</v>
      </c>
      <c r="K970" t="str">
        <f>"EFNB1"</f>
        <v>EFNB1</v>
      </c>
      <c r="L970" t="str">
        <f>"EFNB1"</f>
        <v>EFNB1</v>
      </c>
      <c r="M970">
        <v>0</v>
      </c>
      <c r="N970">
        <v>54688000</v>
      </c>
      <c r="O970">
        <v>56161000</v>
      </c>
      <c r="P970">
        <v>0</v>
      </c>
      <c r="Q970">
        <v>0</v>
      </c>
      <c r="R970">
        <v>59026000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</row>
    <row r="971" spans="1:24">
      <c r="A971">
        <v>1395</v>
      </c>
      <c r="B971" t="s">
        <v>2626</v>
      </c>
      <c r="C971">
        <v>4</v>
      </c>
      <c r="D971" t="s">
        <v>2627</v>
      </c>
      <c r="E971">
        <v>3</v>
      </c>
      <c r="F971">
        <v>3</v>
      </c>
      <c r="G971">
        <v>3</v>
      </c>
      <c r="H971" t="s">
        <v>2628</v>
      </c>
      <c r="I971">
        <v>9.6</v>
      </c>
      <c r="J971">
        <v>31.742000000000001</v>
      </c>
      <c r="K971" t="str">
        <f>"CD47"</f>
        <v>CD47</v>
      </c>
      <c r="L971" t="str">
        <f>"CD47"</f>
        <v>CD47</v>
      </c>
      <c r="M971">
        <v>0</v>
      </c>
      <c r="N971">
        <v>149760000</v>
      </c>
      <c r="O971">
        <v>105890000</v>
      </c>
      <c r="P971">
        <v>531160000</v>
      </c>
      <c r="Q971">
        <v>0</v>
      </c>
      <c r="R971">
        <v>0</v>
      </c>
      <c r="S971">
        <v>0</v>
      </c>
      <c r="T971">
        <v>373470000</v>
      </c>
      <c r="U971">
        <v>351160000</v>
      </c>
      <c r="V971">
        <v>0</v>
      </c>
      <c r="W971">
        <v>0</v>
      </c>
      <c r="X971">
        <v>164030000</v>
      </c>
    </row>
    <row r="972" spans="1:24">
      <c r="A972">
        <v>1427</v>
      </c>
      <c r="B972" t="s">
        <v>2629</v>
      </c>
      <c r="C972">
        <v>7</v>
      </c>
      <c r="D972" t="s">
        <v>2630</v>
      </c>
      <c r="E972">
        <v>4</v>
      </c>
      <c r="F972">
        <v>4</v>
      </c>
      <c r="G972">
        <v>4</v>
      </c>
      <c r="H972" t="s">
        <v>2631</v>
      </c>
      <c r="I972">
        <v>22.2</v>
      </c>
      <c r="J972">
        <v>26.277999999999999</v>
      </c>
      <c r="K972" t="str">
        <f>"MTAP"</f>
        <v>MTAP</v>
      </c>
      <c r="L972" t="str">
        <f>"MTAP"</f>
        <v>MTAP</v>
      </c>
      <c r="M972">
        <v>0</v>
      </c>
      <c r="N972">
        <v>0</v>
      </c>
      <c r="O972">
        <v>89960000</v>
      </c>
      <c r="P972">
        <v>0</v>
      </c>
      <c r="Q972">
        <v>96952000</v>
      </c>
      <c r="R972">
        <v>97566000</v>
      </c>
      <c r="S972">
        <v>163130000</v>
      </c>
      <c r="T972">
        <v>0</v>
      </c>
      <c r="U972">
        <v>0</v>
      </c>
      <c r="V972">
        <v>70568000</v>
      </c>
      <c r="W972">
        <v>0</v>
      </c>
      <c r="X972">
        <v>111010000</v>
      </c>
    </row>
    <row r="973" spans="1:24">
      <c r="A973">
        <v>1523</v>
      </c>
      <c r="B973" t="s">
        <v>2632</v>
      </c>
      <c r="C973">
        <v>7</v>
      </c>
      <c r="D973" t="s">
        <v>2633</v>
      </c>
      <c r="E973">
        <v>12</v>
      </c>
      <c r="F973">
        <v>12</v>
      </c>
      <c r="G973">
        <v>3</v>
      </c>
      <c r="H973" t="s">
        <v>2634</v>
      </c>
      <c r="I973">
        <v>19.5</v>
      </c>
      <c r="J973">
        <v>90.828000000000003</v>
      </c>
      <c r="K973" t="str">
        <f>"SLMAP"</f>
        <v>SLMAP</v>
      </c>
      <c r="L973" t="str">
        <f>"SLMAP"</f>
        <v>SLMAP</v>
      </c>
      <c r="M973">
        <v>0</v>
      </c>
      <c r="N973">
        <v>0</v>
      </c>
      <c r="O973">
        <v>107540000</v>
      </c>
      <c r="P973">
        <v>0</v>
      </c>
      <c r="Q973">
        <v>0</v>
      </c>
      <c r="R973">
        <v>98823000</v>
      </c>
      <c r="S973">
        <v>0</v>
      </c>
      <c r="T973">
        <v>0</v>
      </c>
      <c r="U973">
        <v>100650000</v>
      </c>
      <c r="V973">
        <v>84135000</v>
      </c>
      <c r="W973">
        <v>0</v>
      </c>
      <c r="X973">
        <v>0</v>
      </c>
    </row>
    <row r="974" spans="1:24">
      <c r="A974">
        <v>1848</v>
      </c>
      <c r="B974" t="s">
        <v>2635</v>
      </c>
      <c r="C974">
        <v>3</v>
      </c>
      <c r="D974" t="s">
        <v>2636</v>
      </c>
      <c r="E974">
        <v>8</v>
      </c>
      <c r="F974">
        <v>8</v>
      </c>
      <c r="G974">
        <v>8</v>
      </c>
      <c r="H974" t="s">
        <v>2637</v>
      </c>
      <c r="I974">
        <v>16</v>
      </c>
      <c r="J974">
        <v>73.010999999999996</v>
      </c>
      <c r="K974" t="str">
        <f>"SLC44A1"</f>
        <v>SLC44A1</v>
      </c>
      <c r="L974" t="str">
        <f>"SLC44A1"</f>
        <v>SLC44A1</v>
      </c>
      <c r="M974">
        <v>128100000</v>
      </c>
      <c r="N974">
        <v>146360000</v>
      </c>
      <c r="O974">
        <v>0</v>
      </c>
      <c r="P974">
        <v>0</v>
      </c>
      <c r="Q974">
        <v>0</v>
      </c>
      <c r="R974">
        <v>177880000</v>
      </c>
      <c r="S974">
        <v>236870000</v>
      </c>
      <c r="T974">
        <v>0</v>
      </c>
      <c r="U974">
        <v>0</v>
      </c>
      <c r="V974">
        <v>109680000</v>
      </c>
      <c r="W974">
        <v>136380000</v>
      </c>
      <c r="X974">
        <v>243990000</v>
      </c>
    </row>
    <row r="975" spans="1:24">
      <c r="A975">
        <v>1914</v>
      </c>
      <c r="B975" t="s">
        <v>2638</v>
      </c>
      <c r="C975">
        <v>3</v>
      </c>
      <c r="D975" t="s">
        <v>2639</v>
      </c>
      <c r="E975">
        <v>17</v>
      </c>
      <c r="F975">
        <v>16</v>
      </c>
      <c r="G975">
        <v>16</v>
      </c>
      <c r="H975" t="s">
        <v>2640</v>
      </c>
      <c r="I975">
        <v>9</v>
      </c>
      <c r="J975">
        <v>249.49</v>
      </c>
      <c r="K975" t="str">
        <f>"DOCK10"</f>
        <v>DOCK10</v>
      </c>
      <c r="L975" t="str">
        <f>"DOCK10"</f>
        <v>DOCK10</v>
      </c>
      <c r="M975">
        <v>0</v>
      </c>
      <c r="N975">
        <v>33483000</v>
      </c>
      <c r="O975">
        <v>0</v>
      </c>
      <c r="P975">
        <v>0</v>
      </c>
      <c r="Q975">
        <v>0</v>
      </c>
      <c r="R975">
        <v>75303000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</row>
    <row r="976" spans="1:24">
      <c r="A976">
        <v>1949</v>
      </c>
      <c r="B976" t="s">
        <v>2641</v>
      </c>
      <c r="C976">
        <v>4</v>
      </c>
      <c r="D976" t="s">
        <v>2642</v>
      </c>
      <c r="E976">
        <v>17</v>
      </c>
      <c r="F976">
        <v>17</v>
      </c>
      <c r="G976">
        <v>17</v>
      </c>
      <c r="H976" t="s">
        <v>2643</v>
      </c>
      <c r="I976">
        <v>15.9</v>
      </c>
      <c r="J976">
        <v>147.22</v>
      </c>
      <c r="K976" t="str">
        <f>"USP47"</f>
        <v>USP47</v>
      </c>
      <c r="L976" t="str">
        <f>"USP47"</f>
        <v>USP47</v>
      </c>
      <c r="M976">
        <v>0</v>
      </c>
      <c r="N976">
        <v>59746000</v>
      </c>
      <c r="O976">
        <v>44976000</v>
      </c>
      <c r="P976">
        <v>0</v>
      </c>
      <c r="Q976">
        <v>0</v>
      </c>
      <c r="R976">
        <v>59407000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</row>
    <row r="977" spans="1:24">
      <c r="A977">
        <v>2075</v>
      </c>
      <c r="B977" t="s">
        <v>2644</v>
      </c>
      <c r="C977">
        <v>2</v>
      </c>
      <c r="D977" t="s">
        <v>2645</v>
      </c>
      <c r="E977">
        <v>3</v>
      </c>
      <c r="F977">
        <v>3</v>
      </c>
      <c r="G977">
        <v>3</v>
      </c>
      <c r="H977" t="s">
        <v>2646</v>
      </c>
      <c r="I977">
        <v>10.8</v>
      </c>
      <c r="J977">
        <v>28.536000000000001</v>
      </c>
      <c r="K977" t="str">
        <f>"HDHD2"</f>
        <v>HDHD2</v>
      </c>
      <c r="L977" t="str">
        <f>"HDHD2"</f>
        <v>HDHD2</v>
      </c>
      <c r="M977">
        <v>0</v>
      </c>
      <c r="N977">
        <v>0</v>
      </c>
      <c r="O977">
        <v>68154000</v>
      </c>
      <c r="P977">
        <v>61338000</v>
      </c>
      <c r="Q977">
        <v>107520000</v>
      </c>
      <c r="R977">
        <v>71718000</v>
      </c>
      <c r="S977">
        <v>110860000</v>
      </c>
      <c r="T977">
        <v>75740000</v>
      </c>
      <c r="U977">
        <v>0</v>
      </c>
      <c r="V977">
        <v>103510000</v>
      </c>
      <c r="W977">
        <v>0</v>
      </c>
      <c r="X977">
        <v>0</v>
      </c>
    </row>
    <row r="978" spans="1:24">
      <c r="A978">
        <v>2088</v>
      </c>
      <c r="B978" t="s">
        <v>2647</v>
      </c>
      <c r="C978">
        <v>2</v>
      </c>
      <c r="D978" t="s">
        <v>2648</v>
      </c>
      <c r="E978">
        <v>12</v>
      </c>
      <c r="F978">
        <v>12</v>
      </c>
      <c r="G978">
        <v>11</v>
      </c>
      <c r="H978" t="s">
        <v>2649</v>
      </c>
      <c r="I978">
        <v>10.199999999999999</v>
      </c>
      <c r="J978">
        <v>138.99</v>
      </c>
      <c r="K978" t="str">
        <f>"SLK"</f>
        <v>SLK</v>
      </c>
      <c r="L978" t="str">
        <f>"SLK"</f>
        <v>SLK</v>
      </c>
      <c r="M978">
        <v>0</v>
      </c>
      <c r="N978">
        <v>118860000</v>
      </c>
      <c r="O978">
        <v>84505000</v>
      </c>
      <c r="P978">
        <v>0</v>
      </c>
      <c r="Q978">
        <v>0</v>
      </c>
      <c r="R978">
        <v>103400000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</row>
    <row r="979" spans="1:24">
      <c r="A979">
        <v>2295</v>
      </c>
      <c r="B979" t="s">
        <v>2650</v>
      </c>
      <c r="C979">
        <v>2</v>
      </c>
      <c r="D979" t="s">
        <v>2651</v>
      </c>
      <c r="E979">
        <v>11</v>
      </c>
      <c r="F979">
        <v>11</v>
      </c>
      <c r="G979">
        <v>11</v>
      </c>
      <c r="H979" t="s">
        <v>2652</v>
      </c>
      <c r="I979">
        <v>29.1</v>
      </c>
      <c r="J979">
        <v>46.648000000000003</v>
      </c>
      <c r="K979" t="str">
        <f>"SNX6"</f>
        <v>SNX6</v>
      </c>
      <c r="L979" t="str">
        <f>"SNX6"</f>
        <v>SNX6</v>
      </c>
      <c r="M979">
        <v>0</v>
      </c>
      <c r="N979">
        <v>58946000</v>
      </c>
      <c r="O979">
        <v>53443000</v>
      </c>
      <c r="P979">
        <v>52570000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</row>
    <row r="980" spans="1:24">
      <c r="A980">
        <v>140</v>
      </c>
      <c r="B980" t="s">
        <v>2653</v>
      </c>
      <c r="C980">
        <v>1</v>
      </c>
      <c r="D980" t="s">
        <v>2654</v>
      </c>
      <c r="E980">
        <v>3</v>
      </c>
      <c r="F980">
        <v>3</v>
      </c>
      <c r="G980">
        <v>3</v>
      </c>
      <c r="H980" t="s">
        <v>2653</v>
      </c>
      <c r="I980">
        <v>21.9</v>
      </c>
      <c r="J980">
        <v>16.332000000000001</v>
      </c>
      <c r="K980" t="str">
        <f>"CYB5B"</f>
        <v>CYB5B</v>
      </c>
      <c r="L980" t="str">
        <f>"CYB5B"</f>
        <v>CYB5B</v>
      </c>
      <c r="M980">
        <v>0</v>
      </c>
      <c r="N980">
        <v>59640000</v>
      </c>
      <c r="O980">
        <v>0</v>
      </c>
      <c r="P980">
        <v>0</v>
      </c>
      <c r="Q980">
        <v>0</v>
      </c>
      <c r="R980">
        <v>31560000</v>
      </c>
      <c r="S980">
        <v>0</v>
      </c>
      <c r="T980">
        <v>0</v>
      </c>
      <c r="U980">
        <v>72960000</v>
      </c>
      <c r="V980">
        <v>45762000</v>
      </c>
      <c r="W980">
        <v>0</v>
      </c>
      <c r="X980">
        <v>0</v>
      </c>
    </row>
    <row r="981" spans="1:24">
      <c r="A981">
        <v>582</v>
      </c>
      <c r="B981" t="s">
        <v>2655</v>
      </c>
      <c r="C981">
        <v>5</v>
      </c>
      <c r="D981" t="s">
        <v>2656</v>
      </c>
      <c r="E981">
        <v>36</v>
      </c>
      <c r="F981">
        <v>6</v>
      </c>
      <c r="G981">
        <v>2</v>
      </c>
      <c r="H981" t="s">
        <v>2657</v>
      </c>
      <c r="I981">
        <v>71.099999999999994</v>
      </c>
      <c r="J981">
        <v>32.875999999999998</v>
      </c>
      <c r="K981" t="str">
        <f>"TPM1"</f>
        <v>TPM1</v>
      </c>
      <c r="L981" t="str">
        <f>"TPM1"</f>
        <v>TPM1</v>
      </c>
      <c r="M981">
        <v>45446000</v>
      </c>
      <c r="N981">
        <v>39924000</v>
      </c>
      <c r="O981">
        <v>0</v>
      </c>
      <c r="P981">
        <v>93111000</v>
      </c>
      <c r="Q981">
        <v>0</v>
      </c>
      <c r="R981">
        <v>0</v>
      </c>
      <c r="S981">
        <v>0</v>
      </c>
      <c r="T981">
        <v>0</v>
      </c>
      <c r="U981">
        <v>42627000</v>
      </c>
      <c r="V981">
        <v>0</v>
      </c>
      <c r="W981">
        <v>0</v>
      </c>
      <c r="X981">
        <v>0</v>
      </c>
    </row>
    <row r="982" spans="1:24">
      <c r="A982">
        <v>614</v>
      </c>
      <c r="B982" t="s">
        <v>2658</v>
      </c>
      <c r="C982">
        <v>2</v>
      </c>
      <c r="D982" t="s">
        <v>2659</v>
      </c>
      <c r="E982">
        <v>6</v>
      </c>
      <c r="F982">
        <v>6</v>
      </c>
      <c r="G982">
        <v>6</v>
      </c>
      <c r="H982" t="s">
        <v>2660</v>
      </c>
      <c r="I982">
        <v>42.9</v>
      </c>
      <c r="J982">
        <v>11.737</v>
      </c>
      <c r="K982" t="str">
        <f>"TXN"</f>
        <v>TXN</v>
      </c>
      <c r="L982" t="str">
        <f>"TXN"</f>
        <v>TXN</v>
      </c>
      <c r="M982">
        <v>0</v>
      </c>
      <c r="N982">
        <v>0</v>
      </c>
      <c r="O982">
        <v>0</v>
      </c>
      <c r="P982">
        <v>190380000</v>
      </c>
      <c r="Q982">
        <v>0</v>
      </c>
      <c r="R982">
        <v>527050000</v>
      </c>
      <c r="S982">
        <v>119840000</v>
      </c>
      <c r="T982">
        <v>0</v>
      </c>
      <c r="U982">
        <v>0</v>
      </c>
      <c r="V982">
        <v>0</v>
      </c>
      <c r="W982">
        <v>0</v>
      </c>
      <c r="X982">
        <v>0</v>
      </c>
    </row>
    <row r="983" spans="1:24">
      <c r="A983">
        <v>1389</v>
      </c>
      <c r="B983" t="s">
        <v>2661</v>
      </c>
      <c r="C983">
        <v>12</v>
      </c>
      <c r="D983" t="s">
        <v>2662</v>
      </c>
      <c r="E983">
        <v>9</v>
      </c>
      <c r="F983">
        <v>9</v>
      </c>
      <c r="G983">
        <v>9</v>
      </c>
      <c r="H983" t="s">
        <v>2663</v>
      </c>
      <c r="I983">
        <v>18.2</v>
      </c>
      <c r="J983">
        <v>57.658000000000001</v>
      </c>
      <c r="K983" t="str">
        <f>"PPP3CA;PPP3CB;PPP3CC"</f>
        <v>PPP3CA;PPP3CB;PPP3CC</v>
      </c>
      <c r="L983" t="str">
        <f>"PPP3CA;PPP3CB;PPP3CC"</f>
        <v>PPP3CA;PPP3CB;PPP3CC</v>
      </c>
      <c r="M983">
        <v>0</v>
      </c>
      <c r="N983">
        <v>68661000</v>
      </c>
      <c r="O983">
        <v>96665000</v>
      </c>
      <c r="P983">
        <v>0</v>
      </c>
      <c r="Q983">
        <v>56055000</v>
      </c>
      <c r="R983">
        <v>97789000</v>
      </c>
      <c r="S983">
        <v>0</v>
      </c>
      <c r="T983">
        <v>75934000</v>
      </c>
      <c r="U983">
        <v>0</v>
      </c>
      <c r="V983">
        <v>76573000</v>
      </c>
      <c r="W983">
        <v>67852000</v>
      </c>
      <c r="X983">
        <v>54318000</v>
      </c>
    </row>
    <row r="984" spans="1:24">
      <c r="A984">
        <v>1531</v>
      </c>
      <c r="B984" t="s">
        <v>2664</v>
      </c>
      <c r="C984">
        <v>3</v>
      </c>
      <c r="D984" t="s">
        <v>2665</v>
      </c>
      <c r="E984">
        <v>7</v>
      </c>
      <c r="F984">
        <v>7</v>
      </c>
      <c r="G984">
        <v>7</v>
      </c>
      <c r="H984" t="s">
        <v>2666</v>
      </c>
      <c r="I984">
        <v>9.8000000000000007</v>
      </c>
      <c r="J984">
        <v>110.52</v>
      </c>
      <c r="K984" t="str">
        <f>"RAB3GAP1"</f>
        <v>RAB3GAP1</v>
      </c>
      <c r="L984" t="str">
        <f>"RAB3GAP1"</f>
        <v>RAB3GAP1</v>
      </c>
      <c r="M984">
        <v>0</v>
      </c>
      <c r="N984">
        <v>35557000</v>
      </c>
      <c r="O984">
        <v>66836000</v>
      </c>
      <c r="P984">
        <v>37142000</v>
      </c>
      <c r="Q984">
        <v>0</v>
      </c>
      <c r="R984">
        <v>43910000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46106000</v>
      </c>
    </row>
    <row r="985" spans="1:24">
      <c r="A985">
        <v>1601</v>
      </c>
      <c r="B985" t="s">
        <v>2667</v>
      </c>
      <c r="C985">
        <v>3</v>
      </c>
      <c r="D985" t="s">
        <v>2668</v>
      </c>
      <c r="E985">
        <v>8</v>
      </c>
      <c r="F985">
        <v>8</v>
      </c>
      <c r="G985">
        <v>8</v>
      </c>
      <c r="H985" t="s">
        <v>2669</v>
      </c>
      <c r="I985">
        <v>14.9</v>
      </c>
      <c r="J985">
        <v>83.617000000000004</v>
      </c>
      <c r="K985" t="str">
        <f>"RTN1"</f>
        <v>RTN1</v>
      </c>
      <c r="L985" t="str">
        <f>"RTN1"</f>
        <v>RTN1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209610000</v>
      </c>
      <c r="T985">
        <v>0</v>
      </c>
      <c r="U985">
        <v>0</v>
      </c>
      <c r="V985">
        <v>0</v>
      </c>
      <c r="W985">
        <v>0</v>
      </c>
      <c r="X985">
        <v>111700000</v>
      </c>
    </row>
    <row r="986" spans="1:24">
      <c r="A986">
        <v>2030</v>
      </c>
      <c r="B986" t="s">
        <v>2670</v>
      </c>
      <c r="C986">
        <v>1</v>
      </c>
      <c r="D986" t="s">
        <v>2671</v>
      </c>
      <c r="E986">
        <v>12</v>
      </c>
      <c r="F986">
        <v>2</v>
      </c>
      <c r="G986">
        <v>2</v>
      </c>
      <c r="H986" t="s">
        <v>2670</v>
      </c>
      <c r="I986">
        <v>29.8</v>
      </c>
      <c r="J986">
        <v>49.856999999999999</v>
      </c>
      <c r="K986" t="str">
        <f>"TUBB6"</f>
        <v>TUBB6</v>
      </c>
      <c r="L986" t="str">
        <f>"TUBB6"</f>
        <v>TUBB6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</row>
    <row r="987" spans="1:24">
      <c r="A987">
        <v>2122</v>
      </c>
      <c r="B987" t="s">
        <v>2672</v>
      </c>
      <c r="C987">
        <v>2</v>
      </c>
      <c r="D987" t="s">
        <v>2673</v>
      </c>
      <c r="E987">
        <v>5</v>
      </c>
      <c r="F987">
        <v>5</v>
      </c>
      <c r="G987">
        <v>5</v>
      </c>
      <c r="H987" t="s">
        <v>2674</v>
      </c>
      <c r="I987">
        <v>29.9</v>
      </c>
      <c r="J987">
        <v>23.625</v>
      </c>
      <c r="K987" t="str">
        <f>"RHOF"</f>
        <v>RHOF</v>
      </c>
      <c r="L987" t="str">
        <f>"RHOF"</f>
        <v>RHOF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173650000</v>
      </c>
      <c r="S987">
        <v>0</v>
      </c>
      <c r="T987">
        <v>0</v>
      </c>
      <c r="U987">
        <v>172250000</v>
      </c>
      <c r="V987">
        <v>0</v>
      </c>
      <c r="W987">
        <v>194300000</v>
      </c>
      <c r="X987">
        <v>184990000</v>
      </c>
    </row>
    <row r="988" spans="1:24">
      <c r="A988">
        <v>2137</v>
      </c>
      <c r="B988" t="s">
        <v>2675</v>
      </c>
      <c r="C988">
        <v>2</v>
      </c>
      <c r="D988" t="s">
        <v>2676</v>
      </c>
      <c r="E988">
        <v>5</v>
      </c>
      <c r="F988">
        <v>5</v>
      </c>
      <c r="G988">
        <v>5</v>
      </c>
      <c r="H988" t="s">
        <v>2677</v>
      </c>
      <c r="I988">
        <v>21.2</v>
      </c>
      <c r="J988">
        <v>33.878999999999998</v>
      </c>
      <c r="K988" t="str">
        <f>"VTA1"</f>
        <v>VTA1</v>
      </c>
      <c r="L988" t="str">
        <f>"VTA1"</f>
        <v>VTA1</v>
      </c>
      <c r="M988">
        <v>0</v>
      </c>
      <c r="N988">
        <v>0</v>
      </c>
      <c r="O988">
        <v>57390000</v>
      </c>
      <c r="P988">
        <v>0</v>
      </c>
      <c r="Q988">
        <v>0</v>
      </c>
      <c r="R988">
        <v>74677000</v>
      </c>
      <c r="S988">
        <v>0</v>
      </c>
      <c r="T988">
        <v>0</v>
      </c>
      <c r="U988">
        <v>0</v>
      </c>
      <c r="V988">
        <v>46848000</v>
      </c>
      <c r="W988">
        <v>0</v>
      </c>
      <c r="X988">
        <v>0</v>
      </c>
    </row>
    <row r="989" spans="1:24">
      <c r="A989">
        <v>363</v>
      </c>
      <c r="B989" t="s">
        <v>2678</v>
      </c>
      <c r="C989">
        <v>2</v>
      </c>
      <c r="D989" t="s">
        <v>2679</v>
      </c>
      <c r="E989">
        <v>3</v>
      </c>
      <c r="F989">
        <v>3</v>
      </c>
      <c r="G989">
        <v>3</v>
      </c>
      <c r="H989" t="s">
        <v>2680</v>
      </c>
      <c r="I989">
        <v>38.9</v>
      </c>
      <c r="J989">
        <v>11.342000000000001</v>
      </c>
      <c r="K989" t="s">
        <v>1903</v>
      </c>
      <c r="L989" t="s">
        <v>1903</v>
      </c>
      <c r="M989">
        <v>89935000</v>
      </c>
      <c r="N989">
        <v>0</v>
      </c>
      <c r="O989">
        <v>0</v>
      </c>
      <c r="P989">
        <v>247960000</v>
      </c>
      <c r="Q989">
        <v>160260000</v>
      </c>
      <c r="R989">
        <v>0</v>
      </c>
      <c r="S989">
        <v>0</v>
      </c>
      <c r="T989">
        <v>127260000</v>
      </c>
      <c r="U989">
        <v>0</v>
      </c>
      <c r="V989">
        <v>0</v>
      </c>
      <c r="W989">
        <v>53556000</v>
      </c>
      <c r="X989">
        <v>0</v>
      </c>
    </row>
    <row r="990" spans="1:24">
      <c r="A990">
        <v>908</v>
      </c>
      <c r="B990" t="s">
        <v>2681</v>
      </c>
      <c r="C990">
        <v>2</v>
      </c>
      <c r="D990" t="s">
        <v>2682</v>
      </c>
      <c r="E990">
        <v>17</v>
      </c>
      <c r="F990">
        <v>3</v>
      </c>
      <c r="G990">
        <v>0</v>
      </c>
      <c r="H990" t="s">
        <v>2683</v>
      </c>
      <c r="I990">
        <v>53.9</v>
      </c>
      <c r="J990">
        <v>40.454999999999998</v>
      </c>
      <c r="K990" t="str">
        <f>"HLA-B"</f>
        <v>HLA-B</v>
      </c>
      <c r="L990" t="str">
        <f>"HLA-B"</f>
        <v>HLA-B</v>
      </c>
      <c r="M990">
        <v>0</v>
      </c>
      <c r="N990">
        <v>0</v>
      </c>
      <c r="O990">
        <v>70103000</v>
      </c>
      <c r="P990">
        <v>0</v>
      </c>
      <c r="Q990">
        <v>0</v>
      </c>
      <c r="R990">
        <v>34073000</v>
      </c>
      <c r="S990">
        <v>0</v>
      </c>
      <c r="T990">
        <v>0</v>
      </c>
      <c r="U990">
        <v>0</v>
      </c>
      <c r="V990">
        <v>40962000</v>
      </c>
      <c r="W990">
        <v>46760000</v>
      </c>
      <c r="X990">
        <v>0</v>
      </c>
    </row>
    <row r="991" spans="1:24">
      <c r="A991">
        <v>1043</v>
      </c>
      <c r="B991" t="s">
        <v>2684</v>
      </c>
      <c r="C991">
        <v>2</v>
      </c>
      <c r="D991" t="s">
        <v>2685</v>
      </c>
      <c r="E991">
        <v>6</v>
      </c>
      <c r="F991">
        <v>6</v>
      </c>
      <c r="G991">
        <v>6</v>
      </c>
      <c r="H991" t="s">
        <v>2686</v>
      </c>
      <c r="I991">
        <v>26.7</v>
      </c>
      <c r="J991">
        <v>36.024999999999999</v>
      </c>
      <c r="K991" t="str">
        <f>"ACADSB"</f>
        <v>ACADSB</v>
      </c>
      <c r="L991" t="str">
        <f>"ACADSB"</f>
        <v>ACADSB</v>
      </c>
      <c r="M991">
        <v>0</v>
      </c>
      <c r="N991">
        <v>0</v>
      </c>
      <c r="O991">
        <v>60824000</v>
      </c>
      <c r="P991">
        <v>0</v>
      </c>
      <c r="Q991">
        <v>42319000</v>
      </c>
      <c r="R991">
        <v>79080000</v>
      </c>
      <c r="S991">
        <v>87738000</v>
      </c>
      <c r="T991">
        <v>0</v>
      </c>
      <c r="U991">
        <v>35449000</v>
      </c>
      <c r="V991">
        <v>0</v>
      </c>
      <c r="W991">
        <v>0</v>
      </c>
      <c r="X991">
        <v>0</v>
      </c>
    </row>
    <row r="992" spans="1:24">
      <c r="A992">
        <v>1172</v>
      </c>
      <c r="B992" t="s">
        <v>2687</v>
      </c>
      <c r="C992">
        <v>2</v>
      </c>
      <c r="D992" t="s">
        <v>2688</v>
      </c>
      <c r="E992">
        <v>5</v>
      </c>
      <c r="F992">
        <v>5</v>
      </c>
      <c r="G992">
        <v>5</v>
      </c>
      <c r="H992" t="s">
        <v>2689</v>
      </c>
      <c r="I992">
        <v>5.7</v>
      </c>
      <c r="J992">
        <v>118.32</v>
      </c>
      <c r="K992" t="str">
        <f>"SEC24C"</f>
        <v>SEC24C</v>
      </c>
      <c r="L992" t="str">
        <f>"SEC24C"</f>
        <v>SEC24C</v>
      </c>
      <c r="M992">
        <v>0</v>
      </c>
      <c r="N992">
        <v>37532000</v>
      </c>
      <c r="O992">
        <v>66632000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81438000</v>
      </c>
      <c r="V992">
        <v>0</v>
      </c>
      <c r="W992">
        <v>194690000</v>
      </c>
      <c r="X992">
        <v>95408000</v>
      </c>
    </row>
    <row r="993" spans="1:24">
      <c r="A993">
        <v>1338</v>
      </c>
      <c r="B993" t="s">
        <v>2690</v>
      </c>
      <c r="C993">
        <v>1</v>
      </c>
      <c r="D993" t="s">
        <v>2691</v>
      </c>
      <c r="E993">
        <v>8</v>
      </c>
      <c r="F993">
        <v>8</v>
      </c>
      <c r="G993">
        <v>8</v>
      </c>
      <c r="H993" t="s">
        <v>2690</v>
      </c>
      <c r="I993">
        <v>35.700000000000003</v>
      </c>
      <c r="J993">
        <v>25.177</v>
      </c>
      <c r="K993" t="str">
        <f>"FKBP3"</f>
        <v>FKBP3</v>
      </c>
      <c r="L993" t="str">
        <f>"FKBP3"</f>
        <v>FKBP3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94215000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</row>
    <row r="994" spans="1:24">
      <c r="A994">
        <v>1539</v>
      </c>
      <c r="B994" t="s">
        <v>2692</v>
      </c>
      <c r="C994">
        <v>1</v>
      </c>
      <c r="D994" t="s">
        <v>2693</v>
      </c>
      <c r="E994">
        <v>8</v>
      </c>
      <c r="F994">
        <v>8</v>
      </c>
      <c r="G994">
        <v>8</v>
      </c>
      <c r="H994" t="s">
        <v>2692</v>
      </c>
      <c r="I994">
        <v>42.7</v>
      </c>
      <c r="J994">
        <v>21.995000000000001</v>
      </c>
      <c r="K994" t="str">
        <f>"PMVK"</f>
        <v>PMVK</v>
      </c>
      <c r="L994" t="str">
        <f>"PMVK"</f>
        <v>PMVK</v>
      </c>
      <c r="M994">
        <v>0</v>
      </c>
      <c r="N994">
        <v>81661000</v>
      </c>
      <c r="O994">
        <v>124930000</v>
      </c>
      <c r="P994">
        <v>120100000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84200000</v>
      </c>
      <c r="W994">
        <v>0</v>
      </c>
      <c r="X994">
        <v>158050000</v>
      </c>
    </row>
    <row r="995" spans="1:24">
      <c r="A995">
        <v>1605</v>
      </c>
      <c r="B995" t="s">
        <v>2694</v>
      </c>
      <c r="C995">
        <v>7</v>
      </c>
      <c r="D995" t="s">
        <v>2695</v>
      </c>
      <c r="E995">
        <v>9</v>
      </c>
      <c r="F995">
        <v>9</v>
      </c>
      <c r="G995">
        <v>9</v>
      </c>
      <c r="H995" t="s">
        <v>2696</v>
      </c>
      <c r="I995">
        <v>27.1</v>
      </c>
      <c r="J995">
        <v>54.753</v>
      </c>
      <c r="K995" t="str">
        <f>"TXNRD1"</f>
        <v>TXNRD1</v>
      </c>
      <c r="L995" t="str">
        <f>"TXNRD1"</f>
        <v>TXNRD1</v>
      </c>
      <c r="M995">
        <v>0</v>
      </c>
      <c r="N995">
        <v>55111000</v>
      </c>
      <c r="O995">
        <v>64993000</v>
      </c>
      <c r="P995">
        <v>82562000</v>
      </c>
      <c r="Q995">
        <v>0</v>
      </c>
      <c r="R995">
        <v>96390000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</row>
    <row r="996" spans="1:24">
      <c r="A996">
        <v>1802</v>
      </c>
      <c r="B996" t="s">
        <v>2697</v>
      </c>
      <c r="C996">
        <v>1</v>
      </c>
      <c r="D996" t="s">
        <v>2698</v>
      </c>
      <c r="E996">
        <v>7</v>
      </c>
      <c r="F996">
        <v>7</v>
      </c>
      <c r="G996">
        <v>7</v>
      </c>
      <c r="H996" t="s">
        <v>2697</v>
      </c>
      <c r="I996">
        <v>22.8</v>
      </c>
      <c r="J996">
        <v>47.151000000000003</v>
      </c>
      <c r="K996" t="str">
        <f>"SCCPDH"</f>
        <v>SCCPDH</v>
      </c>
      <c r="L996" t="str">
        <f>"SCCPDH"</f>
        <v>SCCPDH</v>
      </c>
      <c r="M996">
        <v>0</v>
      </c>
      <c r="N996">
        <v>0</v>
      </c>
      <c r="O996">
        <v>101840000</v>
      </c>
      <c r="P996">
        <v>143170000</v>
      </c>
      <c r="Q996">
        <v>0</v>
      </c>
      <c r="R996">
        <v>0</v>
      </c>
      <c r="S996">
        <v>66612000</v>
      </c>
      <c r="T996">
        <v>0</v>
      </c>
      <c r="U996">
        <v>106790000</v>
      </c>
      <c r="V996">
        <v>128190000</v>
      </c>
      <c r="W996">
        <v>0</v>
      </c>
      <c r="X996">
        <v>0</v>
      </c>
    </row>
    <row r="997" spans="1:24">
      <c r="A997">
        <v>1831</v>
      </c>
      <c r="B997" t="s">
        <v>2699</v>
      </c>
      <c r="C997">
        <v>2</v>
      </c>
      <c r="D997" t="s">
        <v>2700</v>
      </c>
      <c r="E997">
        <v>10</v>
      </c>
      <c r="F997">
        <v>10</v>
      </c>
      <c r="G997">
        <v>10</v>
      </c>
      <c r="H997" t="s">
        <v>2701</v>
      </c>
      <c r="I997">
        <v>10.5</v>
      </c>
      <c r="J997">
        <v>107.17</v>
      </c>
      <c r="K997" t="str">
        <f>"NEK9"</f>
        <v>NEK9</v>
      </c>
      <c r="L997" t="str">
        <f>"NEK9"</f>
        <v>NEK9</v>
      </c>
      <c r="M997">
        <v>0</v>
      </c>
      <c r="N997">
        <v>0</v>
      </c>
      <c r="O997">
        <v>67214000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</row>
    <row r="998" spans="1:24">
      <c r="A998">
        <v>1928</v>
      </c>
      <c r="B998" t="s">
        <v>2702</v>
      </c>
      <c r="C998">
        <v>1</v>
      </c>
      <c r="D998" t="s">
        <v>2703</v>
      </c>
      <c r="E998">
        <v>3</v>
      </c>
      <c r="F998">
        <v>3</v>
      </c>
      <c r="G998">
        <v>2</v>
      </c>
      <c r="H998" t="s">
        <v>2702</v>
      </c>
      <c r="I998">
        <v>25.8</v>
      </c>
      <c r="J998">
        <v>10.35</v>
      </c>
      <c r="K998" t="str">
        <f>"DYNLL2"</f>
        <v>DYNLL2</v>
      </c>
      <c r="L998" t="str">
        <f>"DYNLL2"</f>
        <v>DYNLL2</v>
      </c>
      <c r="M998">
        <v>107880000</v>
      </c>
      <c r="N998">
        <v>57705000</v>
      </c>
      <c r="O998">
        <v>0</v>
      </c>
      <c r="P998">
        <v>121910000</v>
      </c>
      <c r="Q998">
        <v>0</v>
      </c>
      <c r="R998">
        <v>218590000</v>
      </c>
      <c r="S998">
        <v>0</v>
      </c>
      <c r="T998">
        <v>207680000</v>
      </c>
      <c r="U998">
        <v>0</v>
      </c>
      <c r="V998">
        <v>159710000</v>
      </c>
      <c r="W998">
        <v>0</v>
      </c>
      <c r="X998">
        <v>0</v>
      </c>
    </row>
    <row r="999" spans="1:24">
      <c r="A999">
        <v>2224</v>
      </c>
      <c r="B999" t="s">
        <v>2704</v>
      </c>
      <c r="C999">
        <v>2</v>
      </c>
      <c r="D999" t="s">
        <v>2705</v>
      </c>
      <c r="E999">
        <v>7</v>
      </c>
      <c r="F999">
        <v>7</v>
      </c>
      <c r="G999">
        <v>7</v>
      </c>
      <c r="H999" t="s">
        <v>2706</v>
      </c>
      <c r="I999">
        <v>17.7</v>
      </c>
      <c r="J999">
        <v>48.039000000000001</v>
      </c>
      <c r="K999" t="str">
        <f>"SUCLA2"</f>
        <v>SUCLA2</v>
      </c>
      <c r="L999" t="str">
        <f>"SUCLA2"</f>
        <v>SUCLA2</v>
      </c>
      <c r="M999">
        <v>0</v>
      </c>
      <c r="N999">
        <v>54870000</v>
      </c>
      <c r="O999">
        <v>53135000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51834000</v>
      </c>
      <c r="V999">
        <v>0</v>
      </c>
      <c r="W999">
        <v>0</v>
      </c>
      <c r="X999">
        <v>0</v>
      </c>
    </row>
    <row r="1000" spans="1:24">
      <c r="A1000">
        <v>2360</v>
      </c>
      <c r="B1000" t="s">
        <v>2707</v>
      </c>
      <c r="C1000">
        <v>1</v>
      </c>
      <c r="D1000" t="s">
        <v>2708</v>
      </c>
      <c r="E1000">
        <v>4</v>
      </c>
      <c r="F1000">
        <v>4</v>
      </c>
      <c r="G1000">
        <v>4</v>
      </c>
      <c r="H1000" t="s">
        <v>2707</v>
      </c>
      <c r="I1000">
        <v>8.6999999999999993</v>
      </c>
      <c r="J1000">
        <v>51.975999999999999</v>
      </c>
      <c r="K1000" t="str">
        <f>"SAMM50"</f>
        <v>SAMM50</v>
      </c>
      <c r="L1000" t="str">
        <f>"SAMM50"</f>
        <v>SAMM50</v>
      </c>
      <c r="M1000">
        <v>0</v>
      </c>
      <c r="N1000">
        <v>68595000</v>
      </c>
      <c r="O1000">
        <v>0</v>
      </c>
      <c r="P1000">
        <v>0</v>
      </c>
      <c r="Q1000">
        <v>0</v>
      </c>
      <c r="R1000">
        <v>48432000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>
      <c r="A1001">
        <v>75</v>
      </c>
      <c r="B1001" t="s">
        <v>2709</v>
      </c>
      <c r="C1001">
        <v>4</v>
      </c>
      <c r="D1001" t="s">
        <v>2710</v>
      </c>
      <c r="E1001">
        <v>10</v>
      </c>
      <c r="F1001">
        <v>10</v>
      </c>
      <c r="G1001">
        <v>10</v>
      </c>
      <c r="H1001" t="s">
        <v>2711</v>
      </c>
      <c r="I1001">
        <v>15.1</v>
      </c>
      <c r="J1001">
        <v>86.488</v>
      </c>
      <c r="K1001" t="str">
        <f>"VWA5A"</f>
        <v>VWA5A</v>
      </c>
      <c r="L1001" t="str">
        <f>"VWA5A"</f>
        <v>VWA5A</v>
      </c>
      <c r="M1001">
        <v>0</v>
      </c>
      <c r="N1001">
        <v>41693000</v>
      </c>
      <c r="O1001">
        <v>46412000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</row>
    <row r="1002" spans="1:24">
      <c r="A1002">
        <v>977</v>
      </c>
      <c r="B1002" t="s">
        <v>2712</v>
      </c>
      <c r="C1002">
        <v>4</v>
      </c>
      <c r="D1002" t="s">
        <v>2713</v>
      </c>
      <c r="E1002">
        <v>6</v>
      </c>
      <c r="F1002">
        <v>6</v>
      </c>
      <c r="G1002">
        <v>6</v>
      </c>
      <c r="H1002" t="s">
        <v>2714</v>
      </c>
      <c r="I1002">
        <v>27.5</v>
      </c>
      <c r="J1002">
        <v>23.587</v>
      </c>
      <c r="K1002" t="str">
        <f>"ATP6V1E1;ATP6V1E2"</f>
        <v>ATP6V1E1;ATP6V1E2</v>
      </c>
      <c r="L1002" t="str">
        <f>"ATP6V1E1;ATP6V1E2"</f>
        <v>ATP6V1E1;ATP6V1E2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</row>
    <row r="1003" spans="1:24">
      <c r="A1003">
        <v>1022</v>
      </c>
      <c r="B1003" t="s">
        <v>2715</v>
      </c>
      <c r="C1003">
        <v>2</v>
      </c>
      <c r="D1003" t="s">
        <v>2716</v>
      </c>
      <c r="E1003">
        <v>12</v>
      </c>
      <c r="F1003">
        <v>12</v>
      </c>
      <c r="G1003">
        <v>12</v>
      </c>
      <c r="H1003" t="s">
        <v>2717</v>
      </c>
      <c r="I1003">
        <v>13.6</v>
      </c>
      <c r="J1003">
        <v>122.76</v>
      </c>
      <c r="K1003" t="str">
        <f>"PIK3CB;PIK3CD"</f>
        <v>PIK3CB;PIK3CD</v>
      </c>
      <c r="L1003" t="str">
        <f>"PIK3CB;PIK3CD"</f>
        <v>PIK3CB;PIK3CD</v>
      </c>
      <c r="M1003">
        <v>0</v>
      </c>
      <c r="N1003">
        <v>55313000</v>
      </c>
      <c r="O1003">
        <v>0</v>
      </c>
      <c r="P1003">
        <v>0</v>
      </c>
      <c r="Q1003">
        <v>0</v>
      </c>
      <c r="R1003">
        <v>56352000</v>
      </c>
      <c r="S1003">
        <v>0</v>
      </c>
      <c r="T1003">
        <v>61653000</v>
      </c>
      <c r="U1003">
        <v>0</v>
      </c>
      <c r="V1003">
        <v>53870000</v>
      </c>
      <c r="W1003">
        <v>0</v>
      </c>
      <c r="X1003">
        <v>57148000</v>
      </c>
    </row>
    <row r="1004" spans="1:24">
      <c r="A1004">
        <v>1132</v>
      </c>
      <c r="B1004" t="s">
        <v>2718</v>
      </c>
      <c r="C1004">
        <v>1</v>
      </c>
      <c r="D1004" t="s">
        <v>2719</v>
      </c>
      <c r="E1004">
        <v>5</v>
      </c>
      <c r="F1004">
        <v>5</v>
      </c>
      <c r="G1004">
        <v>5</v>
      </c>
      <c r="H1004" t="s">
        <v>2718</v>
      </c>
      <c r="I1004">
        <v>36.4</v>
      </c>
      <c r="J1004">
        <v>18.998000000000001</v>
      </c>
      <c r="K1004" t="str">
        <f>"SSR4"</f>
        <v>SSR4</v>
      </c>
      <c r="L1004" t="str">
        <f>"SSR4"</f>
        <v>SSR4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77980000</v>
      </c>
      <c r="S1004">
        <v>101510000</v>
      </c>
      <c r="T1004">
        <v>0</v>
      </c>
      <c r="U1004">
        <v>0</v>
      </c>
      <c r="V1004">
        <v>0</v>
      </c>
      <c r="W1004">
        <v>71565000</v>
      </c>
      <c r="X1004">
        <v>86686000</v>
      </c>
    </row>
    <row r="1005" spans="1:24">
      <c r="A1005">
        <v>1246</v>
      </c>
      <c r="B1005" t="s">
        <v>2720</v>
      </c>
      <c r="C1005">
        <v>1</v>
      </c>
      <c r="D1005" t="s">
        <v>2721</v>
      </c>
      <c r="E1005">
        <v>4</v>
      </c>
      <c r="F1005">
        <v>4</v>
      </c>
      <c r="G1005">
        <v>4</v>
      </c>
      <c r="H1005" t="s">
        <v>2720</v>
      </c>
      <c r="I1005">
        <v>29.4</v>
      </c>
      <c r="J1005">
        <v>10.932</v>
      </c>
      <c r="K1005" t="str">
        <f>"HSPE1"</f>
        <v>HSPE1</v>
      </c>
      <c r="L1005" t="str">
        <f>"HSPE1"</f>
        <v>HSPE1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176970000</v>
      </c>
      <c r="S1005">
        <v>0</v>
      </c>
      <c r="T1005">
        <v>0</v>
      </c>
      <c r="U1005">
        <v>182880000</v>
      </c>
      <c r="V1005">
        <v>161600000</v>
      </c>
      <c r="W1005">
        <v>0</v>
      </c>
      <c r="X1005">
        <v>0</v>
      </c>
    </row>
    <row r="1006" spans="1:24">
      <c r="A1006">
        <v>1288</v>
      </c>
      <c r="B1006" t="s">
        <v>2722</v>
      </c>
      <c r="C1006">
        <v>1</v>
      </c>
      <c r="D1006" t="s">
        <v>2723</v>
      </c>
      <c r="E1006">
        <v>3</v>
      </c>
      <c r="F1006">
        <v>2</v>
      </c>
      <c r="G1006">
        <v>2</v>
      </c>
      <c r="H1006" t="s">
        <v>2722</v>
      </c>
      <c r="I1006">
        <v>27</v>
      </c>
      <c r="J1006">
        <v>10.366</v>
      </c>
      <c r="K1006" t="str">
        <f>"DYNLL1"</f>
        <v>DYNLL1</v>
      </c>
      <c r="L1006" t="str">
        <f>"DYNLL1"</f>
        <v>DYNLL1</v>
      </c>
      <c r="M1006">
        <v>0</v>
      </c>
      <c r="N1006">
        <v>69953000</v>
      </c>
      <c r="O1006">
        <v>90497000</v>
      </c>
      <c r="P1006">
        <v>191800000</v>
      </c>
      <c r="Q1006">
        <v>73426000</v>
      </c>
      <c r="R1006">
        <v>175030000</v>
      </c>
      <c r="S1006">
        <v>106790000</v>
      </c>
      <c r="T1006">
        <v>135560000</v>
      </c>
      <c r="U1006">
        <v>100770000</v>
      </c>
      <c r="V1006">
        <v>151060000</v>
      </c>
      <c r="W1006">
        <v>0</v>
      </c>
      <c r="X1006">
        <v>0</v>
      </c>
    </row>
    <row r="1007" spans="1:24">
      <c r="A1007">
        <v>1340</v>
      </c>
      <c r="B1007" t="s">
        <v>2724</v>
      </c>
      <c r="C1007">
        <v>2</v>
      </c>
      <c r="D1007" t="s">
        <v>2725</v>
      </c>
      <c r="E1007">
        <v>6</v>
      </c>
      <c r="F1007">
        <v>6</v>
      </c>
      <c r="G1007">
        <v>6</v>
      </c>
      <c r="H1007" t="s">
        <v>2726</v>
      </c>
      <c r="I1007">
        <v>24.9</v>
      </c>
      <c r="J1007">
        <v>21.492999999999999</v>
      </c>
      <c r="K1007" t="str">
        <f>"REEP5"</f>
        <v>REEP5</v>
      </c>
      <c r="L1007" t="str">
        <f>"REEP5"</f>
        <v>REEP5</v>
      </c>
      <c r="M1007">
        <v>0</v>
      </c>
      <c r="N1007">
        <v>0</v>
      </c>
      <c r="O1007">
        <v>0</v>
      </c>
      <c r="P1007">
        <v>0</v>
      </c>
      <c r="Q1007">
        <v>55494000</v>
      </c>
      <c r="R1007">
        <v>0</v>
      </c>
      <c r="S1007">
        <v>0</v>
      </c>
      <c r="T1007">
        <v>0</v>
      </c>
      <c r="U1007">
        <v>0</v>
      </c>
      <c r="V1007">
        <v>70809000</v>
      </c>
      <c r="W1007">
        <v>0</v>
      </c>
      <c r="X1007">
        <v>74406000</v>
      </c>
    </row>
    <row r="1008" spans="1:24">
      <c r="A1008">
        <v>1408</v>
      </c>
      <c r="B1008" t="s">
        <v>2727</v>
      </c>
      <c r="C1008">
        <v>5</v>
      </c>
      <c r="D1008" t="s">
        <v>2728</v>
      </c>
      <c r="E1008">
        <v>8</v>
      </c>
      <c r="F1008">
        <v>8</v>
      </c>
      <c r="G1008">
        <v>8</v>
      </c>
      <c r="H1008" t="s">
        <v>2729</v>
      </c>
      <c r="I1008">
        <v>19.8</v>
      </c>
      <c r="J1008">
        <v>53.722000000000001</v>
      </c>
      <c r="K1008" t="str">
        <f>"EFEMP1"</f>
        <v>EFEMP1</v>
      </c>
      <c r="L1008" t="str">
        <f>"EFEMP1"</f>
        <v>EFEMP1</v>
      </c>
      <c r="M1008">
        <v>0</v>
      </c>
      <c r="N1008">
        <v>77085000</v>
      </c>
      <c r="O1008">
        <v>61673000</v>
      </c>
      <c r="P1008">
        <v>0</v>
      </c>
      <c r="Q1008">
        <v>0</v>
      </c>
      <c r="R1008">
        <v>65533000</v>
      </c>
      <c r="S1008">
        <v>52216000</v>
      </c>
      <c r="T1008">
        <v>69726000</v>
      </c>
      <c r="U1008">
        <v>0</v>
      </c>
      <c r="V1008">
        <v>94210000</v>
      </c>
      <c r="W1008">
        <v>0</v>
      </c>
      <c r="X1008">
        <v>0</v>
      </c>
    </row>
    <row r="1009" spans="1:24">
      <c r="A1009">
        <v>1741</v>
      </c>
      <c r="B1009" t="s">
        <v>2730</v>
      </c>
      <c r="C1009">
        <v>2</v>
      </c>
      <c r="D1009" t="s">
        <v>2731</v>
      </c>
      <c r="E1009">
        <v>7</v>
      </c>
      <c r="F1009">
        <v>7</v>
      </c>
      <c r="G1009">
        <v>7</v>
      </c>
      <c r="H1009" t="s">
        <v>2732</v>
      </c>
      <c r="I1009">
        <v>8</v>
      </c>
      <c r="J1009">
        <v>107.61</v>
      </c>
      <c r="K1009" t="str">
        <f>"NLRX1"</f>
        <v>NLRX1</v>
      </c>
      <c r="L1009" t="str">
        <f>"NLRX1"</f>
        <v>NLRX1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92401000</v>
      </c>
    </row>
    <row r="1010" spans="1:24">
      <c r="A1010">
        <v>1791</v>
      </c>
      <c r="B1010" t="s">
        <v>2733</v>
      </c>
      <c r="C1010">
        <v>1</v>
      </c>
      <c r="D1010" t="s">
        <v>2734</v>
      </c>
      <c r="E1010">
        <v>6</v>
      </c>
      <c r="F1010">
        <v>6</v>
      </c>
      <c r="G1010">
        <v>6</v>
      </c>
      <c r="H1010" t="s">
        <v>2733</v>
      </c>
      <c r="I1010">
        <v>42.2</v>
      </c>
      <c r="J1010">
        <v>15.278</v>
      </c>
      <c r="K1010" t="str">
        <f>"CISD2"</f>
        <v>CISD2</v>
      </c>
      <c r="L1010" t="str">
        <f>"CISD2"</f>
        <v>CISD2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53294000</v>
      </c>
      <c r="S1010">
        <v>0</v>
      </c>
      <c r="T1010">
        <v>0</v>
      </c>
      <c r="U1010">
        <v>0</v>
      </c>
      <c r="V1010">
        <v>64787000</v>
      </c>
      <c r="W1010">
        <v>0</v>
      </c>
      <c r="X1010">
        <v>0</v>
      </c>
    </row>
    <row r="1011" spans="1:24">
      <c r="A1011">
        <v>1795</v>
      </c>
      <c r="B1011" t="s">
        <v>2735</v>
      </c>
      <c r="C1011">
        <v>2</v>
      </c>
      <c r="D1011" t="s">
        <v>2736</v>
      </c>
      <c r="E1011">
        <v>11</v>
      </c>
      <c r="F1011">
        <v>11</v>
      </c>
      <c r="G1011">
        <v>11</v>
      </c>
      <c r="H1011" t="s">
        <v>2737</v>
      </c>
      <c r="I1011">
        <v>27.5</v>
      </c>
      <c r="J1011">
        <v>47.947000000000003</v>
      </c>
      <c r="K1011" t="str">
        <f>"TC2N"</f>
        <v>TC2N</v>
      </c>
      <c r="L1011" t="str">
        <f>"TC2N"</f>
        <v>TC2N</v>
      </c>
      <c r="M1011">
        <v>0</v>
      </c>
      <c r="N1011">
        <v>0</v>
      </c>
      <c r="O1011">
        <v>0</v>
      </c>
      <c r="P1011">
        <v>93618000</v>
      </c>
      <c r="Q1011">
        <v>0</v>
      </c>
      <c r="R1011">
        <v>93614000</v>
      </c>
      <c r="S1011">
        <v>0</v>
      </c>
      <c r="T1011">
        <v>0</v>
      </c>
      <c r="U1011">
        <v>88914000</v>
      </c>
      <c r="V1011">
        <v>0</v>
      </c>
      <c r="W1011">
        <v>116760000</v>
      </c>
      <c r="X1011">
        <v>113760000</v>
      </c>
    </row>
    <row r="1012" spans="1:24">
      <c r="A1012">
        <v>1850</v>
      </c>
      <c r="B1012" t="s">
        <v>2738</v>
      </c>
      <c r="C1012">
        <v>2</v>
      </c>
      <c r="D1012" t="s">
        <v>2739</v>
      </c>
      <c r="E1012">
        <v>8</v>
      </c>
      <c r="F1012">
        <v>8</v>
      </c>
      <c r="G1012">
        <v>8</v>
      </c>
      <c r="H1012" t="s">
        <v>2740</v>
      </c>
      <c r="I1012">
        <v>9.8000000000000007</v>
      </c>
      <c r="J1012">
        <v>101.16</v>
      </c>
      <c r="K1012" t="str">
        <f>"STON2"</f>
        <v>STON2</v>
      </c>
      <c r="L1012" t="str">
        <f>"STON2"</f>
        <v>STON2</v>
      </c>
      <c r="M1012">
        <v>0</v>
      </c>
      <c r="N1012">
        <v>0</v>
      </c>
      <c r="O1012">
        <v>74440000</v>
      </c>
      <c r="P1012">
        <v>0</v>
      </c>
      <c r="Q1012">
        <v>0</v>
      </c>
      <c r="R1012">
        <v>49596000</v>
      </c>
      <c r="S1012">
        <v>0</v>
      </c>
      <c r="T1012">
        <v>0</v>
      </c>
      <c r="U1012">
        <v>0</v>
      </c>
      <c r="V1012">
        <v>0</v>
      </c>
      <c r="W1012">
        <v>88269000</v>
      </c>
      <c r="X1012">
        <v>70563000</v>
      </c>
    </row>
    <row r="1013" spans="1:24">
      <c r="A1013">
        <v>2073</v>
      </c>
      <c r="B1013" t="s">
        <v>2741</v>
      </c>
      <c r="C1013">
        <v>2</v>
      </c>
      <c r="D1013" t="s">
        <v>2742</v>
      </c>
      <c r="E1013">
        <v>8</v>
      </c>
      <c r="F1013">
        <v>8</v>
      </c>
      <c r="G1013">
        <v>8</v>
      </c>
      <c r="H1013" t="s">
        <v>2743</v>
      </c>
      <c r="I1013">
        <v>33.9</v>
      </c>
      <c r="J1013">
        <v>30.280999999999999</v>
      </c>
      <c r="K1013" t="str">
        <f>"TOLLIP"</f>
        <v>TOLLIP</v>
      </c>
      <c r="L1013" t="str">
        <f>"TOLLIP"</f>
        <v>TOLLIP</v>
      </c>
      <c r="M1013">
        <v>0</v>
      </c>
      <c r="N1013">
        <v>0</v>
      </c>
      <c r="O1013">
        <v>0</v>
      </c>
      <c r="P1013">
        <v>53766000</v>
      </c>
      <c r="Q1013">
        <v>0</v>
      </c>
      <c r="R1013">
        <v>0</v>
      </c>
      <c r="S1013">
        <v>0</v>
      </c>
      <c r="T1013">
        <v>47637000</v>
      </c>
      <c r="U1013">
        <v>0</v>
      </c>
      <c r="V1013">
        <v>40703000</v>
      </c>
      <c r="W1013">
        <v>0</v>
      </c>
      <c r="X1013">
        <v>0</v>
      </c>
    </row>
    <row r="1014" spans="1:24">
      <c r="A1014">
        <v>2152</v>
      </c>
      <c r="B1014" t="s">
        <v>2744</v>
      </c>
      <c r="C1014">
        <v>2</v>
      </c>
      <c r="D1014" t="s">
        <v>2745</v>
      </c>
      <c r="E1014">
        <v>7</v>
      </c>
      <c r="F1014">
        <v>6</v>
      </c>
      <c r="G1014">
        <v>6</v>
      </c>
      <c r="H1014" t="s">
        <v>2746</v>
      </c>
      <c r="I1014">
        <v>19.7</v>
      </c>
      <c r="J1014">
        <v>43.972999999999999</v>
      </c>
      <c r="K1014" t="str">
        <f>"SH3GLB2"</f>
        <v>SH3GLB2</v>
      </c>
      <c r="L1014" t="str">
        <f>"SH3GLB2"</f>
        <v>SH3GLB2</v>
      </c>
      <c r="M1014">
        <v>0</v>
      </c>
      <c r="N1014">
        <v>25144000</v>
      </c>
      <c r="O1014">
        <v>17110000</v>
      </c>
      <c r="P1014">
        <v>0</v>
      </c>
      <c r="Q1014">
        <v>0</v>
      </c>
      <c r="R1014">
        <v>40495000</v>
      </c>
      <c r="S1014">
        <v>0</v>
      </c>
      <c r="T1014">
        <v>0</v>
      </c>
      <c r="U1014">
        <v>0</v>
      </c>
      <c r="V1014">
        <v>43986000</v>
      </c>
      <c r="W1014">
        <v>0</v>
      </c>
      <c r="X1014">
        <v>0</v>
      </c>
    </row>
    <row r="1015" spans="1:24">
      <c r="A1015">
        <v>62</v>
      </c>
      <c r="B1015" t="s">
        <v>2747</v>
      </c>
      <c r="C1015">
        <v>2</v>
      </c>
      <c r="D1015" t="s">
        <v>2748</v>
      </c>
      <c r="E1015">
        <v>7</v>
      </c>
      <c r="F1015">
        <v>7</v>
      </c>
      <c r="G1015">
        <v>7</v>
      </c>
      <c r="H1015" t="s">
        <v>2749</v>
      </c>
      <c r="I1015">
        <v>14.7</v>
      </c>
      <c r="J1015">
        <v>50.578000000000003</v>
      </c>
      <c r="K1015" t="str">
        <f>"PSMD12"</f>
        <v>PSMD12</v>
      </c>
      <c r="L1015" t="str">
        <f>"PSMD12"</f>
        <v>PSMD12</v>
      </c>
      <c r="M1015">
        <v>0</v>
      </c>
      <c r="N1015">
        <v>60995000</v>
      </c>
      <c r="O1015">
        <v>76131000</v>
      </c>
      <c r="P1015">
        <v>0</v>
      </c>
      <c r="Q1015">
        <v>0</v>
      </c>
      <c r="R1015">
        <v>65587000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57008000</v>
      </c>
    </row>
    <row r="1016" spans="1:24">
      <c r="A1016">
        <v>67</v>
      </c>
      <c r="B1016" t="s">
        <v>2750</v>
      </c>
      <c r="C1016">
        <v>2</v>
      </c>
      <c r="D1016" t="s">
        <v>2751</v>
      </c>
      <c r="E1016">
        <v>9</v>
      </c>
      <c r="F1016">
        <v>9</v>
      </c>
      <c r="G1016">
        <v>9</v>
      </c>
      <c r="H1016" t="s">
        <v>2752</v>
      </c>
      <c r="I1016">
        <v>20.399999999999999</v>
      </c>
      <c r="J1016">
        <v>66.86</v>
      </c>
      <c r="K1016" t="str">
        <f>"QSOX1"</f>
        <v>QSOX1</v>
      </c>
      <c r="L1016" t="str">
        <f>"QSOX1"</f>
        <v>QSOX1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85841000</v>
      </c>
      <c r="W1016">
        <v>167710000</v>
      </c>
      <c r="X1016">
        <v>0</v>
      </c>
    </row>
    <row r="1017" spans="1:24">
      <c r="A1017">
        <v>728</v>
      </c>
      <c r="B1017" t="s">
        <v>2753</v>
      </c>
      <c r="C1017">
        <v>2</v>
      </c>
      <c r="D1017" t="s">
        <v>2754</v>
      </c>
      <c r="E1017">
        <v>16</v>
      </c>
      <c r="F1017">
        <v>7</v>
      </c>
      <c r="G1017">
        <v>7</v>
      </c>
      <c r="H1017" t="s">
        <v>2755</v>
      </c>
      <c r="I1017">
        <v>28.2</v>
      </c>
      <c r="J1017">
        <v>40.588999999999999</v>
      </c>
      <c r="K1017" t="str">
        <f>"PRKACA"</f>
        <v>PRKACA</v>
      </c>
      <c r="L1017" t="str">
        <f>"PRKACA"</f>
        <v>PRKACA</v>
      </c>
      <c r="M1017">
        <v>0</v>
      </c>
      <c r="N1017">
        <v>0</v>
      </c>
      <c r="O1017">
        <v>95986000</v>
      </c>
      <c r="P1017">
        <v>0</v>
      </c>
      <c r="Q1017">
        <v>0</v>
      </c>
      <c r="R1017">
        <v>87241000</v>
      </c>
      <c r="S1017">
        <v>61568000</v>
      </c>
      <c r="T1017">
        <v>0</v>
      </c>
      <c r="U1017">
        <v>122870000</v>
      </c>
      <c r="V1017">
        <v>0</v>
      </c>
      <c r="W1017">
        <v>0</v>
      </c>
      <c r="X1017">
        <v>165270000</v>
      </c>
    </row>
    <row r="1018" spans="1:24">
      <c r="A1018">
        <v>1081</v>
      </c>
      <c r="B1018" t="s">
        <v>2756</v>
      </c>
      <c r="C1018">
        <v>1</v>
      </c>
      <c r="D1018" t="s">
        <v>2757</v>
      </c>
      <c r="E1018">
        <v>4</v>
      </c>
      <c r="F1018">
        <v>4</v>
      </c>
      <c r="G1018">
        <v>4</v>
      </c>
      <c r="H1018" t="s">
        <v>2756</v>
      </c>
      <c r="I1018">
        <v>17.399999999999999</v>
      </c>
      <c r="J1018">
        <v>33.268999999999998</v>
      </c>
      <c r="K1018" t="str">
        <f>"RPIA"</f>
        <v>RPIA</v>
      </c>
      <c r="L1018" t="str">
        <f>"RPIA"</f>
        <v>RPIA</v>
      </c>
      <c r="M1018">
        <v>0</v>
      </c>
      <c r="N1018">
        <v>54549000</v>
      </c>
      <c r="O1018">
        <v>0</v>
      </c>
      <c r="P1018">
        <v>0</v>
      </c>
      <c r="Q1018">
        <v>0</v>
      </c>
      <c r="R1018">
        <v>58926000</v>
      </c>
      <c r="S1018">
        <v>0</v>
      </c>
      <c r="T1018">
        <v>0</v>
      </c>
      <c r="U1018">
        <v>72123000</v>
      </c>
      <c r="V1018">
        <v>66857000</v>
      </c>
      <c r="W1018">
        <v>0</v>
      </c>
      <c r="X1018">
        <v>0</v>
      </c>
    </row>
    <row r="1019" spans="1:24">
      <c r="A1019">
        <v>1101</v>
      </c>
      <c r="B1019" t="s">
        <v>2758</v>
      </c>
      <c r="C1019">
        <v>1</v>
      </c>
      <c r="D1019" t="s">
        <v>2759</v>
      </c>
      <c r="E1019">
        <v>5</v>
      </c>
      <c r="F1019">
        <v>5</v>
      </c>
      <c r="G1019">
        <v>5</v>
      </c>
      <c r="H1019" t="s">
        <v>2758</v>
      </c>
      <c r="I1019">
        <v>71.400000000000006</v>
      </c>
      <c r="J1019">
        <v>13.802</v>
      </c>
      <c r="K1019" t="str">
        <f>"HINT1"</f>
        <v>HINT1</v>
      </c>
      <c r="L1019" t="str">
        <f>"HINT1"</f>
        <v>HINT1</v>
      </c>
      <c r="M1019">
        <v>85242000</v>
      </c>
      <c r="N1019">
        <v>0</v>
      </c>
      <c r="O1019">
        <v>69902000</v>
      </c>
      <c r="P1019">
        <v>119330000</v>
      </c>
      <c r="Q1019">
        <v>0</v>
      </c>
      <c r="R1019">
        <v>178050000</v>
      </c>
      <c r="S1019">
        <v>0</v>
      </c>
      <c r="T1019">
        <v>94012000</v>
      </c>
      <c r="U1019">
        <v>0</v>
      </c>
      <c r="V1019">
        <v>132050000</v>
      </c>
      <c r="W1019">
        <v>0</v>
      </c>
      <c r="X1019">
        <v>0</v>
      </c>
    </row>
    <row r="1020" spans="1:24">
      <c r="A1020">
        <v>1309</v>
      </c>
      <c r="B1020" t="s">
        <v>2760</v>
      </c>
      <c r="C1020">
        <v>5</v>
      </c>
      <c r="D1020" t="s">
        <v>2761</v>
      </c>
      <c r="E1020">
        <v>5</v>
      </c>
      <c r="F1020">
        <v>5</v>
      </c>
      <c r="G1020">
        <v>5</v>
      </c>
      <c r="H1020" t="s">
        <v>2762</v>
      </c>
      <c r="I1020">
        <v>25</v>
      </c>
      <c r="J1020">
        <v>15.388</v>
      </c>
      <c r="K1020" t="str">
        <f>"HIST2H3A;HIST3H3;H3F3A;HIST1H3A;H3F3C"</f>
        <v>HIST2H3A;HIST3H3;H3F3A;HIST1H3A;H3F3C</v>
      </c>
      <c r="L1020" t="str">
        <f>"HIST2H3A;HIST3H3;H3F3A;HIST1H3A;H3F3C"</f>
        <v>HIST2H3A;HIST3H3;H3F3A;HIST1H3A;H3F3C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3735500000</v>
      </c>
      <c r="S1020">
        <v>209830000</v>
      </c>
      <c r="T1020">
        <v>0</v>
      </c>
      <c r="U1020">
        <v>293070000</v>
      </c>
      <c r="V1020">
        <v>0</v>
      </c>
      <c r="W1020">
        <v>72311000</v>
      </c>
      <c r="X1020">
        <v>0</v>
      </c>
    </row>
    <row r="1021" spans="1:24">
      <c r="A1021">
        <v>1544</v>
      </c>
      <c r="B1021" t="s">
        <v>2763</v>
      </c>
      <c r="C1021">
        <v>4</v>
      </c>
      <c r="D1021" t="s">
        <v>2764</v>
      </c>
      <c r="E1021">
        <v>6</v>
      </c>
      <c r="F1021">
        <v>6</v>
      </c>
      <c r="G1021">
        <v>6</v>
      </c>
      <c r="H1021" t="s">
        <v>2765</v>
      </c>
      <c r="I1021">
        <v>43.9</v>
      </c>
      <c r="J1021">
        <v>16.475999999999999</v>
      </c>
      <c r="K1021" t="str">
        <f>"PTGES3"</f>
        <v>PTGES3</v>
      </c>
      <c r="L1021" t="str">
        <f>"PTGES3"</f>
        <v>PTGES3</v>
      </c>
      <c r="M1021">
        <v>0</v>
      </c>
      <c r="N1021">
        <v>125330000</v>
      </c>
      <c r="O1021">
        <v>111460000</v>
      </c>
      <c r="P1021">
        <v>0</v>
      </c>
      <c r="Q1021">
        <v>0</v>
      </c>
      <c r="R1021">
        <v>141970000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142430000</v>
      </c>
    </row>
    <row r="1022" spans="1:24">
      <c r="A1022">
        <v>1982</v>
      </c>
      <c r="B1022" t="s">
        <v>2766</v>
      </c>
      <c r="C1022">
        <v>2</v>
      </c>
      <c r="D1022" t="s">
        <v>2767</v>
      </c>
      <c r="E1022">
        <v>10</v>
      </c>
      <c r="F1022">
        <v>10</v>
      </c>
      <c r="G1022">
        <v>10</v>
      </c>
      <c r="H1022" t="s">
        <v>2768</v>
      </c>
      <c r="I1022">
        <v>15.8</v>
      </c>
      <c r="J1022">
        <v>102.26</v>
      </c>
      <c r="K1022" t="str">
        <f>"PSMD1"</f>
        <v>PSMD1</v>
      </c>
      <c r="L1022" t="str">
        <f>"PSMD1"</f>
        <v>PSMD1</v>
      </c>
      <c r="M1022">
        <v>0</v>
      </c>
      <c r="N1022">
        <v>105440000</v>
      </c>
      <c r="O1022">
        <v>78129000</v>
      </c>
      <c r="P1022">
        <v>0</v>
      </c>
      <c r="Q1022">
        <v>0</v>
      </c>
      <c r="R1022">
        <v>66992000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>
      <c r="A1023">
        <v>227</v>
      </c>
      <c r="B1023" t="s">
        <v>2769</v>
      </c>
      <c r="C1023">
        <v>1</v>
      </c>
      <c r="D1023" t="s">
        <v>2770</v>
      </c>
      <c r="E1023">
        <v>6</v>
      </c>
      <c r="F1023">
        <v>6</v>
      </c>
      <c r="G1023">
        <v>6</v>
      </c>
      <c r="H1023" t="s">
        <v>2769</v>
      </c>
      <c r="I1023">
        <v>14.3</v>
      </c>
      <c r="J1023">
        <v>39.640999999999998</v>
      </c>
      <c r="K1023" t="str">
        <f>"RP2"</f>
        <v>RP2</v>
      </c>
      <c r="L1023" t="str">
        <f>"RP2"</f>
        <v>RP2</v>
      </c>
      <c r="M1023">
        <v>0</v>
      </c>
      <c r="N1023">
        <v>108160000</v>
      </c>
      <c r="O1023">
        <v>90804000</v>
      </c>
      <c r="P1023">
        <v>77684000</v>
      </c>
      <c r="Q1023">
        <v>0</v>
      </c>
      <c r="R1023">
        <v>0</v>
      </c>
      <c r="S1023">
        <v>0</v>
      </c>
      <c r="T1023">
        <v>0</v>
      </c>
      <c r="U1023">
        <v>97847000</v>
      </c>
      <c r="V1023">
        <v>0</v>
      </c>
      <c r="W1023">
        <v>0</v>
      </c>
      <c r="X1023">
        <v>0</v>
      </c>
    </row>
    <row r="1024" spans="1:24">
      <c r="A1024">
        <v>336</v>
      </c>
      <c r="B1024" t="s">
        <v>2771</v>
      </c>
      <c r="C1024">
        <v>1</v>
      </c>
      <c r="D1024" t="s">
        <v>2772</v>
      </c>
      <c r="E1024">
        <v>1</v>
      </c>
      <c r="F1024">
        <v>1</v>
      </c>
      <c r="G1024">
        <v>1</v>
      </c>
      <c r="H1024" t="s">
        <v>2771</v>
      </c>
      <c r="I1024">
        <v>10.199999999999999</v>
      </c>
      <c r="J1024">
        <v>11.417999999999999</v>
      </c>
      <c r="K1024" t="s">
        <v>2773</v>
      </c>
      <c r="L1024" t="s">
        <v>2773</v>
      </c>
      <c r="M1024">
        <v>0</v>
      </c>
      <c r="N1024">
        <v>247650000</v>
      </c>
      <c r="O1024">
        <v>390600000</v>
      </c>
      <c r="P1024">
        <v>617050000</v>
      </c>
      <c r="Q1024">
        <v>1639500000</v>
      </c>
      <c r="R1024">
        <v>469460000</v>
      </c>
      <c r="S1024">
        <v>0</v>
      </c>
      <c r="T1024">
        <v>0</v>
      </c>
      <c r="U1024">
        <v>0</v>
      </c>
      <c r="V1024">
        <v>0</v>
      </c>
      <c r="W1024">
        <v>189480000</v>
      </c>
      <c r="X1024">
        <v>0</v>
      </c>
    </row>
    <row r="1025" spans="1:24">
      <c r="A1025">
        <v>510</v>
      </c>
      <c r="B1025" t="s">
        <v>2774</v>
      </c>
      <c r="C1025">
        <v>3</v>
      </c>
      <c r="D1025" t="s">
        <v>2775</v>
      </c>
      <c r="E1025">
        <v>4</v>
      </c>
      <c r="F1025">
        <v>4</v>
      </c>
      <c r="G1025">
        <v>4</v>
      </c>
      <c r="H1025" t="s">
        <v>2776</v>
      </c>
      <c r="I1025">
        <v>18</v>
      </c>
      <c r="J1025">
        <v>25.097000000000001</v>
      </c>
      <c r="K1025" t="str">
        <f>"EIF4E"</f>
        <v>EIF4E</v>
      </c>
      <c r="L1025" t="str">
        <f>"EIF4E"</f>
        <v>EIF4E</v>
      </c>
      <c r="M1025">
        <v>0</v>
      </c>
      <c r="N1025">
        <v>0</v>
      </c>
      <c r="O1025">
        <v>0</v>
      </c>
      <c r="P1025">
        <v>85112000</v>
      </c>
      <c r="Q1025">
        <v>0</v>
      </c>
      <c r="R1025">
        <v>0</v>
      </c>
      <c r="S1025">
        <v>0</v>
      </c>
      <c r="T1025">
        <v>0</v>
      </c>
      <c r="U1025">
        <v>76957000</v>
      </c>
      <c r="V1025">
        <v>0</v>
      </c>
      <c r="W1025">
        <v>0</v>
      </c>
      <c r="X1025">
        <v>0</v>
      </c>
    </row>
    <row r="1026" spans="1:24">
      <c r="A1026">
        <v>782</v>
      </c>
      <c r="B1026" t="s">
        <v>2777</v>
      </c>
      <c r="C1026">
        <v>2</v>
      </c>
      <c r="D1026" t="s">
        <v>2778</v>
      </c>
      <c r="E1026">
        <v>13</v>
      </c>
      <c r="F1026">
        <v>13</v>
      </c>
      <c r="G1026">
        <v>13</v>
      </c>
      <c r="H1026" t="s">
        <v>2779</v>
      </c>
      <c r="I1026">
        <v>15.4</v>
      </c>
      <c r="J1026">
        <v>107.77</v>
      </c>
      <c r="K1026" t="str">
        <f>"GART"</f>
        <v>GART</v>
      </c>
      <c r="L1026" t="str">
        <f>"GART"</f>
        <v>GART</v>
      </c>
      <c r="M1026">
        <v>0</v>
      </c>
      <c r="N1026">
        <v>0</v>
      </c>
      <c r="O1026">
        <v>71658000</v>
      </c>
      <c r="P1026">
        <v>0</v>
      </c>
      <c r="Q1026">
        <v>0</v>
      </c>
      <c r="R1026">
        <v>84974000</v>
      </c>
      <c r="S1026">
        <v>0</v>
      </c>
      <c r="T1026">
        <v>0</v>
      </c>
      <c r="U1026">
        <v>0</v>
      </c>
      <c r="V1026">
        <v>41964000</v>
      </c>
      <c r="W1026">
        <v>0</v>
      </c>
      <c r="X1026">
        <v>0</v>
      </c>
    </row>
    <row r="1027" spans="1:24">
      <c r="A1027">
        <v>827</v>
      </c>
      <c r="B1027" t="s">
        <v>2780</v>
      </c>
      <c r="C1027">
        <v>1</v>
      </c>
      <c r="D1027" t="s">
        <v>2781</v>
      </c>
      <c r="E1027">
        <v>6</v>
      </c>
      <c r="F1027">
        <v>6</v>
      </c>
      <c r="G1027">
        <v>6</v>
      </c>
      <c r="H1027" t="s">
        <v>2780</v>
      </c>
      <c r="I1027">
        <v>33.299999999999997</v>
      </c>
      <c r="J1027">
        <v>25.898</v>
      </c>
      <c r="K1027" t="str">
        <f>"PSMA2"</f>
        <v>PSMA2</v>
      </c>
      <c r="L1027" t="str">
        <f>"PSMA2"</f>
        <v>PSMA2</v>
      </c>
      <c r="M1027">
        <v>0</v>
      </c>
      <c r="N1027">
        <v>130620000</v>
      </c>
      <c r="O1027">
        <v>0</v>
      </c>
      <c r="P1027">
        <v>89603000</v>
      </c>
      <c r="Q1027">
        <v>105450000</v>
      </c>
      <c r="R1027">
        <v>145700000</v>
      </c>
      <c r="S1027">
        <v>149330000</v>
      </c>
      <c r="T1027">
        <v>0</v>
      </c>
      <c r="U1027">
        <v>0</v>
      </c>
      <c r="V1027">
        <v>140850000</v>
      </c>
      <c r="W1027">
        <v>0</v>
      </c>
      <c r="X1027">
        <v>0</v>
      </c>
    </row>
    <row r="1028" spans="1:24">
      <c r="A1028">
        <v>1274</v>
      </c>
      <c r="B1028" t="s">
        <v>2782</v>
      </c>
      <c r="C1028">
        <v>1</v>
      </c>
      <c r="D1028" t="s">
        <v>2783</v>
      </c>
      <c r="E1028">
        <v>15</v>
      </c>
      <c r="F1028">
        <v>2</v>
      </c>
      <c r="G1028">
        <v>2</v>
      </c>
      <c r="H1028" t="s">
        <v>2782</v>
      </c>
      <c r="I1028">
        <v>69</v>
      </c>
      <c r="J1028">
        <v>20.986999999999998</v>
      </c>
      <c r="K1028" t="str">
        <f>"RAP1A"</f>
        <v>RAP1A</v>
      </c>
      <c r="L1028" t="str">
        <f>"RAP1A"</f>
        <v>RAP1A</v>
      </c>
      <c r="M1028">
        <v>0</v>
      </c>
      <c r="N1028">
        <v>0</v>
      </c>
      <c r="O1028">
        <v>0</v>
      </c>
      <c r="P1028">
        <v>0</v>
      </c>
      <c r="Q1028">
        <v>0</v>
      </c>
      <c r="R1028" s="8">
        <v>147000000</v>
      </c>
      <c r="S1028">
        <v>0</v>
      </c>
      <c r="T1028">
        <v>0</v>
      </c>
      <c r="U1028">
        <v>0</v>
      </c>
      <c r="V1028">
        <v>122240000</v>
      </c>
      <c r="W1028">
        <v>0</v>
      </c>
      <c r="X1028">
        <v>0</v>
      </c>
    </row>
    <row r="1029" spans="1:24">
      <c r="A1029">
        <v>1756</v>
      </c>
      <c r="B1029" t="s">
        <v>2784</v>
      </c>
      <c r="C1029">
        <v>2</v>
      </c>
      <c r="D1029" t="s">
        <v>2785</v>
      </c>
      <c r="E1029">
        <v>4</v>
      </c>
      <c r="F1029">
        <v>4</v>
      </c>
      <c r="G1029">
        <v>4</v>
      </c>
      <c r="H1029" t="s">
        <v>2786</v>
      </c>
      <c r="I1029">
        <v>43.8</v>
      </c>
      <c r="J1029">
        <v>20.402000000000001</v>
      </c>
      <c r="K1029" t="str">
        <f>"TDRP"</f>
        <v>TDRP</v>
      </c>
      <c r="L1029" t="str">
        <f>"TDRP"</f>
        <v>TDRP</v>
      </c>
      <c r="M1029">
        <v>0</v>
      </c>
      <c r="N1029">
        <v>0</v>
      </c>
      <c r="O1029">
        <v>54043000</v>
      </c>
      <c r="P1029">
        <v>0</v>
      </c>
      <c r="Q1029">
        <v>0</v>
      </c>
      <c r="R1029">
        <v>78958000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</row>
    <row r="1030" spans="1:24">
      <c r="A1030">
        <v>1781</v>
      </c>
      <c r="B1030" t="s">
        <v>2787</v>
      </c>
      <c r="C1030">
        <v>1</v>
      </c>
      <c r="D1030" t="s">
        <v>2788</v>
      </c>
      <c r="E1030">
        <v>10</v>
      </c>
      <c r="F1030">
        <v>10</v>
      </c>
      <c r="G1030">
        <v>10</v>
      </c>
      <c r="H1030" t="s">
        <v>2787</v>
      </c>
      <c r="I1030">
        <v>20.6</v>
      </c>
      <c r="J1030">
        <v>63.472000000000001</v>
      </c>
      <c r="K1030" t="str">
        <f>"LRRC47"</f>
        <v>LRRC47</v>
      </c>
      <c r="L1030" t="str">
        <f>"LRRC47"</f>
        <v>LRRC47</v>
      </c>
      <c r="M1030">
        <v>0</v>
      </c>
      <c r="N1030">
        <v>0</v>
      </c>
      <c r="O1030">
        <v>76933000</v>
      </c>
      <c r="P1030">
        <v>52705000</v>
      </c>
      <c r="Q1030">
        <v>94782000</v>
      </c>
      <c r="R1030">
        <v>57021000</v>
      </c>
      <c r="S1030">
        <v>0</v>
      </c>
      <c r="T1030">
        <v>0</v>
      </c>
      <c r="U1030">
        <v>75558000</v>
      </c>
      <c r="V1030">
        <v>0</v>
      </c>
      <c r="W1030">
        <v>0</v>
      </c>
      <c r="X1030">
        <v>0</v>
      </c>
    </row>
    <row r="1031" spans="1:24">
      <c r="A1031">
        <v>1835</v>
      </c>
      <c r="B1031" t="s">
        <v>2789</v>
      </c>
      <c r="C1031">
        <v>1</v>
      </c>
      <c r="D1031" t="s">
        <v>2790</v>
      </c>
      <c r="E1031">
        <v>3</v>
      </c>
      <c r="F1031">
        <v>3</v>
      </c>
      <c r="G1031">
        <v>3</v>
      </c>
      <c r="H1031" t="s">
        <v>2789</v>
      </c>
      <c r="I1031">
        <v>26.3</v>
      </c>
      <c r="J1031">
        <v>23.422999999999998</v>
      </c>
      <c r="K1031" t="str">
        <f>"DTD1"</f>
        <v>DTD1</v>
      </c>
      <c r="L1031" t="str">
        <f>"DTD1"</f>
        <v>DTD1</v>
      </c>
      <c r="M1031">
        <v>0</v>
      </c>
      <c r="N1031">
        <v>22317000</v>
      </c>
      <c r="O1031">
        <v>24855000</v>
      </c>
      <c r="P1031">
        <v>28140000</v>
      </c>
      <c r="Q1031">
        <v>0</v>
      </c>
      <c r="R1031">
        <v>35278000</v>
      </c>
      <c r="S1031">
        <v>0</v>
      </c>
      <c r="T1031">
        <v>0</v>
      </c>
      <c r="U1031">
        <v>0</v>
      </c>
      <c r="V1031">
        <v>24628000</v>
      </c>
      <c r="W1031">
        <v>0</v>
      </c>
      <c r="X1031">
        <v>0</v>
      </c>
    </row>
    <row r="1032" spans="1:24">
      <c r="A1032">
        <v>1911</v>
      </c>
      <c r="B1032" t="s">
        <v>2791</v>
      </c>
      <c r="C1032">
        <v>4</v>
      </c>
      <c r="D1032" t="s">
        <v>2792</v>
      </c>
      <c r="E1032">
        <v>8</v>
      </c>
      <c r="F1032">
        <v>8</v>
      </c>
      <c r="G1032">
        <v>8</v>
      </c>
      <c r="H1032" t="s">
        <v>2793</v>
      </c>
      <c r="I1032">
        <v>39</v>
      </c>
      <c r="J1032">
        <v>24.815000000000001</v>
      </c>
      <c r="K1032" t="str">
        <f>"RAB37"</f>
        <v>RAB37</v>
      </c>
      <c r="L1032" t="str">
        <f>"RAB37"</f>
        <v>RAB37</v>
      </c>
      <c r="M1032">
        <v>71455000</v>
      </c>
      <c r="N1032">
        <v>0</v>
      </c>
      <c r="O1032">
        <v>0</v>
      </c>
      <c r="P1032">
        <v>65034000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</row>
    <row r="1033" spans="1:24">
      <c r="A1033">
        <v>2061</v>
      </c>
      <c r="B1033" t="s">
        <v>2794</v>
      </c>
      <c r="C1033">
        <v>3</v>
      </c>
      <c r="D1033" t="s">
        <v>2795</v>
      </c>
      <c r="E1033">
        <v>2</v>
      </c>
      <c r="F1033">
        <v>2</v>
      </c>
      <c r="G1033">
        <v>2</v>
      </c>
      <c r="H1033" t="s">
        <v>2796</v>
      </c>
      <c r="I1033">
        <v>3.5</v>
      </c>
      <c r="J1033">
        <v>61.345999999999997</v>
      </c>
      <c r="K1033" t="str">
        <f>"TRIM9"</f>
        <v>TRIM9</v>
      </c>
      <c r="L1033" t="str">
        <f>"TRIM9"</f>
        <v>TRIM9</v>
      </c>
      <c r="M1033">
        <v>0</v>
      </c>
      <c r="N1033">
        <v>0</v>
      </c>
      <c r="O1033">
        <v>161920000</v>
      </c>
      <c r="P1033">
        <v>1008500000</v>
      </c>
      <c r="Q1033">
        <v>0</v>
      </c>
      <c r="R1033">
        <v>0</v>
      </c>
      <c r="S1033">
        <v>0</v>
      </c>
      <c r="T1033">
        <v>497840000</v>
      </c>
      <c r="U1033">
        <v>0</v>
      </c>
      <c r="V1033">
        <v>0</v>
      </c>
      <c r="W1033">
        <v>0</v>
      </c>
      <c r="X1033">
        <v>0</v>
      </c>
    </row>
    <row r="1034" spans="1:24">
      <c r="A1034">
        <v>262</v>
      </c>
      <c r="B1034" t="s">
        <v>2797</v>
      </c>
      <c r="C1034">
        <v>2</v>
      </c>
      <c r="D1034" t="s">
        <v>2798</v>
      </c>
      <c r="E1034">
        <v>5</v>
      </c>
      <c r="F1034">
        <v>5</v>
      </c>
      <c r="G1034">
        <v>5</v>
      </c>
      <c r="H1034" t="s">
        <v>2799</v>
      </c>
      <c r="I1034">
        <v>29.2</v>
      </c>
      <c r="J1034">
        <v>27.228000000000002</v>
      </c>
      <c r="K1034" t="str">
        <f>"VAPB"</f>
        <v>VAPB</v>
      </c>
      <c r="L1034" t="str">
        <f>"VAPB"</f>
        <v>VAPB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110550000</v>
      </c>
      <c r="S1034">
        <v>0</v>
      </c>
      <c r="T1034">
        <v>0</v>
      </c>
      <c r="U1034">
        <v>221340000</v>
      </c>
      <c r="V1034">
        <v>0</v>
      </c>
      <c r="W1034">
        <v>141190000</v>
      </c>
      <c r="X1034">
        <v>94523000</v>
      </c>
    </row>
    <row r="1035" spans="1:24">
      <c r="A1035">
        <v>380</v>
      </c>
      <c r="B1035" t="s">
        <v>2800</v>
      </c>
      <c r="C1035">
        <v>1</v>
      </c>
      <c r="D1035" t="s">
        <v>2801</v>
      </c>
      <c r="E1035">
        <v>12</v>
      </c>
      <c r="F1035">
        <v>12</v>
      </c>
      <c r="G1035">
        <v>12</v>
      </c>
      <c r="H1035" t="s">
        <v>2800</v>
      </c>
      <c r="I1035">
        <v>20.2</v>
      </c>
      <c r="J1035">
        <v>83.283000000000001</v>
      </c>
      <c r="K1035" t="str">
        <f>"PIGR"</f>
        <v>PIGR</v>
      </c>
      <c r="L1035" t="str">
        <f>"PIGR"</f>
        <v>PIGR</v>
      </c>
      <c r="M1035">
        <v>0</v>
      </c>
      <c r="N1035">
        <v>277560000</v>
      </c>
      <c r="O1035">
        <v>498480000</v>
      </c>
      <c r="P1035">
        <v>0</v>
      </c>
      <c r="Q1035">
        <v>0</v>
      </c>
      <c r="R1035">
        <v>0</v>
      </c>
      <c r="S1035">
        <v>965250000</v>
      </c>
      <c r="T1035">
        <v>0</v>
      </c>
      <c r="U1035">
        <v>294350000</v>
      </c>
      <c r="V1035">
        <v>0</v>
      </c>
      <c r="W1035">
        <v>0</v>
      </c>
      <c r="X1035">
        <v>0</v>
      </c>
    </row>
    <row r="1036" spans="1:24">
      <c r="A1036">
        <v>863</v>
      </c>
      <c r="B1036" t="s">
        <v>2802</v>
      </c>
      <c r="C1036">
        <v>5</v>
      </c>
      <c r="D1036" t="s">
        <v>2803</v>
      </c>
      <c r="E1036">
        <v>11</v>
      </c>
      <c r="F1036">
        <v>11</v>
      </c>
      <c r="G1036">
        <v>11</v>
      </c>
      <c r="H1036" t="s">
        <v>2804</v>
      </c>
      <c r="I1036">
        <v>30.5</v>
      </c>
      <c r="J1036">
        <v>67.524000000000001</v>
      </c>
      <c r="K1036" t="str">
        <f>"NDUFS1"</f>
        <v>NDUFS1</v>
      </c>
      <c r="L1036" t="str">
        <f>"NDUFS1"</f>
        <v>NDUFS1</v>
      </c>
      <c r="M1036">
        <v>0</v>
      </c>
      <c r="N1036">
        <v>0</v>
      </c>
      <c r="O1036">
        <v>69519000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69473000</v>
      </c>
    </row>
    <row r="1037" spans="1:24">
      <c r="A1037">
        <v>936</v>
      </c>
      <c r="B1037" t="s">
        <v>2805</v>
      </c>
      <c r="C1037">
        <v>4</v>
      </c>
      <c r="D1037" t="s">
        <v>2806</v>
      </c>
      <c r="E1037">
        <v>7</v>
      </c>
      <c r="F1037">
        <v>7</v>
      </c>
      <c r="G1037">
        <v>7</v>
      </c>
      <c r="H1037" t="s">
        <v>2807</v>
      </c>
      <c r="I1037">
        <v>12.6</v>
      </c>
      <c r="J1037">
        <v>85.62</v>
      </c>
      <c r="K1037" t="str">
        <f>"INPP5B"</f>
        <v>INPP5B</v>
      </c>
      <c r="L1037" t="str">
        <f>"INPP5B"</f>
        <v>INPP5B</v>
      </c>
      <c r="M1037">
        <v>0</v>
      </c>
      <c r="N1037">
        <v>0</v>
      </c>
      <c r="O1037">
        <v>46025000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>
      <c r="A1038">
        <v>1202</v>
      </c>
      <c r="B1038" t="s">
        <v>2808</v>
      </c>
      <c r="C1038">
        <v>3</v>
      </c>
      <c r="D1038" t="s">
        <v>2809</v>
      </c>
      <c r="E1038">
        <v>4</v>
      </c>
      <c r="F1038">
        <v>4</v>
      </c>
      <c r="G1038">
        <v>4</v>
      </c>
      <c r="H1038" t="s">
        <v>2810</v>
      </c>
      <c r="I1038">
        <v>27.7</v>
      </c>
      <c r="J1038">
        <v>21.994</v>
      </c>
      <c r="K1038" t="str">
        <f>"BID"</f>
        <v>BID</v>
      </c>
      <c r="L1038" t="str">
        <f>"BID"</f>
        <v>BID</v>
      </c>
      <c r="M1038">
        <v>0</v>
      </c>
      <c r="N1038">
        <v>0</v>
      </c>
      <c r="O1038">
        <v>38559000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69331000</v>
      </c>
      <c r="V1038">
        <v>0</v>
      </c>
      <c r="W1038">
        <v>0</v>
      </c>
      <c r="X1038">
        <v>65335000</v>
      </c>
    </row>
    <row r="1039" spans="1:24">
      <c r="A1039">
        <v>1279</v>
      </c>
      <c r="B1039" t="s">
        <v>2811</v>
      </c>
      <c r="C1039">
        <v>1</v>
      </c>
      <c r="D1039" t="s">
        <v>2812</v>
      </c>
      <c r="E1039">
        <v>3</v>
      </c>
      <c r="F1039">
        <v>3</v>
      </c>
      <c r="G1039">
        <v>3</v>
      </c>
      <c r="H1039" t="s">
        <v>2811</v>
      </c>
      <c r="I1039">
        <v>41.7</v>
      </c>
      <c r="J1039">
        <v>11.951000000000001</v>
      </c>
      <c r="K1039" t="str">
        <f>"FKBP1A"</f>
        <v>FKBP1A</v>
      </c>
      <c r="L1039" t="str">
        <f>"FKBP1A"</f>
        <v>FKBP1A</v>
      </c>
      <c r="M1039">
        <v>0</v>
      </c>
      <c r="N1039">
        <v>0</v>
      </c>
      <c r="O1039">
        <v>0</v>
      </c>
      <c r="P1039">
        <v>75325000</v>
      </c>
      <c r="Q1039">
        <v>49471000</v>
      </c>
      <c r="R1039">
        <v>159300000</v>
      </c>
      <c r="S1039">
        <v>118940000</v>
      </c>
      <c r="T1039">
        <v>76976000</v>
      </c>
      <c r="U1039">
        <v>96341000</v>
      </c>
      <c r="V1039">
        <v>0</v>
      </c>
      <c r="W1039">
        <v>0</v>
      </c>
      <c r="X1039">
        <v>0</v>
      </c>
    </row>
    <row r="1040" spans="1:24">
      <c r="A1040">
        <v>1307</v>
      </c>
      <c r="B1040" t="s">
        <v>2813</v>
      </c>
      <c r="C1040">
        <v>3</v>
      </c>
      <c r="D1040" t="s">
        <v>2814</v>
      </c>
      <c r="E1040">
        <v>6</v>
      </c>
      <c r="F1040">
        <v>6</v>
      </c>
      <c r="G1040">
        <v>6</v>
      </c>
      <c r="H1040" t="s">
        <v>2815</v>
      </c>
      <c r="I1040">
        <v>24.3</v>
      </c>
      <c r="J1040">
        <v>45.143000000000001</v>
      </c>
      <c r="K1040" t="str">
        <f>"CSNK2A1;CSNK2A3"</f>
        <v>CSNK2A1;CSNK2A3</v>
      </c>
      <c r="L1040" t="str">
        <f>"CSNK2A1;CSNK2A3"</f>
        <v>CSNK2A1;CSNK2A3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39692000</v>
      </c>
      <c r="W1040">
        <v>0</v>
      </c>
      <c r="X1040">
        <v>0</v>
      </c>
    </row>
    <row r="1041" spans="1:24">
      <c r="A1041">
        <v>1752</v>
      </c>
      <c r="B1041" t="s">
        <v>2816</v>
      </c>
      <c r="C1041">
        <v>3</v>
      </c>
      <c r="D1041" t="s">
        <v>2817</v>
      </c>
      <c r="E1041">
        <v>4</v>
      </c>
      <c r="F1041">
        <v>4</v>
      </c>
      <c r="G1041">
        <v>4</v>
      </c>
      <c r="H1041" t="s">
        <v>2818</v>
      </c>
      <c r="I1041">
        <v>11.6</v>
      </c>
      <c r="J1041">
        <v>46.171999999999997</v>
      </c>
      <c r="K1041" t="str">
        <f>"TICAM2;TMED7"</f>
        <v>TICAM2;TMED7</v>
      </c>
      <c r="L1041" t="str">
        <f>"TICAM2;TMED7"</f>
        <v>TICAM2;TMED7</v>
      </c>
      <c r="M1041">
        <v>0</v>
      </c>
      <c r="N1041">
        <v>149790000</v>
      </c>
      <c r="O1041">
        <v>172410000</v>
      </c>
      <c r="P1041">
        <v>0</v>
      </c>
      <c r="Q1041">
        <v>0</v>
      </c>
      <c r="R1041">
        <v>151630000</v>
      </c>
      <c r="S1041">
        <v>125480000</v>
      </c>
      <c r="T1041">
        <v>0</v>
      </c>
      <c r="U1041">
        <v>155750000</v>
      </c>
      <c r="V1041">
        <v>0</v>
      </c>
      <c r="W1041">
        <v>143610000</v>
      </c>
      <c r="X1041">
        <v>235460000</v>
      </c>
    </row>
    <row r="1042" spans="1:24">
      <c r="A1042">
        <v>1873</v>
      </c>
      <c r="B1042" t="s">
        <v>2819</v>
      </c>
      <c r="C1042">
        <v>2</v>
      </c>
      <c r="D1042" t="s">
        <v>2820</v>
      </c>
      <c r="E1042">
        <v>7</v>
      </c>
      <c r="F1042">
        <v>6</v>
      </c>
      <c r="G1042">
        <v>6</v>
      </c>
      <c r="H1042" t="s">
        <v>2821</v>
      </c>
      <c r="I1042">
        <v>25.4</v>
      </c>
      <c r="J1042">
        <v>41.569000000000003</v>
      </c>
      <c r="K1042" t="str">
        <f>"ARPC1A"</f>
        <v>ARPC1A</v>
      </c>
      <c r="L1042" t="str">
        <f>"ARPC1A"</f>
        <v>ARPC1A</v>
      </c>
      <c r="M1042">
        <v>0</v>
      </c>
      <c r="N1042">
        <v>185050000</v>
      </c>
      <c r="O1042">
        <v>66915000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</row>
    <row r="1043" spans="1:24">
      <c r="A1043">
        <v>1889</v>
      </c>
      <c r="B1043" t="s">
        <v>2822</v>
      </c>
      <c r="C1043">
        <v>4</v>
      </c>
      <c r="D1043" t="s">
        <v>2823</v>
      </c>
      <c r="E1043">
        <v>18</v>
      </c>
      <c r="F1043">
        <v>18</v>
      </c>
      <c r="G1043">
        <v>18</v>
      </c>
      <c r="H1043" t="s">
        <v>2824</v>
      </c>
      <c r="I1043">
        <v>8.6999999999999993</v>
      </c>
      <c r="J1043">
        <v>290.45999999999998</v>
      </c>
      <c r="K1043" t="str">
        <f>"USP9X;USP9Y"</f>
        <v>USP9X;USP9Y</v>
      </c>
      <c r="L1043" t="str">
        <f>"USP9X;USP9Y"</f>
        <v>USP9X;USP9Y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58816000</v>
      </c>
      <c r="V1043">
        <v>0</v>
      </c>
      <c r="W1043">
        <v>0</v>
      </c>
      <c r="X1043">
        <v>0</v>
      </c>
    </row>
    <row r="1044" spans="1:24">
      <c r="A1044">
        <v>2275</v>
      </c>
      <c r="B1044" t="s">
        <v>2825</v>
      </c>
      <c r="C1044">
        <v>1</v>
      </c>
      <c r="D1044" t="s">
        <v>2826</v>
      </c>
      <c r="E1044">
        <v>7</v>
      </c>
      <c r="F1044">
        <v>7</v>
      </c>
      <c r="G1044">
        <v>7</v>
      </c>
      <c r="H1044" t="s">
        <v>2825</v>
      </c>
      <c r="I1044">
        <v>34.200000000000003</v>
      </c>
      <c r="J1044">
        <v>24.327000000000002</v>
      </c>
      <c r="K1044" t="str">
        <f>"NUDT5"</f>
        <v>NUDT5</v>
      </c>
      <c r="L1044" t="str">
        <f>"NUDT5"</f>
        <v>NUDT5</v>
      </c>
      <c r="M1044">
        <v>0</v>
      </c>
      <c r="N1044">
        <v>87783000</v>
      </c>
      <c r="O1044">
        <v>173280000</v>
      </c>
      <c r="P1044">
        <v>0</v>
      </c>
      <c r="Q1044">
        <v>0</v>
      </c>
      <c r="R1044">
        <v>0</v>
      </c>
      <c r="S1044">
        <v>109020000</v>
      </c>
      <c r="T1044">
        <v>0</v>
      </c>
      <c r="U1044">
        <v>114790000</v>
      </c>
      <c r="V1044">
        <v>0</v>
      </c>
      <c r="W1044">
        <v>173260000</v>
      </c>
      <c r="X1044">
        <v>135240000</v>
      </c>
    </row>
    <row r="1045" spans="1:24">
      <c r="A1045">
        <v>2333</v>
      </c>
      <c r="B1045" t="s">
        <v>2827</v>
      </c>
      <c r="C1045">
        <v>2</v>
      </c>
      <c r="D1045" t="s">
        <v>2828</v>
      </c>
      <c r="E1045">
        <v>5</v>
      </c>
      <c r="F1045">
        <v>5</v>
      </c>
      <c r="G1045">
        <v>5</v>
      </c>
      <c r="H1045" t="s">
        <v>2829</v>
      </c>
      <c r="I1045">
        <v>19.8</v>
      </c>
      <c r="J1045">
        <v>37.804000000000002</v>
      </c>
      <c r="K1045" t="str">
        <f>"SUGT1"</f>
        <v>SUGT1</v>
      </c>
      <c r="L1045" t="str">
        <f>"SUGT1"</f>
        <v>SUGT1</v>
      </c>
      <c r="M1045">
        <v>0</v>
      </c>
      <c r="N1045">
        <v>38952000</v>
      </c>
      <c r="O1045">
        <v>52188000</v>
      </c>
      <c r="P1045">
        <v>50193000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>
      <c r="A1046">
        <v>896</v>
      </c>
      <c r="B1046" t="s">
        <v>2830</v>
      </c>
      <c r="C1046">
        <v>2</v>
      </c>
      <c r="D1046" t="s">
        <v>2831</v>
      </c>
      <c r="E1046">
        <v>20</v>
      </c>
      <c r="F1046">
        <v>4</v>
      </c>
      <c r="G1046">
        <v>0</v>
      </c>
      <c r="H1046" t="s">
        <v>2832</v>
      </c>
      <c r="I1046">
        <v>54.2</v>
      </c>
      <c r="J1046">
        <v>41.054000000000002</v>
      </c>
      <c r="K1046" t="str">
        <f>"HLA-A"</f>
        <v>HLA-A</v>
      </c>
      <c r="L1046" t="str">
        <f>"HLA-A"</f>
        <v>HLA-A</v>
      </c>
      <c r="M1046">
        <v>0</v>
      </c>
      <c r="N1046">
        <v>238070000</v>
      </c>
      <c r="O1046">
        <v>0</v>
      </c>
      <c r="P1046">
        <v>0</v>
      </c>
      <c r="Q1046">
        <v>0</v>
      </c>
      <c r="R1046">
        <v>363350000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</row>
    <row r="1047" spans="1:24">
      <c r="A1047">
        <v>1026</v>
      </c>
      <c r="B1047" t="s">
        <v>2833</v>
      </c>
      <c r="C1047">
        <v>1</v>
      </c>
      <c r="D1047" t="s">
        <v>2834</v>
      </c>
      <c r="E1047">
        <v>10</v>
      </c>
      <c r="F1047">
        <v>10</v>
      </c>
      <c r="G1047">
        <v>10</v>
      </c>
      <c r="H1047" t="s">
        <v>2833</v>
      </c>
      <c r="I1047">
        <v>7.5</v>
      </c>
      <c r="J1047">
        <v>157.9</v>
      </c>
      <c r="K1047" t="str">
        <f>"LRPPRC"</f>
        <v>LRPPRC</v>
      </c>
      <c r="L1047" t="str">
        <f>"LRPPRC"</f>
        <v>LRPPRC</v>
      </c>
      <c r="M1047">
        <v>0</v>
      </c>
      <c r="N1047">
        <v>44603000</v>
      </c>
      <c r="O1047">
        <v>0</v>
      </c>
      <c r="P1047">
        <v>0</v>
      </c>
      <c r="Q1047">
        <v>0</v>
      </c>
      <c r="R1047">
        <v>37608000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44182000</v>
      </c>
    </row>
    <row r="1048" spans="1:24">
      <c r="A1048">
        <v>1140</v>
      </c>
      <c r="B1048" t="s">
        <v>2835</v>
      </c>
      <c r="C1048">
        <v>3</v>
      </c>
      <c r="D1048" t="s">
        <v>2836</v>
      </c>
      <c r="E1048">
        <v>8</v>
      </c>
      <c r="F1048">
        <v>8</v>
      </c>
      <c r="G1048">
        <v>8</v>
      </c>
      <c r="H1048" t="s">
        <v>2837</v>
      </c>
      <c r="I1048">
        <v>41.8</v>
      </c>
      <c r="J1048">
        <v>24.934999999999999</v>
      </c>
      <c r="K1048" t="str">
        <f>"VAMP7"</f>
        <v>VAMP7</v>
      </c>
      <c r="L1048" t="str">
        <f>"VAMP7"</f>
        <v>VAMP7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</row>
    <row r="1049" spans="1:24">
      <c r="A1049">
        <v>1162</v>
      </c>
      <c r="B1049" t="s">
        <v>2838</v>
      </c>
      <c r="C1049">
        <v>1</v>
      </c>
      <c r="D1049" t="s">
        <v>2839</v>
      </c>
      <c r="E1049">
        <v>9</v>
      </c>
      <c r="F1049">
        <v>9</v>
      </c>
      <c r="G1049">
        <v>9</v>
      </c>
      <c r="H1049" t="s">
        <v>2838</v>
      </c>
      <c r="I1049">
        <v>38.1</v>
      </c>
      <c r="J1049">
        <v>43.215000000000003</v>
      </c>
      <c r="K1049" t="str">
        <f>"METAP1"</f>
        <v>METAP1</v>
      </c>
      <c r="L1049" t="str">
        <f>"METAP1"</f>
        <v>METAP1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99708000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>
      <c r="A1050">
        <v>1646</v>
      </c>
      <c r="B1050" t="s">
        <v>2840</v>
      </c>
      <c r="C1050">
        <v>1</v>
      </c>
      <c r="D1050" t="s">
        <v>2841</v>
      </c>
      <c r="E1050">
        <v>5</v>
      </c>
      <c r="F1050">
        <v>5</v>
      </c>
      <c r="G1050">
        <v>5</v>
      </c>
      <c r="H1050" t="s">
        <v>2840</v>
      </c>
      <c r="I1050">
        <v>8.6999999999999993</v>
      </c>
      <c r="J1050">
        <v>97.111999999999995</v>
      </c>
      <c r="K1050" t="str">
        <f>"HECTD3"</f>
        <v>HECTD3</v>
      </c>
      <c r="L1050" t="str">
        <f>"HECTD3"</f>
        <v>HECTD3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28252000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>
      <c r="A1051">
        <v>1655</v>
      </c>
      <c r="B1051" t="s">
        <v>2842</v>
      </c>
      <c r="C1051">
        <v>2</v>
      </c>
      <c r="D1051" t="s">
        <v>2843</v>
      </c>
      <c r="E1051">
        <v>4</v>
      </c>
      <c r="F1051">
        <v>4</v>
      </c>
      <c r="G1051">
        <v>4</v>
      </c>
      <c r="H1051" t="s">
        <v>2844</v>
      </c>
      <c r="I1051">
        <v>24.9</v>
      </c>
      <c r="J1051">
        <v>26.315999999999999</v>
      </c>
      <c r="K1051" t="str">
        <f>"LYPLAL1"</f>
        <v>LYPLAL1</v>
      </c>
      <c r="L1051" t="str">
        <f>"LYPLAL1"</f>
        <v>LYPLAL1</v>
      </c>
      <c r="M1051">
        <v>50066000</v>
      </c>
      <c r="N1051">
        <v>71659000</v>
      </c>
      <c r="O1051">
        <v>0</v>
      </c>
      <c r="P1051">
        <v>0</v>
      </c>
      <c r="Q1051">
        <v>0</v>
      </c>
      <c r="R1051">
        <v>76855000</v>
      </c>
      <c r="S1051">
        <v>0</v>
      </c>
      <c r="T1051">
        <v>0</v>
      </c>
      <c r="U1051">
        <v>100810000</v>
      </c>
      <c r="V1051">
        <v>0</v>
      </c>
      <c r="W1051">
        <v>0</v>
      </c>
      <c r="X1051">
        <v>50489000</v>
      </c>
    </row>
    <row r="1052" spans="1:24">
      <c r="A1052">
        <v>1697</v>
      </c>
      <c r="B1052" t="s">
        <v>2845</v>
      </c>
      <c r="C1052">
        <v>4</v>
      </c>
      <c r="D1052" t="s">
        <v>2846</v>
      </c>
      <c r="E1052">
        <v>7</v>
      </c>
      <c r="F1052">
        <v>7</v>
      </c>
      <c r="G1052">
        <v>7</v>
      </c>
      <c r="H1052" t="s">
        <v>2847</v>
      </c>
      <c r="I1052">
        <v>5.5</v>
      </c>
      <c r="J1052">
        <v>159.69</v>
      </c>
      <c r="K1052" t="str">
        <f>"CD109"</f>
        <v>CD109</v>
      </c>
      <c r="L1052" t="str">
        <f>"CD109"</f>
        <v>CD109</v>
      </c>
      <c r="M1052">
        <v>0</v>
      </c>
      <c r="N1052">
        <v>0</v>
      </c>
      <c r="O1052">
        <v>0</v>
      </c>
      <c r="P1052">
        <v>95528000</v>
      </c>
      <c r="Q1052">
        <v>0</v>
      </c>
      <c r="R1052">
        <v>0</v>
      </c>
      <c r="S1052">
        <v>78916000</v>
      </c>
      <c r="T1052">
        <v>0</v>
      </c>
      <c r="U1052">
        <v>76988000</v>
      </c>
      <c r="V1052">
        <v>0</v>
      </c>
      <c r="W1052">
        <v>0</v>
      </c>
      <c r="X1052">
        <v>133230000</v>
      </c>
    </row>
    <row r="1053" spans="1:24">
      <c r="A1053">
        <v>2315</v>
      </c>
      <c r="B1053" t="s">
        <v>2848</v>
      </c>
      <c r="C1053">
        <v>2</v>
      </c>
      <c r="D1053" t="s">
        <v>2849</v>
      </c>
      <c r="E1053">
        <v>7</v>
      </c>
      <c r="F1053">
        <v>7</v>
      </c>
      <c r="G1053">
        <v>7</v>
      </c>
      <c r="H1053" t="s">
        <v>2850</v>
      </c>
      <c r="I1053">
        <v>22.8</v>
      </c>
      <c r="J1053">
        <v>50.226999999999997</v>
      </c>
      <c r="K1053" t="str">
        <f>"RUVBL1"</f>
        <v>RUVBL1</v>
      </c>
      <c r="L1053" t="str">
        <f>"RUVBL1"</f>
        <v>RUVBL1</v>
      </c>
      <c r="M1053">
        <v>0</v>
      </c>
      <c r="N1053">
        <v>56622000</v>
      </c>
      <c r="O1053">
        <v>72095000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87106000</v>
      </c>
      <c r="V1053">
        <v>58081000</v>
      </c>
      <c r="W1053">
        <v>0</v>
      </c>
      <c r="X1053">
        <v>0</v>
      </c>
    </row>
    <row r="1054" spans="1:24">
      <c r="A1054">
        <v>111</v>
      </c>
      <c r="B1054" t="s">
        <v>2851</v>
      </c>
      <c r="C1054">
        <v>2</v>
      </c>
      <c r="D1054" t="s">
        <v>2852</v>
      </c>
      <c r="E1054">
        <v>2</v>
      </c>
      <c r="F1054">
        <v>2</v>
      </c>
      <c r="G1054">
        <v>2</v>
      </c>
      <c r="H1054" t="s">
        <v>2853</v>
      </c>
      <c r="I1054">
        <v>0.6</v>
      </c>
      <c r="J1054">
        <v>290.38</v>
      </c>
      <c r="K1054" t="str">
        <f>"CEP290"</f>
        <v>CEP290</v>
      </c>
      <c r="L1054" t="str">
        <f>"CEP290"</f>
        <v>CEP290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2951500000</v>
      </c>
      <c r="W1054">
        <v>0</v>
      </c>
      <c r="X1054">
        <v>0</v>
      </c>
    </row>
    <row r="1055" spans="1:24">
      <c r="A1055">
        <v>628</v>
      </c>
      <c r="B1055" t="s">
        <v>2854</v>
      </c>
      <c r="C1055">
        <v>7</v>
      </c>
      <c r="D1055" t="s">
        <v>2855</v>
      </c>
      <c r="E1055">
        <v>8</v>
      </c>
      <c r="F1055">
        <v>8</v>
      </c>
      <c r="G1055">
        <v>7</v>
      </c>
      <c r="H1055" t="s">
        <v>2856</v>
      </c>
      <c r="I1055">
        <v>10.6</v>
      </c>
      <c r="J1055">
        <v>81.233999999999995</v>
      </c>
      <c r="K1055" t="str">
        <f>"EPB41"</f>
        <v>EPB41</v>
      </c>
      <c r="L1055" t="str">
        <f>"EPB41"</f>
        <v>EPB41</v>
      </c>
      <c r="M1055">
        <v>0</v>
      </c>
      <c r="N1055">
        <v>52367000</v>
      </c>
      <c r="O1055">
        <v>63574000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39607000</v>
      </c>
    </row>
    <row r="1056" spans="1:24">
      <c r="A1056">
        <v>832</v>
      </c>
      <c r="B1056" t="s">
        <v>2857</v>
      </c>
      <c r="C1056">
        <v>1</v>
      </c>
      <c r="D1056" t="s">
        <v>2858</v>
      </c>
      <c r="E1056">
        <v>8</v>
      </c>
      <c r="F1056">
        <v>8</v>
      </c>
      <c r="G1056">
        <v>8</v>
      </c>
      <c r="H1056" t="s">
        <v>2857</v>
      </c>
      <c r="I1056">
        <v>21.7</v>
      </c>
      <c r="J1056">
        <v>54.415999999999997</v>
      </c>
      <c r="K1056" t="str">
        <f>"DDX6"</f>
        <v>DDX6</v>
      </c>
      <c r="L1056" t="str">
        <f>"DDX6"</f>
        <v>DDX6</v>
      </c>
      <c r="M1056">
        <v>0</v>
      </c>
      <c r="N1056">
        <v>53390000</v>
      </c>
      <c r="O1056">
        <v>51743000</v>
      </c>
      <c r="P1056">
        <v>0</v>
      </c>
      <c r="Q1056">
        <v>0</v>
      </c>
      <c r="R1056">
        <v>79065000</v>
      </c>
      <c r="S1056">
        <v>0</v>
      </c>
      <c r="T1056">
        <v>0</v>
      </c>
      <c r="U1056">
        <v>64891000</v>
      </c>
      <c r="V1056">
        <v>32096000</v>
      </c>
      <c r="W1056">
        <v>0</v>
      </c>
      <c r="X1056">
        <v>0</v>
      </c>
    </row>
    <row r="1057" spans="1:24">
      <c r="A1057">
        <v>1070</v>
      </c>
      <c r="B1057" t="s">
        <v>2859</v>
      </c>
      <c r="C1057">
        <v>1</v>
      </c>
      <c r="D1057" t="s">
        <v>2860</v>
      </c>
      <c r="E1057">
        <v>5</v>
      </c>
      <c r="F1057">
        <v>5</v>
      </c>
      <c r="G1057">
        <v>5</v>
      </c>
      <c r="H1057" t="s">
        <v>2859</v>
      </c>
      <c r="I1057">
        <v>13.8</v>
      </c>
      <c r="J1057">
        <v>28.295000000000002</v>
      </c>
      <c r="K1057" t="str">
        <f>"CD151"</f>
        <v>CD151</v>
      </c>
      <c r="L1057" t="str">
        <f>"CD151"</f>
        <v>CD151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96790000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</row>
    <row r="1058" spans="1:24">
      <c r="A1058">
        <v>1287</v>
      </c>
      <c r="B1058" t="s">
        <v>2861</v>
      </c>
      <c r="C1058">
        <v>10</v>
      </c>
      <c r="D1058" t="s">
        <v>2862</v>
      </c>
      <c r="E1058">
        <v>6</v>
      </c>
      <c r="F1058">
        <v>6</v>
      </c>
      <c r="G1058">
        <v>6</v>
      </c>
      <c r="H1058" t="s">
        <v>2863</v>
      </c>
      <c r="I1058">
        <v>17.7</v>
      </c>
      <c r="J1058">
        <v>51.691000000000003</v>
      </c>
      <c r="K1058" t="str">
        <f>"PPP2R2A;PPP2R2D;PPP2R2B"</f>
        <v>PPP2R2A;PPP2R2D;PPP2R2B</v>
      </c>
      <c r="L1058" t="str">
        <f>"PPP2R2A;PPP2R2D;PPP2R2B"</f>
        <v>PPP2R2A;PPP2R2D;PPP2R2B</v>
      </c>
      <c r="M1058">
        <v>0</v>
      </c>
      <c r="N1058">
        <v>74404000</v>
      </c>
      <c r="O1058">
        <v>67043000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86249000</v>
      </c>
      <c r="X1058">
        <v>0</v>
      </c>
    </row>
    <row r="1059" spans="1:24">
      <c r="A1059">
        <v>1629</v>
      </c>
      <c r="B1059" t="s">
        <v>2864</v>
      </c>
      <c r="C1059">
        <v>1</v>
      </c>
      <c r="D1059" t="s">
        <v>2865</v>
      </c>
      <c r="E1059">
        <v>13</v>
      </c>
      <c r="F1059">
        <v>2</v>
      </c>
      <c r="G1059">
        <v>2</v>
      </c>
      <c r="H1059" t="s">
        <v>2864</v>
      </c>
      <c r="I1059">
        <v>23.1</v>
      </c>
      <c r="J1059">
        <v>44.347999999999999</v>
      </c>
      <c r="K1059" t="str">
        <f>"HSP90AB2P"</f>
        <v>HSP90AB2P</v>
      </c>
      <c r="L1059" t="str">
        <f>"HSP90AB2P"</f>
        <v>HSP90AB2P</v>
      </c>
      <c r="M1059">
        <v>0</v>
      </c>
      <c r="N1059">
        <v>391570000</v>
      </c>
      <c r="O1059">
        <v>0</v>
      </c>
      <c r="P1059">
        <v>716400000</v>
      </c>
      <c r="Q1059">
        <v>102570000</v>
      </c>
      <c r="R1059">
        <v>0</v>
      </c>
      <c r="S1059">
        <v>3443300000</v>
      </c>
      <c r="T1059">
        <v>0</v>
      </c>
      <c r="U1059">
        <v>2972300000</v>
      </c>
      <c r="V1059">
        <v>0</v>
      </c>
      <c r="W1059">
        <v>5201700000</v>
      </c>
      <c r="X1059">
        <v>0</v>
      </c>
    </row>
    <row r="1060" spans="1:24">
      <c r="A1060">
        <v>2006</v>
      </c>
      <c r="B1060" t="s">
        <v>2866</v>
      </c>
      <c r="C1060">
        <v>4</v>
      </c>
      <c r="D1060" t="s">
        <v>2867</v>
      </c>
      <c r="E1060">
        <v>9</v>
      </c>
      <c r="F1060">
        <v>9</v>
      </c>
      <c r="G1060">
        <v>9</v>
      </c>
      <c r="H1060" t="s">
        <v>2868</v>
      </c>
      <c r="I1060">
        <v>25</v>
      </c>
      <c r="J1060">
        <v>41.488999999999997</v>
      </c>
      <c r="K1060" t="str">
        <f>"SH3GL1;SH3GL2"</f>
        <v>SH3GL1;SH3GL2</v>
      </c>
      <c r="L1060" t="str">
        <f>"SH3GL1;SH3GL2"</f>
        <v>SH3GL1;SH3GL2</v>
      </c>
      <c r="M1060">
        <v>0</v>
      </c>
      <c r="N1060">
        <v>45705000</v>
      </c>
      <c r="O1060">
        <v>44513000</v>
      </c>
      <c r="P1060">
        <v>0</v>
      </c>
      <c r="Q1060">
        <v>0</v>
      </c>
      <c r="R1060">
        <v>45700000</v>
      </c>
      <c r="S1060">
        <v>0</v>
      </c>
      <c r="T1060">
        <v>0</v>
      </c>
      <c r="U1060">
        <v>0</v>
      </c>
      <c r="V1060">
        <v>59704000</v>
      </c>
      <c r="W1060">
        <v>0</v>
      </c>
      <c r="X1060">
        <v>52742000</v>
      </c>
    </row>
    <row r="1061" spans="1:24">
      <c r="A1061">
        <v>2039</v>
      </c>
      <c r="B1061" t="s">
        <v>2869</v>
      </c>
      <c r="C1061">
        <v>1</v>
      </c>
      <c r="D1061" t="s">
        <v>2870</v>
      </c>
      <c r="E1061">
        <v>10</v>
      </c>
      <c r="F1061">
        <v>10</v>
      </c>
      <c r="G1061">
        <v>10</v>
      </c>
      <c r="H1061" t="s">
        <v>2869</v>
      </c>
      <c r="I1061">
        <v>38.799999999999997</v>
      </c>
      <c r="J1061">
        <v>35.978000000000002</v>
      </c>
      <c r="K1061" t="str">
        <f>"SFXN3"</f>
        <v>SFXN3</v>
      </c>
      <c r="L1061" t="str">
        <f>"SFXN3"</f>
        <v>SFXN3</v>
      </c>
      <c r="M1061">
        <v>0</v>
      </c>
      <c r="N1061">
        <v>0</v>
      </c>
      <c r="O1061">
        <v>0</v>
      </c>
      <c r="P1061">
        <v>120700000</v>
      </c>
      <c r="Q1061">
        <v>0</v>
      </c>
      <c r="R1061">
        <v>58483000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</row>
    <row r="1062" spans="1:24">
      <c r="A1062">
        <v>263</v>
      </c>
      <c r="B1062" t="s">
        <v>2871</v>
      </c>
      <c r="C1062">
        <v>2</v>
      </c>
      <c r="D1062" t="s">
        <v>2872</v>
      </c>
      <c r="E1062">
        <v>6</v>
      </c>
      <c r="F1062">
        <v>6</v>
      </c>
      <c r="G1062">
        <v>6</v>
      </c>
      <c r="H1062" t="s">
        <v>2873</v>
      </c>
      <c r="I1062">
        <v>18.3</v>
      </c>
      <c r="J1062">
        <v>40.75</v>
      </c>
      <c r="K1062" t="str">
        <f>"NDUFA10"</f>
        <v>NDUFA10</v>
      </c>
      <c r="L1062" t="str">
        <f>"NDUFA10"</f>
        <v>NDUFA10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71206000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78475000</v>
      </c>
    </row>
    <row r="1063" spans="1:24">
      <c r="A1063">
        <v>409</v>
      </c>
      <c r="B1063" t="s">
        <v>2874</v>
      </c>
      <c r="C1063">
        <v>2</v>
      </c>
      <c r="D1063" t="s">
        <v>2875</v>
      </c>
      <c r="E1063">
        <v>11</v>
      </c>
      <c r="F1063">
        <v>11</v>
      </c>
      <c r="G1063">
        <v>11</v>
      </c>
      <c r="H1063" t="s">
        <v>2876</v>
      </c>
      <c r="I1063">
        <v>36.200000000000003</v>
      </c>
      <c r="J1063">
        <v>25.038</v>
      </c>
      <c r="K1063" t="str">
        <f>"CRP"</f>
        <v>CRP</v>
      </c>
      <c r="L1063" t="str">
        <f>"CRP"</f>
        <v>CRP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401300000</v>
      </c>
      <c r="T1063">
        <v>0</v>
      </c>
      <c r="U1063">
        <v>0</v>
      </c>
      <c r="V1063">
        <v>0</v>
      </c>
      <c r="W1063">
        <v>0</v>
      </c>
      <c r="X1063">
        <v>949270000</v>
      </c>
    </row>
    <row r="1064" spans="1:24">
      <c r="A1064">
        <v>533</v>
      </c>
      <c r="B1064" t="s">
        <v>2877</v>
      </c>
      <c r="C1064">
        <v>3</v>
      </c>
      <c r="D1064" t="s">
        <v>2878</v>
      </c>
      <c r="E1064">
        <v>7</v>
      </c>
      <c r="F1064">
        <v>7</v>
      </c>
      <c r="G1064">
        <v>7</v>
      </c>
      <c r="H1064" t="s">
        <v>2879</v>
      </c>
      <c r="I1064">
        <v>14.9</v>
      </c>
      <c r="J1064">
        <v>58.112000000000002</v>
      </c>
      <c r="K1064" t="str">
        <f>"PSAP"</f>
        <v>PSAP</v>
      </c>
      <c r="L1064" t="str">
        <f>"PSAP"</f>
        <v>PSAP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72129000</v>
      </c>
      <c r="S1064">
        <v>0</v>
      </c>
      <c r="T1064">
        <v>0</v>
      </c>
      <c r="U1064">
        <v>80837000</v>
      </c>
      <c r="V1064">
        <v>0</v>
      </c>
      <c r="W1064">
        <v>0</v>
      </c>
      <c r="X1064">
        <v>104610000</v>
      </c>
    </row>
    <row r="1065" spans="1:24">
      <c r="A1065">
        <v>732</v>
      </c>
      <c r="B1065" t="s">
        <v>2880</v>
      </c>
      <c r="C1065">
        <v>1</v>
      </c>
      <c r="D1065" t="s">
        <v>2881</v>
      </c>
      <c r="E1065">
        <v>11</v>
      </c>
      <c r="F1065">
        <v>11</v>
      </c>
      <c r="G1065">
        <v>11</v>
      </c>
      <c r="H1065" t="s">
        <v>2880</v>
      </c>
      <c r="I1065">
        <v>33.299999999999997</v>
      </c>
      <c r="J1065">
        <v>49.203000000000003</v>
      </c>
      <c r="K1065" t="str">
        <f>"PSMC3"</f>
        <v>PSMC3</v>
      </c>
      <c r="L1065" t="str">
        <f>"PSMC3"</f>
        <v>PSMC3</v>
      </c>
      <c r="M1065">
        <v>0</v>
      </c>
      <c r="N1065">
        <v>48777000</v>
      </c>
      <c r="O1065">
        <v>0</v>
      </c>
      <c r="P1065">
        <v>0</v>
      </c>
      <c r="Q1065">
        <v>0</v>
      </c>
      <c r="R1065">
        <v>55467000</v>
      </c>
      <c r="S1065">
        <v>0</v>
      </c>
      <c r="T1065">
        <v>0</v>
      </c>
      <c r="U1065">
        <v>0</v>
      </c>
      <c r="V1065">
        <v>62590000</v>
      </c>
      <c r="W1065">
        <v>0</v>
      </c>
      <c r="X1065">
        <v>0</v>
      </c>
    </row>
    <row r="1066" spans="1:24">
      <c r="A1066">
        <v>738</v>
      </c>
      <c r="B1066" t="s">
        <v>2882</v>
      </c>
      <c r="C1066">
        <v>2</v>
      </c>
      <c r="D1066" t="s">
        <v>2883</v>
      </c>
      <c r="E1066">
        <v>6</v>
      </c>
      <c r="F1066">
        <v>2</v>
      </c>
      <c r="G1066">
        <v>0</v>
      </c>
      <c r="H1066" t="s">
        <v>2884</v>
      </c>
      <c r="I1066">
        <v>47.3</v>
      </c>
      <c r="J1066">
        <v>14.073</v>
      </c>
      <c r="K1066" t="s">
        <v>476</v>
      </c>
      <c r="L1066" t="s">
        <v>476</v>
      </c>
      <c r="M1066">
        <v>0</v>
      </c>
      <c r="N1066">
        <v>239280000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447330000</v>
      </c>
      <c r="U1066">
        <v>137490000</v>
      </c>
      <c r="V1066">
        <v>0</v>
      </c>
      <c r="W1066">
        <v>0</v>
      </c>
      <c r="X1066">
        <v>158760000</v>
      </c>
    </row>
    <row r="1067" spans="1:24">
      <c r="A1067">
        <v>763</v>
      </c>
      <c r="B1067" t="s">
        <v>2885</v>
      </c>
      <c r="C1067">
        <v>1</v>
      </c>
      <c r="D1067" t="s">
        <v>2886</v>
      </c>
      <c r="E1067">
        <v>3</v>
      </c>
      <c r="F1067">
        <v>3</v>
      </c>
      <c r="G1067">
        <v>3</v>
      </c>
      <c r="H1067" t="s">
        <v>2885</v>
      </c>
      <c r="I1067">
        <v>17</v>
      </c>
      <c r="J1067">
        <v>30.992999999999999</v>
      </c>
      <c r="K1067" t="str">
        <f>"M6PR"</f>
        <v>M6PR</v>
      </c>
      <c r="L1067" t="str">
        <f>"M6PR"</f>
        <v>M6PR</v>
      </c>
      <c r="M1067">
        <v>0</v>
      </c>
      <c r="N1067">
        <v>0</v>
      </c>
      <c r="O1067">
        <v>0</v>
      </c>
      <c r="P1067">
        <v>86035000</v>
      </c>
      <c r="Q1067">
        <v>98878000</v>
      </c>
      <c r="R1067">
        <v>0</v>
      </c>
      <c r="S1067">
        <v>0</v>
      </c>
      <c r="T1067">
        <v>0</v>
      </c>
      <c r="U1067">
        <v>112120000</v>
      </c>
      <c r="V1067">
        <v>110490000</v>
      </c>
      <c r="W1067">
        <v>0</v>
      </c>
      <c r="X1067">
        <v>0</v>
      </c>
    </row>
    <row r="1068" spans="1:24">
      <c r="A1068">
        <v>883</v>
      </c>
      <c r="B1068" t="s">
        <v>2887</v>
      </c>
      <c r="C1068">
        <v>3</v>
      </c>
      <c r="D1068" t="s">
        <v>2888</v>
      </c>
      <c r="E1068">
        <v>4</v>
      </c>
      <c r="F1068">
        <v>4</v>
      </c>
      <c r="G1068">
        <v>4</v>
      </c>
      <c r="H1068" t="s">
        <v>2889</v>
      </c>
      <c r="I1068">
        <v>36.4</v>
      </c>
      <c r="J1068">
        <v>12.712</v>
      </c>
      <c r="K1068" t="str">
        <f>"DDT;DDTL"</f>
        <v>DDT;DDTL</v>
      </c>
      <c r="L1068" t="str">
        <f>"DDT;DDTL"</f>
        <v>DDT;DDTL</v>
      </c>
      <c r="M1068">
        <v>0</v>
      </c>
      <c r="N1068">
        <v>0</v>
      </c>
      <c r="O1068">
        <v>49916000</v>
      </c>
      <c r="P1068">
        <v>107770000</v>
      </c>
      <c r="Q1068">
        <v>124680000</v>
      </c>
      <c r="R1068">
        <v>0</v>
      </c>
      <c r="S1068">
        <v>139020000</v>
      </c>
      <c r="T1068">
        <v>96285000</v>
      </c>
      <c r="U1068">
        <v>191460000</v>
      </c>
      <c r="V1068">
        <v>0</v>
      </c>
      <c r="W1068">
        <v>0</v>
      </c>
      <c r="X1068">
        <v>0</v>
      </c>
    </row>
    <row r="1069" spans="1:24">
      <c r="A1069">
        <v>905</v>
      </c>
      <c r="B1069" t="s">
        <v>2890</v>
      </c>
      <c r="C1069">
        <v>1</v>
      </c>
      <c r="D1069" t="s">
        <v>2891</v>
      </c>
      <c r="E1069">
        <v>19</v>
      </c>
      <c r="F1069">
        <v>3</v>
      </c>
      <c r="G1069">
        <v>0</v>
      </c>
      <c r="H1069" t="s">
        <v>2890</v>
      </c>
      <c r="I1069">
        <v>51.1</v>
      </c>
      <c r="J1069">
        <v>40.332000000000001</v>
      </c>
      <c r="K1069" t="str">
        <f>"HLA-B"</f>
        <v>HLA-B</v>
      </c>
      <c r="L1069" t="str">
        <f>"HLA-B"</f>
        <v>HLA-B</v>
      </c>
      <c r="M1069">
        <v>122630000</v>
      </c>
      <c r="N1069">
        <v>0</v>
      </c>
      <c r="O1069">
        <v>0</v>
      </c>
      <c r="P1069">
        <v>0</v>
      </c>
      <c r="Q1069">
        <v>0</v>
      </c>
      <c r="R1069">
        <v>150510000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</row>
    <row r="1070" spans="1:24">
      <c r="A1070">
        <v>948</v>
      </c>
      <c r="B1070" t="s">
        <v>2892</v>
      </c>
      <c r="C1070">
        <v>3</v>
      </c>
      <c r="D1070" t="s">
        <v>2893</v>
      </c>
      <c r="E1070">
        <v>6</v>
      </c>
      <c r="F1070">
        <v>6</v>
      </c>
      <c r="G1070">
        <v>6</v>
      </c>
      <c r="H1070" t="s">
        <v>2894</v>
      </c>
      <c r="I1070">
        <v>17.7</v>
      </c>
      <c r="J1070">
        <v>62.615000000000002</v>
      </c>
      <c r="K1070" t="str">
        <f>"EPHX2"</f>
        <v>EPHX2</v>
      </c>
      <c r="L1070" t="str">
        <f>"EPHX2"</f>
        <v>EPHX2</v>
      </c>
      <c r="M1070">
        <v>0</v>
      </c>
      <c r="N1070">
        <v>0</v>
      </c>
      <c r="O1070">
        <v>44335000</v>
      </c>
      <c r="P1070">
        <v>0</v>
      </c>
      <c r="Q1070">
        <v>0</v>
      </c>
      <c r="R1070">
        <v>49514000</v>
      </c>
      <c r="S1070">
        <v>53491000</v>
      </c>
      <c r="T1070">
        <v>0</v>
      </c>
      <c r="U1070">
        <v>0</v>
      </c>
      <c r="V1070">
        <v>0</v>
      </c>
      <c r="W1070">
        <v>0</v>
      </c>
      <c r="X1070">
        <v>0</v>
      </c>
    </row>
    <row r="1071" spans="1:24">
      <c r="A1071">
        <v>1216</v>
      </c>
      <c r="B1071" t="s">
        <v>2895</v>
      </c>
      <c r="C1071">
        <v>1</v>
      </c>
      <c r="D1071" t="s">
        <v>2896</v>
      </c>
      <c r="E1071">
        <v>8</v>
      </c>
      <c r="F1071">
        <v>8</v>
      </c>
      <c r="G1071">
        <v>8</v>
      </c>
      <c r="H1071" t="s">
        <v>2895</v>
      </c>
      <c r="I1071">
        <v>19.8</v>
      </c>
      <c r="J1071">
        <v>52.22</v>
      </c>
      <c r="K1071" t="str">
        <f>"EIF3E"</f>
        <v>EIF3E</v>
      </c>
      <c r="L1071" t="str">
        <f>"EIF3E"</f>
        <v>EIF3E</v>
      </c>
      <c r="M1071">
        <v>0</v>
      </c>
      <c r="N1071">
        <v>0</v>
      </c>
      <c r="O1071">
        <v>0</v>
      </c>
      <c r="P1071">
        <v>25332000</v>
      </c>
      <c r="Q1071">
        <v>0</v>
      </c>
      <c r="R1071">
        <v>73148000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</row>
    <row r="1072" spans="1:24">
      <c r="A1072">
        <v>1466</v>
      </c>
      <c r="B1072" t="s">
        <v>2897</v>
      </c>
      <c r="C1072">
        <v>3</v>
      </c>
      <c r="D1072" t="s">
        <v>2898</v>
      </c>
      <c r="E1072">
        <v>30</v>
      </c>
      <c r="F1072">
        <v>2</v>
      </c>
      <c r="G1072">
        <v>0</v>
      </c>
      <c r="H1072" t="s">
        <v>2899</v>
      </c>
      <c r="I1072">
        <v>67.3</v>
      </c>
      <c r="J1072">
        <v>49.959000000000003</v>
      </c>
      <c r="K1072" t="str">
        <f>"TUBA3C;TUBA3E"</f>
        <v>TUBA3C;TUBA3E</v>
      </c>
      <c r="L1072" t="str">
        <f>"TUBA3C;TUBA3E"</f>
        <v>TUBA3C;TUBA3E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18347000</v>
      </c>
      <c r="X1072">
        <v>0</v>
      </c>
    </row>
    <row r="1073" spans="1:24">
      <c r="A1073">
        <v>1906</v>
      </c>
      <c r="B1073" t="s">
        <v>2900</v>
      </c>
      <c r="C1073">
        <v>2</v>
      </c>
      <c r="D1073" t="s">
        <v>2901</v>
      </c>
      <c r="E1073">
        <v>10</v>
      </c>
      <c r="F1073">
        <v>10</v>
      </c>
      <c r="G1073">
        <v>10</v>
      </c>
      <c r="H1073" t="s">
        <v>2902</v>
      </c>
      <c r="I1073">
        <v>12.5</v>
      </c>
      <c r="J1073">
        <v>110.5</v>
      </c>
      <c r="K1073" t="str">
        <f>"EXOC4"</f>
        <v>EXOC4</v>
      </c>
      <c r="L1073" t="str">
        <f>"EXOC4"</f>
        <v>EXOC4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52209000</v>
      </c>
      <c r="V1073">
        <v>0</v>
      </c>
      <c r="W1073">
        <v>0</v>
      </c>
      <c r="X1073">
        <v>0</v>
      </c>
    </row>
    <row r="1074" spans="1:24">
      <c r="A1074">
        <v>2141</v>
      </c>
      <c r="B1074" t="s">
        <v>2903</v>
      </c>
      <c r="C1074">
        <v>2</v>
      </c>
      <c r="D1074" t="s">
        <v>2904</v>
      </c>
      <c r="E1074">
        <v>7</v>
      </c>
      <c r="F1074">
        <v>2</v>
      </c>
      <c r="G1074">
        <v>2</v>
      </c>
      <c r="H1074" t="s">
        <v>2905</v>
      </c>
      <c r="I1074">
        <v>35.200000000000003</v>
      </c>
      <c r="J1074">
        <v>22.395</v>
      </c>
      <c r="K1074" t="str">
        <f>"RTN4"</f>
        <v>RTN4</v>
      </c>
      <c r="L1074" t="str">
        <f>"RTN4"</f>
        <v>RTN4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190040000</v>
      </c>
      <c r="T1074">
        <v>0</v>
      </c>
      <c r="U1074">
        <v>161070000</v>
      </c>
      <c r="V1074">
        <v>0</v>
      </c>
      <c r="W1074">
        <v>0</v>
      </c>
      <c r="X1074">
        <v>163690000</v>
      </c>
    </row>
    <row r="1075" spans="1:24">
      <c r="A1075">
        <v>2349</v>
      </c>
      <c r="B1075" t="s">
        <v>2906</v>
      </c>
      <c r="C1075">
        <v>2</v>
      </c>
      <c r="D1075" t="s">
        <v>2907</v>
      </c>
      <c r="E1075">
        <v>4</v>
      </c>
      <c r="F1075">
        <v>4</v>
      </c>
      <c r="G1075">
        <v>4</v>
      </c>
      <c r="H1075" t="s">
        <v>2908</v>
      </c>
      <c r="I1075">
        <v>14.9</v>
      </c>
      <c r="J1075">
        <v>41.026000000000003</v>
      </c>
      <c r="K1075" t="str">
        <f>"TSC22D4"</f>
        <v>TSC22D4</v>
      </c>
      <c r="L1075" t="str">
        <f>"TSC22D4"</f>
        <v>TSC22D4</v>
      </c>
      <c r="M1075">
        <v>0</v>
      </c>
      <c r="N1075">
        <v>79272000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79112000</v>
      </c>
    </row>
    <row r="1076" spans="1:24">
      <c r="A1076">
        <v>2390</v>
      </c>
      <c r="B1076" t="s">
        <v>2909</v>
      </c>
      <c r="C1076">
        <v>2</v>
      </c>
      <c r="D1076" t="s">
        <v>2910</v>
      </c>
      <c r="E1076">
        <v>6</v>
      </c>
      <c r="F1076">
        <v>6</v>
      </c>
      <c r="G1076">
        <v>6</v>
      </c>
      <c r="H1076" t="s">
        <v>2911</v>
      </c>
      <c r="I1076">
        <v>13.1</v>
      </c>
      <c r="J1076">
        <v>54.283000000000001</v>
      </c>
      <c r="K1076" t="str">
        <f>"WASF2"</f>
        <v>WASF2</v>
      </c>
      <c r="L1076" t="str">
        <f>"WASF2"</f>
        <v>WASF2</v>
      </c>
      <c r="M1076">
        <v>0</v>
      </c>
      <c r="N1076">
        <v>0</v>
      </c>
      <c r="O1076">
        <v>65209000</v>
      </c>
      <c r="P1076">
        <v>64732000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</row>
    <row r="1077" spans="1:24">
      <c r="A1077">
        <v>136</v>
      </c>
      <c r="B1077" t="s">
        <v>2912</v>
      </c>
      <c r="C1077">
        <v>4</v>
      </c>
      <c r="D1077" t="s">
        <v>2913</v>
      </c>
      <c r="E1077">
        <v>5</v>
      </c>
      <c r="F1077">
        <v>5</v>
      </c>
      <c r="G1077">
        <v>5</v>
      </c>
      <c r="H1077" t="s">
        <v>2914</v>
      </c>
      <c r="I1077">
        <v>12.9</v>
      </c>
      <c r="J1077">
        <v>43.884999999999998</v>
      </c>
      <c r="K1077" t="str">
        <f>"TAPBP"</f>
        <v>TAPBP</v>
      </c>
      <c r="L1077" t="str">
        <f>"TAPBP"</f>
        <v>TAPBP</v>
      </c>
      <c r="M1077">
        <v>0</v>
      </c>
      <c r="N1077">
        <v>63915000</v>
      </c>
      <c r="O1077">
        <v>0</v>
      </c>
      <c r="P1077">
        <v>0</v>
      </c>
      <c r="Q1077">
        <v>0</v>
      </c>
      <c r="R1077">
        <v>56438000</v>
      </c>
      <c r="S1077">
        <v>0</v>
      </c>
      <c r="T1077">
        <v>0</v>
      </c>
      <c r="U1077">
        <v>0</v>
      </c>
      <c r="V1077">
        <v>57149000</v>
      </c>
      <c r="W1077">
        <v>0</v>
      </c>
      <c r="X1077">
        <v>0</v>
      </c>
    </row>
    <row r="1078" spans="1:24">
      <c r="A1078">
        <v>145</v>
      </c>
      <c r="B1078" t="s">
        <v>2915</v>
      </c>
      <c r="C1078">
        <v>6</v>
      </c>
      <c r="D1078" t="s">
        <v>2916</v>
      </c>
      <c r="E1078">
        <v>8</v>
      </c>
      <c r="F1078">
        <v>8</v>
      </c>
      <c r="G1078">
        <v>8</v>
      </c>
      <c r="H1078" t="s">
        <v>2917</v>
      </c>
      <c r="I1078">
        <v>16</v>
      </c>
      <c r="J1078">
        <v>82.25</v>
      </c>
      <c r="K1078" t="str">
        <f>"MTSS1;MTSS1L"</f>
        <v>MTSS1;MTSS1L</v>
      </c>
      <c r="L1078" t="str">
        <f>"MTSS1;MTSS1L"</f>
        <v>MTSS1;MTSS1L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61337000</v>
      </c>
      <c r="S1078">
        <v>0</v>
      </c>
      <c r="T1078">
        <v>0</v>
      </c>
      <c r="U1078">
        <v>0</v>
      </c>
      <c r="V1078">
        <v>74300000</v>
      </c>
      <c r="W1078">
        <v>0</v>
      </c>
      <c r="X1078">
        <v>0</v>
      </c>
    </row>
    <row r="1079" spans="1:24">
      <c r="A1079">
        <v>211</v>
      </c>
      <c r="B1079" t="s">
        <v>2918</v>
      </c>
      <c r="C1079">
        <v>2</v>
      </c>
      <c r="D1079" t="s">
        <v>2919</v>
      </c>
      <c r="E1079">
        <v>4</v>
      </c>
      <c r="F1079">
        <v>4</v>
      </c>
      <c r="G1079">
        <v>4</v>
      </c>
      <c r="H1079" t="s">
        <v>2920</v>
      </c>
      <c r="I1079">
        <v>35.200000000000003</v>
      </c>
      <c r="J1079">
        <v>12.855</v>
      </c>
      <c r="K1079" t="str">
        <f>"TBCA"</f>
        <v>TBCA</v>
      </c>
      <c r="L1079" t="str">
        <f>"TBCA"</f>
        <v>TBCA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160200000</v>
      </c>
      <c r="S1079">
        <v>0</v>
      </c>
      <c r="T1079">
        <v>56540000</v>
      </c>
      <c r="U1079">
        <v>120500000</v>
      </c>
      <c r="V1079">
        <v>154610000</v>
      </c>
      <c r="W1079">
        <v>0</v>
      </c>
      <c r="X1079">
        <v>0</v>
      </c>
    </row>
    <row r="1080" spans="1:24">
      <c r="A1080">
        <v>331</v>
      </c>
      <c r="B1080" t="s">
        <v>2921</v>
      </c>
      <c r="C1080">
        <v>3</v>
      </c>
      <c r="D1080" t="s">
        <v>2922</v>
      </c>
      <c r="E1080">
        <v>7</v>
      </c>
      <c r="F1080">
        <v>7</v>
      </c>
      <c r="G1080">
        <v>7</v>
      </c>
      <c r="H1080" t="s">
        <v>2923</v>
      </c>
      <c r="I1080">
        <v>6.9</v>
      </c>
      <c r="J1080">
        <v>129.25</v>
      </c>
      <c r="K1080" t="str">
        <f>"EGF"</f>
        <v>EGF</v>
      </c>
      <c r="L1080" t="str">
        <f>"EGF"</f>
        <v>EGF</v>
      </c>
      <c r="M1080">
        <v>0</v>
      </c>
      <c r="N1080">
        <v>35140000</v>
      </c>
      <c r="O1080">
        <v>37301000</v>
      </c>
      <c r="P1080">
        <v>0</v>
      </c>
      <c r="Q1080">
        <v>0</v>
      </c>
      <c r="R1080">
        <v>0</v>
      </c>
      <c r="S1080">
        <v>38893000</v>
      </c>
      <c r="T1080">
        <v>0</v>
      </c>
      <c r="U1080">
        <v>70158000</v>
      </c>
      <c r="V1080">
        <v>48401000</v>
      </c>
      <c r="W1080">
        <v>0</v>
      </c>
      <c r="X1080">
        <v>0</v>
      </c>
    </row>
    <row r="1081" spans="1:24">
      <c r="A1081">
        <v>676</v>
      </c>
      <c r="B1081" t="s">
        <v>2924</v>
      </c>
      <c r="C1081">
        <v>2</v>
      </c>
      <c r="D1081" t="s">
        <v>2925</v>
      </c>
      <c r="E1081">
        <v>8</v>
      </c>
      <c r="F1081">
        <v>8</v>
      </c>
      <c r="G1081">
        <v>8</v>
      </c>
      <c r="H1081" t="s">
        <v>2926</v>
      </c>
      <c r="I1081">
        <v>15.8</v>
      </c>
      <c r="J1081">
        <v>76.481999999999999</v>
      </c>
      <c r="K1081" t="str">
        <f>"GYS1"</f>
        <v>GYS1</v>
      </c>
      <c r="L1081" t="str">
        <f>"GYS1"</f>
        <v>GYS1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45116000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</row>
    <row r="1082" spans="1:24">
      <c r="A1082">
        <v>736</v>
      </c>
      <c r="B1082" t="s">
        <v>2927</v>
      </c>
      <c r="C1082">
        <v>1</v>
      </c>
      <c r="D1082" t="s">
        <v>2928</v>
      </c>
      <c r="E1082">
        <v>6</v>
      </c>
      <c r="F1082">
        <v>6</v>
      </c>
      <c r="G1082">
        <v>6</v>
      </c>
      <c r="H1082" t="s">
        <v>2927</v>
      </c>
      <c r="I1082">
        <v>12.4</v>
      </c>
      <c r="J1082">
        <v>88.052999999999997</v>
      </c>
      <c r="K1082" t="str">
        <f>"ITGB5"</f>
        <v>ITGB5</v>
      </c>
      <c r="L1082" t="str">
        <f>"ITGB5"</f>
        <v>ITGB5</v>
      </c>
      <c r="M1082">
        <v>0</v>
      </c>
      <c r="N1082">
        <v>81248000</v>
      </c>
      <c r="O1082">
        <v>74228000</v>
      </c>
      <c r="P1082">
        <v>78752000</v>
      </c>
      <c r="Q1082">
        <v>0</v>
      </c>
      <c r="R1082">
        <v>93205000</v>
      </c>
      <c r="S1082">
        <v>0</v>
      </c>
      <c r="T1082">
        <v>130220000</v>
      </c>
      <c r="U1082">
        <v>146940000</v>
      </c>
      <c r="V1082">
        <v>119870000</v>
      </c>
      <c r="W1082">
        <v>0</v>
      </c>
      <c r="X1082">
        <v>126790000</v>
      </c>
    </row>
    <row r="1083" spans="1:24">
      <c r="A1083">
        <v>818</v>
      </c>
      <c r="B1083" t="s">
        <v>2929</v>
      </c>
      <c r="C1083">
        <v>4</v>
      </c>
      <c r="D1083" t="s">
        <v>2930</v>
      </c>
      <c r="E1083">
        <v>5</v>
      </c>
      <c r="F1083">
        <v>5</v>
      </c>
      <c r="G1083">
        <v>5</v>
      </c>
      <c r="H1083" t="s">
        <v>2931</v>
      </c>
      <c r="I1083">
        <v>39.200000000000003</v>
      </c>
      <c r="J1083">
        <v>18.042000000000002</v>
      </c>
      <c r="K1083" t="str">
        <f>"ACP1"</f>
        <v>ACP1</v>
      </c>
      <c r="L1083" t="str">
        <f>"ACP1"</f>
        <v>ACP1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106020000</v>
      </c>
      <c r="S1083">
        <v>114400000</v>
      </c>
      <c r="T1083">
        <v>0</v>
      </c>
      <c r="U1083">
        <v>123550000</v>
      </c>
      <c r="V1083">
        <v>0</v>
      </c>
      <c r="W1083">
        <v>168570000</v>
      </c>
      <c r="X1083">
        <v>76269000</v>
      </c>
    </row>
    <row r="1084" spans="1:24">
      <c r="A1084">
        <v>842</v>
      </c>
      <c r="B1084" t="s">
        <v>2932</v>
      </c>
      <c r="C1084">
        <v>3</v>
      </c>
      <c r="D1084" t="s">
        <v>2933</v>
      </c>
      <c r="E1084">
        <v>9</v>
      </c>
      <c r="F1084">
        <v>9</v>
      </c>
      <c r="G1084">
        <v>9</v>
      </c>
      <c r="H1084" t="s">
        <v>2934</v>
      </c>
      <c r="I1084">
        <v>15.8</v>
      </c>
      <c r="J1084">
        <v>80.319000000000003</v>
      </c>
      <c r="K1084" t="str">
        <f>"MST1;MST1L"</f>
        <v>MST1;MST1L</v>
      </c>
      <c r="L1084" t="str">
        <f>"MST1;MST1L"</f>
        <v>MST1;MST1L</v>
      </c>
      <c r="M1084">
        <v>0</v>
      </c>
      <c r="N1084">
        <v>0</v>
      </c>
      <c r="O1084">
        <v>0</v>
      </c>
      <c r="P1084">
        <v>0</v>
      </c>
      <c r="Q1084">
        <v>150170000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</row>
    <row r="1085" spans="1:24">
      <c r="A1085">
        <v>1171</v>
      </c>
      <c r="B1085" t="s">
        <v>2935</v>
      </c>
      <c r="C1085">
        <v>6</v>
      </c>
      <c r="D1085" t="s">
        <v>2936</v>
      </c>
      <c r="E1085">
        <v>5</v>
      </c>
      <c r="F1085">
        <v>5</v>
      </c>
      <c r="G1085">
        <v>5</v>
      </c>
      <c r="H1085" t="s">
        <v>2937</v>
      </c>
      <c r="I1085">
        <v>14</v>
      </c>
      <c r="J1085">
        <v>36.622</v>
      </c>
      <c r="K1085" t="str">
        <f>"IST1"</f>
        <v>IST1</v>
      </c>
      <c r="L1085" t="str">
        <f>"IST1"</f>
        <v>IST1</v>
      </c>
      <c r="M1085">
        <v>0</v>
      </c>
      <c r="N1085">
        <v>67065000</v>
      </c>
      <c r="O1085">
        <v>82568000</v>
      </c>
      <c r="P1085">
        <v>80819000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56024000</v>
      </c>
      <c r="X1085">
        <v>0</v>
      </c>
    </row>
    <row r="1086" spans="1:24">
      <c r="A1086">
        <v>1248</v>
      </c>
      <c r="B1086" t="s">
        <v>2938</v>
      </c>
      <c r="C1086">
        <v>1</v>
      </c>
      <c r="D1086" t="s">
        <v>2939</v>
      </c>
      <c r="E1086">
        <v>7</v>
      </c>
      <c r="F1086">
        <v>7</v>
      </c>
      <c r="G1086">
        <v>7</v>
      </c>
      <c r="H1086" t="s">
        <v>2938</v>
      </c>
      <c r="I1086">
        <v>56.8</v>
      </c>
      <c r="J1086">
        <v>16.536999999999999</v>
      </c>
      <c r="K1086" t="str">
        <f>"LYZ"</f>
        <v>LYZ</v>
      </c>
      <c r="L1086" t="str">
        <f>"LYZ"</f>
        <v>LYZ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131450000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</row>
    <row r="1087" spans="1:24">
      <c r="A1087">
        <v>1366</v>
      </c>
      <c r="B1087" t="s">
        <v>2940</v>
      </c>
      <c r="C1087">
        <v>3</v>
      </c>
      <c r="D1087" t="s">
        <v>2941</v>
      </c>
      <c r="E1087">
        <v>7</v>
      </c>
      <c r="F1087">
        <v>6</v>
      </c>
      <c r="G1087">
        <v>6</v>
      </c>
      <c r="H1087" t="s">
        <v>2942</v>
      </c>
      <c r="I1087">
        <v>10.5</v>
      </c>
      <c r="J1087">
        <v>67.56</v>
      </c>
      <c r="K1087" t="str">
        <f>"PRKCQ"</f>
        <v>PRKCQ</v>
      </c>
      <c r="L1087" t="str">
        <f>"PRKCQ"</f>
        <v>PRKCQ</v>
      </c>
      <c r="M1087">
        <v>0</v>
      </c>
      <c r="N1087">
        <v>0</v>
      </c>
      <c r="O1087">
        <v>212310000</v>
      </c>
      <c r="P1087">
        <v>0</v>
      </c>
      <c r="Q1087">
        <v>0</v>
      </c>
      <c r="R1087">
        <v>0</v>
      </c>
      <c r="S1087">
        <v>0</v>
      </c>
      <c r="T1087">
        <v>166880000</v>
      </c>
      <c r="U1087">
        <v>0</v>
      </c>
      <c r="V1087">
        <v>0</v>
      </c>
      <c r="W1087">
        <v>0</v>
      </c>
      <c r="X1087">
        <v>0</v>
      </c>
    </row>
    <row r="1088" spans="1:24">
      <c r="A1088">
        <v>1416</v>
      </c>
      <c r="B1088" t="s">
        <v>2943</v>
      </c>
      <c r="C1088">
        <v>5</v>
      </c>
      <c r="D1088" t="s">
        <v>2944</v>
      </c>
      <c r="E1088">
        <v>7</v>
      </c>
      <c r="F1088">
        <v>7</v>
      </c>
      <c r="G1088">
        <v>7</v>
      </c>
      <c r="H1088" t="s">
        <v>2945</v>
      </c>
      <c r="I1088">
        <v>50.9</v>
      </c>
      <c r="J1088">
        <v>19.126999999999999</v>
      </c>
      <c r="K1088" t="str">
        <f>"PTP4A2;PTP4A1"</f>
        <v>PTP4A2;PTP4A1</v>
      </c>
      <c r="L1088" t="str">
        <f>"PTP4A2;PTP4A1"</f>
        <v>PTP4A2;PTP4A1</v>
      </c>
      <c r="M1088">
        <v>0</v>
      </c>
      <c r="N1088">
        <v>0</v>
      </c>
      <c r="O1088">
        <v>52829000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>
      <c r="A1089">
        <v>1428</v>
      </c>
      <c r="B1089" t="s">
        <v>2946</v>
      </c>
      <c r="C1089">
        <v>3</v>
      </c>
      <c r="D1089" t="s">
        <v>2947</v>
      </c>
      <c r="E1089">
        <v>10</v>
      </c>
      <c r="F1089">
        <v>10</v>
      </c>
      <c r="G1089">
        <v>10</v>
      </c>
      <c r="H1089" t="s">
        <v>2948</v>
      </c>
      <c r="I1089">
        <v>24.7</v>
      </c>
      <c r="J1089">
        <v>64.009</v>
      </c>
      <c r="K1089" t="str">
        <f>"PRKAA1;PRKAA2"</f>
        <v>PRKAA1;PRKAA2</v>
      </c>
      <c r="L1089" t="str">
        <f>"PRKAA1;PRKAA2"</f>
        <v>PRKAA1;PRKAA2</v>
      </c>
      <c r="M1089">
        <v>0</v>
      </c>
      <c r="N1089">
        <v>98511000</v>
      </c>
      <c r="O1089">
        <v>75813000</v>
      </c>
      <c r="P1089">
        <v>0</v>
      </c>
      <c r="Q1089">
        <v>0</v>
      </c>
      <c r="R1089">
        <v>0</v>
      </c>
      <c r="S1089">
        <v>98200000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>
      <c r="A1090">
        <v>1564</v>
      </c>
      <c r="B1090" t="s">
        <v>2949</v>
      </c>
      <c r="C1090">
        <v>1</v>
      </c>
      <c r="D1090" t="s">
        <v>2950</v>
      </c>
      <c r="E1090">
        <v>10</v>
      </c>
      <c r="F1090">
        <v>10</v>
      </c>
      <c r="G1090">
        <v>10</v>
      </c>
      <c r="H1090" t="s">
        <v>2949</v>
      </c>
      <c r="I1090">
        <v>16.8</v>
      </c>
      <c r="J1090">
        <v>74.680000000000007</v>
      </c>
      <c r="K1090" t="str">
        <f>"TGFBI"</f>
        <v>TGFBI</v>
      </c>
      <c r="L1090" t="str">
        <f>"TGFBI"</f>
        <v>TGFBI</v>
      </c>
      <c r="M1090">
        <v>107720000</v>
      </c>
      <c r="N1090">
        <v>52298000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101480000</v>
      </c>
      <c r="U1090">
        <v>71505000</v>
      </c>
      <c r="V1090">
        <v>41907000</v>
      </c>
      <c r="W1090">
        <v>123660000</v>
      </c>
      <c r="X1090">
        <v>0</v>
      </c>
    </row>
    <row r="1091" spans="1:24">
      <c r="A1091">
        <v>2003</v>
      </c>
      <c r="B1091" t="s">
        <v>2951</v>
      </c>
      <c r="C1091">
        <v>1</v>
      </c>
      <c r="D1091" t="s">
        <v>2952</v>
      </c>
      <c r="E1091">
        <v>8</v>
      </c>
      <c r="F1091">
        <v>8</v>
      </c>
      <c r="G1091">
        <v>8</v>
      </c>
      <c r="H1091" t="s">
        <v>2951</v>
      </c>
      <c r="I1091">
        <v>15.6</v>
      </c>
      <c r="J1091">
        <v>59.058</v>
      </c>
      <c r="K1091" t="str">
        <f>"CPNE1"</f>
        <v>CPNE1</v>
      </c>
      <c r="L1091" t="str">
        <f>"CPNE1"</f>
        <v>CPNE1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89369000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</row>
    <row r="1092" spans="1:24">
      <c r="A1092">
        <v>2355</v>
      </c>
      <c r="B1092" t="s">
        <v>2953</v>
      </c>
      <c r="C1092">
        <v>1</v>
      </c>
      <c r="D1092" t="s">
        <v>2954</v>
      </c>
      <c r="E1092">
        <v>30</v>
      </c>
      <c r="F1092">
        <v>2</v>
      </c>
      <c r="G1092">
        <v>2</v>
      </c>
      <c r="H1092" t="s">
        <v>2953</v>
      </c>
      <c r="I1092">
        <v>7.8</v>
      </c>
      <c r="J1092">
        <v>271.61</v>
      </c>
      <c r="K1092" t="str">
        <f>"TLN2"</f>
        <v>TLN2</v>
      </c>
      <c r="L1092" t="str">
        <f>"TLN2"</f>
        <v>TLN2</v>
      </c>
      <c r="M1092">
        <v>0</v>
      </c>
      <c r="N1092">
        <v>0</v>
      </c>
      <c r="O1092">
        <v>0</v>
      </c>
      <c r="P1092">
        <v>87726000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103110000</v>
      </c>
      <c r="W1092">
        <v>0</v>
      </c>
      <c r="X1092">
        <v>72400000</v>
      </c>
    </row>
    <row r="1093" spans="1:24">
      <c r="A1093">
        <v>183</v>
      </c>
      <c r="B1093" t="s">
        <v>2955</v>
      </c>
      <c r="C1093">
        <v>2</v>
      </c>
      <c r="D1093" t="s">
        <v>2956</v>
      </c>
      <c r="E1093">
        <v>8</v>
      </c>
      <c r="F1093">
        <v>8</v>
      </c>
      <c r="G1093">
        <v>7</v>
      </c>
      <c r="H1093" t="s">
        <v>2957</v>
      </c>
      <c r="I1093">
        <v>16.3</v>
      </c>
      <c r="J1093">
        <v>74.435000000000002</v>
      </c>
      <c r="K1093" t="str">
        <f>"ACSL4"</f>
        <v>ACSL4</v>
      </c>
      <c r="L1093" t="str">
        <f>"ACSL4"</f>
        <v>ACSL4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>
      <c r="A1094">
        <v>274</v>
      </c>
      <c r="B1094" t="s">
        <v>2958</v>
      </c>
      <c r="C1094">
        <v>2</v>
      </c>
      <c r="D1094" t="s">
        <v>2959</v>
      </c>
      <c r="E1094">
        <v>5</v>
      </c>
      <c r="F1094">
        <v>5</v>
      </c>
      <c r="G1094">
        <v>5</v>
      </c>
      <c r="H1094" t="s">
        <v>2960</v>
      </c>
      <c r="I1094">
        <v>13.4</v>
      </c>
      <c r="J1094">
        <v>48.076000000000001</v>
      </c>
      <c r="K1094" t="str">
        <f>"STAMBP"</f>
        <v>STAMBP</v>
      </c>
      <c r="L1094" t="str">
        <f>"STAMBP"</f>
        <v>STAMBP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58985000</v>
      </c>
      <c r="V1094">
        <v>62577000</v>
      </c>
      <c r="W1094">
        <v>0</v>
      </c>
      <c r="X1094">
        <v>74111000</v>
      </c>
    </row>
    <row r="1095" spans="1:24">
      <c r="A1095">
        <v>277</v>
      </c>
      <c r="B1095" t="s">
        <v>2961</v>
      </c>
      <c r="C1095">
        <v>1</v>
      </c>
      <c r="D1095" t="s">
        <v>2962</v>
      </c>
      <c r="E1095">
        <v>6</v>
      </c>
      <c r="F1095">
        <v>6</v>
      </c>
      <c r="G1095">
        <v>6</v>
      </c>
      <c r="H1095" t="s">
        <v>2961</v>
      </c>
      <c r="I1095">
        <v>30.6</v>
      </c>
      <c r="J1095">
        <v>28.97</v>
      </c>
      <c r="K1095" t="str">
        <f>"SNAP29"</f>
        <v>SNAP29</v>
      </c>
      <c r="L1095" t="str">
        <f>"SNAP29"</f>
        <v>SNAP29</v>
      </c>
      <c r="M1095">
        <v>0</v>
      </c>
      <c r="N1095">
        <v>0</v>
      </c>
      <c r="O1095">
        <v>54529000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</row>
    <row r="1096" spans="1:24">
      <c r="A1096">
        <v>438</v>
      </c>
      <c r="B1096" t="s">
        <v>2963</v>
      </c>
      <c r="C1096">
        <v>2</v>
      </c>
      <c r="D1096" t="s">
        <v>2964</v>
      </c>
      <c r="E1096">
        <v>5</v>
      </c>
      <c r="F1096">
        <v>5</v>
      </c>
      <c r="G1096">
        <v>5</v>
      </c>
      <c r="H1096" t="s">
        <v>2965</v>
      </c>
      <c r="I1096">
        <v>14.1</v>
      </c>
      <c r="J1096">
        <v>52.070999999999998</v>
      </c>
      <c r="K1096" t="str">
        <f>"PROC"</f>
        <v>PROC</v>
      </c>
      <c r="L1096" t="str">
        <f>"PROC"</f>
        <v>PROC</v>
      </c>
      <c r="M1096">
        <v>207380000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169620000</v>
      </c>
      <c r="T1096">
        <v>136960000</v>
      </c>
      <c r="U1096">
        <v>0</v>
      </c>
      <c r="V1096">
        <v>0</v>
      </c>
      <c r="W1096">
        <v>84427000</v>
      </c>
      <c r="X1096">
        <v>60201000</v>
      </c>
    </row>
    <row r="1097" spans="1:24">
      <c r="A1097">
        <v>483</v>
      </c>
      <c r="B1097" t="s">
        <v>2966</v>
      </c>
      <c r="C1097">
        <v>3</v>
      </c>
      <c r="D1097" t="s">
        <v>2967</v>
      </c>
      <c r="E1097">
        <v>15</v>
      </c>
      <c r="F1097">
        <v>15</v>
      </c>
      <c r="G1097">
        <v>14</v>
      </c>
      <c r="H1097" t="s">
        <v>2968</v>
      </c>
      <c r="I1097">
        <v>24.5</v>
      </c>
      <c r="J1097">
        <v>73.852999999999994</v>
      </c>
      <c r="K1097" t="str">
        <f>"MPO"</f>
        <v>MPO</v>
      </c>
      <c r="L1097" t="str">
        <f>"MPO"</f>
        <v>MPO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152560000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</row>
    <row r="1098" spans="1:24">
      <c r="A1098">
        <v>662</v>
      </c>
      <c r="B1098" t="s">
        <v>2969</v>
      </c>
      <c r="C1098">
        <v>1</v>
      </c>
      <c r="D1098" t="s">
        <v>2970</v>
      </c>
      <c r="E1098">
        <v>3</v>
      </c>
      <c r="F1098">
        <v>3</v>
      </c>
      <c r="G1098">
        <v>3</v>
      </c>
      <c r="H1098" t="s">
        <v>2969</v>
      </c>
      <c r="I1098">
        <v>25.3</v>
      </c>
      <c r="J1098">
        <v>9.9895999999999994</v>
      </c>
      <c r="K1098" t="str">
        <f>"CCL5"</f>
        <v>CCL5</v>
      </c>
      <c r="L1098" t="str">
        <f>"CCL5"</f>
        <v>CCL5</v>
      </c>
      <c r="M1098">
        <v>0</v>
      </c>
      <c r="N1098">
        <v>0</v>
      </c>
      <c r="O1098">
        <v>0</v>
      </c>
      <c r="P1098">
        <v>0</v>
      </c>
      <c r="Q1098">
        <v>103640000</v>
      </c>
      <c r="R1098">
        <v>204660000</v>
      </c>
      <c r="S1098">
        <v>0</v>
      </c>
      <c r="T1098">
        <v>0</v>
      </c>
      <c r="U1098">
        <v>64171000</v>
      </c>
      <c r="V1098">
        <v>79272000</v>
      </c>
      <c r="W1098">
        <v>0</v>
      </c>
      <c r="X1098">
        <v>0</v>
      </c>
    </row>
    <row r="1099" spans="1:24">
      <c r="A1099">
        <v>664</v>
      </c>
      <c r="B1099" t="s">
        <v>2971</v>
      </c>
      <c r="C1099">
        <v>1</v>
      </c>
      <c r="D1099" t="s">
        <v>2972</v>
      </c>
      <c r="E1099">
        <v>15</v>
      </c>
      <c r="F1099">
        <v>15</v>
      </c>
      <c r="G1099">
        <v>15</v>
      </c>
      <c r="H1099" t="s">
        <v>2971</v>
      </c>
      <c r="I1099">
        <v>20.2</v>
      </c>
      <c r="J1099">
        <v>95.337000000000003</v>
      </c>
      <c r="K1099" t="str">
        <f>"EEF2"</f>
        <v>EEF2</v>
      </c>
      <c r="L1099" t="str">
        <f>"EEF2"</f>
        <v>EEF2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120540000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</row>
    <row r="1100" spans="1:24">
      <c r="A1100">
        <v>1041</v>
      </c>
      <c r="B1100" t="s">
        <v>2973</v>
      </c>
      <c r="C1100">
        <v>2</v>
      </c>
      <c r="D1100" t="s">
        <v>2974</v>
      </c>
      <c r="E1100">
        <v>8</v>
      </c>
      <c r="F1100">
        <v>8</v>
      </c>
      <c r="G1100">
        <v>8</v>
      </c>
      <c r="H1100" t="s">
        <v>2975</v>
      </c>
      <c r="I1100">
        <v>26.1</v>
      </c>
      <c r="J1100">
        <v>43.506999999999998</v>
      </c>
      <c r="K1100" t="str">
        <f>"PSMC4"</f>
        <v>PSMC4</v>
      </c>
      <c r="L1100" t="str">
        <f>"PSMC4"</f>
        <v>PSMC4</v>
      </c>
      <c r="M1100">
        <v>0</v>
      </c>
      <c r="N1100">
        <v>0</v>
      </c>
      <c r="O1100">
        <v>63788000</v>
      </c>
      <c r="P1100">
        <v>35203000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</row>
    <row r="1101" spans="1:24">
      <c r="A1101">
        <v>1203</v>
      </c>
      <c r="B1101" t="s">
        <v>2976</v>
      </c>
      <c r="C1101">
        <v>4</v>
      </c>
      <c r="D1101" t="s">
        <v>2977</v>
      </c>
      <c r="E1101">
        <v>2</v>
      </c>
      <c r="F1101">
        <v>2</v>
      </c>
      <c r="G1101">
        <v>2</v>
      </c>
      <c r="H1101" t="s">
        <v>2978</v>
      </c>
      <c r="I1101">
        <v>49</v>
      </c>
      <c r="J1101">
        <v>5.7407000000000004</v>
      </c>
      <c r="K1101" t="str">
        <f>"ATP5J2"</f>
        <v>ATP5J2</v>
      </c>
      <c r="L1101" t="str">
        <f>"ATP5J2"</f>
        <v>ATP5J2</v>
      </c>
      <c r="M1101">
        <v>0</v>
      </c>
      <c r="N1101">
        <v>0</v>
      </c>
      <c r="O1101">
        <v>0</v>
      </c>
      <c r="P1101">
        <v>28934000</v>
      </c>
      <c r="Q1101">
        <v>0</v>
      </c>
      <c r="R1101">
        <v>61249000</v>
      </c>
      <c r="S1101">
        <v>0</v>
      </c>
      <c r="T1101">
        <v>60665000</v>
      </c>
      <c r="U1101">
        <v>0</v>
      </c>
      <c r="V1101">
        <v>0</v>
      </c>
      <c r="W1101">
        <v>0</v>
      </c>
      <c r="X1101">
        <v>0</v>
      </c>
    </row>
    <row r="1102" spans="1:24">
      <c r="A1102">
        <v>1296</v>
      </c>
      <c r="B1102" t="s">
        <v>2979</v>
      </c>
      <c r="C1102">
        <v>4</v>
      </c>
      <c r="D1102" t="s">
        <v>2980</v>
      </c>
      <c r="E1102">
        <v>3</v>
      </c>
      <c r="F1102">
        <v>3</v>
      </c>
      <c r="G1102">
        <v>3</v>
      </c>
      <c r="H1102" t="s">
        <v>2981</v>
      </c>
      <c r="I1102">
        <v>17.7</v>
      </c>
      <c r="J1102">
        <v>18.988</v>
      </c>
      <c r="K1102" t="str">
        <f>"SEC11A"</f>
        <v>SEC11A</v>
      </c>
      <c r="L1102" t="str">
        <f>"SEC11A"</f>
        <v>SEC11A</v>
      </c>
      <c r="M1102">
        <v>0</v>
      </c>
      <c r="N1102">
        <v>0</v>
      </c>
      <c r="O1102">
        <v>59881000</v>
      </c>
      <c r="P1102">
        <v>0</v>
      </c>
      <c r="Q1102">
        <v>0</v>
      </c>
      <c r="R1102">
        <v>64728000</v>
      </c>
      <c r="S1102">
        <v>67390000</v>
      </c>
      <c r="T1102">
        <v>0</v>
      </c>
      <c r="U1102">
        <v>68374000</v>
      </c>
      <c r="V1102">
        <v>0</v>
      </c>
      <c r="W1102">
        <v>82880000</v>
      </c>
      <c r="X1102">
        <v>0</v>
      </c>
    </row>
    <row r="1103" spans="1:24">
      <c r="A1103">
        <v>1407</v>
      </c>
      <c r="B1103" t="s">
        <v>2982</v>
      </c>
      <c r="C1103">
        <v>3</v>
      </c>
      <c r="D1103" t="s">
        <v>2983</v>
      </c>
      <c r="E1103">
        <v>2</v>
      </c>
      <c r="F1103">
        <v>2</v>
      </c>
      <c r="G1103">
        <v>2</v>
      </c>
      <c r="H1103" t="s">
        <v>2984</v>
      </c>
      <c r="I1103">
        <v>8.4</v>
      </c>
      <c r="J1103">
        <v>38.863</v>
      </c>
      <c r="K1103" t="str">
        <f>"SCRN1"</f>
        <v>SCRN1</v>
      </c>
      <c r="L1103" t="str">
        <f>"SCRN1"</f>
        <v>SCRN1</v>
      </c>
      <c r="M1103">
        <v>0</v>
      </c>
      <c r="N1103">
        <v>153910000</v>
      </c>
      <c r="O1103">
        <v>124200000</v>
      </c>
      <c r="P1103">
        <v>61123000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>
      <c r="A1104">
        <v>1411</v>
      </c>
      <c r="B1104" t="s">
        <v>2985</v>
      </c>
      <c r="C1104">
        <v>2</v>
      </c>
      <c r="D1104" t="s">
        <v>2986</v>
      </c>
      <c r="E1104">
        <v>6</v>
      </c>
      <c r="F1104">
        <v>6</v>
      </c>
      <c r="G1104">
        <v>6</v>
      </c>
      <c r="H1104" t="s">
        <v>2987</v>
      </c>
      <c r="I1104">
        <v>32.1</v>
      </c>
      <c r="J1104">
        <v>34.351999999999997</v>
      </c>
      <c r="K1104" t="str">
        <f>"AIMP1"</f>
        <v>AIMP1</v>
      </c>
      <c r="L1104" t="str">
        <f>"AIMP1"</f>
        <v>AIMP1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102060000</v>
      </c>
      <c r="S1104">
        <v>0</v>
      </c>
      <c r="T1104">
        <v>0</v>
      </c>
      <c r="U1104">
        <v>0</v>
      </c>
      <c r="V1104">
        <v>66077000</v>
      </c>
      <c r="W1104">
        <v>0</v>
      </c>
      <c r="X1104">
        <v>85859000</v>
      </c>
    </row>
    <row r="1105" spans="1:24">
      <c r="A1105">
        <v>1468</v>
      </c>
      <c r="B1105" t="s">
        <v>2988</v>
      </c>
      <c r="C1105">
        <v>3</v>
      </c>
      <c r="D1105" t="s">
        <v>2989</v>
      </c>
      <c r="E1105">
        <v>14</v>
      </c>
      <c r="F1105">
        <v>14</v>
      </c>
      <c r="G1105">
        <v>14</v>
      </c>
      <c r="H1105" t="s">
        <v>2990</v>
      </c>
      <c r="I1105">
        <v>7.6</v>
      </c>
      <c r="J1105">
        <v>282.27999999999997</v>
      </c>
      <c r="K1105" t="str">
        <f>"SPTAN1"</f>
        <v>SPTAN1</v>
      </c>
      <c r="L1105" t="str">
        <f>"SPTAN1"</f>
        <v>SPTAN1</v>
      </c>
      <c r="M1105">
        <v>0</v>
      </c>
      <c r="N1105">
        <v>88384000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>
      <c r="A1106">
        <v>1622</v>
      </c>
      <c r="B1106" t="s">
        <v>2991</v>
      </c>
      <c r="C1106">
        <v>3</v>
      </c>
      <c r="D1106" t="s">
        <v>2992</v>
      </c>
      <c r="E1106">
        <v>6</v>
      </c>
      <c r="F1106">
        <v>6</v>
      </c>
      <c r="G1106">
        <v>6</v>
      </c>
      <c r="H1106" t="s">
        <v>2993</v>
      </c>
      <c r="I1106">
        <v>21.4</v>
      </c>
      <c r="J1106">
        <v>39.154000000000003</v>
      </c>
      <c r="K1106" t="str">
        <f>"VPS26B;VPS26A"</f>
        <v>VPS26B;VPS26A</v>
      </c>
      <c r="L1106" t="str">
        <f>"VPS26B;VPS26A"</f>
        <v>VPS26B;VPS26A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32773000</v>
      </c>
      <c r="S1106">
        <v>28451000</v>
      </c>
      <c r="T1106">
        <v>0</v>
      </c>
      <c r="U1106">
        <v>0</v>
      </c>
      <c r="V1106">
        <v>0</v>
      </c>
      <c r="W1106">
        <v>0</v>
      </c>
      <c r="X1106">
        <v>48774000</v>
      </c>
    </row>
    <row r="1107" spans="1:24">
      <c r="A1107">
        <v>1740</v>
      </c>
      <c r="B1107" t="s">
        <v>2994</v>
      </c>
      <c r="C1107">
        <v>4</v>
      </c>
      <c r="D1107" t="s">
        <v>2995</v>
      </c>
      <c r="E1107">
        <v>12</v>
      </c>
      <c r="F1107">
        <v>12</v>
      </c>
      <c r="G1107">
        <v>12</v>
      </c>
      <c r="H1107" t="s">
        <v>2996</v>
      </c>
      <c r="I1107">
        <v>12.8</v>
      </c>
      <c r="J1107">
        <v>149.61000000000001</v>
      </c>
      <c r="K1107" t="str">
        <f>"KTN1"</f>
        <v>KTN1</v>
      </c>
      <c r="L1107" t="str">
        <f>"KTN1"</f>
        <v>KTN1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34404000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</row>
    <row r="1108" spans="1:24">
      <c r="A1108">
        <v>1770</v>
      </c>
      <c r="B1108" t="s">
        <v>2997</v>
      </c>
      <c r="C1108">
        <v>3</v>
      </c>
      <c r="D1108" t="s">
        <v>2998</v>
      </c>
      <c r="E1108">
        <v>2</v>
      </c>
      <c r="F1108">
        <v>2</v>
      </c>
      <c r="G1108">
        <v>2</v>
      </c>
      <c r="H1108" t="s">
        <v>2999</v>
      </c>
      <c r="I1108">
        <v>4.2</v>
      </c>
      <c r="J1108">
        <v>59.482999999999997</v>
      </c>
      <c r="K1108" t="str">
        <f>"MICALL2;MICALL1"</f>
        <v>MICALL2;MICALL1</v>
      </c>
      <c r="L1108" t="str">
        <f>"MICALL2;MICALL1"</f>
        <v>MICALL2;MICALL1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</row>
    <row r="1109" spans="1:24">
      <c r="A1109">
        <v>2211</v>
      </c>
      <c r="B1109" t="s">
        <v>3000</v>
      </c>
      <c r="C1109">
        <v>1</v>
      </c>
      <c r="D1109" t="s">
        <v>3001</v>
      </c>
      <c r="E1109">
        <v>3</v>
      </c>
      <c r="F1109">
        <v>3</v>
      </c>
      <c r="G1109">
        <v>3</v>
      </c>
      <c r="H1109" t="s">
        <v>3000</v>
      </c>
      <c r="I1109">
        <v>5.2</v>
      </c>
      <c r="J1109">
        <v>43.158999999999999</v>
      </c>
      <c r="K1109" t="str">
        <f>"HACD3"</f>
        <v>HACD3</v>
      </c>
      <c r="L1109" t="str">
        <f>"HACD3"</f>
        <v>HACD3</v>
      </c>
      <c r="M1109">
        <v>0</v>
      </c>
      <c r="N1109">
        <v>0</v>
      </c>
      <c r="O1109">
        <v>0</v>
      </c>
      <c r="P1109">
        <v>0</v>
      </c>
      <c r="Q1109">
        <v>72139000</v>
      </c>
      <c r="R1109">
        <v>94690000</v>
      </c>
      <c r="S1109">
        <v>0</v>
      </c>
      <c r="T1109">
        <v>108860000</v>
      </c>
      <c r="U1109">
        <v>0</v>
      </c>
      <c r="V1109">
        <v>0</v>
      </c>
      <c r="W1109">
        <v>0</v>
      </c>
      <c r="X1109">
        <v>45023000</v>
      </c>
    </row>
    <row r="1110" spans="1:24">
      <c r="A1110">
        <v>2244</v>
      </c>
      <c r="B1110" t="s">
        <v>3002</v>
      </c>
      <c r="C1110">
        <v>2</v>
      </c>
      <c r="D1110" t="s">
        <v>3003</v>
      </c>
      <c r="E1110">
        <v>4</v>
      </c>
      <c r="F1110">
        <v>4</v>
      </c>
      <c r="G1110">
        <v>4</v>
      </c>
      <c r="H1110" t="s">
        <v>3004</v>
      </c>
      <c r="I1110">
        <v>49.2</v>
      </c>
      <c r="J1110">
        <v>13.622999999999999</v>
      </c>
      <c r="K1110" t="str">
        <f>"LAMTOR3"</f>
        <v>LAMTOR3</v>
      </c>
      <c r="L1110" t="str">
        <f>"LAMTOR3"</f>
        <v>LAMTOR3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135700000</v>
      </c>
      <c r="T1110">
        <v>0</v>
      </c>
      <c r="U1110">
        <v>0</v>
      </c>
      <c r="V1110">
        <v>85302000</v>
      </c>
      <c r="W1110">
        <v>0</v>
      </c>
      <c r="X1110">
        <v>0</v>
      </c>
    </row>
    <row r="1111" spans="1:24">
      <c r="A1111">
        <v>2354</v>
      </c>
      <c r="B1111" t="s">
        <v>3005</v>
      </c>
      <c r="C1111">
        <v>4</v>
      </c>
      <c r="D1111" t="s">
        <v>3006</v>
      </c>
      <c r="E1111">
        <v>13</v>
      </c>
      <c r="F1111">
        <v>13</v>
      </c>
      <c r="G1111">
        <v>12</v>
      </c>
      <c r="H1111" t="s">
        <v>3007</v>
      </c>
      <c r="I1111">
        <v>13.3</v>
      </c>
      <c r="J1111">
        <v>112.42</v>
      </c>
      <c r="K1111" t="str">
        <f>"USP15"</f>
        <v>USP15</v>
      </c>
      <c r="L1111" t="str">
        <f>"USP15"</f>
        <v>USP15</v>
      </c>
      <c r="M1111">
        <v>0</v>
      </c>
      <c r="N1111">
        <v>0</v>
      </c>
      <c r="O1111">
        <v>77429000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63683000</v>
      </c>
      <c r="V1111">
        <v>0</v>
      </c>
      <c r="W1111">
        <v>0</v>
      </c>
      <c r="X1111">
        <v>0</v>
      </c>
    </row>
    <row r="1112" spans="1:24">
      <c r="A1112">
        <v>228</v>
      </c>
      <c r="B1112" t="s">
        <v>3008</v>
      </c>
      <c r="C1112">
        <v>1</v>
      </c>
      <c r="D1112" t="s">
        <v>3009</v>
      </c>
      <c r="E1112">
        <v>4</v>
      </c>
      <c r="F1112">
        <v>4</v>
      </c>
      <c r="G1112">
        <v>4</v>
      </c>
      <c r="H1112" t="s">
        <v>3008</v>
      </c>
      <c r="I1112">
        <v>8.5</v>
      </c>
      <c r="J1112">
        <v>46.561</v>
      </c>
      <c r="K1112" t="str">
        <f>"CRTAP"</f>
        <v>CRTAP</v>
      </c>
      <c r="L1112" t="str">
        <f>"CRTAP"</f>
        <v>CRTAP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20727000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</row>
    <row r="1113" spans="1:24">
      <c r="A1113">
        <v>431</v>
      </c>
      <c r="B1113" t="s">
        <v>3010</v>
      </c>
      <c r="C1113">
        <v>1</v>
      </c>
      <c r="D1113" t="s">
        <v>3011</v>
      </c>
      <c r="E1113">
        <v>5</v>
      </c>
      <c r="F1113">
        <v>5</v>
      </c>
      <c r="G1113">
        <v>5</v>
      </c>
      <c r="H1113" t="s">
        <v>3010</v>
      </c>
      <c r="I1113">
        <v>38.299999999999997</v>
      </c>
      <c r="J1113">
        <v>21.225000000000001</v>
      </c>
      <c r="K1113" t="str">
        <f>"FTH1"</f>
        <v>FTH1</v>
      </c>
      <c r="L1113" t="str">
        <f>"FTH1"</f>
        <v>FTH1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107440000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103690000</v>
      </c>
    </row>
    <row r="1114" spans="1:24">
      <c r="A1114">
        <v>558</v>
      </c>
      <c r="B1114" t="s">
        <v>3012</v>
      </c>
      <c r="C1114">
        <v>5</v>
      </c>
      <c r="D1114" t="s">
        <v>3013</v>
      </c>
      <c r="E1114">
        <v>9</v>
      </c>
      <c r="F1114">
        <v>9</v>
      </c>
      <c r="G1114">
        <v>9</v>
      </c>
      <c r="H1114" t="s">
        <v>3014</v>
      </c>
      <c r="I1114">
        <v>27.3</v>
      </c>
      <c r="J1114">
        <v>40.188000000000002</v>
      </c>
      <c r="K1114" t="str">
        <f>"PDHA1;PDHA2"</f>
        <v>PDHA1;PDHA2</v>
      </c>
      <c r="L1114" t="str">
        <f>"PDHA1;PDHA2"</f>
        <v>PDHA1;PDHA2</v>
      </c>
      <c r="M1114">
        <v>0</v>
      </c>
      <c r="N1114">
        <v>0</v>
      </c>
      <c r="O1114">
        <v>66443000</v>
      </c>
      <c r="P1114">
        <v>0</v>
      </c>
      <c r="Q1114">
        <v>0</v>
      </c>
      <c r="R1114">
        <v>60547000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</row>
    <row r="1115" spans="1:24">
      <c r="A1115">
        <v>581</v>
      </c>
      <c r="B1115" t="s">
        <v>3015</v>
      </c>
      <c r="C1115">
        <v>1</v>
      </c>
      <c r="D1115" t="s">
        <v>3016</v>
      </c>
      <c r="E1115">
        <v>28</v>
      </c>
      <c r="F1115">
        <v>3</v>
      </c>
      <c r="G1115">
        <v>0</v>
      </c>
      <c r="H1115" t="s">
        <v>3015</v>
      </c>
      <c r="I1115">
        <v>72.400000000000006</v>
      </c>
      <c r="J1115">
        <v>26.68</v>
      </c>
      <c r="K1115" t="str">
        <f>"TPM1"</f>
        <v>TPM1</v>
      </c>
      <c r="L1115" t="str">
        <f>"TPM1"</f>
        <v>TPM1</v>
      </c>
      <c r="M1115">
        <v>0</v>
      </c>
      <c r="N1115">
        <v>68879000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49724000</v>
      </c>
    </row>
    <row r="1116" spans="1:24">
      <c r="A1116">
        <v>740</v>
      </c>
      <c r="B1116" t="s">
        <v>3017</v>
      </c>
      <c r="C1116">
        <v>1</v>
      </c>
      <c r="D1116" t="s">
        <v>3018</v>
      </c>
      <c r="E1116">
        <v>7</v>
      </c>
      <c r="F1116">
        <v>7</v>
      </c>
      <c r="G1116">
        <v>7</v>
      </c>
      <c r="H1116" t="s">
        <v>3017</v>
      </c>
      <c r="I1116">
        <v>10.4</v>
      </c>
      <c r="J1116">
        <v>53.383000000000003</v>
      </c>
      <c r="K1116" t="str">
        <f>"LBP"</f>
        <v>LBP</v>
      </c>
      <c r="L1116" t="str">
        <f>"LBP"</f>
        <v>LBP</v>
      </c>
      <c r="M1116">
        <v>0</v>
      </c>
      <c r="N1116">
        <v>0</v>
      </c>
      <c r="O1116">
        <v>129800000</v>
      </c>
      <c r="P1116">
        <v>0</v>
      </c>
      <c r="Q1116">
        <v>245250000</v>
      </c>
      <c r="R1116">
        <v>0</v>
      </c>
      <c r="S1116">
        <v>424980000</v>
      </c>
      <c r="T1116">
        <v>92715000</v>
      </c>
      <c r="U1116">
        <v>0</v>
      </c>
      <c r="V1116">
        <v>0</v>
      </c>
      <c r="W1116">
        <v>216270000</v>
      </c>
      <c r="X1116">
        <v>255500000</v>
      </c>
    </row>
    <row r="1117" spans="1:24">
      <c r="A1117">
        <v>834</v>
      </c>
      <c r="B1117" t="s">
        <v>3019</v>
      </c>
      <c r="C1117">
        <v>2</v>
      </c>
      <c r="D1117" t="s">
        <v>3020</v>
      </c>
      <c r="E1117">
        <v>7</v>
      </c>
      <c r="F1117">
        <v>7</v>
      </c>
      <c r="G1117">
        <v>7</v>
      </c>
      <c r="H1117" t="s">
        <v>3021</v>
      </c>
      <c r="I1117">
        <v>18.2</v>
      </c>
      <c r="J1117">
        <v>46.319000000000003</v>
      </c>
      <c r="K1117" t="str">
        <f>"IVD"</f>
        <v>IVD</v>
      </c>
      <c r="L1117" t="str">
        <f>"IVD"</f>
        <v>IVD</v>
      </c>
      <c r="M1117">
        <v>0</v>
      </c>
      <c r="N1117">
        <v>45370000</v>
      </c>
      <c r="O1117">
        <v>52997000</v>
      </c>
      <c r="P1117">
        <v>36518000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</row>
    <row r="1118" spans="1:24">
      <c r="A1118">
        <v>933</v>
      </c>
      <c r="B1118" t="s">
        <v>3022</v>
      </c>
      <c r="C1118">
        <v>2</v>
      </c>
      <c r="D1118" t="s">
        <v>3023</v>
      </c>
      <c r="E1118">
        <v>5</v>
      </c>
      <c r="F1118">
        <v>1</v>
      </c>
      <c r="G1118">
        <v>1</v>
      </c>
      <c r="H1118" t="s">
        <v>3024</v>
      </c>
      <c r="I1118">
        <v>18.5</v>
      </c>
      <c r="J1118">
        <v>24.335999999999999</v>
      </c>
      <c r="K1118" t="str">
        <f>"SFN"</f>
        <v>SFN</v>
      </c>
      <c r="L1118" t="str">
        <f>"SFN"</f>
        <v>SFN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54051000</v>
      </c>
    </row>
    <row r="1119" spans="1:24">
      <c r="A1119">
        <v>1029</v>
      </c>
      <c r="B1119" t="s">
        <v>3025</v>
      </c>
      <c r="C1119">
        <v>4</v>
      </c>
      <c r="D1119" t="s">
        <v>3026</v>
      </c>
      <c r="E1119">
        <v>7</v>
      </c>
      <c r="F1119">
        <v>7</v>
      </c>
      <c r="G1119">
        <v>7</v>
      </c>
      <c r="H1119" t="s">
        <v>3027</v>
      </c>
      <c r="I1119">
        <v>13.9</v>
      </c>
      <c r="J1119">
        <v>85.561000000000007</v>
      </c>
      <c r="K1119" t="str">
        <f>"ECE1"</f>
        <v>ECE1</v>
      </c>
      <c r="L1119" t="str">
        <f>"ECE1"</f>
        <v>ECE1</v>
      </c>
      <c r="M1119">
        <v>0</v>
      </c>
      <c r="N1119">
        <v>0</v>
      </c>
      <c r="O1119">
        <v>0</v>
      </c>
      <c r="P1119">
        <v>95776000</v>
      </c>
      <c r="Q1119">
        <v>120410000</v>
      </c>
      <c r="R1119">
        <v>127740000</v>
      </c>
      <c r="S1119">
        <v>128510000</v>
      </c>
      <c r="T1119">
        <v>0</v>
      </c>
      <c r="U1119">
        <v>187740000</v>
      </c>
      <c r="V1119">
        <v>103170000</v>
      </c>
      <c r="W1119">
        <v>0</v>
      </c>
      <c r="X1119">
        <v>75437000</v>
      </c>
    </row>
    <row r="1120" spans="1:24">
      <c r="A1120">
        <v>1079</v>
      </c>
      <c r="B1120" t="s">
        <v>3028</v>
      </c>
      <c r="C1120">
        <v>2</v>
      </c>
      <c r="D1120" t="s">
        <v>3029</v>
      </c>
      <c r="E1120">
        <v>5</v>
      </c>
      <c r="F1120">
        <v>5</v>
      </c>
      <c r="G1120">
        <v>3</v>
      </c>
      <c r="H1120" t="s">
        <v>3030</v>
      </c>
      <c r="I1120">
        <v>15.2</v>
      </c>
      <c r="J1120">
        <v>45.567</v>
      </c>
      <c r="K1120" t="str">
        <f>"MAPKAPK2"</f>
        <v>MAPKAPK2</v>
      </c>
      <c r="L1120" t="str">
        <f>"MAPKAPK2"</f>
        <v>MAPKAPK2</v>
      </c>
      <c r="M1120">
        <v>0</v>
      </c>
      <c r="N1120">
        <v>54192000</v>
      </c>
      <c r="O1120">
        <v>0</v>
      </c>
      <c r="P1120">
        <v>0</v>
      </c>
      <c r="Q1120">
        <v>0</v>
      </c>
      <c r="R1120">
        <v>81156000</v>
      </c>
      <c r="S1120">
        <v>0</v>
      </c>
      <c r="T1120">
        <v>0</v>
      </c>
      <c r="U1120">
        <v>78447000</v>
      </c>
      <c r="V1120">
        <v>0</v>
      </c>
      <c r="W1120">
        <v>0</v>
      </c>
      <c r="X1120">
        <v>65366000</v>
      </c>
    </row>
    <row r="1121" spans="1:24">
      <c r="A1121">
        <v>1184</v>
      </c>
      <c r="B1121" t="s">
        <v>3031</v>
      </c>
      <c r="C1121">
        <v>1</v>
      </c>
      <c r="D1121" t="s">
        <v>3032</v>
      </c>
      <c r="E1121">
        <v>3</v>
      </c>
      <c r="F1121">
        <v>3</v>
      </c>
      <c r="G1121">
        <v>3</v>
      </c>
      <c r="H1121" t="s">
        <v>3031</v>
      </c>
      <c r="I1121">
        <v>23.6</v>
      </c>
      <c r="J1121">
        <v>14.553000000000001</v>
      </c>
      <c r="K1121" t="str">
        <f>"APOC4"</f>
        <v>APOC4</v>
      </c>
      <c r="L1121" t="str">
        <f>"APOC4"</f>
        <v>APOC4</v>
      </c>
      <c r="M1121">
        <v>0</v>
      </c>
      <c r="N1121">
        <v>0</v>
      </c>
      <c r="O1121">
        <v>209230000</v>
      </c>
      <c r="P1121">
        <v>0</v>
      </c>
      <c r="Q1121">
        <v>0</v>
      </c>
      <c r="R1121">
        <v>0</v>
      </c>
      <c r="S1121">
        <v>413260000</v>
      </c>
      <c r="T1121">
        <v>263330000</v>
      </c>
      <c r="U1121">
        <v>0</v>
      </c>
      <c r="V1121">
        <v>0</v>
      </c>
      <c r="W1121">
        <v>0</v>
      </c>
      <c r="X1121">
        <v>0</v>
      </c>
    </row>
    <row r="1122" spans="1:24">
      <c r="A1122">
        <v>1339</v>
      </c>
      <c r="B1122" t="s">
        <v>3033</v>
      </c>
      <c r="C1122">
        <v>5</v>
      </c>
      <c r="D1122" t="s">
        <v>3034</v>
      </c>
      <c r="E1122">
        <v>12</v>
      </c>
      <c r="F1122">
        <v>12</v>
      </c>
      <c r="G1122">
        <v>12</v>
      </c>
      <c r="H1122" t="s">
        <v>3035</v>
      </c>
      <c r="I1122">
        <v>14.3</v>
      </c>
      <c r="J1122">
        <v>132.51</v>
      </c>
      <c r="K1122" t="str">
        <f>"PLCB2;PLCB1"</f>
        <v>PLCB2;PLCB1</v>
      </c>
      <c r="L1122" t="str">
        <f>"PLCB2;PLCB1"</f>
        <v>PLCB2;PLCB1</v>
      </c>
      <c r="M1122">
        <v>0</v>
      </c>
      <c r="N1122">
        <v>0</v>
      </c>
      <c r="O1122">
        <v>60646000</v>
      </c>
      <c r="P1122">
        <v>51685000</v>
      </c>
      <c r="Q1122">
        <v>0</v>
      </c>
      <c r="R1122">
        <v>0</v>
      </c>
      <c r="S1122">
        <v>0</v>
      </c>
      <c r="T1122">
        <v>0</v>
      </c>
      <c r="U1122">
        <v>82029000</v>
      </c>
      <c r="V1122">
        <v>0</v>
      </c>
      <c r="W1122">
        <v>0</v>
      </c>
      <c r="X1122">
        <v>0</v>
      </c>
    </row>
    <row r="1123" spans="1:24">
      <c r="A1123">
        <v>1478</v>
      </c>
      <c r="B1123" t="s">
        <v>3036</v>
      </c>
      <c r="C1123">
        <v>7</v>
      </c>
      <c r="D1123" t="s">
        <v>3037</v>
      </c>
      <c r="E1123">
        <v>7</v>
      </c>
      <c r="F1123">
        <v>7</v>
      </c>
      <c r="G1123">
        <v>7</v>
      </c>
      <c r="H1123" t="s">
        <v>3038</v>
      </c>
      <c r="I1123">
        <v>29.7</v>
      </c>
      <c r="J1123">
        <v>32.834000000000003</v>
      </c>
      <c r="K1123" t="str">
        <f>"HNRNPD;HNRNPDL"</f>
        <v>HNRNPD;HNRNPDL</v>
      </c>
      <c r="L1123" t="str">
        <f>"HNRNPD;HNRNPDL"</f>
        <v>HNRNPD;HNRNPDL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183200000</v>
      </c>
      <c r="S1123">
        <v>0</v>
      </c>
      <c r="T1123">
        <v>0</v>
      </c>
      <c r="U1123">
        <v>136240000</v>
      </c>
      <c r="V1123">
        <v>0</v>
      </c>
      <c r="W1123">
        <v>0</v>
      </c>
      <c r="X1123">
        <v>0</v>
      </c>
    </row>
    <row r="1124" spans="1:24">
      <c r="A1124">
        <v>1501</v>
      </c>
      <c r="B1124" t="s">
        <v>3039</v>
      </c>
      <c r="C1124">
        <v>1</v>
      </c>
      <c r="D1124" t="s">
        <v>3040</v>
      </c>
      <c r="E1124">
        <v>2</v>
      </c>
      <c r="F1124">
        <v>2</v>
      </c>
      <c r="G1124">
        <v>2</v>
      </c>
      <c r="H1124" t="s">
        <v>3039</v>
      </c>
      <c r="I1124">
        <v>3.8</v>
      </c>
      <c r="J1124">
        <v>71.977999999999994</v>
      </c>
      <c r="K1124" t="str">
        <f>"LRRC32"</f>
        <v>LRRC32</v>
      </c>
      <c r="L1124" t="str">
        <f>"LRRC32"</f>
        <v>LRRC32</v>
      </c>
      <c r="M1124">
        <v>0</v>
      </c>
      <c r="N1124">
        <v>51923000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</row>
    <row r="1125" spans="1:24">
      <c r="A1125">
        <v>1628</v>
      </c>
      <c r="B1125" t="s">
        <v>3041</v>
      </c>
      <c r="C1125">
        <v>1</v>
      </c>
      <c r="D1125" t="s">
        <v>3042</v>
      </c>
      <c r="E1125">
        <v>18</v>
      </c>
      <c r="F1125">
        <v>4</v>
      </c>
      <c r="G1125">
        <v>4</v>
      </c>
      <c r="H1125" t="s">
        <v>3041</v>
      </c>
      <c r="I1125">
        <v>41.8</v>
      </c>
      <c r="J1125">
        <v>42.003</v>
      </c>
      <c r="K1125" t="str">
        <f>"ACTBL2"</f>
        <v>ACTBL2</v>
      </c>
      <c r="L1125" t="str">
        <f>"ACTBL2"</f>
        <v>ACTBL2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</row>
    <row r="1126" spans="1:24">
      <c r="A1126">
        <v>1821</v>
      </c>
      <c r="B1126" t="s">
        <v>3043</v>
      </c>
      <c r="C1126">
        <v>2</v>
      </c>
      <c r="D1126" t="s">
        <v>3044</v>
      </c>
      <c r="E1126">
        <v>7</v>
      </c>
      <c r="F1126">
        <v>7</v>
      </c>
      <c r="G1126">
        <v>7</v>
      </c>
      <c r="H1126" t="s">
        <v>3045</v>
      </c>
      <c r="I1126">
        <v>22.7</v>
      </c>
      <c r="J1126">
        <v>50.072000000000003</v>
      </c>
      <c r="K1126" t="str">
        <f>"UBA3"</f>
        <v>UBA3</v>
      </c>
      <c r="L1126" t="str">
        <f>"UBA3"</f>
        <v>UBA3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92077000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</row>
    <row r="1127" spans="1:24">
      <c r="A1127">
        <v>1883</v>
      </c>
      <c r="B1127" t="s">
        <v>3046</v>
      </c>
      <c r="C1127">
        <v>1</v>
      </c>
      <c r="D1127" t="s">
        <v>3047</v>
      </c>
      <c r="E1127">
        <v>7</v>
      </c>
      <c r="F1127">
        <v>3</v>
      </c>
      <c r="G1127">
        <v>3</v>
      </c>
      <c r="H1127" t="s">
        <v>3046</v>
      </c>
      <c r="I1127">
        <v>39.1</v>
      </c>
      <c r="J1127">
        <v>23.584</v>
      </c>
      <c r="K1127" t="str">
        <f>"RAB8B"</f>
        <v>RAB8B</v>
      </c>
      <c r="L1127" t="str">
        <f>"RAB8B"</f>
        <v>RAB8B</v>
      </c>
      <c r="M1127">
        <v>0</v>
      </c>
      <c r="N1127">
        <v>0</v>
      </c>
      <c r="O1127">
        <v>96423000</v>
      </c>
      <c r="P1127">
        <v>0</v>
      </c>
      <c r="Q1127">
        <v>0</v>
      </c>
      <c r="R1127">
        <v>0</v>
      </c>
      <c r="S1127">
        <v>0</v>
      </c>
      <c r="T1127">
        <v>197880000</v>
      </c>
      <c r="U1127">
        <v>0</v>
      </c>
      <c r="V1127">
        <v>66473000</v>
      </c>
      <c r="W1127">
        <v>0</v>
      </c>
      <c r="X1127">
        <v>0</v>
      </c>
    </row>
    <row r="1128" spans="1:24">
      <c r="A1128">
        <v>1986</v>
      </c>
      <c r="B1128" t="s">
        <v>3048</v>
      </c>
      <c r="C1128">
        <v>2</v>
      </c>
      <c r="D1128" t="s">
        <v>3049</v>
      </c>
      <c r="E1128">
        <v>7</v>
      </c>
      <c r="F1128">
        <v>7</v>
      </c>
      <c r="G1128">
        <v>7</v>
      </c>
      <c r="H1128" t="s">
        <v>3050</v>
      </c>
      <c r="I1128">
        <v>10.1</v>
      </c>
      <c r="J1128">
        <v>92.066999999999993</v>
      </c>
      <c r="K1128" t="str">
        <f>"SORT1"</f>
        <v>SORT1</v>
      </c>
      <c r="L1128" t="str">
        <f>"SORT1"</f>
        <v>SORT1</v>
      </c>
      <c r="M1128">
        <v>0</v>
      </c>
      <c r="N1128">
        <v>56253000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>
      <c r="A1129">
        <v>2033</v>
      </c>
      <c r="B1129" t="s">
        <v>3051</v>
      </c>
      <c r="C1129">
        <v>1</v>
      </c>
      <c r="D1129" t="s">
        <v>3052</v>
      </c>
      <c r="E1129">
        <v>3</v>
      </c>
      <c r="F1129">
        <v>3</v>
      </c>
      <c r="G1129">
        <v>3</v>
      </c>
      <c r="H1129" t="s">
        <v>3051</v>
      </c>
      <c r="I1129">
        <v>36</v>
      </c>
      <c r="J1129">
        <v>11.438000000000001</v>
      </c>
      <c r="K1129" t="str">
        <f>"VAMP8"</f>
        <v>VAMP8</v>
      </c>
      <c r="L1129" t="str">
        <f>"VAMP8"</f>
        <v>VAMP8</v>
      </c>
      <c r="M1129">
        <v>0</v>
      </c>
      <c r="N1129">
        <v>0</v>
      </c>
      <c r="O1129">
        <v>66431000</v>
      </c>
      <c r="P1129">
        <v>102260000</v>
      </c>
      <c r="Q1129">
        <v>0</v>
      </c>
      <c r="R1129">
        <v>66953000</v>
      </c>
      <c r="S1129">
        <v>28983000</v>
      </c>
      <c r="T1129">
        <v>0</v>
      </c>
      <c r="U1129">
        <v>36964000</v>
      </c>
      <c r="V1129">
        <v>0</v>
      </c>
      <c r="W1129">
        <v>0</v>
      </c>
      <c r="X1129">
        <v>0</v>
      </c>
    </row>
    <row r="1130" spans="1:24">
      <c r="A1130">
        <v>2179</v>
      </c>
      <c r="B1130" t="s">
        <v>3053</v>
      </c>
      <c r="C1130">
        <v>4</v>
      </c>
      <c r="D1130" t="s">
        <v>3054</v>
      </c>
      <c r="E1130">
        <v>4</v>
      </c>
      <c r="F1130">
        <v>4</v>
      </c>
      <c r="G1130">
        <v>4</v>
      </c>
      <c r="H1130" t="s">
        <v>3055</v>
      </c>
      <c r="I1130">
        <v>13.2</v>
      </c>
      <c r="J1130">
        <v>27.728000000000002</v>
      </c>
      <c r="K1130" t="str">
        <f>"TMEM30A;TMEM30B"</f>
        <v>TMEM30A;TMEM30B</v>
      </c>
      <c r="L1130" t="str">
        <f>"TMEM30A;TMEM30B"</f>
        <v>TMEM30A;TMEM30B</v>
      </c>
      <c r="M1130">
        <v>0</v>
      </c>
      <c r="N1130">
        <v>0</v>
      </c>
      <c r="O1130">
        <v>0</v>
      </c>
      <c r="P1130">
        <v>81319000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79029000</v>
      </c>
      <c r="W1130">
        <v>0</v>
      </c>
      <c r="X1130">
        <v>0</v>
      </c>
    </row>
    <row r="1131" spans="1:24">
      <c r="A1131">
        <v>2181</v>
      </c>
      <c r="B1131" t="s">
        <v>3056</v>
      </c>
      <c r="C1131">
        <v>3</v>
      </c>
      <c r="D1131" t="s">
        <v>3057</v>
      </c>
      <c r="E1131">
        <v>13</v>
      </c>
      <c r="F1131">
        <v>13</v>
      </c>
      <c r="G1131">
        <v>13</v>
      </c>
      <c r="H1131" t="s">
        <v>3058</v>
      </c>
      <c r="I1131">
        <v>34.5</v>
      </c>
      <c r="J1131">
        <v>46.552999999999997</v>
      </c>
      <c r="K1131" t="str">
        <f>"TBC1D13"</f>
        <v>TBC1D13</v>
      </c>
      <c r="L1131" t="str">
        <f>"TBC1D13"</f>
        <v>TBC1D13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81130000</v>
      </c>
      <c r="S1131">
        <v>0</v>
      </c>
      <c r="T1131">
        <v>0</v>
      </c>
      <c r="U1131">
        <v>0</v>
      </c>
      <c r="V1131">
        <v>0</v>
      </c>
      <c r="W1131">
        <v>193640000</v>
      </c>
      <c r="X1131">
        <v>184490000</v>
      </c>
    </row>
    <row r="1132" spans="1:24">
      <c r="A1132">
        <v>2292</v>
      </c>
      <c r="B1132" t="s">
        <v>3059</v>
      </c>
      <c r="C1132">
        <v>1</v>
      </c>
      <c r="D1132" t="s">
        <v>3060</v>
      </c>
      <c r="E1132">
        <v>8</v>
      </c>
      <c r="F1132">
        <v>4</v>
      </c>
      <c r="G1132">
        <v>4</v>
      </c>
      <c r="H1132" t="s">
        <v>3059</v>
      </c>
      <c r="I1132">
        <v>20.8</v>
      </c>
      <c r="J1132">
        <v>48.896999999999998</v>
      </c>
      <c r="K1132" t="str">
        <f>"VPS4A"</f>
        <v>VPS4A</v>
      </c>
      <c r="L1132" t="str">
        <f>"VPS4A"</f>
        <v>VPS4A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</row>
    <row r="1133" spans="1:24">
      <c r="A1133">
        <v>0</v>
      </c>
      <c r="B1133" t="s">
        <v>3061</v>
      </c>
      <c r="C1133">
        <v>4</v>
      </c>
      <c r="D1133" t="s">
        <v>3062</v>
      </c>
      <c r="E1133">
        <v>8</v>
      </c>
      <c r="F1133">
        <v>8</v>
      </c>
      <c r="G1133">
        <v>8</v>
      </c>
      <c r="H1133" t="s">
        <v>3063</v>
      </c>
      <c r="I1133">
        <v>9.6</v>
      </c>
      <c r="J1133">
        <v>117.97</v>
      </c>
      <c r="K1133" t="str">
        <f>"UBA6"</f>
        <v>UBA6</v>
      </c>
      <c r="L1133" t="str">
        <f>"UBA6"</f>
        <v>UBA6</v>
      </c>
      <c r="M1133">
        <v>0</v>
      </c>
      <c r="N1133">
        <v>72280000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</row>
    <row r="1134" spans="1:24">
      <c r="A1134">
        <v>253</v>
      </c>
      <c r="B1134" t="s">
        <v>3064</v>
      </c>
      <c r="C1134">
        <v>3</v>
      </c>
      <c r="D1134" t="s">
        <v>3065</v>
      </c>
      <c r="E1134">
        <v>7</v>
      </c>
      <c r="F1134">
        <v>7</v>
      </c>
      <c r="G1134">
        <v>7</v>
      </c>
      <c r="H1134" t="s">
        <v>3066</v>
      </c>
      <c r="I1134">
        <v>18.899999999999999</v>
      </c>
      <c r="J1134">
        <v>65.459000000000003</v>
      </c>
      <c r="K1134" t="str">
        <f>"GLS"</f>
        <v>GLS</v>
      </c>
      <c r="L1134" t="str">
        <f>"GLS"</f>
        <v>GLS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51958000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>
      <c r="A1135">
        <v>444</v>
      </c>
      <c r="B1135" t="s">
        <v>3067</v>
      </c>
      <c r="C1135">
        <v>2</v>
      </c>
      <c r="D1135" t="s">
        <v>3068</v>
      </c>
      <c r="E1135">
        <v>3</v>
      </c>
      <c r="F1135">
        <v>3</v>
      </c>
      <c r="G1135">
        <v>3</v>
      </c>
      <c r="H1135" t="s">
        <v>3069</v>
      </c>
      <c r="I1135">
        <v>13.8</v>
      </c>
      <c r="J1135">
        <v>26.885000000000002</v>
      </c>
      <c r="K1135" t="str">
        <f>"PRNP"</f>
        <v>PRNP</v>
      </c>
      <c r="L1135" t="str">
        <f>"PRNP"</f>
        <v>PRNP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51426000</v>
      </c>
      <c r="V1135">
        <v>0</v>
      </c>
      <c r="W1135">
        <v>0</v>
      </c>
      <c r="X1135">
        <v>0</v>
      </c>
    </row>
    <row r="1136" spans="1:24">
      <c r="A1136">
        <v>526</v>
      </c>
      <c r="B1136" t="s">
        <v>3070</v>
      </c>
      <c r="C1136">
        <v>3</v>
      </c>
      <c r="D1136" t="s">
        <v>3071</v>
      </c>
      <c r="E1136">
        <v>12</v>
      </c>
      <c r="F1136">
        <v>12</v>
      </c>
      <c r="G1136">
        <v>12</v>
      </c>
      <c r="H1136" t="s">
        <v>3072</v>
      </c>
      <c r="I1136">
        <v>43.4</v>
      </c>
      <c r="J1136">
        <v>38.603999999999999</v>
      </c>
      <c r="K1136" t="str">
        <f>"ANXA2;ANXA2P2"</f>
        <v>ANXA2;ANXA2P2</v>
      </c>
      <c r="L1136" t="str">
        <f>"ANXA2;ANXA2P2"</f>
        <v>ANXA2;ANXA2P2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269710000</v>
      </c>
      <c r="S1136">
        <v>52358000</v>
      </c>
      <c r="T1136">
        <v>0</v>
      </c>
      <c r="U1136">
        <v>0</v>
      </c>
      <c r="V1136">
        <v>0</v>
      </c>
      <c r="W1136">
        <v>0</v>
      </c>
      <c r="X1136">
        <v>0</v>
      </c>
    </row>
    <row r="1137" spans="1:24">
      <c r="A1137">
        <v>569</v>
      </c>
      <c r="B1137" t="s">
        <v>3073</v>
      </c>
      <c r="C1137">
        <v>1</v>
      </c>
      <c r="D1137" t="s">
        <v>3074</v>
      </c>
      <c r="E1137">
        <v>7</v>
      </c>
      <c r="F1137">
        <v>7</v>
      </c>
      <c r="G1137">
        <v>7</v>
      </c>
      <c r="H1137" t="s">
        <v>3073</v>
      </c>
      <c r="I1137">
        <v>32.200000000000003</v>
      </c>
      <c r="J1137">
        <v>32.853999999999999</v>
      </c>
      <c r="K1137" t="str">
        <f>"RPSA"</f>
        <v>RPSA</v>
      </c>
      <c r="L1137" t="str">
        <f>"RPSA"</f>
        <v>RPSA</v>
      </c>
      <c r="M1137">
        <v>0</v>
      </c>
      <c r="N1137">
        <v>0</v>
      </c>
      <c r="O1137">
        <v>78352000</v>
      </c>
      <c r="P1137">
        <v>0</v>
      </c>
      <c r="Q1137">
        <v>0</v>
      </c>
      <c r="R1137">
        <v>94635000</v>
      </c>
      <c r="S1137">
        <v>0</v>
      </c>
      <c r="T1137">
        <v>0</v>
      </c>
      <c r="U1137">
        <v>68866000</v>
      </c>
      <c r="V1137">
        <v>0</v>
      </c>
      <c r="W1137">
        <v>0</v>
      </c>
      <c r="X1137">
        <v>63555000</v>
      </c>
    </row>
    <row r="1138" spans="1:24">
      <c r="A1138">
        <v>609</v>
      </c>
      <c r="B1138" t="s">
        <v>3075</v>
      </c>
      <c r="C1138">
        <v>1</v>
      </c>
      <c r="D1138" t="s">
        <v>3076</v>
      </c>
      <c r="E1138">
        <v>4</v>
      </c>
      <c r="F1138">
        <v>4</v>
      </c>
      <c r="G1138">
        <v>4</v>
      </c>
      <c r="H1138" t="s">
        <v>3075</v>
      </c>
      <c r="I1138">
        <v>25.7</v>
      </c>
      <c r="J1138">
        <v>23.48</v>
      </c>
      <c r="K1138" t="str">
        <f>"RRAS"</f>
        <v>RRAS</v>
      </c>
      <c r="L1138" t="str">
        <f>"RRAS"</f>
        <v>RRAS</v>
      </c>
      <c r="M1138">
        <v>66953000</v>
      </c>
      <c r="N1138">
        <v>0</v>
      </c>
      <c r="O1138">
        <v>68976000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93550000</v>
      </c>
      <c r="W1138">
        <v>0</v>
      </c>
      <c r="X1138">
        <v>101860000</v>
      </c>
    </row>
    <row r="1139" spans="1:24">
      <c r="A1139">
        <v>644</v>
      </c>
      <c r="B1139" t="s">
        <v>3077</v>
      </c>
      <c r="C1139">
        <v>2</v>
      </c>
      <c r="D1139" t="s">
        <v>3078</v>
      </c>
      <c r="E1139">
        <v>6</v>
      </c>
      <c r="F1139">
        <v>2</v>
      </c>
      <c r="G1139">
        <v>2</v>
      </c>
      <c r="H1139" t="s">
        <v>3079</v>
      </c>
      <c r="I1139">
        <v>23.6</v>
      </c>
      <c r="J1139">
        <v>34.768999999999998</v>
      </c>
      <c r="K1139" t="str">
        <f>"PRPS2"</f>
        <v>PRPS2</v>
      </c>
      <c r="L1139" t="str">
        <f>"PRPS2"</f>
        <v>PRPS2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</row>
    <row r="1140" spans="1:24">
      <c r="A1140">
        <v>656</v>
      </c>
      <c r="B1140" t="s">
        <v>3080</v>
      </c>
      <c r="C1140">
        <v>3</v>
      </c>
      <c r="D1140" t="s">
        <v>3081</v>
      </c>
      <c r="E1140">
        <v>8</v>
      </c>
      <c r="F1140">
        <v>8</v>
      </c>
      <c r="G1140">
        <v>8</v>
      </c>
      <c r="H1140" t="s">
        <v>3082</v>
      </c>
      <c r="I1140">
        <v>16.8</v>
      </c>
      <c r="J1140">
        <v>54.548000000000002</v>
      </c>
      <c r="K1140" t="str">
        <f>"PEPD"</f>
        <v>PEPD</v>
      </c>
      <c r="L1140" t="str">
        <f>"PEPD"</f>
        <v>PEPD</v>
      </c>
      <c r="M1140">
        <v>0</v>
      </c>
      <c r="N1140">
        <v>117860000</v>
      </c>
      <c r="O1140">
        <v>163760000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</row>
    <row r="1141" spans="1:24">
      <c r="A1141">
        <v>696</v>
      </c>
      <c r="B1141" t="s">
        <v>3083</v>
      </c>
      <c r="C1141">
        <v>1</v>
      </c>
      <c r="D1141" t="s">
        <v>3084</v>
      </c>
      <c r="E1141">
        <v>7</v>
      </c>
      <c r="F1141">
        <v>7</v>
      </c>
      <c r="G1141">
        <v>7</v>
      </c>
      <c r="H1141" t="s">
        <v>3083</v>
      </c>
      <c r="I1141">
        <v>35.799999999999997</v>
      </c>
      <c r="J1141">
        <v>35.853000000000002</v>
      </c>
      <c r="K1141" t="str">
        <f>"AKR1B1"</f>
        <v>AKR1B1</v>
      </c>
      <c r="L1141" t="str">
        <f>"AKR1B1"</f>
        <v>AKR1B1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</row>
    <row r="1142" spans="1:24">
      <c r="A1142">
        <v>841</v>
      </c>
      <c r="B1142" t="s">
        <v>3085</v>
      </c>
      <c r="C1142">
        <v>1</v>
      </c>
      <c r="D1142" t="s">
        <v>3086</v>
      </c>
      <c r="E1142">
        <v>4</v>
      </c>
      <c r="F1142">
        <v>4</v>
      </c>
      <c r="G1142">
        <v>4</v>
      </c>
      <c r="H1142" t="s">
        <v>3085</v>
      </c>
      <c r="I1142">
        <v>33.1</v>
      </c>
      <c r="J1142">
        <v>15.648999999999999</v>
      </c>
      <c r="K1142" t="str">
        <f>"FKBP2"</f>
        <v>FKBP2</v>
      </c>
      <c r="L1142" t="str">
        <f>"FKBP2"</f>
        <v>FKBP2</v>
      </c>
      <c r="M1142">
        <v>0</v>
      </c>
      <c r="N1142">
        <v>0</v>
      </c>
      <c r="O1142">
        <v>129350000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151990000</v>
      </c>
      <c r="W1142">
        <v>0</v>
      </c>
      <c r="X1142">
        <v>0</v>
      </c>
    </row>
    <row r="1143" spans="1:24">
      <c r="A1143">
        <v>1052</v>
      </c>
      <c r="B1143" t="s">
        <v>3087</v>
      </c>
      <c r="C1143">
        <v>4</v>
      </c>
      <c r="D1143" t="s">
        <v>3088</v>
      </c>
      <c r="E1143">
        <v>16</v>
      </c>
      <c r="F1143">
        <v>16</v>
      </c>
      <c r="G1143">
        <v>15</v>
      </c>
      <c r="H1143" t="s">
        <v>3089</v>
      </c>
      <c r="I1143">
        <v>5.7</v>
      </c>
      <c r="J1143">
        <v>394.46</v>
      </c>
      <c r="K1143" t="str">
        <f>"UTRN"</f>
        <v>UTRN</v>
      </c>
      <c r="L1143" t="str">
        <f>"UTRN"</f>
        <v>UTRN</v>
      </c>
      <c r="M1143">
        <v>0</v>
      </c>
      <c r="N1143">
        <v>70513000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</row>
    <row r="1144" spans="1:24">
      <c r="A1144">
        <v>1448</v>
      </c>
      <c r="B1144" t="s">
        <v>3090</v>
      </c>
      <c r="C1144">
        <v>8</v>
      </c>
      <c r="D1144" t="s">
        <v>3091</v>
      </c>
      <c r="E1144">
        <v>6</v>
      </c>
      <c r="F1144">
        <v>6</v>
      </c>
      <c r="G1144">
        <v>6</v>
      </c>
      <c r="H1144" t="s">
        <v>3092</v>
      </c>
      <c r="I1144">
        <v>14.3</v>
      </c>
      <c r="J1144">
        <v>59.917999999999999</v>
      </c>
      <c r="K1144" t="str">
        <f>"PICALM;SNAP91"</f>
        <v>PICALM;SNAP91</v>
      </c>
      <c r="L1144" t="str">
        <f>"PICALM;SNAP91"</f>
        <v>PICALM;SNAP91</v>
      </c>
      <c r="M1144">
        <v>0</v>
      </c>
      <c r="N1144">
        <v>30426000</v>
      </c>
      <c r="O1144">
        <v>30313000</v>
      </c>
      <c r="P1144">
        <v>0</v>
      </c>
      <c r="Q1144">
        <v>0</v>
      </c>
      <c r="R1144">
        <v>43026000</v>
      </c>
      <c r="S1144">
        <v>0</v>
      </c>
      <c r="T1144">
        <v>0</v>
      </c>
      <c r="U1144">
        <v>0</v>
      </c>
      <c r="V1144">
        <v>28767000</v>
      </c>
      <c r="W1144">
        <v>0</v>
      </c>
      <c r="X1144">
        <v>0</v>
      </c>
    </row>
    <row r="1145" spans="1:24">
      <c r="A1145">
        <v>1576</v>
      </c>
      <c r="B1145" t="s">
        <v>3093</v>
      </c>
      <c r="C1145">
        <v>5</v>
      </c>
      <c r="D1145" t="s">
        <v>3094</v>
      </c>
      <c r="E1145">
        <v>4</v>
      </c>
      <c r="F1145">
        <v>4</v>
      </c>
      <c r="G1145">
        <v>4</v>
      </c>
      <c r="H1145" t="s">
        <v>3095</v>
      </c>
      <c r="I1145">
        <v>40</v>
      </c>
      <c r="J1145">
        <v>11.308999999999999</v>
      </c>
      <c r="K1145" t="str">
        <f>"VAMP3;VAMP2;VAMP1"</f>
        <v>VAMP3;VAMP2;VAMP1</v>
      </c>
      <c r="L1145" t="str">
        <f>"VAMP3;VAMP2;VAMP1"</f>
        <v>VAMP3;VAMP2;VAMP1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90943000</v>
      </c>
      <c r="S1145">
        <v>0</v>
      </c>
      <c r="T1145">
        <v>0</v>
      </c>
      <c r="U1145">
        <v>90338000</v>
      </c>
      <c r="V1145">
        <v>0</v>
      </c>
      <c r="W1145">
        <v>0</v>
      </c>
      <c r="X1145">
        <v>0</v>
      </c>
    </row>
    <row r="1146" spans="1:24">
      <c r="A1146">
        <v>1786</v>
      </c>
      <c r="B1146" t="s">
        <v>3096</v>
      </c>
      <c r="C1146">
        <v>3</v>
      </c>
      <c r="D1146" t="s">
        <v>3097</v>
      </c>
      <c r="E1146">
        <v>5</v>
      </c>
      <c r="F1146">
        <v>5</v>
      </c>
      <c r="G1146">
        <v>5</v>
      </c>
      <c r="H1146" t="s">
        <v>3098</v>
      </c>
      <c r="I1146">
        <v>24</v>
      </c>
      <c r="J1146">
        <v>36.847999999999999</v>
      </c>
      <c r="K1146" t="str">
        <f>"PNKD"</f>
        <v>PNKD</v>
      </c>
      <c r="L1146" t="str">
        <f>"PNKD"</f>
        <v>PNKD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151760000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>
      <c r="A1147">
        <v>1815</v>
      </c>
      <c r="B1147" t="s">
        <v>3099</v>
      </c>
      <c r="C1147">
        <v>6</v>
      </c>
      <c r="D1147" t="s">
        <v>3100</v>
      </c>
      <c r="E1147">
        <v>8</v>
      </c>
      <c r="F1147">
        <v>8</v>
      </c>
      <c r="G1147">
        <v>8</v>
      </c>
      <c r="H1147" t="s">
        <v>3101</v>
      </c>
      <c r="I1147">
        <v>40.299999999999997</v>
      </c>
      <c r="J1147">
        <v>34.69</v>
      </c>
      <c r="K1147" t="str">
        <f>"ABHD11"</f>
        <v>ABHD11</v>
      </c>
      <c r="L1147" t="str">
        <f>"ABHD11"</f>
        <v>ABHD11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49971000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</row>
    <row r="1148" spans="1:24">
      <c r="A1148">
        <v>2097</v>
      </c>
      <c r="B1148" t="s">
        <v>3102</v>
      </c>
      <c r="C1148">
        <v>3</v>
      </c>
      <c r="D1148" t="s">
        <v>3103</v>
      </c>
      <c r="E1148">
        <v>7</v>
      </c>
      <c r="F1148">
        <v>7</v>
      </c>
      <c r="G1148">
        <v>7</v>
      </c>
      <c r="H1148" t="s">
        <v>3104</v>
      </c>
      <c r="I1148">
        <v>28.1</v>
      </c>
      <c r="J1148">
        <v>36.345999999999997</v>
      </c>
      <c r="K1148" t="str">
        <f>"C1orf198"</f>
        <v>C1orf198</v>
      </c>
      <c r="L1148" t="str">
        <f>"C1orf198"</f>
        <v>C1orf198</v>
      </c>
      <c r="M1148">
        <v>0</v>
      </c>
      <c r="N1148">
        <v>92647000</v>
      </c>
      <c r="O1148">
        <v>104530000</v>
      </c>
      <c r="P1148">
        <v>0</v>
      </c>
      <c r="Q1148">
        <v>0</v>
      </c>
      <c r="R1148">
        <v>124820000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</row>
    <row r="1149" spans="1:24">
      <c r="A1149">
        <v>2230</v>
      </c>
      <c r="B1149" t="s">
        <v>3105</v>
      </c>
      <c r="C1149">
        <v>2</v>
      </c>
      <c r="D1149" t="s">
        <v>3106</v>
      </c>
      <c r="E1149">
        <v>6</v>
      </c>
      <c r="F1149">
        <v>6</v>
      </c>
      <c r="G1149">
        <v>6</v>
      </c>
      <c r="H1149" t="s">
        <v>3107</v>
      </c>
      <c r="I1149">
        <v>37.4</v>
      </c>
      <c r="J1149">
        <v>20.504999999999999</v>
      </c>
      <c r="K1149" t="str">
        <f>"VPS29"</f>
        <v>VPS29</v>
      </c>
      <c r="L1149" t="str">
        <f>"VPS29"</f>
        <v>VPS29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68884000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</row>
    <row r="1150" spans="1:24">
      <c r="A1150">
        <v>2290</v>
      </c>
      <c r="B1150" t="s">
        <v>3108</v>
      </c>
      <c r="C1150">
        <v>3</v>
      </c>
      <c r="D1150" t="s">
        <v>3109</v>
      </c>
      <c r="E1150">
        <v>7</v>
      </c>
      <c r="F1150">
        <v>5</v>
      </c>
      <c r="G1150">
        <v>5</v>
      </c>
      <c r="H1150" t="s">
        <v>3110</v>
      </c>
      <c r="I1150">
        <v>35.200000000000003</v>
      </c>
      <c r="J1150">
        <v>18.884</v>
      </c>
      <c r="K1150" t="str">
        <f>"SNX12"</f>
        <v>SNX12</v>
      </c>
      <c r="L1150" t="str">
        <f>"SNX12"</f>
        <v>SNX12</v>
      </c>
      <c r="M1150">
        <v>0</v>
      </c>
      <c r="N1150">
        <v>0</v>
      </c>
      <c r="O1150">
        <v>42734000</v>
      </c>
      <c r="P1150">
        <v>0</v>
      </c>
      <c r="Q1150">
        <v>0</v>
      </c>
      <c r="R1150">
        <v>38644000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</row>
    <row r="1151" spans="1:24">
      <c r="A1151">
        <v>78</v>
      </c>
      <c r="B1151" t="s">
        <v>3111</v>
      </c>
      <c r="C1151">
        <v>1</v>
      </c>
      <c r="D1151" t="s">
        <v>3112</v>
      </c>
      <c r="E1151">
        <v>7</v>
      </c>
      <c r="F1151">
        <v>7</v>
      </c>
      <c r="G1151">
        <v>5</v>
      </c>
      <c r="H1151" t="s">
        <v>3111</v>
      </c>
      <c r="I1151">
        <v>18.8</v>
      </c>
      <c r="J1151">
        <v>57.886000000000003</v>
      </c>
      <c r="K1151" t="str">
        <f>"KPNA4"</f>
        <v>KPNA4</v>
      </c>
      <c r="L1151" t="str">
        <f>"KPNA4"</f>
        <v>KPNA4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29033000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</row>
    <row r="1152" spans="1:24">
      <c r="A1152">
        <v>123</v>
      </c>
      <c r="B1152" t="s">
        <v>3113</v>
      </c>
      <c r="C1152">
        <v>9</v>
      </c>
      <c r="D1152" t="s">
        <v>3114</v>
      </c>
      <c r="E1152">
        <v>10</v>
      </c>
      <c r="F1152">
        <v>10</v>
      </c>
      <c r="G1152">
        <v>10</v>
      </c>
      <c r="H1152" t="s">
        <v>3115</v>
      </c>
      <c r="I1152">
        <v>30.5</v>
      </c>
      <c r="J1152">
        <v>48.62</v>
      </c>
      <c r="K1152" t="str">
        <f>"ZNF185"</f>
        <v>ZNF185</v>
      </c>
      <c r="L1152" t="str">
        <f>"ZNF185"</f>
        <v>ZNF185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73501000</v>
      </c>
      <c r="W1152">
        <v>0</v>
      </c>
      <c r="X1152">
        <v>0</v>
      </c>
    </row>
    <row r="1153" spans="1:24">
      <c r="A1153">
        <v>223</v>
      </c>
      <c r="B1153" t="s">
        <v>3116</v>
      </c>
      <c r="C1153">
        <v>2</v>
      </c>
      <c r="D1153" t="s">
        <v>3117</v>
      </c>
      <c r="E1153">
        <v>5</v>
      </c>
      <c r="F1153">
        <v>5</v>
      </c>
      <c r="G1153">
        <v>5</v>
      </c>
      <c r="H1153" t="s">
        <v>3118</v>
      </c>
      <c r="I1153">
        <v>36</v>
      </c>
      <c r="J1153">
        <v>22.875</v>
      </c>
      <c r="K1153" t="str">
        <f>"LYPLA1"</f>
        <v>LYPLA1</v>
      </c>
      <c r="L1153" t="str">
        <f>"LYPLA1"</f>
        <v>LYPLA1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86851000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105830000</v>
      </c>
    </row>
    <row r="1154" spans="1:24">
      <c r="A1154">
        <v>293</v>
      </c>
      <c r="B1154" t="s">
        <v>3119</v>
      </c>
      <c r="C1154">
        <v>2</v>
      </c>
      <c r="D1154" t="s">
        <v>3120</v>
      </c>
      <c r="E1154">
        <v>7</v>
      </c>
      <c r="F1154">
        <v>7</v>
      </c>
      <c r="G1154">
        <v>7</v>
      </c>
      <c r="H1154" t="s">
        <v>3121</v>
      </c>
      <c r="I1154">
        <v>17.600000000000001</v>
      </c>
      <c r="J1154">
        <v>54.860999999999997</v>
      </c>
      <c r="K1154" t="str">
        <f>"ALDH1A1;ALDH2"</f>
        <v>ALDH1A1;ALDH2</v>
      </c>
      <c r="L1154" t="str">
        <f>"ALDH1A1;ALDH2"</f>
        <v>ALDH1A1;ALDH2</v>
      </c>
      <c r="M1154">
        <v>0</v>
      </c>
      <c r="N1154">
        <v>58044000</v>
      </c>
      <c r="O1154">
        <v>50702000</v>
      </c>
      <c r="P1154">
        <v>0</v>
      </c>
      <c r="Q1154">
        <v>0</v>
      </c>
      <c r="R1154">
        <v>45676000</v>
      </c>
      <c r="S1154">
        <v>0</v>
      </c>
      <c r="T1154">
        <v>26485000</v>
      </c>
      <c r="U1154">
        <v>0</v>
      </c>
      <c r="V1154">
        <v>0</v>
      </c>
      <c r="W1154">
        <v>0</v>
      </c>
      <c r="X1154">
        <v>0</v>
      </c>
    </row>
    <row r="1155" spans="1:24">
      <c r="A1155">
        <v>346</v>
      </c>
      <c r="B1155" t="s">
        <v>3122</v>
      </c>
      <c r="C1155">
        <v>1</v>
      </c>
      <c r="D1155" t="s">
        <v>3123</v>
      </c>
      <c r="E1155">
        <v>2</v>
      </c>
      <c r="F1155">
        <v>2</v>
      </c>
      <c r="G1155">
        <v>2</v>
      </c>
      <c r="H1155" t="s">
        <v>3122</v>
      </c>
      <c r="I1155">
        <v>31.5</v>
      </c>
      <c r="J1155">
        <v>11.608000000000001</v>
      </c>
      <c r="K1155" t="s">
        <v>3124</v>
      </c>
      <c r="L1155" t="s">
        <v>3124</v>
      </c>
      <c r="M1155">
        <v>0</v>
      </c>
      <c r="N1155">
        <v>0</v>
      </c>
      <c r="O1155">
        <v>0</v>
      </c>
      <c r="P1155">
        <v>87313000</v>
      </c>
      <c r="Q1155">
        <v>192650000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>
      <c r="A1156">
        <v>426</v>
      </c>
      <c r="B1156" t="s">
        <v>3125</v>
      </c>
      <c r="C1156">
        <v>1</v>
      </c>
      <c r="D1156" t="s">
        <v>3126</v>
      </c>
      <c r="E1156">
        <v>12</v>
      </c>
      <c r="F1156">
        <v>12</v>
      </c>
      <c r="G1156">
        <v>12</v>
      </c>
      <c r="H1156" t="s">
        <v>3125</v>
      </c>
      <c r="I1156">
        <v>18.7</v>
      </c>
      <c r="J1156">
        <v>84.87</v>
      </c>
      <c r="K1156" t="str">
        <f>"TFRC"</f>
        <v>TFRC</v>
      </c>
      <c r="L1156" t="str">
        <f>"TFRC"</f>
        <v>TFRC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84205000</v>
      </c>
    </row>
    <row r="1157" spans="1:24">
      <c r="A1157">
        <v>452</v>
      </c>
      <c r="B1157" t="s">
        <v>3127</v>
      </c>
      <c r="C1157">
        <v>1</v>
      </c>
      <c r="D1157" t="s">
        <v>3128</v>
      </c>
      <c r="E1157">
        <v>3</v>
      </c>
      <c r="F1157">
        <v>3</v>
      </c>
      <c r="G1157">
        <v>3</v>
      </c>
      <c r="H1157" t="s">
        <v>3127</v>
      </c>
      <c r="I1157">
        <v>21.4</v>
      </c>
      <c r="J1157">
        <v>12.38</v>
      </c>
      <c r="K1157" t="s">
        <v>3129</v>
      </c>
      <c r="L1157" t="s">
        <v>3129</v>
      </c>
      <c r="M1157">
        <v>206570000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136100000</v>
      </c>
      <c r="U1157">
        <v>0</v>
      </c>
      <c r="V1157">
        <v>0</v>
      </c>
      <c r="W1157">
        <v>0</v>
      </c>
      <c r="X1157">
        <v>0</v>
      </c>
    </row>
    <row r="1158" spans="1:24">
      <c r="A1158">
        <v>608</v>
      </c>
      <c r="B1158" t="s">
        <v>3130</v>
      </c>
      <c r="C1158">
        <v>5</v>
      </c>
      <c r="D1158" t="s">
        <v>3131</v>
      </c>
      <c r="E1158">
        <v>5</v>
      </c>
      <c r="F1158">
        <v>5</v>
      </c>
      <c r="G1158">
        <v>5</v>
      </c>
      <c r="H1158" t="s">
        <v>3132</v>
      </c>
      <c r="I1158">
        <v>10.6</v>
      </c>
      <c r="J1158">
        <v>58.481999999999999</v>
      </c>
      <c r="K1158" t="str">
        <f>"TROVE2"</f>
        <v>TROVE2</v>
      </c>
      <c r="L1158" t="str">
        <f>"TROVE2"</f>
        <v>TROVE2</v>
      </c>
      <c r="M1158">
        <v>0</v>
      </c>
      <c r="N1158">
        <v>49809000</v>
      </c>
      <c r="O1158">
        <v>46060000</v>
      </c>
      <c r="P1158">
        <v>0</v>
      </c>
      <c r="Q1158">
        <v>0</v>
      </c>
      <c r="R1158">
        <v>50733000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</row>
    <row r="1159" spans="1:24">
      <c r="A1159">
        <v>651</v>
      </c>
      <c r="B1159" t="s">
        <v>3133</v>
      </c>
      <c r="C1159">
        <v>9</v>
      </c>
      <c r="D1159" t="s">
        <v>3134</v>
      </c>
      <c r="E1159">
        <v>4</v>
      </c>
      <c r="F1159">
        <v>4</v>
      </c>
      <c r="G1159">
        <v>4</v>
      </c>
      <c r="H1159" t="s">
        <v>3135</v>
      </c>
      <c r="I1159">
        <v>16.5</v>
      </c>
      <c r="J1159">
        <v>34.929000000000002</v>
      </c>
      <c r="K1159" t="str">
        <f>"FCGR2A;FCGR2C;FCGR2B"</f>
        <v>FCGR2A;FCGR2C;FCGR2B</v>
      </c>
      <c r="L1159" t="str">
        <f>"FCGR2A;FCGR2C;FCGR2B"</f>
        <v>FCGR2A;FCGR2C;FCGR2B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94895000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</row>
    <row r="1160" spans="1:24">
      <c r="A1160">
        <v>751</v>
      </c>
      <c r="B1160" t="s">
        <v>3136</v>
      </c>
      <c r="C1160">
        <v>1</v>
      </c>
      <c r="D1160" t="s">
        <v>3137</v>
      </c>
      <c r="E1160">
        <v>5</v>
      </c>
      <c r="F1160">
        <v>5</v>
      </c>
      <c r="G1160">
        <v>5</v>
      </c>
      <c r="H1160" t="s">
        <v>3136</v>
      </c>
      <c r="I1160">
        <v>20.3</v>
      </c>
      <c r="J1160">
        <v>41.213000000000001</v>
      </c>
      <c r="K1160" t="str">
        <f>"CSNK2A2"</f>
        <v>CSNK2A2</v>
      </c>
      <c r="L1160" t="str">
        <f>"CSNK2A2"</f>
        <v>CSNK2A2</v>
      </c>
      <c r="M1160">
        <v>0</v>
      </c>
      <c r="N1160">
        <v>63771000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>
      <c r="A1161">
        <v>777</v>
      </c>
      <c r="B1161" t="s">
        <v>3138</v>
      </c>
      <c r="C1161">
        <v>1</v>
      </c>
      <c r="D1161" t="s">
        <v>3139</v>
      </c>
      <c r="E1161">
        <v>5</v>
      </c>
      <c r="F1161">
        <v>5</v>
      </c>
      <c r="G1161">
        <v>5</v>
      </c>
      <c r="H1161" t="s">
        <v>3138</v>
      </c>
      <c r="I1161">
        <v>23.2</v>
      </c>
      <c r="J1161">
        <v>31.629000000000001</v>
      </c>
      <c r="K1161" t="str">
        <f>"SDHB"</f>
        <v>SDHB</v>
      </c>
      <c r="L1161" t="str">
        <f>"SDHB"</f>
        <v>SDHB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65564000</v>
      </c>
      <c r="V1161">
        <v>0</v>
      </c>
      <c r="W1161">
        <v>81533000</v>
      </c>
      <c r="X1161">
        <v>72601000</v>
      </c>
    </row>
    <row r="1162" spans="1:24">
      <c r="A1162">
        <v>1299</v>
      </c>
      <c r="B1162" t="s">
        <v>3140</v>
      </c>
      <c r="C1162">
        <v>3</v>
      </c>
      <c r="D1162" t="s">
        <v>3141</v>
      </c>
      <c r="E1162">
        <v>38</v>
      </c>
      <c r="F1162">
        <v>5</v>
      </c>
      <c r="G1162">
        <v>5</v>
      </c>
      <c r="H1162" t="s">
        <v>3142</v>
      </c>
      <c r="I1162">
        <v>71.5</v>
      </c>
      <c r="J1162">
        <v>32.722000000000001</v>
      </c>
      <c r="K1162" t="str">
        <f>"TPM4;CCDC57"</f>
        <v>TPM4;CCDC57</v>
      </c>
      <c r="L1162" t="str">
        <f>"TPM4;CCDC57"</f>
        <v>TPM4;CCDC57</v>
      </c>
      <c r="M1162">
        <v>0</v>
      </c>
      <c r="N1162">
        <v>41954000</v>
      </c>
      <c r="O1162">
        <v>73996000</v>
      </c>
      <c r="P1162">
        <v>179480000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>
      <c r="A1163">
        <v>1422</v>
      </c>
      <c r="B1163" t="s">
        <v>3143</v>
      </c>
      <c r="C1163">
        <v>2</v>
      </c>
      <c r="D1163" t="s">
        <v>3144</v>
      </c>
      <c r="E1163">
        <v>4</v>
      </c>
      <c r="F1163">
        <v>4</v>
      </c>
      <c r="G1163">
        <v>4</v>
      </c>
      <c r="H1163" t="s">
        <v>3145</v>
      </c>
      <c r="I1163">
        <v>10.6</v>
      </c>
      <c r="J1163">
        <v>62.328000000000003</v>
      </c>
      <c r="K1163" t="str">
        <f>"COASY"</f>
        <v>COASY</v>
      </c>
      <c r="L1163" t="str">
        <f>"COASY"</f>
        <v>COASY</v>
      </c>
      <c r="M1163">
        <v>0</v>
      </c>
      <c r="N1163">
        <v>0</v>
      </c>
      <c r="O1163">
        <v>25554000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25423000</v>
      </c>
      <c r="W1163">
        <v>0</v>
      </c>
      <c r="X1163">
        <v>47494000</v>
      </c>
    </row>
    <row r="1164" spans="1:24">
      <c r="A1164">
        <v>1461</v>
      </c>
      <c r="B1164" t="s">
        <v>3146</v>
      </c>
      <c r="C1164">
        <v>2</v>
      </c>
      <c r="D1164" t="s">
        <v>3147</v>
      </c>
      <c r="E1164">
        <v>10</v>
      </c>
      <c r="F1164">
        <v>10</v>
      </c>
      <c r="G1164">
        <v>10</v>
      </c>
      <c r="H1164" t="s">
        <v>3148</v>
      </c>
      <c r="I1164">
        <v>17.399999999999999</v>
      </c>
      <c r="J1164">
        <v>86.981999999999999</v>
      </c>
      <c r="K1164" t="str">
        <f>"CUL2"</f>
        <v>CUL2</v>
      </c>
      <c r="L1164" t="str">
        <f>"CUL2"</f>
        <v>CUL2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65647000</v>
      </c>
    </row>
    <row r="1165" spans="1:24">
      <c r="A1165">
        <v>1483</v>
      </c>
      <c r="B1165" t="s">
        <v>3149</v>
      </c>
      <c r="C1165">
        <v>8</v>
      </c>
      <c r="D1165" t="s">
        <v>3150</v>
      </c>
      <c r="E1165">
        <v>8</v>
      </c>
      <c r="F1165">
        <v>8</v>
      </c>
      <c r="G1165">
        <v>8</v>
      </c>
      <c r="H1165" t="s">
        <v>3151</v>
      </c>
      <c r="I1165">
        <v>15.8</v>
      </c>
      <c r="J1165">
        <v>70.448999999999998</v>
      </c>
      <c r="K1165" t="str">
        <f>"ARHGEF7;ARHGEF6"</f>
        <v>ARHGEF7;ARHGEF6</v>
      </c>
      <c r="L1165" t="str">
        <f>"ARHGEF7;ARHGEF6"</f>
        <v>ARHGEF7;ARHGEF6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26350000</v>
      </c>
    </row>
    <row r="1166" spans="1:24">
      <c r="A1166">
        <v>1634</v>
      </c>
      <c r="B1166" t="s">
        <v>3152</v>
      </c>
      <c r="C1166">
        <v>3</v>
      </c>
      <c r="D1166" t="s">
        <v>3153</v>
      </c>
      <c r="E1166">
        <v>5</v>
      </c>
      <c r="F1166">
        <v>5</v>
      </c>
      <c r="G1166">
        <v>5</v>
      </c>
      <c r="H1166" t="s">
        <v>3154</v>
      </c>
      <c r="I1166">
        <v>9.3000000000000007</v>
      </c>
      <c r="J1166">
        <v>68.793000000000006</v>
      </c>
      <c r="K1166" t="str">
        <f>"FGD3"</f>
        <v>FGD3</v>
      </c>
      <c r="L1166" t="str">
        <f>"FGD3"</f>
        <v>FGD3</v>
      </c>
      <c r="M1166">
        <v>0</v>
      </c>
      <c r="N1166">
        <v>64217000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</row>
    <row r="1167" spans="1:24">
      <c r="A1167">
        <v>1653</v>
      </c>
      <c r="B1167" t="s">
        <v>3155</v>
      </c>
      <c r="C1167">
        <v>2</v>
      </c>
      <c r="D1167" t="s">
        <v>3156</v>
      </c>
      <c r="E1167">
        <v>5</v>
      </c>
      <c r="F1167">
        <v>5</v>
      </c>
      <c r="G1167">
        <v>5</v>
      </c>
      <c r="H1167" t="s">
        <v>3157</v>
      </c>
      <c r="I1167">
        <v>21.1</v>
      </c>
      <c r="J1167">
        <v>42.871000000000002</v>
      </c>
      <c r="K1167" t="str">
        <f>"BROX"</f>
        <v>BROX</v>
      </c>
      <c r="L1167" t="str">
        <f>"BROX"</f>
        <v>BROX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80178000</v>
      </c>
      <c r="S1167">
        <v>0</v>
      </c>
      <c r="T1167">
        <v>0</v>
      </c>
      <c r="U1167">
        <v>0</v>
      </c>
      <c r="V1167">
        <v>93667000</v>
      </c>
      <c r="W1167">
        <v>0</v>
      </c>
      <c r="X1167">
        <v>0</v>
      </c>
    </row>
    <row r="1168" spans="1:24">
      <c r="A1168">
        <v>1681</v>
      </c>
      <c r="B1168" t="s">
        <v>3158</v>
      </c>
      <c r="C1168">
        <v>1</v>
      </c>
      <c r="D1168" t="s">
        <v>3159</v>
      </c>
      <c r="E1168">
        <v>5</v>
      </c>
      <c r="F1168">
        <v>5</v>
      </c>
      <c r="G1168">
        <v>5</v>
      </c>
      <c r="H1168" t="s">
        <v>3158</v>
      </c>
      <c r="I1168">
        <v>6.2</v>
      </c>
      <c r="J1168">
        <v>96.631</v>
      </c>
      <c r="K1168" t="str">
        <f>"TTC27"</f>
        <v>TTC27</v>
      </c>
      <c r="L1168" t="str">
        <f>"TTC27"</f>
        <v>TTC27</v>
      </c>
      <c r="M1168">
        <v>0</v>
      </c>
      <c r="N1168">
        <v>39604000</v>
      </c>
      <c r="O1168">
        <v>56746000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</row>
    <row r="1169" spans="1:24">
      <c r="A1169">
        <v>1818</v>
      </c>
      <c r="B1169" t="s">
        <v>3160</v>
      </c>
      <c r="C1169">
        <v>2</v>
      </c>
      <c r="D1169" t="s">
        <v>3161</v>
      </c>
      <c r="E1169">
        <v>10</v>
      </c>
      <c r="F1169">
        <v>10</v>
      </c>
      <c r="G1169">
        <v>10</v>
      </c>
      <c r="H1169" t="s">
        <v>3162</v>
      </c>
      <c r="I1169">
        <v>15.5</v>
      </c>
      <c r="J1169">
        <v>68.119</v>
      </c>
      <c r="K1169" t="str">
        <f>"NPLOC4"</f>
        <v>NPLOC4</v>
      </c>
      <c r="L1169" t="str">
        <f>"NPLOC4"</f>
        <v>NPLOC4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</row>
    <row r="1170" spans="1:24">
      <c r="A1170">
        <v>1892</v>
      </c>
      <c r="B1170" t="s">
        <v>3163</v>
      </c>
      <c r="C1170">
        <v>6</v>
      </c>
      <c r="D1170" t="s">
        <v>3164</v>
      </c>
      <c r="E1170">
        <v>4</v>
      </c>
      <c r="F1170">
        <v>4</v>
      </c>
      <c r="G1170">
        <v>3</v>
      </c>
      <c r="H1170" t="s">
        <v>3165</v>
      </c>
      <c r="I1170">
        <v>4.7</v>
      </c>
      <c r="J1170">
        <v>95.754999999999995</v>
      </c>
      <c r="K1170" t="str">
        <f>"ATP6V0A1;TCIRG1;ATP6V0A4"</f>
        <v>ATP6V0A1;TCIRG1;ATP6V0A4</v>
      </c>
      <c r="L1170" t="str">
        <f>"ATP6V0A1;TCIRG1;ATP6V0A4"</f>
        <v>ATP6V0A1;TCIRG1;ATP6V0A4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58920000</v>
      </c>
      <c r="S1170">
        <v>0</v>
      </c>
      <c r="T1170">
        <v>0</v>
      </c>
      <c r="U1170">
        <v>0</v>
      </c>
      <c r="V1170">
        <v>0</v>
      </c>
      <c r="W1170">
        <v>50876000</v>
      </c>
      <c r="X1170">
        <v>57759000</v>
      </c>
    </row>
    <row r="1171" spans="1:24">
      <c r="A1171">
        <v>2043</v>
      </c>
      <c r="B1171" t="s">
        <v>3166</v>
      </c>
      <c r="C1171">
        <v>1</v>
      </c>
      <c r="D1171" t="s">
        <v>3167</v>
      </c>
      <c r="E1171">
        <v>4</v>
      </c>
      <c r="F1171">
        <v>4</v>
      </c>
      <c r="G1171">
        <v>4</v>
      </c>
      <c r="H1171" t="s">
        <v>3166</v>
      </c>
      <c r="I1171">
        <v>41.7</v>
      </c>
      <c r="J1171">
        <v>17.161999999999999</v>
      </c>
      <c r="K1171" t="str">
        <f>"HINT2"</f>
        <v>HINT2</v>
      </c>
      <c r="L1171" t="str">
        <f>"HINT2"</f>
        <v>HINT2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80444000</v>
      </c>
      <c r="S1171">
        <v>0</v>
      </c>
      <c r="T1171">
        <v>71059000</v>
      </c>
      <c r="U1171">
        <v>0</v>
      </c>
      <c r="V1171">
        <v>95530000</v>
      </c>
      <c r="W1171">
        <v>0</v>
      </c>
      <c r="X1171">
        <v>0</v>
      </c>
    </row>
    <row r="1172" spans="1:24">
      <c r="A1172">
        <v>2120</v>
      </c>
      <c r="B1172" t="s">
        <v>3168</v>
      </c>
      <c r="C1172">
        <v>1</v>
      </c>
      <c r="D1172" t="s">
        <v>3169</v>
      </c>
      <c r="E1172">
        <v>10</v>
      </c>
      <c r="F1172">
        <v>5</v>
      </c>
      <c r="G1172">
        <v>5</v>
      </c>
      <c r="H1172" t="s">
        <v>3168</v>
      </c>
      <c r="I1172">
        <v>37.9</v>
      </c>
      <c r="J1172">
        <v>37.567</v>
      </c>
      <c r="K1172" t="str">
        <f>"GNB4"</f>
        <v>GNB4</v>
      </c>
      <c r="L1172" t="str">
        <f>"GNB4"</f>
        <v>GNB4</v>
      </c>
      <c r="M1172">
        <v>0</v>
      </c>
      <c r="N1172">
        <v>61100000</v>
      </c>
      <c r="O1172">
        <v>89465000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46810000</v>
      </c>
    </row>
    <row r="1173" spans="1:24">
      <c r="A1173">
        <v>2209</v>
      </c>
      <c r="B1173" t="s">
        <v>3170</v>
      </c>
      <c r="C1173">
        <v>1</v>
      </c>
      <c r="D1173" t="s">
        <v>3171</v>
      </c>
      <c r="E1173">
        <v>4</v>
      </c>
      <c r="F1173">
        <v>3</v>
      </c>
      <c r="G1173">
        <v>3</v>
      </c>
      <c r="H1173" t="s">
        <v>3170</v>
      </c>
      <c r="I1173">
        <v>10.3</v>
      </c>
      <c r="J1173">
        <v>53.497999999999998</v>
      </c>
      <c r="K1173" t="str">
        <f>"C1RL"</f>
        <v>C1RL</v>
      </c>
      <c r="L1173" t="str">
        <f>"C1RL"</f>
        <v>C1RL</v>
      </c>
      <c r="M1173">
        <v>185830000</v>
      </c>
      <c r="N1173">
        <v>0</v>
      </c>
      <c r="O1173">
        <v>0</v>
      </c>
      <c r="P1173">
        <v>0</v>
      </c>
      <c r="Q1173">
        <v>93223000</v>
      </c>
      <c r="R1173">
        <v>0</v>
      </c>
      <c r="S1173">
        <v>0</v>
      </c>
      <c r="T1173">
        <v>167090000</v>
      </c>
      <c r="U1173">
        <v>0</v>
      </c>
      <c r="V1173">
        <v>54993000</v>
      </c>
      <c r="W1173">
        <v>0</v>
      </c>
      <c r="X1173">
        <v>0</v>
      </c>
    </row>
    <row r="1174" spans="1:24">
      <c r="A1174">
        <v>2279</v>
      </c>
      <c r="B1174" t="s">
        <v>3172</v>
      </c>
      <c r="C1174">
        <v>2</v>
      </c>
      <c r="D1174" t="s">
        <v>3173</v>
      </c>
      <c r="E1174">
        <v>4</v>
      </c>
      <c r="F1174">
        <v>4</v>
      </c>
      <c r="G1174">
        <v>3</v>
      </c>
      <c r="H1174" t="s">
        <v>3174</v>
      </c>
      <c r="I1174">
        <v>25.4</v>
      </c>
      <c r="J1174">
        <v>22.079000000000001</v>
      </c>
      <c r="K1174" t="str">
        <f>"CDV3"</f>
        <v>CDV3</v>
      </c>
      <c r="L1174" t="str">
        <f>"CDV3"</f>
        <v>CDV3</v>
      </c>
      <c r="M1174">
        <v>0</v>
      </c>
      <c r="N1174">
        <v>146140000</v>
      </c>
      <c r="O1174">
        <v>0</v>
      </c>
      <c r="P1174">
        <v>0</v>
      </c>
      <c r="Q1174">
        <v>108790000</v>
      </c>
      <c r="R1174">
        <v>98460000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>
      <c r="A1175">
        <v>241</v>
      </c>
      <c r="B1175" t="s">
        <v>3175</v>
      </c>
      <c r="C1175">
        <v>1</v>
      </c>
      <c r="D1175" t="s">
        <v>3176</v>
      </c>
      <c r="E1175">
        <v>4</v>
      </c>
      <c r="F1175">
        <v>4</v>
      </c>
      <c r="G1175">
        <v>4</v>
      </c>
      <c r="H1175" t="s">
        <v>3175</v>
      </c>
      <c r="I1175">
        <v>16.7</v>
      </c>
      <c r="J1175">
        <v>26.779</v>
      </c>
      <c r="K1175" t="str">
        <f>"TSPAN9"</f>
        <v>TSPAN9</v>
      </c>
      <c r="L1175" t="str">
        <f>"TSPAN9"</f>
        <v>TSPAN9</v>
      </c>
      <c r="M1175">
        <v>0</v>
      </c>
      <c r="N1175">
        <v>99709000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124740000</v>
      </c>
      <c r="V1175">
        <v>0</v>
      </c>
      <c r="W1175">
        <v>0</v>
      </c>
      <c r="X1175">
        <v>112120000</v>
      </c>
    </row>
    <row r="1176" spans="1:24">
      <c r="A1176">
        <v>821</v>
      </c>
      <c r="B1176" t="s">
        <v>3177</v>
      </c>
      <c r="C1176">
        <v>2</v>
      </c>
      <c r="D1176" t="s">
        <v>3178</v>
      </c>
      <c r="E1176">
        <v>5</v>
      </c>
      <c r="F1176">
        <v>5</v>
      </c>
      <c r="G1176">
        <v>5</v>
      </c>
      <c r="H1176" t="s">
        <v>3179</v>
      </c>
      <c r="I1176">
        <v>7.4</v>
      </c>
      <c r="J1176">
        <v>79.572999999999993</v>
      </c>
      <c r="K1176" t="str">
        <f>"ADRBK1;ADRBK2"</f>
        <v>ADRBK1;ADRBK2</v>
      </c>
      <c r="L1176" t="str">
        <f>"GRK2;GRK3"</f>
        <v>GRK2;GRK3</v>
      </c>
      <c r="M1176">
        <v>0</v>
      </c>
      <c r="N1176">
        <v>0</v>
      </c>
      <c r="O1176">
        <v>21123000</v>
      </c>
      <c r="P1176">
        <v>0</v>
      </c>
      <c r="Q1176">
        <v>0</v>
      </c>
      <c r="R1176">
        <v>22122000</v>
      </c>
      <c r="S1176">
        <v>0</v>
      </c>
      <c r="T1176">
        <v>0</v>
      </c>
      <c r="U1176">
        <v>29999000</v>
      </c>
      <c r="V1176">
        <v>0</v>
      </c>
      <c r="W1176">
        <v>0</v>
      </c>
      <c r="X1176">
        <v>0</v>
      </c>
    </row>
    <row r="1177" spans="1:24">
      <c r="A1177">
        <v>982</v>
      </c>
      <c r="B1177" t="s">
        <v>3180</v>
      </c>
      <c r="C1177">
        <v>2</v>
      </c>
      <c r="D1177" t="s">
        <v>3181</v>
      </c>
      <c r="E1177">
        <v>14</v>
      </c>
      <c r="F1177">
        <v>2</v>
      </c>
      <c r="G1177">
        <v>2</v>
      </c>
      <c r="H1177" t="s">
        <v>3182</v>
      </c>
      <c r="I1177">
        <v>39.299999999999997</v>
      </c>
      <c r="J1177">
        <v>36.982999999999997</v>
      </c>
      <c r="K1177" t="str">
        <f>"PPP1CC"</f>
        <v>PPP1CC</v>
      </c>
      <c r="L1177" t="str">
        <f>"PPP1CC"</f>
        <v>PPP1CC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32656000</v>
      </c>
      <c r="S1177">
        <v>0</v>
      </c>
      <c r="T1177">
        <v>0</v>
      </c>
      <c r="U1177">
        <v>49793000</v>
      </c>
      <c r="V1177">
        <v>0</v>
      </c>
      <c r="W1177">
        <v>0</v>
      </c>
      <c r="X1177">
        <v>48014000</v>
      </c>
    </row>
    <row r="1178" spans="1:24">
      <c r="A1178">
        <v>1050</v>
      </c>
      <c r="B1178" t="s">
        <v>3183</v>
      </c>
      <c r="C1178">
        <v>3</v>
      </c>
      <c r="D1178" t="s">
        <v>3184</v>
      </c>
      <c r="E1178">
        <v>5</v>
      </c>
      <c r="F1178">
        <v>5</v>
      </c>
      <c r="G1178">
        <v>5</v>
      </c>
      <c r="H1178" t="s">
        <v>3185</v>
      </c>
      <c r="I1178">
        <v>18.899999999999999</v>
      </c>
      <c r="J1178">
        <v>36.171999999999997</v>
      </c>
      <c r="K1178" t="str">
        <f>"MAP2K3"</f>
        <v>MAP2K3</v>
      </c>
      <c r="L1178" t="str">
        <f>"MAP2K3"</f>
        <v>MAP2K3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50378000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</row>
    <row r="1179" spans="1:24">
      <c r="A1179">
        <v>1051</v>
      </c>
      <c r="B1179" t="s">
        <v>3186</v>
      </c>
      <c r="C1179">
        <v>4</v>
      </c>
      <c r="D1179" t="s">
        <v>3187</v>
      </c>
      <c r="E1179">
        <v>1</v>
      </c>
      <c r="F1179">
        <v>1</v>
      </c>
      <c r="G1179">
        <v>1</v>
      </c>
      <c r="H1179" t="s">
        <v>3188</v>
      </c>
      <c r="I1179">
        <v>7.4</v>
      </c>
      <c r="J1179">
        <v>23.457000000000001</v>
      </c>
      <c r="K1179" t="str">
        <f>"BRCC3"</f>
        <v>BRCC3</v>
      </c>
      <c r="L1179" t="str">
        <f>"BRCC3"</f>
        <v>BRCC3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25678000</v>
      </c>
    </row>
    <row r="1180" spans="1:24">
      <c r="A1180">
        <v>1250</v>
      </c>
      <c r="B1180" t="s">
        <v>3189</v>
      </c>
      <c r="C1180">
        <v>5</v>
      </c>
      <c r="D1180" t="s">
        <v>3190</v>
      </c>
      <c r="E1180">
        <v>3</v>
      </c>
      <c r="F1180">
        <v>3</v>
      </c>
      <c r="G1180">
        <v>3</v>
      </c>
      <c r="H1180" t="s">
        <v>3191</v>
      </c>
      <c r="I1180">
        <v>24.9</v>
      </c>
      <c r="J1180">
        <v>20.198</v>
      </c>
      <c r="K1180" t="str">
        <f>"COPZ1"</f>
        <v>COPZ1</v>
      </c>
      <c r="L1180" t="str">
        <f>"COPZ1"</f>
        <v>COPZ1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</row>
    <row r="1181" spans="1:24">
      <c r="A1181">
        <v>1265</v>
      </c>
      <c r="B1181" t="s">
        <v>3192</v>
      </c>
      <c r="C1181">
        <v>1</v>
      </c>
      <c r="D1181" t="s">
        <v>3193</v>
      </c>
      <c r="E1181">
        <v>7</v>
      </c>
      <c r="F1181">
        <v>7</v>
      </c>
      <c r="G1181">
        <v>6</v>
      </c>
      <c r="H1181" t="s">
        <v>3192</v>
      </c>
      <c r="I1181">
        <v>86.4</v>
      </c>
      <c r="J1181">
        <v>5.0526</v>
      </c>
      <c r="K1181" t="str">
        <f>"TMSB4X"</f>
        <v>TMSB4X</v>
      </c>
      <c r="L1181" t="str">
        <f>"TMSB4X"</f>
        <v>TMSB4X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</row>
    <row r="1182" spans="1:24">
      <c r="A1182">
        <v>1436</v>
      </c>
      <c r="B1182" t="s">
        <v>3194</v>
      </c>
      <c r="C1182">
        <v>1</v>
      </c>
      <c r="D1182" t="s">
        <v>3195</v>
      </c>
      <c r="E1182">
        <v>6</v>
      </c>
      <c r="F1182">
        <v>6</v>
      </c>
      <c r="G1182">
        <v>6</v>
      </c>
      <c r="H1182" t="s">
        <v>3194</v>
      </c>
      <c r="I1182">
        <v>16.7</v>
      </c>
      <c r="J1182">
        <v>57.579000000000001</v>
      </c>
      <c r="K1182" t="str">
        <f>"DNAJC3"</f>
        <v>DNAJC3</v>
      </c>
      <c r="L1182" t="str">
        <f>"DNAJC3"</f>
        <v>DNAJC3</v>
      </c>
      <c r="M1182">
        <v>0</v>
      </c>
      <c r="N1182">
        <v>64033000</v>
      </c>
      <c r="O1182">
        <v>104720000</v>
      </c>
      <c r="P1182">
        <v>0</v>
      </c>
      <c r="Q1182">
        <v>0</v>
      </c>
      <c r="R1182">
        <v>47946000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</row>
    <row r="1183" spans="1:24">
      <c r="A1183">
        <v>1748</v>
      </c>
      <c r="B1183" t="s">
        <v>3196</v>
      </c>
      <c r="C1183">
        <v>2</v>
      </c>
      <c r="D1183" t="s">
        <v>3197</v>
      </c>
      <c r="E1183">
        <v>7</v>
      </c>
      <c r="F1183">
        <v>7</v>
      </c>
      <c r="G1183">
        <v>7</v>
      </c>
      <c r="H1183" t="s">
        <v>3198</v>
      </c>
      <c r="I1183">
        <v>19.5</v>
      </c>
      <c r="J1183">
        <v>45.801000000000002</v>
      </c>
      <c r="K1183" t="str">
        <f>"PROSER2"</f>
        <v>PROSER2</v>
      </c>
      <c r="L1183" t="str">
        <f>"PROSER2"</f>
        <v>PROSER2</v>
      </c>
      <c r="M1183">
        <v>0</v>
      </c>
      <c r="N1183">
        <v>57956000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62566000</v>
      </c>
    </row>
    <row r="1184" spans="1:24">
      <c r="A1184">
        <v>1931</v>
      </c>
      <c r="B1184" t="s">
        <v>3199</v>
      </c>
      <c r="C1184">
        <v>1</v>
      </c>
      <c r="D1184" t="s">
        <v>3200</v>
      </c>
      <c r="E1184">
        <v>5</v>
      </c>
      <c r="F1184">
        <v>5</v>
      </c>
      <c r="G1184">
        <v>5</v>
      </c>
      <c r="H1184" t="s">
        <v>3199</v>
      </c>
      <c r="I1184">
        <v>26.9</v>
      </c>
      <c r="J1184">
        <v>23.484999999999999</v>
      </c>
      <c r="K1184" t="str">
        <f>"CHMP6"</f>
        <v>CHMP6</v>
      </c>
      <c r="L1184" t="str">
        <f>"CHMP6"</f>
        <v>CHMP6</v>
      </c>
      <c r="M1184">
        <v>0</v>
      </c>
      <c r="N1184">
        <v>0</v>
      </c>
      <c r="O1184">
        <v>41374000</v>
      </c>
      <c r="P1184">
        <v>49150000</v>
      </c>
      <c r="Q1184">
        <v>0</v>
      </c>
      <c r="R1184">
        <v>20903000</v>
      </c>
      <c r="S1184">
        <v>0</v>
      </c>
      <c r="T1184">
        <v>31654000</v>
      </c>
      <c r="U1184">
        <v>0</v>
      </c>
      <c r="V1184">
        <v>53548000</v>
      </c>
      <c r="W1184">
        <v>0</v>
      </c>
      <c r="X1184">
        <v>0</v>
      </c>
    </row>
    <row r="1185" spans="1:24">
      <c r="A1185">
        <v>2037</v>
      </c>
      <c r="B1185" t="s">
        <v>3201</v>
      </c>
      <c r="C1185">
        <v>2</v>
      </c>
      <c r="D1185" t="s">
        <v>3202</v>
      </c>
      <c r="E1185">
        <v>6</v>
      </c>
      <c r="F1185">
        <v>6</v>
      </c>
      <c r="G1185">
        <v>6</v>
      </c>
      <c r="H1185" t="s">
        <v>3203</v>
      </c>
      <c r="I1185">
        <v>31.8</v>
      </c>
      <c r="J1185">
        <v>37.523000000000003</v>
      </c>
      <c r="K1185" t="str">
        <f>"SARG"</f>
        <v>SARG</v>
      </c>
      <c r="L1185" t="str">
        <f>"C1orf116"</f>
        <v>C1orf116</v>
      </c>
      <c r="M1185">
        <v>0</v>
      </c>
      <c r="N1185">
        <v>0</v>
      </c>
      <c r="O1185">
        <v>0</v>
      </c>
      <c r="P1185">
        <v>199110000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>
      <c r="A1186">
        <v>2133</v>
      </c>
      <c r="B1186" t="s">
        <v>3204</v>
      </c>
      <c r="C1186">
        <v>1</v>
      </c>
      <c r="D1186" t="s">
        <v>3205</v>
      </c>
      <c r="E1186">
        <v>5</v>
      </c>
      <c r="F1186">
        <v>5</v>
      </c>
      <c r="G1186">
        <v>5</v>
      </c>
      <c r="H1186" t="s">
        <v>3204</v>
      </c>
      <c r="I1186">
        <v>11.4</v>
      </c>
      <c r="J1186">
        <v>67.887</v>
      </c>
      <c r="K1186" t="str">
        <f>"TM9SF3"</f>
        <v>TM9SF3</v>
      </c>
      <c r="L1186" t="str">
        <f>"TM9SF3"</f>
        <v>TM9SF3</v>
      </c>
      <c r="M1186">
        <v>0</v>
      </c>
      <c r="N1186">
        <v>65538000</v>
      </c>
      <c r="O1186">
        <v>82983000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>
      <c r="A1187">
        <v>117</v>
      </c>
      <c r="B1187" t="s">
        <v>3206</v>
      </c>
      <c r="C1187">
        <v>3</v>
      </c>
      <c r="D1187" t="s">
        <v>3207</v>
      </c>
      <c r="E1187">
        <v>3</v>
      </c>
      <c r="F1187">
        <v>3</v>
      </c>
      <c r="G1187">
        <v>3</v>
      </c>
      <c r="H1187" t="s">
        <v>3208</v>
      </c>
      <c r="I1187">
        <v>4.9000000000000004</v>
      </c>
      <c r="J1187">
        <v>60.029000000000003</v>
      </c>
      <c r="K1187" t="str">
        <f>"KPNA6;KPNA5;KPNA1"</f>
        <v>KPNA6;KPNA5;KPNA1</v>
      </c>
      <c r="L1187" t="str">
        <f>"KPNA6;KPNA5;KPNA1"</f>
        <v>KPNA6;KPNA5;KPNA1</v>
      </c>
      <c r="M1187">
        <v>80935000</v>
      </c>
      <c r="N1187">
        <v>0</v>
      </c>
      <c r="O1187">
        <v>0</v>
      </c>
      <c r="P1187">
        <v>0</v>
      </c>
      <c r="Q1187">
        <v>39973000</v>
      </c>
      <c r="R1187">
        <v>0</v>
      </c>
      <c r="S1187">
        <v>0</v>
      </c>
      <c r="T1187">
        <v>0</v>
      </c>
      <c r="U1187">
        <v>0</v>
      </c>
      <c r="V1187">
        <v>26829000</v>
      </c>
      <c r="W1187">
        <v>0</v>
      </c>
      <c r="X1187">
        <v>0</v>
      </c>
    </row>
    <row r="1188" spans="1:24">
      <c r="A1188">
        <v>330</v>
      </c>
      <c r="B1188" t="s">
        <v>3209</v>
      </c>
      <c r="C1188">
        <v>4</v>
      </c>
      <c r="D1188" t="s">
        <v>3210</v>
      </c>
      <c r="E1188">
        <v>6</v>
      </c>
      <c r="F1188">
        <v>6</v>
      </c>
      <c r="G1188">
        <v>3</v>
      </c>
      <c r="H1188" t="s">
        <v>3211</v>
      </c>
      <c r="I1188">
        <v>41</v>
      </c>
      <c r="J1188">
        <v>21.423999999999999</v>
      </c>
      <c r="K1188" t="str">
        <f>"KRAS;HRAS"</f>
        <v>KRAS;HRAS</v>
      </c>
      <c r="L1188" t="str">
        <f>"KRAS;HRAS"</f>
        <v>KRAS;HRAS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56798000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47783000</v>
      </c>
    </row>
    <row r="1189" spans="1:24">
      <c r="A1189">
        <v>428</v>
      </c>
      <c r="B1189" t="s">
        <v>3212</v>
      </c>
      <c r="C1189">
        <v>2</v>
      </c>
      <c r="D1189" t="s">
        <v>3213</v>
      </c>
      <c r="E1189">
        <v>14</v>
      </c>
      <c r="F1189">
        <v>14</v>
      </c>
      <c r="G1189">
        <v>13</v>
      </c>
      <c r="H1189" t="s">
        <v>3214</v>
      </c>
      <c r="I1189">
        <v>26.3</v>
      </c>
      <c r="J1189">
        <v>78.180999999999997</v>
      </c>
      <c r="K1189" t="str">
        <f>"LTF"</f>
        <v>LTF</v>
      </c>
      <c r="L1189" t="str">
        <f>"LTF"</f>
        <v>LTF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</row>
    <row r="1190" spans="1:24">
      <c r="A1190">
        <v>540</v>
      </c>
      <c r="B1190" t="s">
        <v>3215</v>
      </c>
      <c r="C1190">
        <v>4</v>
      </c>
      <c r="D1190" t="s">
        <v>3216</v>
      </c>
      <c r="E1190">
        <v>16</v>
      </c>
      <c r="F1190">
        <v>8</v>
      </c>
      <c r="G1190">
        <v>5</v>
      </c>
      <c r="H1190" t="s">
        <v>3217</v>
      </c>
      <c r="I1190">
        <v>26.7</v>
      </c>
      <c r="J1190">
        <v>60.801000000000002</v>
      </c>
      <c r="K1190" t="str">
        <f>"YES1;LCK;FGR"</f>
        <v>YES1;LCK;FGR</v>
      </c>
      <c r="L1190" t="str">
        <f>"YES1;LCK;FGR"</f>
        <v>YES1;LCK;FGR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>
      <c r="A1191">
        <v>570</v>
      </c>
      <c r="B1191" t="s">
        <v>3218</v>
      </c>
      <c r="C1191">
        <v>3</v>
      </c>
      <c r="D1191" t="s">
        <v>3219</v>
      </c>
      <c r="E1191">
        <v>3</v>
      </c>
      <c r="F1191">
        <v>3</v>
      </c>
      <c r="G1191">
        <v>2</v>
      </c>
      <c r="H1191" t="s">
        <v>3220</v>
      </c>
      <c r="I1191">
        <v>12.8</v>
      </c>
      <c r="J1191">
        <v>17.271000000000001</v>
      </c>
      <c r="K1191" t="str">
        <f>"CD63"</f>
        <v>CD63</v>
      </c>
      <c r="L1191" t="str">
        <f>"CD63"</f>
        <v>CD63</v>
      </c>
      <c r="M1191">
        <v>0</v>
      </c>
      <c r="N1191">
        <v>0</v>
      </c>
      <c r="O1191">
        <v>0</v>
      </c>
      <c r="P1191">
        <v>109080000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</row>
    <row r="1192" spans="1:24">
      <c r="A1192">
        <v>654</v>
      </c>
      <c r="B1192" t="s">
        <v>3221</v>
      </c>
      <c r="C1192">
        <v>3</v>
      </c>
      <c r="D1192" t="s">
        <v>3222</v>
      </c>
      <c r="E1192">
        <v>86</v>
      </c>
      <c r="F1192">
        <v>1</v>
      </c>
      <c r="G1192">
        <v>1</v>
      </c>
      <c r="H1192" t="s">
        <v>3223</v>
      </c>
      <c r="I1192">
        <v>82.7</v>
      </c>
      <c r="J1192">
        <v>105.57</v>
      </c>
      <c r="K1192" t="str">
        <f>"ACTN1"</f>
        <v>ACTN1</v>
      </c>
      <c r="L1192" t="str">
        <f>"ACTN1"</f>
        <v>ACTN1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26142000</v>
      </c>
    </row>
    <row r="1193" spans="1:24">
      <c r="A1193">
        <v>1093</v>
      </c>
      <c r="B1193" t="s">
        <v>3224</v>
      </c>
      <c r="C1193">
        <v>3</v>
      </c>
      <c r="D1193" t="s">
        <v>3225</v>
      </c>
      <c r="E1193">
        <v>5</v>
      </c>
      <c r="F1193">
        <v>5</v>
      </c>
      <c r="G1193">
        <v>5</v>
      </c>
      <c r="H1193" t="s">
        <v>3226</v>
      </c>
      <c r="I1193">
        <v>7.7</v>
      </c>
      <c r="J1193">
        <v>84.572000000000003</v>
      </c>
      <c r="K1193" t="str">
        <f>"DGKG"</f>
        <v>DGKG</v>
      </c>
      <c r="L1193" t="str">
        <f>"DGKG"</f>
        <v>DGKG</v>
      </c>
      <c r="M1193">
        <v>0</v>
      </c>
      <c r="N1193">
        <v>0</v>
      </c>
      <c r="O1193">
        <v>39383000</v>
      </c>
      <c r="P1193">
        <v>0</v>
      </c>
      <c r="Q1193">
        <v>0</v>
      </c>
      <c r="R1193">
        <v>37985000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</row>
    <row r="1194" spans="1:24">
      <c r="A1194">
        <v>1359</v>
      </c>
      <c r="B1194" t="s">
        <v>3227</v>
      </c>
      <c r="C1194">
        <v>1</v>
      </c>
      <c r="D1194" t="s">
        <v>3228</v>
      </c>
      <c r="E1194">
        <v>7</v>
      </c>
      <c r="F1194">
        <v>7</v>
      </c>
      <c r="G1194">
        <v>7</v>
      </c>
      <c r="H1194" t="s">
        <v>3227</v>
      </c>
      <c r="I1194">
        <v>15.6</v>
      </c>
      <c r="J1194">
        <v>87.216999999999999</v>
      </c>
      <c r="K1194" t="str">
        <f>"TAP1"</f>
        <v>TAP1</v>
      </c>
      <c r="L1194" t="str">
        <f>"TAP1"</f>
        <v>TAP1</v>
      </c>
      <c r="M1194">
        <v>0</v>
      </c>
      <c r="N1194">
        <v>0</v>
      </c>
      <c r="O1194">
        <v>0</v>
      </c>
      <c r="P1194">
        <v>28035000</v>
      </c>
      <c r="Q1194">
        <v>0</v>
      </c>
      <c r="R1194">
        <v>28257000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>
      <c r="A1195">
        <v>1409</v>
      </c>
      <c r="B1195" t="s">
        <v>3229</v>
      </c>
      <c r="C1195">
        <v>2</v>
      </c>
      <c r="D1195" t="s">
        <v>3230</v>
      </c>
      <c r="E1195">
        <v>7</v>
      </c>
      <c r="F1195">
        <v>7</v>
      </c>
      <c r="G1195">
        <v>7</v>
      </c>
      <c r="H1195" t="s">
        <v>3231</v>
      </c>
      <c r="I1195">
        <v>26.3</v>
      </c>
      <c r="J1195">
        <v>34.18</v>
      </c>
      <c r="K1195" t="str">
        <f>"STX4"</f>
        <v>STX4</v>
      </c>
      <c r="L1195" t="str">
        <f>"STX4"</f>
        <v>STX4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55453000</v>
      </c>
      <c r="S1195">
        <v>0</v>
      </c>
      <c r="T1195">
        <v>0</v>
      </c>
      <c r="U1195">
        <v>0</v>
      </c>
      <c r="V1195">
        <v>0</v>
      </c>
      <c r="W1195">
        <v>63170000</v>
      </c>
      <c r="X1195">
        <v>62365000</v>
      </c>
    </row>
    <row r="1196" spans="1:24">
      <c r="A1196">
        <v>1541</v>
      </c>
      <c r="B1196" t="s">
        <v>3232</v>
      </c>
      <c r="C1196">
        <v>3</v>
      </c>
      <c r="D1196" t="s">
        <v>3233</v>
      </c>
      <c r="E1196">
        <v>3</v>
      </c>
      <c r="F1196">
        <v>3</v>
      </c>
      <c r="G1196">
        <v>3</v>
      </c>
      <c r="H1196" t="s">
        <v>3234</v>
      </c>
      <c r="I1196">
        <v>14.3</v>
      </c>
      <c r="J1196">
        <v>37.996000000000002</v>
      </c>
      <c r="K1196" t="str">
        <f>"PON2"</f>
        <v>PON2</v>
      </c>
      <c r="L1196" t="str">
        <f>"PON2"</f>
        <v>PON2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30630000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</row>
    <row r="1197" spans="1:24">
      <c r="A1197">
        <v>1624</v>
      </c>
      <c r="B1197" t="s">
        <v>3235</v>
      </c>
      <c r="C1197">
        <v>7</v>
      </c>
      <c r="D1197" t="s">
        <v>3236</v>
      </c>
      <c r="E1197">
        <v>2</v>
      </c>
      <c r="F1197">
        <v>2</v>
      </c>
      <c r="G1197">
        <v>2</v>
      </c>
      <c r="H1197" t="s">
        <v>3237</v>
      </c>
      <c r="I1197">
        <v>2.2999999999999998</v>
      </c>
      <c r="J1197">
        <v>130.16999999999999</v>
      </c>
      <c r="K1197" t="str">
        <f>"FILIP1L"</f>
        <v>FILIP1L</v>
      </c>
      <c r="L1197" t="str">
        <f>"FILIP1L"</f>
        <v>FILIP1L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1147100000</v>
      </c>
      <c r="W1197">
        <v>0</v>
      </c>
      <c r="X1197">
        <v>0</v>
      </c>
    </row>
    <row r="1198" spans="1:24">
      <c r="A1198">
        <v>1833</v>
      </c>
      <c r="B1198" t="s">
        <v>3238</v>
      </c>
      <c r="C1198">
        <v>2</v>
      </c>
      <c r="D1198" t="s">
        <v>3239</v>
      </c>
      <c r="E1198">
        <v>7</v>
      </c>
      <c r="F1198">
        <v>7</v>
      </c>
      <c r="G1198">
        <v>7</v>
      </c>
      <c r="H1198" t="s">
        <v>3240</v>
      </c>
      <c r="I1198">
        <v>34.1</v>
      </c>
      <c r="J1198">
        <v>34.551000000000002</v>
      </c>
      <c r="K1198" t="str">
        <f>"NEK7"</f>
        <v>NEK7</v>
      </c>
      <c r="L1198" t="str">
        <f>"NEK7"</f>
        <v>NEK7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50630000</v>
      </c>
      <c r="S1198">
        <v>0</v>
      </c>
      <c r="T1198">
        <v>0</v>
      </c>
      <c r="U1198">
        <v>0</v>
      </c>
      <c r="V1198">
        <v>56514000</v>
      </c>
      <c r="W1198">
        <v>0</v>
      </c>
      <c r="X1198">
        <v>0</v>
      </c>
    </row>
    <row r="1199" spans="1:24">
      <c r="A1199">
        <v>1887</v>
      </c>
      <c r="B1199" t="s">
        <v>3241</v>
      </c>
      <c r="C1199">
        <v>3</v>
      </c>
      <c r="D1199" t="s">
        <v>3242</v>
      </c>
      <c r="E1199">
        <v>11</v>
      </c>
      <c r="F1199">
        <v>11</v>
      </c>
      <c r="G1199">
        <v>9</v>
      </c>
      <c r="H1199" t="s">
        <v>3243</v>
      </c>
      <c r="I1199">
        <v>14.7</v>
      </c>
      <c r="J1199">
        <v>101.31</v>
      </c>
      <c r="K1199" t="str">
        <f>"TNPO1"</f>
        <v>TNPO1</v>
      </c>
      <c r="L1199" t="str">
        <f>"TNPO1"</f>
        <v>TNPO1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83623000</v>
      </c>
    </row>
    <row r="1200" spans="1:24">
      <c r="A1200">
        <v>1971</v>
      </c>
      <c r="B1200" t="s">
        <v>3244</v>
      </c>
      <c r="C1200">
        <v>1</v>
      </c>
      <c r="D1200" t="s">
        <v>3245</v>
      </c>
      <c r="E1200">
        <v>3</v>
      </c>
      <c r="F1200">
        <v>3</v>
      </c>
      <c r="G1200">
        <v>3</v>
      </c>
      <c r="H1200" t="s">
        <v>3244</v>
      </c>
      <c r="I1200">
        <v>6.4</v>
      </c>
      <c r="J1200">
        <v>89.191000000000003</v>
      </c>
      <c r="K1200" t="str">
        <f>"PPP1R9B"</f>
        <v>PPP1R9B</v>
      </c>
      <c r="L1200" t="str">
        <f>"PPP1R9B"</f>
        <v>PPP1R9B</v>
      </c>
      <c r="M1200">
        <v>0</v>
      </c>
      <c r="N1200">
        <v>55670000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</row>
    <row r="1201" spans="1:24">
      <c r="A1201">
        <v>2118</v>
      </c>
      <c r="B1201" t="s">
        <v>3246</v>
      </c>
      <c r="C1201">
        <v>2</v>
      </c>
      <c r="D1201" t="s">
        <v>3247</v>
      </c>
      <c r="E1201">
        <v>6</v>
      </c>
      <c r="F1201">
        <v>6</v>
      </c>
      <c r="G1201">
        <v>6</v>
      </c>
      <c r="H1201" t="s">
        <v>3248</v>
      </c>
      <c r="I1201">
        <v>37.700000000000003</v>
      </c>
      <c r="J1201">
        <v>15.645</v>
      </c>
      <c r="K1201" t="str">
        <f>"PPCS"</f>
        <v>PPCS</v>
      </c>
      <c r="L1201" t="str">
        <f>"PPCS"</f>
        <v>PPCS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39063000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</row>
    <row r="1202" spans="1:24">
      <c r="A1202">
        <v>2128</v>
      </c>
      <c r="B1202" t="s">
        <v>3249</v>
      </c>
      <c r="C1202">
        <v>3</v>
      </c>
      <c r="D1202" t="s">
        <v>3250</v>
      </c>
      <c r="E1202">
        <v>5</v>
      </c>
      <c r="F1202">
        <v>5</v>
      </c>
      <c r="G1202">
        <v>5</v>
      </c>
      <c r="H1202" t="s">
        <v>3251</v>
      </c>
      <c r="I1202">
        <v>2.7</v>
      </c>
      <c r="J1202">
        <v>212.45</v>
      </c>
      <c r="K1202" t="str">
        <f>"PLXNA4;PLXNA2"</f>
        <v>PLXNA4;PLXNA2</v>
      </c>
      <c r="L1202" t="str">
        <f>"PLXNA4;PLXNA2"</f>
        <v>PLXNA4;PLXNA2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</row>
    <row r="1203" spans="1:24">
      <c r="A1203">
        <v>2143</v>
      </c>
      <c r="B1203" t="s">
        <v>3252</v>
      </c>
      <c r="C1203">
        <v>1</v>
      </c>
      <c r="D1203" t="s">
        <v>3253</v>
      </c>
      <c r="E1203">
        <v>5</v>
      </c>
      <c r="F1203">
        <v>5</v>
      </c>
      <c r="G1203">
        <v>5</v>
      </c>
      <c r="H1203" t="s">
        <v>3252</v>
      </c>
      <c r="I1203">
        <v>18.100000000000001</v>
      </c>
      <c r="J1203">
        <v>30.608000000000001</v>
      </c>
      <c r="K1203" t="str">
        <f>"NIT2"</f>
        <v>NIT2</v>
      </c>
      <c r="L1203" t="str">
        <f>"NIT2"</f>
        <v>NIT2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60354000</v>
      </c>
    </row>
    <row r="1204" spans="1:24">
      <c r="A1204">
        <v>155</v>
      </c>
      <c r="B1204" t="s">
        <v>3254</v>
      </c>
      <c r="C1204">
        <v>1</v>
      </c>
      <c r="D1204" t="s">
        <v>3255</v>
      </c>
      <c r="E1204">
        <v>3</v>
      </c>
      <c r="F1204">
        <v>3</v>
      </c>
      <c r="G1204">
        <v>3</v>
      </c>
      <c r="H1204" t="s">
        <v>3254</v>
      </c>
      <c r="I1204">
        <v>22.7</v>
      </c>
      <c r="J1204">
        <v>22.091999999999999</v>
      </c>
      <c r="K1204" t="str">
        <f>"DENR"</f>
        <v>DENR</v>
      </c>
      <c r="L1204" t="str">
        <f>"DENR"</f>
        <v>DENR</v>
      </c>
      <c r="M1204">
        <v>0</v>
      </c>
      <c r="N1204">
        <v>87659000</v>
      </c>
      <c r="O1204">
        <v>76353000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</row>
    <row r="1205" spans="1:24">
      <c r="A1205">
        <v>259</v>
      </c>
      <c r="B1205" t="s">
        <v>3256</v>
      </c>
      <c r="C1205">
        <v>7</v>
      </c>
      <c r="D1205" t="s">
        <v>3257</v>
      </c>
      <c r="E1205">
        <v>3</v>
      </c>
      <c r="F1205">
        <v>3</v>
      </c>
      <c r="G1205">
        <v>3</v>
      </c>
      <c r="H1205" t="s">
        <v>3258</v>
      </c>
      <c r="I1205">
        <v>11.9</v>
      </c>
      <c r="J1205">
        <v>25.609000000000002</v>
      </c>
      <c r="K1205" t="str">
        <f>"RTN3"</f>
        <v>RTN3</v>
      </c>
      <c r="L1205" t="str">
        <f>"RTN3"</f>
        <v>RTN3</v>
      </c>
      <c r="M1205">
        <v>0</v>
      </c>
      <c r="N1205">
        <v>0</v>
      </c>
      <c r="O1205">
        <v>0</v>
      </c>
      <c r="P1205">
        <v>210890000</v>
      </c>
      <c r="Q1205">
        <v>0</v>
      </c>
      <c r="R1205">
        <v>0</v>
      </c>
      <c r="S1205">
        <v>218390000</v>
      </c>
      <c r="T1205">
        <v>0</v>
      </c>
      <c r="U1205">
        <v>200370000</v>
      </c>
      <c r="V1205">
        <v>0</v>
      </c>
      <c r="W1205">
        <v>186540000</v>
      </c>
      <c r="X1205">
        <v>194090000</v>
      </c>
    </row>
    <row r="1206" spans="1:24">
      <c r="A1206">
        <v>350</v>
      </c>
      <c r="B1206" t="s">
        <v>3259</v>
      </c>
      <c r="C1206">
        <v>1</v>
      </c>
      <c r="D1206" t="s">
        <v>3260</v>
      </c>
      <c r="E1206">
        <v>1</v>
      </c>
      <c r="F1206">
        <v>1</v>
      </c>
      <c r="G1206">
        <v>1</v>
      </c>
      <c r="H1206" t="s">
        <v>3259</v>
      </c>
      <c r="I1206">
        <v>21.4</v>
      </c>
      <c r="J1206">
        <v>10.824999999999999</v>
      </c>
      <c r="K1206" t="s">
        <v>1301</v>
      </c>
      <c r="L1206" t="s">
        <v>1301</v>
      </c>
      <c r="M1206">
        <v>204030000</v>
      </c>
      <c r="N1206">
        <v>0</v>
      </c>
      <c r="O1206">
        <v>0</v>
      </c>
      <c r="P1206">
        <v>0</v>
      </c>
      <c r="Q1206">
        <v>0</v>
      </c>
      <c r="R1206">
        <v>45741000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</row>
    <row r="1207" spans="1:24">
      <c r="A1207">
        <v>360</v>
      </c>
      <c r="B1207" t="s">
        <v>3261</v>
      </c>
      <c r="C1207">
        <v>8</v>
      </c>
      <c r="D1207" t="s">
        <v>3262</v>
      </c>
      <c r="E1207">
        <v>4</v>
      </c>
      <c r="F1207">
        <v>3</v>
      </c>
      <c r="G1207">
        <v>3</v>
      </c>
      <c r="H1207" t="s">
        <v>3263</v>
      </c>
      <c r="I1207">
        <v>27.5</v>
      </c>
      <c r="J1207">
        <v>11.506</v>
      </c>
      <c r="K1207" t="s">
        <v>3264</v>
      </c>
      <c r="L1207" t="s">
        <v>3264</v>
      </c>
      <c r="M1207">
        <v>544950000</v>
      </c>
      <c r="N1207">
        <v>0</v>
      </c>
      <c r="O1207">
        <v>0</v>
      </c>
      <c r="P1207">
        <v>0</v>
      </c>
      <c r="Q1207">
        <v>0</v>
      </c>
      <c r="R1207">
        <v>136390000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</row>
    <row r="1208" spans="1:24">
      <c r="A1208">
        <v>516</v>
      </c>
      <c r="B1208" t="s">
        <v>3265</v>
      </c>
      <c r="C1208">
        <v>3</v>
      </c>
      <c r="D1208" t="s">
        <v>3266</v>
      </c>
      <c r="E1208">
        <v>6</v>
      </c>
      <c r="F1208">
        <v>6</v>
      </c>
      <c r="G1208">
        <v>6</v>
      </c>
      <c r="H1208" t="s">
        <v>3267</v>
      </c>
      <c r="I1208">
        <v>5.8</v>
      </c>
      <c r="J1208">
        <v>111.13</v>
      </c>
      <c r="K1208" t="str">
        <f>"ITGAV"</f>
        <v>ITGAV</v>
      </c>
      <c r="L1208" t="str">
        <f>"ITGAV"</f>
        <v>ITGAV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27839000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</row>
    <row r="1209" spans="1:24">
      <c r="A1209">
        <v>611</v>
      </c>
      <c r="B1209" t="s">
        <v>3268</v>
      </c>
      <c r="C1209">
        <v>1</v>
      </c>
      <c r="D1209" t="s">
        <v>3269</v>
      </c>
      <c r="E1209">
        <v>13</v>
      </c>
      <c r="F1209">
        <v>1</v>
      </c>
      <c r="G1209">
        <v>1</v>
      </c>
      <c r="H1209" t="s">
        <v>3268</v>
      </c>
      <c r="I1209">
        <v>41.5</v>
      </c>
      <c r="J1209">
        <v>40.648000000000003</v>
      </c>
      <c r="K1209" t="str">
        <f>"HLA-C"</f>
        <v>HLA-C</v>
      </c>
      <c r="L1209" t="str">
        <f>"HLA-C"</f>
        <v>HLA-C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28326000</v>
      </c>
      <c r="S1209">
        <v>42988000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>
      <c r="A1210">
        <v>812</v>
      </c>
      <c r="B1210" t="s">
        <v>3270</v>
      </c>
      <c r="C1210">
        <v>1</v>
      </c>
      <c r="D1210" t="s">
        <v>3271</v>
      </c>
      <c r="E1210">
        <v>5</v>
      </c>
      <c r="F1210">
        <v>5</v>
      </c>
      <c r="G1210">
        <v>5</v>
      </c>
      <c r="H1210" t="s">
        <v>3270</v>
      </c>
      <c r="I1210">
        <v>9</v>
      </c>
      <c r="J1210">
        <v>73.775999999999996</v>
      </c>
      <c r="K1210" t="str">
        <f>"CPT2"</f>
        <v>CPT2</v>
      </c>
      <c r="L1210" t="str">
        <f>"CPT2"</f>
        <v>CPT2</v>
      </c>
      <c r="M1210">
        <v>0</v>
      </c>
      <c r="N1210">
        <v>0</v>
      </c>
      <c r="O1210">
        <v>90489000</v>
      </c>
      <c r="P1210">
        <v>0</v>
      </c>
      <c r="Q1210">
        <v>0</v>
      </c>
      <c r="R1210">
        <v>45061000</v>
      </c>
      <c r="S1210">
        <v>0</v>
      </c>
      <c r="T1210">
        <v>0</v>
      </c>
      <c r="U1210">
        <v>0</v>
      </c>
      <c r="V1210">
        <v>54483000</v>
      </c>
      <c r="W1210">
        <v>0</v>
      </c>
      <c r="X1210">
        <v>0</v>
      </c>
    </row>
    <row r="1211" spans="1:24">
      <c r="A1211">
        <v>1015</v>
      </c>
      <c r="B1211" t="s">
        <v>3272</v>
      </c>
      <c r="C1211">
        <v>1</v>
      </c>
      <c r="D1211" t="s">
        <v>3273</v>
      </c>
      <c r="E1211">
        <v>9</v>
      </c>
      <c r="F1211">
        <v>3</v>
      </c>
      <c r="G1211">
        <v>3</v>
      </c>
      <c r="H1211" t="s">
        <v>3272</v>
      </c>
      <c r="I1211">
        <v>32.4</v>
      </c>
      <c r="J1211">
        <v>42.292999999999999</v>
      </c>
      <c r="K1211" t="str">
        <f>"ACTR1B"</f>
        <v>ACTR1B</v>
      </c>
      <c r="L1211" t="str">
        <f>"ACTR1B"</f>
        <v>ACTR1B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115510000</v>
      </c>
    </row>
    <row r="1212" spans="1:24">
      <c r="A1212">
        <v>1227</v>
      </c>
      <c r="B1212" t="s">
        <v>3274</v>
      </c>
      <c r="C1212">
        <v>2</v>
      </c>
      <c r="D1212" t="s">
        <v>3275</v>
      </c>
      <c r="E1212">
        <v>5</v>
      </c>
      <c r="F1212">
        <v>4</v>
      </c>
      <c r="G1212">
        <v>4</v>
      </c>
      <c r="H1212" t="s">
        <v>3276</v>
      </c>
      <c r="I1212">
        <v>32.4</v>
      </c>
      <c r="J1212">
        <v>23.585999999999999</v>
      </c>
      <c r="K1212" t="str">
        <f>"RAB4B"</f>
        <v>RAB4B</v>
      </c>
      <c r="L1212" t="str">
        <f>"RAB4B"</f>
        <v>RAB4B</v>
      </c>
      <c r="M1212">
        <v>0</v>
      </c>
      <c r="N1212">
        <v>42496000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</row>
    <row r="1213" spans="1:24">
      <c r="A1213">
        <v>1417</v>
      </c>
      <c r="B1213" t="s">
        <v>3277</v>
      </c>
      <c r="C1213">
        <v>4</v>
      </c>
      <c r="D1213" t="s">
        <v>3278</v>
      </c>
      <c r="E1213">
        <v>5</v>
      </c>
      <c r="F1213">
        <v>5</v>
      </c>
      <c r="G1213">
        <v>5</v>
      </c>
      <c r="H1213" t="s">
        <v>3279</v>
      </c>
      <c r="I1213">
        <v>13.4</v>
      </c>
      <c r="J1213">
        <v>36.017000000000003</v>
      </c>
      <c r="K1213" t="str">
        <f>"BNIP2;ATCAY"</f>
        <v>BNIP2;ATCAY</v>
      </c>
      <c r="L1213" t="str">
        <f>"BNIP2;ATCAY"</f>
        <v>BNIP2;ATCAY</v>
      </c>
      <c r="M1213">
        <v>0</v>
      </c>
      <c r="N1213">
        <v>153680000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</row>
    <row r="1214" spans="1:24">
      <c r="A1214">
        <v>1496</v>
      </c>
      <c r="B1214" t="s">
        <v>3280</v>
      </c>
      <c r="C1214">
        <v>1</v>
      </c>
      <c r="D1214" t="s">
        <v>3281</v>
      </c>
      <c r="E1214">
        <v>10</v>
      </c>
      <c r="F1214">
        <v>10</v>
      </c>
      <c r="G1214">
        <v>10</v>
      </c>
      <c r="H1214" t="s">
        <v>3280</v>
      </c>
      <c r="I1214">
        <v>19.399999999999999</v>
      </c>
      <c r="J1214">
        <v>70.972999999999999</v>
      </c>
      <c r="K1214" t="str">
        <f>"TRIM25"</f>
        <v>TRIM25</v>
      </c>
      <c r="L1214" t="str">
        <f>"TRIM25"</f>
        <v>TRIM25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</row>
    <row r="1215" spans="1:24">
      <c r="A1215">
        <v>1677</v>
      </c>
      <c r="B1215" t="s">
        <v>3282</v>
      </c>
      <c r="C1215">
        <v>2</v>
      </c>
      <c r="D1215" t="s">
        <v>3283</v>
      </c>
      <c r="E1215">
        <v>5</v>
      </c>
      <c r="F1215">
        <v>5</v>
      </c>
      <c r="G1215">
        <v>5</v>
      </c>
      <c r="H1215" t="s">
        <v>3284</v>
      </c>
      <c r="I1215">
        <v>9.8000000000000007</v>
      </c>
      <c r="J1215">
        <v>72.063000000000002</v>
      </c>
      <c r="K1215" t="str">
        <f>"SLC27A4"</f>
        <v>SLC27A4</v>
      </c>
      <c r="L1215" t="str">
        <f>"SLC27A4"</f>
        <v>SLC27A4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57568000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>
      <c r="A1216">
        <v>1680</v>
      </c>
      <c r="B1216" t="s">
        <v>3285</v>
      </c>
      <c r="C1216">
        <v>1</v>
      </c>
      <c r="D1216" t="s">
        <v>3286</v>
      </c>
      <c r="E1216">
        <v>9</v>
      </c>
      <c r="F1216">
        <v>9</v>
      </c>
      <c r="G1216">
        <v>9</v>
      </c>
      <c r="H1216" t="s">
        <v>3285</v>
      </c>
      <c r="I1216">
        <v>12.3</v>
      </c>
      <c r="J1216">
        <v>103.71</v>
      </c>
      <c r="K1216" t="str">
        <f>"SCYL2"</f>
        <v>SCYL2</v>
      </c>
      <c r="L1216" t="str">
        <f>"SCYL2"</f>
        <v>SCYL2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75222000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</row>
    <row r="1217" spans="1:24">
      <c r="A1217">
        <v>1881</v>
      </c>
      <c r="B1217" t="s">
        <v>3287</v>
      </c>
      <c r="C1217">
        <v>2</v>
      </c>
      <c r="D1217" t="s">
        <v>3288</v>
      </c>
      <c r="E1217">
        <v>12</v>
      </c>
      <c r="F1217">
        <v>12</v>
      </c>
      <c r="G1217">
        <v>12</v>
      </c>
      <c r="H1217" t="s">
        <v>3289</v>
      </c>
      <c r="I1217">
        <v>14.8</v>
      </c>
      <c r="J1217">
        <v>123.03</v>
      </c>
      <c r="K1217" t="str">
        <f>"UPF1"</f>
        <v>UPF1</v>
      </c>
      <c r="L1217" t="str">
        <f>"UPF1"</f>
        <v>UPF1</v>
      </c>
      <c r="M1217">
        <v>0</v>
      </c>
      <c r="N1217">
        <v>0</v>
      </c>
      <c r="O1217">
        <v>46483000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>
      <c r="A1218">
        <v>2263</v>
      </c>
      <c r="B1218" t="s">
        <v>3290</v>
      </c>
      <c r="C1218">
        <v>5</v>
      </c>
      <c r="D1218" t="s">
        <v>3291</v>
      </c>
      <c r="E1218">
        <v>5</v>
      </c>
      <c r="F1218">
        <v>5</v>
      </c>
      <c r="G1218">
        <v>5</v>
      </c>
      <c r="H1218" t="s">
        <v>3292</v>
      </c>
      <c r="I1218">
        <v>41.4</v>
      </c>
      <c r="J1218">
        <v>18.963000000000001</v>
      </c>
      <c r="K1218" t="str">
        <f>"MSRA"</f>
        <v>MSRA</v>
      </c>
      <c r="L1218" t="str">
        <f>"MSRA"</f>
        <v>MSRA</v>
      </c>
      <c r="M1218">
        <v>0</v>
      </c>
      <c r="N1218">
        <v>101680000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131430000</v>
      </c>
    </row>
    <row r="1219" spans="1:24">
      <c r="A1219">
        <v>2283</v>
      </c>
      <c r="B1219" t="s">
        <v>3293</v>
      </c>
      <c r="C1219">
        <v>3</v>
      </c>
      <c r="D1219" t="s">
        <v>3294</v>
      </c>
      <c r="E1219">
        <v>3</v>
      </c>
      <c r="F1219">
        <v>3</v>
      </c>
      <c r="G1219">
        <v>3</v>
      </c>
      <c r="H1219" t="s">
        <v>3295</v>
      </c>
      <c r="I1219">
        <v>20.100000000000001</v>
      </c>
      <c r="J1219">
        <v>19.228000000000002</v>
      </c>
      <c r="K1219" t="str">
        <f>"MCTS1"</f>
        <v>MCTS1</v>
      </c>
      <c r="L1219" t="str">
        <f>"MCTS1"</f>
        <v>MCTS1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185570000</v>
      </c>
      <c r="S1219">
        <v>0</v>
      </c>
      <c r="T1219">
        <v>127040000</v>
      </c>
      <c r="U1219">
        <v>0</v>
      </c>
      <c r="V1219">
        <v>138860000</v>
      </c>
      <c r="W1219">
        <v>0</v>
      </c>
      <c r="X1219">
        <v>0</v>
      </c>
    </row>
    <row r="1220" spans="1:24">
      <c r="A1220">
        <v>2339</v>
      </c>
      <c r="B1220" t="s">
        <v>3296</v>
      </c>
      <c r="C1220">
        <v>1</v>
      </c>
      <c r="D1220" t="s">
        <v>3297</v>
      </c>
      <c r="E1220">
        <v>7</v>
      </c>
      <c r="F1220">
        <v>7</v>
      </c>
      <c r="G1220">
        <v>7</v>
      </c>
      <c r="H1220" t="s">
        <v>3296</v>
      </c>
      <c r="I1220">
        <v>38.4</v>
      </c>
      <c r="J1220">
        <v>35.198</v>
      </c>
      <c r="K1220" t="str">
        <f>"UBE2J1"</f>
        <v>UBE2J1</v>
      </c>
      <c r="L1220" t="str">
        <f>"UBE2J1"</f>
        <v>UBE2J1</v>
      </c>
      <c r="M1220">
        <v>0</v>
      </c>
      <c r="N1220">
        <v>89255000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</row>
    <row r="1221" spans="1:24">
      <c r="A1221">
        <v>44</v>
      </c>
      <c r="B1221" t="s">
        <v>3298</v>
      </c>
      <c r="C1221">
        <v>4</v>
      </c>
      <c r="D1221" t="s">
        <v>3299</v>
      </c>
      <c r="E1221">
        <v>2</v>
      </c>
      <c r="F1221">
        <v>2</v>
      </c>
      <c r="G1221">
        <v>2</v>
      </c>
      <c r="H1221" t="s">
        <v>3300</v>
      </c>
      <c r="I1221">
        <v>12.6</v>
      </c>
      <c r="J1221">
        <v>23.384</v>
      </c>
      <c r="K1221" t="str">
        <f>"NACA;NACAP1"</f>
        <v>NACA;NACAP1</v>
      </c>
      <c r="L1221" t="str">
        <f>"NACA;NACAP1"</f>
        <v>NACA;NACAP1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76083000</v>
      </c>
      <c r="S1221">
        <v>0</v>
      </c>
      <c r="T1221">
        <v>0</v>
      </c>
      <c r="U1221">
        <v>57628000</v>
      </c>
      <c r="V1221">
        <v>0</v>
      </c>
      <c r="W1221">
        <v>0</v>
      </c>
      <c r="X1221">
        <v>0</v>
      </c>
    </row>
    <row r="1222" spans="1:24">
      <c r="A1222">
        <v>63</v>
      </c>
      <c r="B1222" t="s">
        <v>3301</v>
      </c>
      <c r="C1222">
        <v>3</v>
      </c>
      <c r="D1222" t="s">
        <v>3302</v>
      </c>
      <c r="E1222">
        <v>4</v>
      </c>
      <c r="F1222">
        <v>4</v>
      </c>
      <c r="G1222">
        <v>4</v>
      </c>
      <c r="H1222" t="s">
        <v>3303</v>
      </c>
      <c r="I1222">
        <v>19.3</v>
      </c>
      <c r="J1222">
        <v>24.681999999999999</v>
      </c>
      <c r="K1222" t="str">
        <f>"PSMD9"</f>
        <v>PSMD9</v>
      </c>
      <c r="L1222" t="str">
        <f>"PSMD9"</f>
        <v>PSMD9</v>
      </c>
      <c r="M1222">
        <v>0</v>
      </c>
      <c r="N1222">
        <v>0</v>
      </c>
      <c r="O1222">
        <v>29088000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</row>
    <row r="1223" spans="1:24">
      <c r="A1223">
        <v>110</v>
      </c>
      <c r="B1223" t="s">
        <v>3304</v>
      </c>
      <c r="C1223">
        <v>1</v>
      </c>
      <c r="D1223" t="s">
        <v>3305</v>
      </c>
      <c r="E1223">
        <v>4</v>
      </c>
      <c r="F1223">
        <v>4</v>
      </c>
      <c r="G1223">
        <v>4</v>
      </c>
      <c r="H1223" t="s">
        <v>3304</v>
      </c>
      <c r="I1223">
        <v>3.8</v>
      </c>
      <c r="J1223">
        <v>144.72999999999999</v>
      </c>
      <c r="K1223" t="str">
        <f>"PFAS"</f>
        <v>PFAS</v>
      </c>
      <c r="L1223" t="str">
        <f>"PFAS"</f>
        <v>PFAS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34611000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</row>
    <row r="1224" spans="1:24">
      <c r="A1224">
        <v>116</v>
      </c>
      <c r="B1224" t="s">
        <v>3306</v>
      </c>
      <c r="C1224">
        <v>1</v>
      </c>
      <c r="D1224" t="s">
        <v>3307</v>
      </c>
      <c r="E1224">
        <v>3</v>
      </c>
      <c r="F1224">
        <v>3</v>
      </c>
      <c r="G1224">
        <v>3</v>
      </c>
      <c r="H1224" t="s">
        <v>3306</v>
      </c>
      <c r="I1224">
        <v>10</v>
      </c>
      <c r="J1224">
        <v>36.648000000000003</v>
      </c>
      <c r="K1224" t="str">
        <f>"SCAMP2"</f>
        <v>SCAMP2</v>
      </c>
      <c r="L1224" t="str">
        <f>"SCAMP2"</f>
        <v>SCAMP2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</row>
    <row r="1225" spans="1:24">
      <c r="A1225">
        <v>194</v>
      </c>
      <c r="B1225" t="s">
        <v>3308</v>
      </c>
      <c r="C1225">
        <v>1</v>
      </c>
      <c r="D1225" t="s">
        <v>3309</v>
      </c>
      <c r="E1225">
        <v>7</v>
      </c>
      <c r="F1225">
        <v>7</v>
      </c>
      <c r="G1225">
        <v>7</v>
      </c>
      <c r="H1225" t="s">
        <v>3308</v>
      </c>
      <c r="I1225">
        <v>27.7</v>
      </c>
      <c r="J1225">
        <v>29.634</v>
      </c>
      <c r="K1225" t="str">
        <f>"DPM1"</f>
        <v>DPM1</v>
      </c>
      <c r="L1225" t="str">
        <f>"DPM1"</f>
        <v>DPM1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74159000</v>
      </c>
      <c r="X1225">
        <v>0</v>
      </c>
    </row>
    <row r="1226" spans="1:24">
      <c r="A1226">
        <v>261</v>
      </c>
      <c r="B1226" t="s">
        <v>3310</v>
      </c>
      <c r="C1226">
        <v>2</v>
      </c>
      <c r="D1226" t="s">
        <v>3311</v>
      </c>
      <c r="E1226">
        <v>9</v>
      </c>
      <c r="F1226">
        <v>9</v>
      </c>
      <c r="G1226">
        <v>9</v>
      </c>
      <c r="H1226" t="s">
        <v>3312</v>
      </c>
      <c r="I1226">
        <v>20.7</v>
      </c>
      <c r="J1226">
        <v>59.030999999999999</v>
      </c>
      <c r="K1226" t="str">
        <f>"ATE1"</f>
        <v>ATE1</v>
      </c>
      <c r="L1226" t="str">
        <f>"ATE1"</f>
        <v>ATE1</v>
      </c>
      <c r="M1226">
        <v>0</v>
      </c>
      <c r="N1226">
        <v>108160000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>
      <c r="A1227">
        <v>365</v>
      </c>
      <c r="B1227" t="s">
        <v>3313</v>
      </c>
      <c r="C1227">
        <v>1</v>
      </c>
      <c r="D1227" t="s">
        <v>3314</v>
      </c>
      <c r="E1227">
        <v>3</v>
      </c>
      <c r="F1227">
        <v>1</v>
      </c>
      <c r="G1227">
        <v>1</v>
      </c>
      <c r="H1227" t="s">
        <v>3313</v>
      </c>
      <c r="I1227">
        <v>25.4</v>
      </c>
      <c r="J1227">
        <v>12.141</v>
      </c>
      <c r="K1227" t="s">
        <v>3315</v>
      </c>
      <c r="L1227" t="s">
        <v>3315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47833000</v>
      </c>
    </row>
    <row r="1228" spans="1:24">
      <c r="A1228">
        <v>369</v>
      </c>
      <c r="B1228" t="s">
        <v>3316</v>
      </c>
      <c r="C1228">
        <v>1</v>
      </c>
      <c r="D1228" t="s">
        <v>3317</v>
      </c>
      <c r="E1228">
        <v>3</v>
      </c>
      <c r="F1228">
        <v>1</v>
      </c>
      <c r="G1228">
        <v>1</v>
      </c>
      <c r="H1228" t="s">
        <v>3316</v>
      </c>
      <c r="I1228">
        <v>32.200000000000003</v>
      </c>
      <c r="J1228">
        <v>11.906000000000001</v>
      </c>
      <c r="K1228" t="s">
        <v>3318</v>
      </c>
      <c r="L1228" t="s">
        <v>3318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</row>
    <row r="1229" spans="1:24">
      <c r="A1229">
        <v>615</v>
      </c>
      <c r="B1229" t="s">
        <v>3319</v>
      </c>
      <c r="C1229">
        <v>1</v>
      </c>
      <c r="D1229" t="s">
        <v>3320</v>
      </c>
      <c r="E1229">
        <v>2</v>
      </c>
      <c r="F1229">
        <v>2</v>
      </c>
      <c r="G1229">
        <v>2</v>
      </c>
      <c r="H1229" t="s">
        <v>3319</v>
      </c>
      <c r="I1229">
        <v>9.3000000000000007</v>
      </c>
      <c r="J1229">
        <v>13.696</v>
      </c>
      <c r="K1229" t="str">
        <f>"COX5B"</f>
        <v>COX5B</v>
      </c>
      <c r="L1229" t="str">
        <f>"COX5B"</f>
        <v>COX5B</v>
      </c>
      <c r="M1229">
        <v>0</v>
      </c>
      <c r="N1229">
        <v>37034000</v>
      </c>
      <c r="O1229">
        <v>0</v>
      </c>
      <c r="P1229">
        <v>60830000</v>
      </c>
      <c r="Q1229">
        <v>0</v>
      </c>
      <c r="R1229">
        <v>53535000</v>
      </c>
      <c r="S1229">
        <v>69988000</v>
      </c>
      <c r="T1229">
        <v>0</v>
      </c>
      <c r="U1229">
        <v>92823000</v>
      </c>
      <c r="V1229">
        <v>48881000</v>
      </c>
      <c r="W1229">
        <v>0</v>
      </c>
      <c r="X1229">
        <v>0</v>
      </c>
    </row>
    <row r="1230" spans="1:24">
      <c r="A1230">
        <v>646</v>
      </c>
      <c r="B1230" t="s">
        <v>3321</v>
      </c>
      <c r="C1230">
        <v>1</v>
      </c>
      <c r="D1230" t="s">
        <v>3322</v>
      </c>
      <c r="E1230">
        <v>2</v>
      </c>
      <c r="F1230">
        <v>2</v>
      </c>
      <c r="G1230">
        <v>2</v>
      </c>
      <c r="H1230" t="s">
        <v>3321</v>
      </c>
      <c r="I1230">
        <v>43.1</v>
      </c>
      <c r="J1230">
        <v>12.154999999999999</v>
      </c>
      <c r="K1230" t="str">
        <f>"COX6A1"</f>
        <v>COX6A1</v>
      </c>
      <c r="L1230" t="str">
        <f>"COX6A1"</f>
        <v>COX6A1</v>
      </c>
      <c r="M1230">
        <v>0</v>
      </c>
      <c r="N1230">
        <v>0</v>
      </c>
      <c r="O1230">
        <v>0</v>
      </c>
      <c r="P1230">
        <v>0</v>
      </c>
      <c r="Q1230">
        <v>90232000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>
      <c r="A1231">
        <v>716</v>
      </c>
      <c r="B1231" t="s">
        <v>3323</v>
      </c>
      <c r="C1231">
        <v>3</v>
      </c>
      <c r="D1231" t="s">
        <v>3324</v>
      </c>
      <c r="E1231">
        <v>6</v>
      </c>
      <c r="F1231">
        <v>6</v>
      </c>
      <c r="G1231">
        <v>6</v>
      </c>
      <c r="H1231" t="s">
        <v>3325</v>
      </c>
      <c r="I1231">
        <v>9.9</v>
      </c>
      <c r="J1231">
        <v>72.75</v>
      </c>
      <c r="K1231" t="str">
        <f>"GLB1"</f>
        <v>GLB1</v>
      </c>
      <c r="L1231" t="str">
        <f>"GLB1"</f>
        <v>GLB1</v>
      </c>
      <c r="M1231">
        <v>0</v>
      </c>
      <c r="N1231">
        <v>0</v>
      </c>
      <c r="O1231">
        <v>24060000</v>
      </c>
      <c r="P1231">
        <v>0</v>
      </c>
      <c r="Q1231">
        <v>0</v>
      </c>
      <c r="R1231">
        <v>35564000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</row>
    <row r="1232" spans="1:24">
      <c r="A1232">
        <v>784</v>
      </c>
      <c r="B1232" t="s">
        <v>3326</v>
      </c>
      <c r="C1232">
        <v>7</v>
      </c>
      <c r="D1232" t="s">
        <v>3327</v>
      </c>
      <c r="E1232">
        <v>3</v>
      </c>
      <c r="F1232">
        <v>3</v>
      </c>
      <c r="G1232">
        <v>3</v>
      </c>
      <c r="H1232" t="s">
        <v>3328</v>
      </c>
      <c r="I1232">
        <v>25.7</v>
      </c>
      <c r="J1232">
        <v>15.079000000000001</v>
      </c>
      <c r="K1232" t="str">
        <f>"SCP2"</f>
        <v>SCP2</v>
      </c>
      <c r="L1232" t="str">
        <f>"SCP2"</f>
        <v>SCP2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78179000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</row>
    <row r="1233" spans="1:24">
      <c r="A1233">
        <v>1173</v>
      </c>
      <c r="B1233" t="s">
        <v>3329</v>
      </c>
      <c r="C1233">
        <v>3</v>
      </c>
      <c r="D1233" t="s">
        <v>3330</v>
      </c>
      <c r="E1233">
        <v>2</v>
      </c>
      <c r="F1233">
        <v>2</v>
      </c>
      <c r="G1233">
        <v>2</v>
      </c>
      <c r="H1233" t="s">
        <v>3331</v>
      </c>
      <c r="I1233">
        <v>6.9</v>
      </c>
      <c r="J1233">
        <v>27.63</v>
      </c>
      <c r="K1233" t="str">
        <f>"CRISP3"</f>
        <v>CRISP3</v>
      </c>
      <c r="L1233" t="str">
        <f>"CRISP3"</f>
        <v>CRISP3</v>
      </c>
      <c r="M1233">
        <v>16101000</v>
      </c>
      <c r="N1233">
        <v>0</v>
      </c>
      <c r="O1233">
        <v>9700500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</row>
    <row r="1234" spans="1:24">
      <c r="A1234">
        <v>1283</v>
      </c>
      <c r="B1234" t="s">
        <v>3332</v>
      </c>
      <c r="C1234">
        <v>6</v>
      </c>
      <c r="D1234" t="s">
        <v>3333</v>
      </c>
      <c r="E1234">
        <v>4</v>
      </c>
      <c r="F1234">
        <v>3</v>
      </c>
      <c r="G1234">
        <v>3</v>
      </c>
      <c r="H1234" t="s">
        <v>3334</v>
      </c>
      <c r="I1234">
        <v>10.3</v>
      </c>
      <c r="J1234">
        <v>44.179000000000002</v>
      </c>
      <c r="K1234" t="str">
        <f>"GNAS"</f>
        <v>GNAS</v>
      </c>
      <c r="L1234" t="str">
        <f>"GNAS"</f>
        <v>GNAS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</row>
    <row r="1235" spans="1:24">
      <c r="A1235">
        <v>1352</v>
      </c>
      <c r="B1235" t="s">
        <v>3335</v>
      </c>
      <c r="C1235">
        <v>6</v>
      </c>
      <c r="D1235" t="s">
        <v>3336</v>
      </c>
      <c r="E1235">
        <v>11</v>
      </c>
      <c r="F1235">
        <v>11</v>
      </c>
      <c r="G1235">
        <v>11</v>
      </c>
      <c r="H1235" t="s">
        <v>3337</v>
      </c>
      <c r="I1235">
        <v>13.4</v>
      </c>
      <c r="J1235">
        <v>115.51</v>
      </c>
      <c r="K1235" t="str">
        <f>"OGDH;OGDHL"</f>
        <v>OGDH;OGDHL</v>
      </c>
      <c r="L1235" t="str">
        <f>"OGDH;OGDHL"</f>
        <v>OGDH;OGDHL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</row>
    <row r="1236" spans="1:24">
      <c r="A1236">
        <v>1360</v>
      </c>
      <c r="B1236" t="s">
        <v>3338</v>
      </c>
      <c r="C1236">
        <v>2</v>
      </c>
      <c r="D1236" t="s">
        <v>3339</v>
      </c>
      <c r="E1236">
        <v>7</v>
      </c>
      <c r="F1236">
        <v>7</v>
      </c>
      <c r="G1236">
        <v>7</v>
      </c>
      <c r="H1236" t="s">
        <v>3340</v>
      </c>
      <c r="I1236">
        <v>12.7</v>
      </c>
      <c r="J1236">
        <v>75.662999999999997</v>
      </c>
      <c r="K1236" t="str">
        <f>"TAP2"</f>
        <v>TAP2</v>
      </c>
      <c r="L1236" t="str">
        <f>"TAP2"</f>
        <v>TAP2</v>
      </c>
      <c r="M1236">
        <v>0</v>
      </c>
      <c r="N1236">
        <v>123890000</v>
      </c>
      <c r="O1236">
        <v>0</v>
      </c>
      <c r="P1236">
        <v>0</v>
      </c>
      <c r="Q1236">
        <v>0</v>
      </c>
      <c r="R1236">
        <v>72070000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>
      <c r="A1237">
        <v>1595</v>
      </c>
      <c r="B1237" t="s">
        <v>3341</v>
      </c>
      <c r="C1237">
        <v>1</v>
      </c>
      <c r="D1237" t="s">
        <v>3342</v>
      </c>
      <c r="E1237">
        <v>8</v>
      </c>
      <c r="F1237">
        <v>8</v>
      </c>
      <c r="G1237">
        <v>8</v>
      </c>
      <c r="H1237" t="s">
        <v>3341</v>
      </c>
      <c r="I1237">
        <v>9.6</v>
      </c>
      <c r="J1237">
        <v>131.13999999999999</v>
      </c>
      <c r="K1237" t="str">
        <f>"MAN2A1"</f>
        <v>MAN2A1</v>
      </c>
      <c r="L1237" t="str">
        <f>"MAN2A1"</f>
        <v>MAN2A1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>
      <c r="A1238">
        <v>1659</v>
      </c>
      <c r="B1238" t="s">
        <v>3343</v>
      </c>
      <c r="C1238">
        <v>2</v>
      </c>
      <c r="D1238" t="s">
        <v>3344</v>
      </c>
      <c r="E1238">
        <v>7</v>
      </c>
      <c r="F1238">
        <v>7</v>
      </c>
      <c r="G1238">
        <v>7</v>
      </c>
      <c r="H1238" t="s">
        <v>3345</v>
      </c>
      <c r="I1238">
        <v>14.5</v>
      </c>
      <c r="J1238">
        <v>83.733999999999995</v>
      </c>
      <c r="K1238" t="str">
        <f>"FAM160B1"</f>
        <v>FAM160B1</v>
      </c>
      <c r="L1238" t="str">
        <f>"FAM160B1"</f>
        <v>FAM160B1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61119000</v>
      </c>
      <c r="V1238">
        <v>0</v>
      </c>
      <c r="W1238">
        <v>0</v>
      </c>
      <c r="X1238">
        <v>61638000</v>
      </c>
    </row>
    <row r="1239" spans="1:24">
      <c r="A1239">
        <v>1725</v>
      </c>
      <c r="B1239" t="s">
        <v>3346</v>
      </c>
      <c r="C1239">
        <v>5</v>
      </c>
      <c r="D1239" t="s">
        <v>3347</v>
      </c>
      <c r="E1239">
        <v>8</v>
      </c>
      <c r="F1239">
        <v>8</v>
      </c>
      <c r="G1239">
        <v>7</v>
      </c>
      <c r="H1239" t="s">
        <v>3348</v>
      </c>
      <c r="I1239">
        <v>11.2</v>
      </c>
      <c r="J1239">
        <v>101.43</v>
      </c>
      <c r="K1239" t="str">
        <f>"ZC3HAV1"</f>
        <v>ZC3HAV1</v>
      </c>
      <c r="L1239" t="str">
        <f>"ZC3HAV1"</f>
        <v>ZC3HAV1</v>
      </c>
      <c r="M1239">
        <v>0</v>
      </c>
      <c r="N1239">
        <v>26780000</v>
      </c>
      <c r="O1239">
        <v>37780000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</row>
    <row r="1240" spans="1:24">
      <c r="A1240">
        <v>1910</v>
      </c>
      <c r="B1240" t="s">
        <v>3349</v>
      </c>
      <c r="C1240">
        <v>1</v>
      </c>
      <c r="D1240" t="s">
        <v>3350</v>
      </c>
      <c r="E1240">
        <v>2</v>
      </c>
      <c r="F1240">
        <v>2</v>
      </c>
      <c r="G1240">
        <v>2</v>
      </c>
      <c r="H1240" t="s">
        <v>3349</v>
      </c>
      <c r="I1240">
        <v>3</v>
      </c>
      <c r="J1240">
        <v>67.61</v>
      </c>
      <c r="K1240" t="str">
        <f>"VPS33A"</f>
        <v>VPS33A</v>
      </c>
      <c r="L1240" t="str">
        <f>"VPS33A"</f>
        <v>VPS33A</v>
      </c>
      <c r="M1240">
        <v>0</v>
      </c>
      <c r="N1240">
        <v>19108000</v>
      </c>
      <c r="O1240">
        <v>14749000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21386000</v>
      </c>
    </row>
    <row r="1241" spans="1:24">
      <c r="A1241">
        <v>1970</v>
      </c>
      <c r="B1241" t="s">
        <v>3351</v>
      </c>
      <c r="C1241">
        <v>1</v>
      </c>
      <c r="D1241" t="s">
        <v>3352</v>
      </c>
      <c r="E1241">
        <v>3</v>
      </c>
      <c r="F1241">
        <v>3</v>
      </c>
      <c r="G1241">
        <v>3</v>
      </c>
      <c r="H1241" t="s">
        <v>3351</v>
      </c>
      <c r="I1241">
        <v>14</v>
      </c>
      <c r="J1241">
        <v>35.273000000000003</v>
      </c>
      <c r="K1241" t="str">
        <f>"MYADM"</f>
        <v>MYADM</v>
      </c>
      <c r="L1241" t="str">
        <f>"MYADM"</f>
        <v>MYADM</v>
      </c>
      <c r="M1241">
        <v>0</v>
      </c>
      <c r="N1241">
        <v>68744000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</row>
    <row r="1242" spans="1:24">
      <c r="A1242">
        <v>2055</v>
      </c>
      <c r="B1242" t="s">
        <v>3353</v>
      </c>
      <c r="C1242">
        <v>3</v>
      </c>
      <c r="D1242" t="s">
        <v>3354</v>
      </c>
      <c r="E1242">
        <v>5</v>
      </c>
      <c r="F1242">
        <v>5</v>
      </c>
      <c r="G1242">
        <v>5</v>
      </c>
      <c r="H1242" t="s">
        <v>3355</v>
      </c>
      <c r="I1242">
        <v>8.3000000000000007</v>
      </c>
      <c r="J1242">
        <v>96.954999999999998</v>
      </c>
      <c r="K1242" t="str">
        <f>"OSBPL8"</f>
        <v>OSBPL8</v>
      </c>
      <c r="L1242" t="str">
        <f>"OSBPL8"</f>
        <v>OSBPL8</v>
      </c>
      <c r="M1242">
        <v>0</v>
      </c>
      <c r="N1242">
        <v>40052000</v>
      </c>
      <c r="O1242">
        <v>35184000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39408000</v>
      </c>
    </row>
    <row r="1243" spans="1:24">
      <c r="A1243">
        <v>2297</v>
      </c>
      <c r="B1243" t="s">
        <v>3356</v>
      </c>
      <c r="C1243">
        <v>2</v>
      </c>
      <c r="D1243" t="s">
        <v>3357</v>
      </c>
      <c r="E1243">
        <v>5</v>
      </c>
      <c r="F1243">
        <v>5</v>
      </c>
      <c r="G1243">
        <v>5</v>
      </c>
      <c r="H1243" t="s">
        <v>3358</v>
      </c>
      <c r="I1243">
        <v>21.3</v>
      </c>
      <c r="J1243">
        <v>45.725999999999999</v>
      </c>
      <c r="K1243" t="str">
        <f>"COPS3"</f>
        <v>COPS3</v>
      </c>
      <c r="L1243" t="str">
        <f>"COPS3"</f>
        <v>COPS3</v>
      </c>
      <c r="M1243">
        <v>0</v>
      </c>
      <c r="N1243">
        <v>0</v>
      </c>
      <c r="O1243">
        <v>72320000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>
      <c r="A1244">
        <v>249</v>
      </c>
      <c r="B1244" t="s">
        <v>3359</v>
      </c>
      <c r="C1244">
        <v>1</v>
      </c>
      <c r="D1244" t="s">
        <v>3360</v>
      </c>
      <c r="E1244">
        <v>7</v>
      </c>
      <c r="F1244">
        <v>7</v>
      </c>
      <c r="G1244">
        <v>7</v>
      </c>
      <c r="H1244" t="s">
        <v>3359</v>
      </c>
      <c r="I1244">
        <v>9.1999999999999993</v>
      </c>
      <c r="J1244">
        <v>92.125</v>
      </c>
      <c r="K1244" t="str">
        <f>"TMEM63A"</f>
        <v>TMEM63A</v>
      </c>
      <c r="L1244" t="str">
        <f>"TMEM63A"</f>
        <v>TMEM63A</v>
      </c>
      <c r="M1244">
        <v>0</v>
      </c>
      <c r="N1244">
        <v>0</v>
      </c>
      <c r="O1244">
        <v>0</v>
      </c>
      <c r="P1244">
        <v>0</v>
      </c>
      <c r="Q1244">
        <v>47910000</v>
      </c>
      <c r="R1244">
        <v>47201000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59593000</v>
      </c>
    </row>
    <row r="1245" spans="1:24">
      <c r="A1245">
        <v>464</v>
      </c>
      <c r="B1245" t="s">
        <v>3361</v>
      </c>
      <c r="C1245">
        <v>2</v>
      </c>
      <c r="D1245" t="s">
        <v>3362</v>
      </c>
      <c r="E1245">
        <v>2</v>
      </c>
      <c r="F1245">
        <v>2</v>
      </c>
      <c r="G1245">
        <v>1</v>
      </c>
      <c r="H1245" t="s">
        <v>3363</v>
      </c>
      <c r="I1245">
        <v>10.199999999999999</v>
      </c>
      <c r="J1245">
        <v>16.323</v>
      </c>
      <c r="K1245" t="s">
        <v>3364</v>
      </c>
      <c r="L1245" t="s">
        <v>3364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334650000</v>
      </c>
    </row>
    <row r="1246" spans="1:24">
      <c r="A1246">
        <v>507</v>
      </c>
      <c r="B1246" t="s">
        <v>3365</v>
      </c>
      <c r="C1246">
        <v>1</v>
      </c>
      <c r="D1246" t="s">
        <v>3366</v>
      </c>
      <c r="E1246">
        <v>7</v>
      </c>
      <c r="F1246">
        <v>7</v>
      </c>
      <c r="G1246">
        <v>7</v>
      </c>
      <c r="H1246" t="s">
        <v>3365</v>
      </c>
      <c r="I1246">
        <v>71.099999999999994</v>
      </c>
      <c r="J1246">
        <v>13.242000000000001</v>
      </c>
      <c r="K1246" t="str">
        <f>"S100A9"</f>
        <v>S100A9</v>
      </c>
      <c r="L1246" t="str">
        <f>"S100A9"</f>
        <v>S100A9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343250000</v>
      </c>
      <c r="S1246">
        <v>0</v>
      </c>
      <c r="T1246">
        <v>0</v>
      </c>
      <c r="U1246">
        <v>256670000</v>
      </c>
      <c r="V1246">
        <v>0</v>
      </c>
      <c r="W1246">
        <v>163210000</v>
      </c>
      <c r="X1246">
        <v>0</v>
      </c>
    </row>
    <row r="1247" spans="1:24">
      <c r="A1247">
        <v>591</v>
      </c>
      <c r="B1247" t="s">
        <v>3367</v>
      </c>
      <c r="C1247">
        <v>1</v>
      </c>
      <c r="D1247" t="s">
        <v>3368</v>
      </c>
      <c r="E1247">
        <v>4</v>
      </c>
      <c r="F1247">
        <v>4</v>
      </c>
      <c r="G1247">
        <v>4</v>
      </c>
      <c r="H1247" t="s">
        <v>3367</v>
      </c>
      <c r="I1247">
        <v>37.299999999999997</v>
      </c>
      <c r="J1247">
        <v>8.7812999999999999</v>
      </c>
      <c r="K1247" t="str">
        <f>"COX6C"</f>
        <v>COX6C</v>
      </c>
      <c r="L1247" t="str">
        <f>"COX6C"</f>
        <v>COX6C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136620000</v>
      </c>
      <c r="S1247">
        <v>0</v>
      </c>
      <c r="T1247">
        <v>0</v>
      </c>
      <c r="U1247">
        <v>57216000</v>
      </c>
      <c r="V1247">
        <v>0</v>
      </c>
      <c r="W1247">
        <v>0</v>
      </c>
      <c r="X1247">
        <v>0</v>
      </c>
    </row>
    <row r="1248" spans="1:24">
      <c r="A1248">
        <v>663</v>
      </c>
      <c r="B1248" t="s">
        <v>3369</v>
      </c>
      <c r="C1248">
        <v>1</v>
      </c>
      <c r="D1248" t="s">
        <v>3370</v>
      </c>
      <c r="E1248">
        <v>5</v>
      </c>
      <c r="F1248">
        <v>5</v>
      </c>
      <c r="G1248">
        <v>5</v>
      </c>
      <c r="H1248" t="s">
        <v>3369</v>
      </c>
      <c r="I1248">
        <v>20</v>
      </c>
      <c r="J1248">
        <v>30.654</v>
      </c>
      <c r="K1248" t="str">
        <f>"ICAM2"</f>
        <v>ICAM2</v>
      </c>
      <c r="L1248" t="str">
        <f>"ICAM2"</f>
        <v>ICAM2</v>
      </c>
      <c r="M1248">
        <v>0</v>
      </c>
      <c r="N1248">
        <v>0</v>
      </c>
      <c r="O1248">
        <v>0</v>
      </c>
      <c r="P1248">
        <v>93370000</v>
      </c>
      <c r="Q1248">
        <v>0</v>
      </c>
      <c r="R1248">
        <v>0</v>
      </c>
      <c r="S1248">
        <v>0</v>
      </c>
      <c r="T1248">
        <v>115360000</v>
      </c>
      <c r="U1248">
        <v>198520000</v>
      </c>
      <c r="V1248">
        <v>96577000</v>
      </c>
      <c r="W1248">
        <v>0</v>
      </c>
      <c r="X1248">
        <v>0</v>
      </c>
    </row>
    <row r="1249" spans="1:24">
      <c r="A1249">
        <v>767</v>
      </c>
      <c r="B1249" t="s">
        <v>3371</v>
      </c>
      <c r="C1249">
        <v>2</v>
      </c>
      <c r="D1249" t="s">
        <v>3372</v>
      </c>
      <c r="E1249">
        <v>5</v>
      </c>
      <c r="F1249">
        <v>5</v>
      </c>
      <c r="G1249">
        <v>5</v>
      </c>
      <c r="H1249" t="s">
        <v>3373</v>
      </c>
      <c r="I1249">
        <v>23.9</v>
      </c>
      <c r="J1249">
        <v>28.286000000000001</v>
      </c>
      <c r="K1249" t="str">
        <f>"C4BPB"</f>
        <v>C4BPB</v>
      </c>
      <c r="L1249" t="str">
        <f>"C4BPB"</f>
        <v>C4BPB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98482000</v>
      </c>
      <c r="S1249">
        <v>0</v>
      </c>
      <c r="T1249">
        <v>65244000</v>
      </c>
      <c r="U1249">
        <v>0</v>
      </c>
      <c r="V1249">
        <v>0</v>
      </c>
      <c r="W1249">
        <v>0</v>
      </c>
      <c r="X1249">
        <v>0</v>
      </c>
    </row>
    <row r="1250" spans="1:24">
      <c r="A1250">
        <v>798</v>
      </c>
      <c r="B1250" t="s">
        <v>3374</v>
      </c>
      <c r="C1250">
        <v>1</v>
      </c>
      <c r="D1250" t="s">
        <v>3375</v>
      </c>
      <c r="E1250">
        <v>8</v>
      </c>
      <c r="F1250">
        <v>3</v>
      </c>
      <c r="G1250">
        <v>3</v>
      </c>
      <c r="H1250" t="s">
        <v>3374</v>
      </c>
      <c r="I1250">
        <v>13.2</v>
      </c>
      <c r="J1250">
        <v>74.433000000000007</v>
      </c>
      <c r="K1250" t="str">
        <f>"FBLN1"</f>
        <v>FBLN1</v>
      </c>
      <c r="L1250" t="str">
        <f>"FBLN1"</f>
        <v>FBLN1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70771000</v>
      </c>
      <c r="W1250">
        <v>0</v>
      </c>
      <c r="X1250">
        <v>0</v>
      </c>
    </row>
    <row r="1251" spans="1:24">
      <c r="A1251">
        <v>810</v>
      </c>
      <c r="B1251" t="s">
        <v>3376</v>
      </c>
      <c r="C1251">
        <v>2</v>
      </c>
      <c r="D1251" t="s">
        <v>3377</v>
      </c>
      <c r="E1251">
        <v>10</v>
      </c>
      <c r="F1251">
        <v>10</v>
      </c>
      <c r="G1251">
        <v>10</v>
      </c>
      <c r="H1251" t="s">
        <v>3378</v>
      </c>
      <c r="I1251">
        <v>19</v>
      </c>
      <c r="J1251">
        <v>69.150000000000006</v>
      </c>
      <c r="K1251" t="str">
        <f>"EIF4B"</f>
        <v>EIF4B</v>
      </c>
      <c r="L1251" t="str">
        <f>"EIF4B"</f>
        <v>EIF4B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44492000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>
      <c r="A1252">
        <v>859</v>
      </c>
      <c r="B1252" t="s">
        <v>3379</v>
      </c>
      <c r="C1252">
        <v>1</v>
      </c>
      <c r="D1252" t="s">
        <v>3380</v>
      </c>
      <c r="E1252">
        <v>3</v>
      </c>
      <c r="F1252">
        <v>3</v>
      </c>
      <c r="G1252">
        <v>3</v>
      </c>
      <c r="H1252" t="s">
        <v>3379</v>
      </c>
      <c r="I1252">
        <v>16.3</v>
      </c>
      <c r="J1252">
        <v>29.204000000000001</v>
      </c>
      <c r="K1252" t="str">
        <f>"PSMB4"</f>
        <v>PSMB4</v>
      </c>
      <c r="L1252" t="str">
        <f>"PSMB4"</f>
        <v>PSMB4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43190000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22834000</v>
      </c>
    </row>
    <row r="1253" spans="1:24">
      <c r="A1253">
        <v>910</v>
      </c>
      <c r="B1253" t="s">
        <v>3381</v>
      </c>
      <c r="C1253">
        <v>4</v>
      </c>
      <c r="D1253" t="s">
        <v>3382</v>
      </c>
      <c r="E1253">
        <v>16</v>
      </c>
      <c r="F1253">
        <v>5</v>
      </c>
      <c r="G1253">
        <v>0</v>
      </c>
      <c r="H1253" t="s">
        <v>3383</v>
      </c>
      <c r="I1253">
        <v>52.2</v>
      </c>
      <c r="J1253">
        <v>40.884999999999998</v>
      </c>
      <c r="K1253" t="str">
        <f>"HLA-C"</f>
        <v>HLA-C</v>
      </c>
      <c r="L1253" t="str">
        <f>"HLA-C"</f>
        <v>HLA-C</v>
      </c>
      <c r="M1253">
        <v>0</v>
      </c>
      <c r="N1253">
        <v>91512000</v>
      </c>
      <c r="O1253">
        <v>0</v>
      </c>
      <c r="P1253">
        <v>0</v>
      </c>
      <c r="Q1253">
        <v>0</v>
      </c>
      <c r="R1253">
        <v>136830000</v>
      </c>
      <c r="S1253">
        <v>143660000</v>
      </c>
      <c r="T1253">
        <v>0</v>
      </c>
      <c r="U1253">
        <v>0</v>
      </c>
      <c r="V1253">
        <v>70962000</v>
      </c>
      <c r="W1253">
        <v>0</v>
      </c>
      <c r="X1253">
        <v>0</v>
      </c>
    </row>
    <row r="1254" spans="1:24">
      <c r="A1254">
        <v>945</v>
      </c>
      <c r="B1254" t="s">
        <v>3384</v>
      </c>
      <c r="C1254">
        <v>3</v>
      </c>
      <c r="D1254" t="s">
        <v>3385</v>
      </c>
      <c r="E1254">
        <v>2</v>
      </c>
      <c r="F1254">
        <v>2</v>
      </c>
      <c r="G1254">
        <v>2</v>
      </c>
      <c r="H1254" t="s">
        <v>3386</v>
      </c>
      <c r="I1254">
        <v>18.2</v>
      </c>
      <c r="J1254">
        <v>31.738</v>
      </c>
      <c r="K1254" t="str">
        <f>"CD68"</f>
        <v>CD68</v>
      </c>
      <c r="L1254" t="str">
        <f>"CD68"</f>
        <v>CD68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>
      <c r="A1255">
        <v>1231</v>
      </c>
      <c r="B1255" t="s">
        <v>3387</v>
      </c>
      <c r="C1255">
        <v>7</v>
      </c>
      <c r="D1255" t="s">
        <v>3388</v>
      </c>
      <c r="E1255">
        <v>2</v>
      </c>
      <c r="F1255">
        <v>2</v>
      </c>
      <c r="G1255">
        <v>2</v>
      </c>
      <c r="H1255" t="s">
        <v>3389</v>
      </c>
      <c r="I1255">
        <v>24.6</v>
      </c>
      <c r="J1255">
        <v>13.635</v>
      </c>
      <c r="K1255" t="str">
        <f>"UBE2D2;UBE2D3;UBE2D4;UBE2D1"</f>
        <v>UBE2D2;UBE2D3;UBE2D4;UBE2D1</v>
      </c>
      <c r="L1255" t="str">
        <f>"UBE2D2;UBE2D3;UBE2D4;UBE2D1"</f>
        <v>UBE2D2;UBE2D3;UBE2D4;UBE2D1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</row>
    <row r="1256" spans="1:24">
      <c r="A1256">
        <v>1325</v>
      </c>
      <c r="B1256" t="s">
        <v>3390</v>
      </c>
      <c r="C1256">
        <v>1</v>
      </c>
      <c r="D1256" t="s">
        <v>3391</v>
      </c>
      <c r="E1256">
        <v>7</v>
      </c>
      <c r="F1256">
        <v>6</v>
      </c>
      <c r="G1256">
        <v>6</v>
      </c>
      <c r="H1256" t="s">
        <v>3390</v>
      </c>
      <c r="I1256">
        <v>51.8</v>
      </c>
      <c r="J1256">
        <v>21.308</v>
      </c>
      <c r="K1256" t="str">
        <f>"RHOG"</f>
        <v>RHOG</v>
      </c>
      <c r="L1256" t="str">
        <f>"RHOG"</f>
        <v>RHOG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>
      <c r="A1257">
        <v>1419</v>
      </c>
      <c r="B1257" t="s">
        <v>3392</v>
      </c>
      <c r="C1257">
        <v>2</v>
      </c>
      <c r="D1257" t="s">
        <v>3393</v>
      </c>
      <c r="E1257">
        <v>6</v>
      </c>
      <c r="F1257">
        <v>5</v>
      </c>
      <c r="G1257">
        <v>5</v>
      </c>
      <c r="H1257" t="s">
        <v>3394</v>
      </c>
      <c r="I1257">
        <v>10.1</v>
      </c>
      <c r="J1257">
        <v>77.744</v>
      </c>
      <c r="K1257" t="str">
        <f>"STRN3"</f>
        <v>STRN3</v>
      </c>
      <c r="L1257" t="str">
        <f>"STRN3"</f>
        <v>STRN3</v>
      </c>
      <c r="M1257">
        <v>0</v>
      </c>
      <c r="N1257">
        <v>61465000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</row>
    <row r="1258" spans="1:24">
      <c r="A1258">
        <v>1498</v>
      </c>
      <c r="B1258" t="s">
        <v>3395</v>
      </c>
      <c r="C1258">
        <v>2</v>
      </c>
      <c r="D1258" t="s">
        <v>3396</v>
      </c>
      <c r="E1258">
        <v>17</v>
      </c>
      <c r="F1258">
        <v>2</v>
      </c>
      <c r="G1258">
        <v>2</v>
      </c>
      <c r="H1258" t="s">
        <v>3397</v>
      </c>
      <c r="I1258">
        <v>5.4</v>
      </c>
      <c r="J1258">
        <v>287.27999999999997</v>
      </c>
      <c r="K1258" t="str">
        <f>"FLNC"</f>
        <v>FLNC</v>
      </c>
      <c r="L1258" t="str">
        <f>"FLNC"</f>
        <v>FLNC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60905000</v>
      </c>
      <c r="S1258">
        <v>40143000</v>
      </c>
      <c r="T1258">
        <v>0</v>
      </c>
      <c r="U1258">
        <v>0</v>
      </c>
      <c r="V1258">
        <v>0</v>
      </c>
      <c r="W1258">
        <v>0</v>
      </c>
      <c r="X1258">
        <v>0</v>
      </c>
    </row>
    <row r="1259" spans="1:24">
      <c r="A1259">
        <v>1558</v>
      </c>
      <c r="B1259" t="s">
        <v>3398</v>
      </c>
      <c r="C1259">
        <v>5</v>
      </c>
      <c r="D1259" t="s">
        <v>3399</v>
      </c>
      <c r="E1259">
        <v>7</v>
      </c>
      <c r="F1259">
        <v>7</v>
      </c>
      <c r="G1259">
        <v>7</v>
      </c>
      <c r="H1259" t="s">
        <v>3400</v>
      </c>
      <c r="I1259">
        <v>23.3</v>
      </c>
      <c r="J1259">
        <v>36.837000000000003</v>
      </c>
      <c r="K1259" t="str">
        <f>"PPP1R7"</f>
        <v>PPP1R7</v>
      </c>
      <c r="L1259" t="str">
        <f>"PPP1R7"</f>
        <v>PPP1R7</v>
      </c>
      <c r="M1259">
        <v>0</v>
      </c>
      <c r="N1259">
        <v>0</v>
      </c>
      <c r="O1259">
        <v>82502000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48555000</v>
      </c>
    </row>
    <row r="1260" spans="1:24">
      <c r="A1260">
        <v>1747</v>
      </c>
      <c r="B1260" t="s">
        <v>3401</v>
      </c>
      <c r="C1260">
        <v>1</v>
      </c>
      <c r="D1260" t="s">
        <v>3402</v>
      </c>
      <c r="E1260">
        <v>14</v>
      </c>
      <c r="F1260">
        <v>14</v>
      </c>
      <c r="G1260">
        <v>13</v>
      </c>
      <c r="H1260" t="s">
        <v>3401</v>
      </c>
      <c r="I1260">
        <v>4.4000000000000004</v>
      </c>
      <c r="J1260">
        <v>465.73</v>
      </c>
      <c r="K1260" t="str">
        <f>"PKHD1L1"</f>
        <v>PKHD1L1</v>
      </c>
      <c r="L1260" t="str">
        <f>"PKHD1L1"</f>
        <v>PKHD1L1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117370000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</row>
    <row r="1261" spans="1:24">
      <c r="A1261">
        <v>1814</v>
      </c>
      <c r="B1261" t="s">
        <v>3403</v>
      </c>
      <c r="C1261">
        <v>1</v>
      </c>
      <c r="D1261" t="s">
        <v>3404</v>
      </c>
      <c r="E1261">
        <v>2</v>
      </c>
      <c r="F1261">
        <v>2</v>
      </c>
      <c r="G1261">
        <v>2</v>
      </c>
      <c r="H1261" t="s">
        <v>3403</v>
      </c>
      <c r="I1261">
        <v>0.9</v>
      </c>
      <c r="J1261">
        <v>330.46</v>
      </c>
      <c r="K1261" t="str">
        <f>"BOD1L1"</f>
        <v>BOD1L1</v>
      </c>
      <c r="L1261" t="str">
        <f>"BOD1L1"</f>
        <v>BOD1L1</v>
      </c>
      <c r="M1261">
        <v>396380000</v>
      </c>
      <c r="N1261">
        <v>149520000</v>
      </c>
      <c r="O1261">
        <v>158950000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</row>
    <row r="1262" spans="1:24">
      <c r="A1262">
        <v>2177</v>
      </c>
      <c r="B1262" t="s">
        <v>3405</v>
      </c>
      <c r="C1262">
        <v>2</v>
      </c>
      <c r="D1262" t="s">
        <v>3406</v>
      </c>
      <c r="E1262">
        <v>3</v>
      </c>
      <c r="F1262">
        <v>3</v>
      </c>
      <c r="G1262">
        <v>3</v>
      </c>
      <c r="H1262" t="s">
        <v>3407</v>
      </c>
      <c r="I1262">
        <v>6</v>
      </c>
      <c r="J1262">
        <v>76.5</v>
      </c>
      <c r="K1262" t="str">
        <f>"TBC1D23"</f>
        <v>TBC1D23</v>
      </c>
      <c r="L1262" t="str">
        <f>"TBC1D23"</f>
        <v>TBC1D23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48546000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44410000</v>
      </c>
    </row>
    <row r="1263" spans="1:24">
      <c r="A1263">
        <v>2182</v>
      </c>
      <c r="B1263" t="s">
        <v>3408</v>
      </c>
      <c r="C1263">
        <v>7</v>
      </c>
      <c r="D1263" t="s">
        <v>3409</v>
      </c>
      <c r="E1263">
        <v>8</v>
      </c>
      <c r="F1263">
        <v>8</v>
      </c>
      <c r="G1263">
        <v>8</v>
      </c>
      <c r="H1263" t="s">
        <v>3410</v>
      </c>
      <c r="I1263">
        <v>15.9</v>
      </c>
      <c r="J1263">
        <v>66.216999999999999</v>
      </c>
      <c r="K1263" t="str">
        <f>"ATAD3A;ATAD3C;ATAD3B"</f>
        <v>ATAD3A;ATAD3C;ATAD3B</v>
      </c>
      <c r="L1263" t="str">
        <f>"ATAD3A;ATAD3C;ATAD3B"</f>
        <v>ATAD3A;ATAD3C;ATAD3B</v>
      </c>
      <c r="M1263">
        <v>0</v>
      </c>
      <c r="N1263">
        <v>76199000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82303000</v>
      </c>
      <c r="W1263">
        <v>0</v>
      </c>
      <c r="X1263">
        <v>97646000</v>
      </c>
    </row>
    <row r="1264" spans="1:24">
      <c r="A1264">
        <v>2216</v>
      </c>
      <c r="B1264" t="s">
        <v>3411</v>
      </c>
      <c r="C1264">
        <v>1</v>
      </c>
      <c r="D1264" t="s">
        <v>3412</v>
      </c>
      <c r="E1264">
        <v>2</v>
      </c>
      <c r="F1264">
        <v>2</v>
      </c>
      <c r="G1264">
        <v>2</v>
      </c>
      <c r="H1264" t="s">
        <v>3411</v>
      </c>
      <c r="I1264">
        <v>30.9</v>
      </c>
      <c r="J1264">
        <v>9.0564</v>
      </c>
      <c r="K1264" t="str">
        <f>"ABRACL"</f>
        <v>ABRACL</v>
      </c>
      <c r="L1264" t="str">
        <f>"ABRACL"</f>
        <v>ABRACL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82337000</v>
      </c>
      <c r="S1264">
        <v>0</v>
      </c>
      <c r="T1264">
        <v>0</v>
      </c>
      <c r="U1264">
        <v>0</v>
      </c>
      <c r="V1264">
        <v>133670000</v>
      </c>
      <c r="W1264">
        <v>0</v>
      </c>
      <c r="X1264">
        <v>0</v>
      </c>
    </row>
    <row r="1265" spans="1:24">
      <c r="A1265">
        <v>2270</v>
      </c>
      <c r="B1265" t="s">
        <v>3413</v>
      </c>
      <c r="C1265">
        <v>2</v>
      </c>
      <c r="D1265" t="s">
        <v>3414</v>
      </c>
      <c r="E1265">
        <v>4</v>
      </c>
      <c r="F1265">
        <v>4</v>
      </c>
      <c r="G1265">
        <v>4</v>
      </c>
      <c r="H1265" t="s">
        <v>3415</v>
      </c>
      <c r="I1265">
        <v>30.3</v>
      </c>
      <c r="J1265">
        <v>25.425000000000001</v>
      </c>
      <c r="K1265" t="str">
        <f>"VPS28"</f>
        <v>VPS28</v>
      </c>
      <c r="L1265" t="str">
        <f>"VPS28"</f>
        <v>VPS28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</row>
    <row r="1266" spans="1:24">
      <c r="A1266">
        <v>2327</v>
      </c>
      <c r="B1266" t="s">
        <v>3416</v>
      </c>
      <c r="C1266">
        <v>2</v>
      </c>
      <c r="D1266" t="s">
        <v>3417</v>
      </c>
      <c r="E1266">
        <v>5</v>
      </c>
      <c r="F1266">
        <v>5</v>
      </c>
      <c r="G1266">
        <v>5</v>
      </c>
      <c r="H1266" t="s">
        <v>3418</v>
      </c>
      <c r="I1266">
        <v>6.1</v>
      </c>
      <c r="J1266">
        <v>111.63</v>
      </c>
      <c r="K1266" t="str">
        <f>"FRMD4B"</f>
        <v>FRMD4B</v>
      </c>
      <c r="L1266" t="str">
        <f>"FRMD4B"</f>
        <v>FRMD4B</v>
      </c>
      <c r="M1266">
        <v>0</v>
      </c>
      <c r="N1266">
        <v>258190000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110720000</v>
      </c>
      <c r="V1266">
        <v>0</v>
      </c>
      <c r="W1266">
        <v>0</v>
      </c>
      <c r="X1266">
        <v>0</v>
      </c>
    </row>
    <row r="1267" spans="1:24">
      <c r="A1267">
        <v>2348</v>
      </c>
      <c r="B1267" t="s">
        <v>3419</v>
      </c>
      <c r="C1267">
        <v>12</v>
      </c>
      <c r="D1267" t="s">
        <v>3420</v>
      </c>
      <c r="E1267">
        <v>10</v>
      </c>
      <c r="F1267">
        <v>10</v>
      </c>
      <c r="G1267">
        <v>10</v>
      </c>
      <c r="H1267" t="s">
        <v>3421</v>
      </c>
      <c r="I1267">
        <v>10</v>
      </c>
      <c r="J1267">
        <v>121.74</v>
      </c>
      <c r="K1267" t="str">
        <f>"RABGAP1;RABGAP1L"</f>
        <v>RABGAP1;RABGAP1L</v>
      </c>
      <c r="L1267" t="str">
        <f>"RABGAP1;RABGAP1L"</f>
        <v>RABGAP1;RABGAP1L</v>
      </c>
      <c r="M1267">
        <v>0</v>
      </c>
      <c r="N1267">
        <v>10894000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</row>
    <row r="1268" spans="1:24">
      <c r="A1268">
        <v>121</v>
      </c>
      <c r="B1268" t="s">
        <v>3422</v>
      </c>
      <c r="C1268">
        <v>2</v>
      </c>
      <c r="D1268" t="s">
        <v>3423</v>
      </c>
      <c r="E1268">
        <v>6</v>
      </c>
      <c r="F1268">
        <v>5</v>
      </c>
      <c r="G1268">
        <v>5</v>
      </c>
      <c r="H1268" t="s">
        <v>3424</v>
      </c>
      <c r="I1268">
        <v>26.5</v>
      </c>
      <c r="J1268">
        <v>23.818000000000001</v>
      </c>
      <c r="K1268" t="str">
        <f>"PGRMC2"</f>
        <v>PGRMC2</v>
      </c>
      <c r="L1268" t="str">
        <f>"PGRMC2"</f>
        <v>PGRMC2</v>
      </c>
      <c r="M1268">
        <v>0</v>
      </c>
      <c r="N1268">
        <v>69844000</v>
      </c>
      <c r="O1268">
        <v>0</v>
      </c>
      <c r="P1268">
        <v>0</v>
      </c>
      <c r="Q1268">
        <v>0</v>
      </c>
      <c r="R1268">
        <v>66579000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58610000</v>
      </c>
    </row>
    <row r="1269" spans="1:24">
      <c r="A1269">
        <v>272</v>
      </c>
      <c r="B1269" t="s">
        <v>3425</v>
      </c>
      <c r="C1269">
        <v>1</v>
      </c>
      <c r="D1269" t="s">
        <v>3426</v>
      </c>
      <c r="E1269">
        <v>4</v>
      </c>
      <c r="F1269">
        <v>4</v>
      </c>
      <c r="G1269">
        <v>4</v>
      </c>
      <c r="H1269" t="s">
        <v>3425</v>
      </c>
      <c r="I1269">
        <v>22.4</v>
      </c>
      <c r="J1269">
        <v>27.873000000000001</v>
      </c>
      <c r="K1269" t="str">
        <f>"ETHE1"</f>
        <v>ETHE1</v>
      </c>
      <c r="L1269" t="str">
        <f>"ETHE1"</f>
        <v>ETHE1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</row>
    <row r="1270" spans="1:24">
      <c r="A1270">
        <v>725</v>
      </c>
      <c r="B1270" t="s">
        <v>3427</v>
      </c>
      <c r="C1270">
        <v>2</v>
      </c>
      <c r="D1270" t="s">
        <v>3428</v>
      </c>
      <c r="E1270">
        <v>6</v>
      </c>
      <c r="F1270">
        <v>6</v>
      </c>
      <c r="G1270">
        <v>6</v>
      </c>
      <c r="H1270" t="s">
        <v>3429</v>
      </c>
      <c r="I1270">
        <v>21.3</v>
      </c>
      <c r="J1270">
        <v>46.247</v>
      </c>
      <c r="K1270" t="str">
        <f>"GOT1"</f>
        <v>GOT1</v>
      </c>
      <c r="L1270" t="str">
        <f>"GOT1"</f>
        <v>GOT1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</row>
    <row r="1271" spans="1:24">
      <c r="A1271">
        <v>742</v>
      </c>
      <c r="B1271" t="s">
        <v>3430</v>
      </c>
      <c r="C1271">
        <v>2</v>
      </c>
      <c r="D1271" t="s">
        <v>3431</v>
      </c>
      <c r="E1271">
        <v>1</v>
      </c>
      <c r="F1271">
        <v>1</v>
      </c>
      <c r="G1271">
        <v>1</v>
      </c>
      <c r="H1271" t="s">
        <v>3432</v>
      </c>
      <c r="I1271">
        <v>1.3</v>
      </c>
      <c r="J1271">
        <v>74.956999999999994</v>
      </c>
      <c r="K1271" t="str">
        <f>"ITGB6"</f>
        <v>ITGB6</v>
      </c>
      <c r="L1271" t="str">
        <f>"ITGB6"</f>
        <v>ITGB6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288390000</v>
      </c>
    </row>
    <row r="1272" spans="1:24">
      <c r="A1272">
        <v>788</v>
      </c>
      <c r="B1272" t="s">
        <v>3433</v>
      </c>
      <c r="C1272">
        <v>2</v>
      </c>
      <c r="D1272" t="s">
        <v>3434</v>
      </c>
      <c r="E1272">
        <v>9</v>
      </c>
      <c r="F1272">
        <v>9</v>
      </c>
      <c r="G1272">
        <v>9</v>
      </c>
      <c r="H1272" t="s">
        <v>3435</v>
      </c>
      <c r="I1272">
        <v>26.6</v>
      </c>
      <c r="J1272">
        <v>37.429000000000002</v>
      </c>
      <c r="K1272" t="str">
        <f>"HNRNPA2B1"</f>
        <v>HNRNPA2B1</v>
      </c>
      <c r="L1272" t="str">
        <f>"HNRNPA2B1"</f>
        <v>HNRNPA2B1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146270000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>
      <c r="A1273">
        <v>849</v>
      </c>
      <c r="B1273" t="s">
        <v>3436</v>
      </c>
      <c r="C1273">
        <v>1</v>
      </c>
      <c r="D1273" t="s">
        <v>3437</v>
      </c>
      <c r="E1273">
        <v>7</v>
      </c>
      <c r="F1273">
        <v>7</v>
      </c>
      <c r="G1273">
        <v>7</v>
      </c>
      <c r="H1273" t="s">
        <v>3436</v>
      </c>
      <c r="I1273">
        <v>3.6</v>
      </c>
      <c r="J1273">
        <v>242.98</v>
      </c>
      <c r="K1273" t="str">
        <f>"CAD"</f>
        <v>CAD</v>
      </c>
      <c r="L1273" t="str">
        <f>"CAD"</f>
        <v>CAD</v>
      </c>
      <c r="M1273">
        <v>0</v>
      </c>
      <c r="N1273">
        <v>34150000</v>
      </c>
      <c r="O1273">
        <v>30410000</v>
      </c>
      <c r="P1273">
        <v>0</v>
      </c>
      <c r="Q1273">
        <v>0</v>
      </c>
      <c r="R1273">
        <v>22621000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</row>
    <row r="1274" spans="1:24">
      <c r="A1274">
        <v>865</v>
      </c>
      <c r="B1274" t="s">
        <v>3438</v>
      </c>
      <c r="C1274">
        <v>1</v>
      </c>
      <c r="D1274" t="s">
        <v>3439</v>
      </c>
      <c r="E1274">
        <v>3</v>
      </c>
      <c r="F1274">
        <v>3</v>
      </c>
      <c r="G1274">
        <v>3</v>
      </c>
      <c r="H1274" t="s">
        <v>3438</v>
      </c>
      <c r="I1274">
        <v>14.3</v>
      </c>
      <c r="J1274">
        <v>24.01</v>
      </c>
      <c r="K1274" t="str">
        <f>"GCA"</f>
        <v>GCA</v>
      </c>
      <c r="L1274" t="str">
        <f>"GCA"</f>
        <v>GCA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</row>
    <row r="1275" spans="1:24">
      <c r="A1275">
        <v>869</v>
      </c>
      <c r="B1275" t="s">
        <v>3440</v>
      </c>
      <c r="C1275">
        <v>3</v>
      </c>
      <c r="D1275" t="s">
        <v>3441</v>
      </c>
      <c r="E1275">
        <v>6</v>
      </c>
      <c r="F1275">
        <v>6</v>
      </c>
      <c r="G1275">
        <v>6</v>
      </c>
      <c r="H1275" t="s">
        <v>3442</v>
      </c>
      <c r="I1275">
        <v>29.2</v>
      </c>
      <c r="J1275">
        <v>30.187999999999999</v>
      </c>
      <c r="K1275" t="str">
        <f>"IMPA1"</f>
        <v>IMPA1</v>
      </c>
      <c r="L1275" t="str">
        <f>"IMPA1"</f>
        <v>IMPA1</v>
      </c>
      <c r="M1275">
        <v>0</v>
      </c>
      <c r="N1275">
        <v>0</v>
      </c>
      <c r="O1275">
        <v>0</v>
      </c>
      <c r="P1275">
        <v>112550000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</row>
    <row r="1276" spans="1:24">
      <c r="A1276">
        <v>1155</v>
      </c>
      <c r="B1276" t="s">
        <v>3443</v>
      </c>
      <c r="C1276">
        <v>2</v>
      </c>
      <c r="D1276" t="s">
        <v>3444</v>
      </c>
      <c r="E1276">
        <v>5</v>
      </c>
      <c r="F1276">
        <v>5</v>
      </c>
      <c r="G1276">
        <v>5</v>
      </c>
      <c r="H1276" t="s">
        <v>3445</v>
      </c>
      <c r="I1276">
        <v>16.899999999999999</v>
      </c>
      <c r="J1276">
        <v>41.268000000000001</v>
      </c>
      <c r="K1276" t="str">
        <f>"SMS"</f>
        <v>SMS</v>
      </c>
      <c r="L1276" t="str">
        <f>"SMS"</f>
        <v>SMS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</row>
    <row r="1277" spans="1:24">
      <c r="A1277">
        <v>1253</v>
      </c>
      <c r="B1277" t="s">
        <v>3446</v>
      </c>
      <c r="C1277">
        <v>1</v>
      </c>
      <c r="D1277" t="s">
        <v>3447</v>
      </c>
      <c r="E1277">
        <v>4</v>
      </c>
      <c r="F1277">
        <v>4</v>
      </c>
      <c r="G1277">
        <v>4</v>
      </c>
      <c r="H1277" t="s">
        <v>3446</v>
      </c>
      <c r="I1277">
        <v>35.4</v>
      </c>
      <c r="J1277">
        <v>14.478</v>
      </c>
      <c r="K1277" t="str">
        <f>"NUTF2"</f>
        <v>NUTF2</v>
      </c>
      <c r="L1277" t="str">
        <f>"NUTF2"</f>
        <v>NUTF2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125030000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</row>
    <row r="1278" spans="1:24">
      <c r="A1278">
        <v>1467</v>
      </c>
      <c r="B1278" t="s">
        <v>3448</v>
      </c>
      <c r="C1278">
        <v>1</v>
      </c>
      <c r="D1278" t="s">
        <v>3449</v>
      </c>
      <c r="E1278">
        <v>2</v>
      </c>
      <c r="F1278">
        <v>2</v>
      </c>
      <c r="G1278">
        <v>2</v>
      </c>
      <c r="H1278" t="s">
        <v>3448</v>
      </c>
      <c r="I1278">
        <v>8.3000000000000007</v>
      </c>
      <c r="J1278">
        <v>35.399000000000001</v>
      </c>
      <c r="K1278" t="str">
        <f>"APOF"</f>
        <v>APOF</v>
      </c>
      <c r="L1278" t="str">
        <f>"APOF"</f>
        <v>APOF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60403000</v>
      </c>
      <c r="W1278">
        <v>0</v>
      </c>
      <c r="X1278">
        <v>0</v>
      </c>
    </row>
    <row r="1279" spans="1:24">
      <c r="A1279">
        <v>1549</v>
      </c>
      <c r="B1279" t="s">
        <v>3450</v>
      </c>
      <c r="C1279">
        <v>1</v>
      </c>
      <c r="D1279" t="s">
        <v>3451</v>
      </c>
      <c r="E1279">
        <v>3</v>
      </c>
      <c r="F1279">
        <v>3</v>
      </c>
      <c r="G1279">
        <v>3</v>
      </c>
      <c r="H1279" t="s">
        <v>3450</v>
      </c>
      <c r="I1279">
        <v>16.899999999999999</v>
      </c>
      <c r="J1279">
        <v>22.760999999999999</v>
      </c>
      <c r="K1279" t="str">
        <f>"TMED2"</f>
        <v>TMED2</v>
      </c>
      <c r="L1279" t="str">
        <f>"TMED2"</f>
        <v>TMED2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</row>
    <row r="1280" spans="1:24">
      <c r="A1280">
        <v>1806</v>
      </c>
      <c r="B1280" t="s">
        <v>3452</v>
      </c>
      <c r="C1280">
        <v>2</v>
      </c>
      <c r="D1280" t="s">
        <v>3453</v>
      </c>
      <c r="E1280">
        <v>5</v>
      </c>
      <c r="F1280">
        <v>5</v>
      </c>
      <c r="G1280">
        <v>5</v>
      </c>
      <c r="H1280" t="s">
        <v>3454</v>
      </c>
      <c r="I1280">
        <v>33</v>
      </c>
      <c r="J1280">
        <v>20.43</v>
      </c>
      <c r="K1280" t="str">
        <f>"APOA1BP"</f>
        <v>APOA1BP</v>
      </c>
      <c r="L1280" t="str">
        <f>"NAXE"</f>
        <v>NAXE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44697000</v>
      </c>
    </row>
    <row r="1281" spans="1:24">
      <c r="A1281">
        <v>1817</v>
      </c>
      <c r="B1281" t="s">
        <v>3455</v>
      </c>
      <c r="C1281">
        <v>3</v>
      </c>
      <c r="D1281" t="s">
        <v>3456</v>
      </c>
      <c r="E1281">
        <v>3</v>
      </c>
      <c r="F1281">
        <v>3</v>
      </c>
      <c r="G1281">
        <v>3</v>
      </c>
      <c r="H1281" t="s">
        <v>3457</v>
      </c>
      <c r="I1281">
        <v>15</v>
      </c>
      <c r="J1281">
        <v>28.876000000000001</v>
      </c>
      <c r="K1281" t="str">
        <f>"TSPAN14"</f>
        <v>TSPAN14</v>
      </c>
      <c r="L1281" t="str">
        <f>"TSPAN14"</f>
        <v>TSPAN14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</row>
    <row r="1282" spans="1:24">
      <c r="A1282">
        <v>1828</v>
      </c>
      <c r="B1282" t="s">
        <v>3458</v>
      </c>
      <c r="C1282">
        <v>1</v>
      </c>
      <c r="D1282" t="s">
        <v>3459</v>
      </c>
      <c r="E1282">
        <v>6</v>
      </c>
      <c r="F1282">
        <v>6</v>
      </c>
      <c r="G1282">
        <v>6</v>
      </c>
      <c r="H1282" t="s">
        <v>3458</v>
      </c>
      <c r="I1282">
        <v>7.5</v>
      </c>
      <c r="J1282">
        <v>93.673000000000002</v>
      </c>
      <c r="K1282" t="str">
        <f>"STT3B"</f>
        <v>STT3B</v>
      </c>
      <c r="L1282" t="str">
        <f>"STT3B"</f>
        <v>STT3B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</row>
    <row r="1283" spans="1:24">
      <c r="A1283">
        <v>1864</v>
      </c>
      <c r="B1283" t="s">
        <v>3460</v>
      </c>
      <c r="C1283">
        <v>3</v>
      </c>
      <c r="D1283" t="s">
        <v>3461</v>
      </c>
      <c r="E1283">
        <v>10</v>
      </c>
      <c r="F1283">
        <v>7</v>
      </c>
      <c r="G1283">
        <v>1</v>
      </c>
      <c r="H1283" t="s">
        <v>3462</v>
      </c>
      <c r="I1283">
        <v>13.9</v>
      </c>
      <c r="J1283">
        <v>92.114999999999995</v>
      </c>
      <c r="K1283" t="str">
        <f>"HSPH1"</f>
        <v>HSPH1</v>
      </c>
      <c r="L1283" t="str">
        <f>"HSPH1"</f>
        <v>HSPH1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>
      <c r="A1284">
        <v>1897</v>
      </c>
      <c r="B1284" t="s">
        <v>3463</v>
      </c>
      <c r="C1284">
        <v>1</v>
      </c>
      <c r="D1284" t="s">
        <v>3464</v>
      </c>
      <c r="E1284">
        <v>3</v>
      </c>
      <c r="F1284">
        <v>3</v>
      </c>
      <c r="G1284">
        <v>3</v>
      </c>
      <c r="H1284" t="s">
        <v>3463</v>
      </c>
      <c r="I1284">
        <v>20.8</v>
      </c>
      <c r="J1284">
        <v>18.795000000000002</v>
      </c>
      <c r="K1284" t="str">
        <f>"MYDGF"</f>
        <v>MYDGF</v>
      </c>
      <c r="L1284" t="str">
        <f>"MYDGF"</f>
        <v>MYDGF</v>
      </c>
      <c r="M1284">
        <v>0</v>
      </c>
      <c r="N1284">
        <v>0</v>
      </c>
      <c r="O1284">
        <v>172460000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105650000</v>
      </c>
      <c r="X1284">
        <v>0</v>
      </c>
    </row>
    <row r="1285" spans="1:24">
      <c r="A1285">
        <v>1934</v>
      </c>
      <c r="B1285" t="s">
        <v>3465</v>
      </c>
      <c r="C1285">
        <v>1</v>
      </c>
      <c r="D1285" t="s">
        <v>3466</v>
      </c>
      <c r="E1285">
        <v>3</v>
      </c>
      <c r="F1285">
        <v>3</v>
      </c>
      <c r="G1285">
        <v>3</v>
      </c>
      <c r="H1285" t="s">
        <v>3465</v>
      </c>
      <c r="I1285">
        <v>16.2</v>
      </c>
      <c r="J1285">
        <v>30.123999999999999</v>
      </c>
      <c r="K1285" t="str">
        <f>"DCUN1D1"</f>
        <v>DCUN1D1</v>
      </c>
      <c r="L1285" t="str">
        <f>"DCUN1D1"</f>
        <v>DCUN1D1</v>
      </c>
      <c r="M1285">
        <v>0</v>
      </c>
      <c r="N1285">
        <v>24446000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>
      <c r="A1286">
        <v>2104</v>
      </c>
      <c r="B1286" t="s">
        <v>3467</v>
      </c>
      <c r="C1286">
        <v>4</v>
      </c>
      <c r="D1286" t="s">
        <v>3468</v>
      </c>
      <c r="E1286">
        <v>4</v>
      </c>
      <c r="F1286">
        <v>4</v>
      </c>
      <c r="G1286">
        <v>4</v>
      </c>
      <c r="H1286" t="s">
        <v>3469</v>
      </c>
      <c r="I1286">
        <v>33.299999999999997</v>
      </c>
      <c r="J1286">
        <v>20.38</v>
      </c>
      <c r="K1286" t="str">
        <f>"SLA2"</f>
        <v>SLA2</v>
      </c>
      <c r="L1286" t="str">
        <f>"SLA2"</f>
        <v>SLA2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52689000</v>
      </c>
    </row>
    <row r="1287" spans="1:24">
      <c r="A1287">
        <v>2106</v>
      </c>
      <c r="B1287" t="s">
        <v>3470</v>
      </c>
      <c r="C1287">
        <v>2</v>
      </c>
      <c r="D1287" t="s">
        <v>3471</v>
      </c>
      <c r="E1287">
        <v>5</v>
      </c>
      <c r="F1287">
        <v>5</v>
      </c>
      <c r="G1287">
        <v>5</v>
      </c>
      <c r="H1287" t="s">
        <v>3472</v>
      </c>
      <c r="I1287">
        <v>3.2</v>
      </c>
      <c r="J1287">
        <v>215.31</v>
      </c>
      <c r="K1287" t="str">
        <f>"DOCK5"</f>
        <v>DOCK5</v>
      </c>
      <c r="L1287" t="str">
        <f>"DOCK5"</f>
        <v>DOCK5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27103000</v>
      </c>
      <c r="V1287">
        <v>0</v>
      </c>
      <c r="W1287">
        <v>0</v>
      </c>
      <c r="X1287">
        <v>0</v>
      </c>
    </row>
    <row r="1288" spans="1:24">
      <c r="A1288">
        <v>2107</v>
      </c>
      <c r="B1288" t="s">
        <v>3473</v>
      </c>
      <c r="C1288">
        <v>1</v>
      </c>
      <c r="D1288" t="s">
        <v>3474</v>
      </c>
      <c r="E1288">
        <v>3</v>
      </c>
      <c r="F1288">
        <v>3</v>
      </c>
      <c r="G1288">
        <v>3</v>
      </c>
      <c r="H1288" t="s">
        <v>3473</v>
      </c>
      <c r="I1288">
        <v>19.399999999999999</v>
      </c>
      <c r="J1288">
        <v>30.643000000000001</v>
      </c>
      <c r="K1288" t="str">
        <f>"PPP1R3E"</f>
        <v>PPP1R3E</v>
      </c>
      <c r="L1288" t="str">
        <f>"PPP1R3E"</f>
        <v>PPP1R3E</v>
      </c>
      <c r="M1288">
        <v>0</v>
      </c>
      <c r="N1288">
        <v>44572000</v>
      </c>
      <c r="O1288">
        <v>28608000</v>
      </c>
      <c r="P1288">
        <v>0</v>
      </c>
      <c r="Q1288">
        <v>0</v>
      </c>
      <c r="R1288">
        <v>0</v>
      </c>
      <c r="S1288">
        <v>42900000</v>
      </c>
      <c r="T1288">
        <v>0</v>
      </c>
      <c r="U1288">
        <v>0</v>
      </c>
      <c r="V1288">
        <v>0</v>
      </c>
      <c r="W1288">
        <v>0</v>
      </c>
      <c r="X1288">
        <v>0</v>
      </c>
    </row>
    <row r="1289" spans="1:24">
      <c r="A1289">
        <v>2158</v>
      </c>
      <c r="B1289" t="s">
        <v>3475</v>
      </c>
      <c r="C1289">
        <v>3</v>
      </c>
      <c r="D1289" t="s">
        <v>3476</v>
      </c>
      <c r="E1289">
        <v>9</v>
      </c>
      <c r="F1289">
        <v>8</v>
      </c>
      <c r="G1289">
        <v>8</v>
      </c>
      <c r="H1289" t="s">
        <v>3477</v>
      </c>
      <c r="I1289">
        <v>18.100000000000001</v>
      </c>
      <c r="J1289">
        <v>80.594999999999999</v>
      </c>
      <c r="K1289" t="str">
        <f>"STRN4"</f>
        <v>STRN4</v>
      </c>
      <c r="L1289" t="str">
        <f>"STRN4"</f>
        <v>STRN4</v>
      </c>
      <c r="M1289">
        <v>0</v>
      </c>
      <c r="N1289">
        <v>0</v>
      </c>
      <c r="O1289">
        <v>39894000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</row>
    <row r="1290" spans="1:24">
      <c r="A1290">
        <v>2173</v>
      </c>
      <c r="B1290" t="s">
        <v>3478</v>
      </c>
      <c r="C1290">
        <v>4</v>
      </c>
      <c r="D1290" t="s">
        <v>3479</v>
      </c>
      <c r="E1290">
        <v>7</v>
      </c>
      <c r="F1290">
        <v>7</v>
      </c>
      <c r="G1290">
        <v>7</v>
      </c>
      <c r="H1290" t="s">
        <v>3480</v>
      </c>
      <c r="I1290">
        <v>14.4</v>
      </c>
      <c r="J1290">
        <v>62.686999999999998</v>
      </c>
      <c r="K1290" t="str">
        <f>"ACSS1"</f>
        <v>ACSS1</v>
      </c>
      <c r="L1290" t="str">
        <f>"ACSS1"</f>
        <v>ACSS1</v>
      </c>
      <c r="M1290">
        <v>0</v>
      </c>
      <c r="N1290">
        <v>55470000</v>
      </c>
      <c r="O1290">
        <v>62467000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</row>
    <row r="1291" spans="1:24">
      <c r="A1291">
        <v>2374</v>
      </c>
      <c r="B1291" t="s">
        <v>3481</v>
      </c>
      <c r="C1291">
        <v>1</v>
      </c>
      <c r="D1291" t="s">
        <v>3482</v>
      </c>
      <c r="E1291">
        <v>6</v>
      </c>
      <c r="F1291">
        <v>6</v>
      </c>
      <c r="G1291">
        <v>6</v>
      </c>
      <c r="H1291" t="s">
        <v>3481</v>
      </c>
      <c r="I1291">
        <v>21.9</v>
      </c>
      <c r="J1291">
        <v>32.735999999999997</v>
      </c>
      <c r="K1291" t="str">
        <f>"SLC25A15"</f>
        <v>SLC25A15</v>
      </c>
      <c r="L1291" t="str">
        <f>"SLC25A15"</f>
        <v>SLC25A15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127800000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</row>
    <row r="1292" spans="1:24">
      <c r="A1292">
        <v>76</v>
      </c>
      <c r="B1292" t="s">
        <v>3483</v>
      </c>
      <c r="C1292">
        <v>3</v>
      </c>
      <c r="D1292" t="s">
        <v>3484</v>
      </c>
      <c r="E1292">
        <v>9</v>
      </c>
      <c r="F1292">
        <v>9</v>
      </c>
      <c r="G1292">
        <v>2</v>
      </c>
      <c r="H1292" t="s">
        <v>3485</v>
      </c>
      <c r="I1292">
        <v>19</v>
      </c>
      <c r="J1292">
        <v>71.353999999999999</v>
      </c>
      <c r="K1292" t="str">
        <f>"DDX3X;DDX3Y"</f>
        <v>DDX3X;DDX3Y</v>
      </c>
      <c r="L1292" t="str">
        <f>"DDX3X;DDX3Y"</f>
        <v>DDX3X;DDX3Y</v>
      </c>
      <c r="M1292">
        <v>0</v>
      </c>
      <c r="N1292">
        <v>23719000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>
      <c r="A1293">
        <v>168</v>
      </c>
      <c r="B1293" t="s">
        <v>3486</v>
      </c>
      <c r="C1293">
        <v>2</v>
      </c>
      <c r="D1293" t="s">
        <v>3487</v>
      </c>
      <c r="E1293">
        <v>6</v>
      </c>
      <c r="F1293">
        <v>6</v>
      </c>
      <c r="G1293">
        <v>6</v>
      </c>
      <c r="H1293" t="s">
        <v>3488</v>
      </c>
      <c r="I1293">
        <v>14.1</v>
      </c>
      <c r="J1293">
        <v>62.942</v>
      </c>
      <c r="K1293" t="str">
        <f>"NARS"</f>
        <v>NARS</v>
      </c>
      <c r="L1293" t="str">
        <f>"NARS"</f>
        <v>NARS</v>
      </c>
      <c r="M1293">
        <v>0</v>
      </c>
      <c r="N1293">
        <v>54621000</v>
      </c>
      <c r="O1293">
        <v>62911000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</row>
    <row r="1294" spans="1:24">
      <c r="A1294">
        <v>247</v>
      </c>
      <c r="B1294" t="s">
        <v>3489</v>
      </c>
      <c r="C1294">
        <v>1</v>
      </c>
      <c r="D1294" t="s">
        <v>3490</v>
      </c>
      <c r="E1294">
        <v>5</v>
      </c>
      <c r="F1294">
        <v>5</v>
      </c>
      <c r="G1294">
        <v>5</v>
      </c>
      <c r="H1294" t="s">
        <v>3489</v>
      </c>
      <c r="I1294">
        <v>6.9</v>
      </c>
      <c r="J1294">
        <v>67.453999999999994</v>
      </c>
      <c r="K1294" t="str">
        <f>"TOMM70A"</f>
        <v>TOMM70A</v>
      </c>
      <c r="L1294" t="str">
        <f>"TOMM70"</f>
        <v>TOMM70</v>
      </c>
      <c r="M1294">
        <v>0</v>
      </c>
      <c r="N1294">
        <v>0</v>
      </c>
      <c r="O1294">
        <v>31725000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</row>
    <row r="1295" spans="1:24">
      <c r="A1295">
        <v>508</v>
      </c>
      <c r="B1295" t="s">
        <v>3491</v>
      </c>
      <c r="C1295">
        <v>1</v>
      </c>
      <c r="D1295" t="s">
        <v>3492</v>
      </c>
      <c r="E1295">
        <v>2</v>
      </c>
      <c r="F1295">
        <v>2</v>
      </c>
      <c r="G1295">
        <v>2</v>
      </c>
      <c r="H1295" t="s">
        <v>3491</v>
      </c>
      <c r="I1295">
        <v>16.7</v>
      </c>
      <c r="J1295">
        <v>10.18</v>
      </c>
      <c r="K1295" t="str">
        <f>"S100A6"</f>
        <v>S100A6</v>
      </c>
      <c r="L1295" t="str">
        <f>"S100A6"</f>
        <v>S100A6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</row>
    <row r="1296" spans="1:24">
      <c r="A1296">
        <v>572</v>
      </c>
      <c r="B1296" t="s">
        <v>3493</v>
      </c>
      <c r="C1296">
        <v>2</v>
      </c>
      <c r="D1296" t="s">
        <v>3494</v>
      </c>
      <c r="E1296">
        <v>5</v>
      </c>
      <c r="F1296">
        <v>5</v>
      </c>
      <c r="G1296">
        <v>5</v>
      </c>
      <c r="H1296" t="s">
        <v>3495</v>
      </c>
      <c r="I1296">
        <v>24.3</v>
      </c>
      <c r="J1296">
        <v>44.292000000000002</v>
      </c>
      <c r="K1296" t="str">
        <f>"ACAA1"</f>
        <v>ACAA1</v>
      </c>
      <c r="L1296" t="str">
        <f>"ACAA1"</f>
        <v>ACAA1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44275000</v>
      </c>
    </row>
    <row r="1297" spans="1:24">
      <c r="A1297">
        <v>634</v>
      </c>
      <c r="B1297" t="s">
        <v>3496</v>
      </c>
      <c r="C1297">
        <v>1</v>
      </c>
      <c r="D1297" t="s">
        <v>3497</v>
      </c>
      <c r="E1297">
        <v>6</v>
      </c>
      <c r="F1297">
        <v>3</v>
      </c>
      <c r="G1297">
        <v>3</v>
      </c>
      <c r="H1297" t="s">
        <v>3496</v>
      </c>
      <c r="I1297">
        <v>28.6</v>
      </c>
      <c r="J1297">
        <v>23.567</v>
      </c>
      <c r="K1297" t="str">
        <f>"RALA"</f>
        <v>RALA</v>
      </c>
      <c r="L1297" t="str">
        <f>"RALA"</f>
        <v>RALA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</row>
    <row r="1298" spans="1:24">
      <c r="A1298">
        <v>686</v>
      </c>
      <c r="B1298" t="s">
        <v>3498</v>
      </c>
      <c r="C1298">
        <v>1</v>
      </c>
      <c r="D1298" t="s">
        <v>3499</v>
      </c>
      <c r="E1298">
        <v>9</v>
      </c>
      <c r="F1298">
        <v>9</v>
      </c>
      <c r="G1298">
        <v>9</v>
      </c>
      <c r="H1298" t="s">
        <v>3498</v>
      </c>
      <c r="I1298">
        <v>43.4</v>
      </c>
      <c r="J1298">
        <v>36.573</v>
      </c>
      <c r="K1298" t="str">
        <f>"AKR1A1"</f>
        <v>AKR1A1</v>
      </c>
      <c r="L1298" t="str">
        <f>"AKR1A1"</f>
        <v>AKR1A1</v>
      </c>
      <c r="M1298">
        <v>0</v>
      </c>
      <c r="N1298">
        <v>0</v>
      </c>
      <c r="O1298">
        <v>100020000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80090000</v>
      </c>
    </row>
    <row r="1299" spans="1:24">
      <c r="A1299">
        <v>704</v>
      </c>
      <c r="B1299" t="s">
        <v>3500</v>
      </c>
      <c r="C1299">
        <v>16</v>
      </c>
      <c r="D1299" t="s">
        <v>3501</v>
      </c>
      <c r="E1299">
        <v>3</v>
      </c>
      <c r="F1299">
        <v>3</v>
      </c>
      <c r="G1299">
        <v>3</v>
      </c>
      <c r="H1299" t="s">
        <v>3502</v>
      </c>
      <c r="I1299">
        <v>9.1999999999999993</v>
      </c>
      <c r="J1299">
        <v>39.313000000000002</v>
      </c>
      <c r="K1299" t="str">
        <f>"CD46"</f>
        <v>CD46</v>
      </c>
      <c r="L1299" t="str">
        <f>"CD46"</f>
        <v>CD46</v>
      </c>
      <c r="M1299">
        <v>63912000</v>
      </c>
      <c r="N1299">
        <v>0</v>
      </c>
      <c r="O1299">
        <v>0</v>
      </c>
      <c r="P1299">
        <v>91066000</v>
      </c>
      <c r="Q1299">
        <v>0</v>
      </c>
      <c r="R1299">
        <v>0</v>
      </c>
      <c r="S1299">
        <v>0</v>
      </c>
      <c r="T1299">
        <v>90700000</v>
      </c>
      <c r="U1299">
        <v>0</v>
      </c>
      <c r="V1299">
        <v>88509000</v>
      </c>
      <c r="W1299">
        <v>0</v>
      </c>
      <c r="X1299">
        <v>0</v>
      </c>
    </row>
    <row r="1300" spans="1:24">
      <c r="A1300">
        <v>749</v>
      </c>
      <c r="B1300" t="s">
        <v>3503</v>
      </c>
      <c r="C1300">
        <v>2</v>
      </c>
      <c r="D1300" t="s">
        <v>3504</v>
      </c>
      <c r="E1300">
        <v>4</v>
      </c>
      <c r="F1300">
        <v>4</v>
      </c>
      <c r="G1300">
        <v>4</v>
      </c>
      <c r="H1300" t="s">
        <v>3505</v>
      </c>
      <c r="I1300">
        <v>10.3</v>
      </c>
      <c r="J1300">
        <v>90.762</v>
      </c>
      <c r="K1300" t="str">
        <f>"SLC9A1"</f>
        <v>SLC9A1</v>
      </c>
      <c r="L1300" t="str">
        <f>"SLC9A1"</f>
        <v>SLC9A1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75214000</v>
      </c>
      <c r="W1300">
        <v>0</v>
      </c>
      <c r="X1300">
        <v>0</v>
      </c>
    </row>
    <row r="1301" spans="1:24">
      <c r="A1301">
        <v>759</v>
      </c>
      <c r="B1301" t="s">
        <v>3506</v>
      </c>
      <c r="C1301">
        <v>1</v>
      </c>
      <c r="D1301" t="s">
        <v>3507</v>
      </c>
      <c r="E1301">
        <v>6</v>
      </c>
      <c r="F1301">
        <v>6</v>
      </c>
      <c r="G1301">
        <v>5</v>
      </c>
      <c r="H1301" t="s">
        <v>3506</v>
      </c>
      <c r="I1301">
        <v>37.200000000000003</v>
      </c>
      <c r="J1301">
        <v>24.388999999999999</v>
      </c>
      <c r="K1301" t="str">
        <f>"RAB4A"</f>
        <v>RAB4A</v>
      </c>
      <c r="L1301" t="str">
        <f>"RAB4A"</f>
        <v>RAB4A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95590000</v>
      </c>
      <c r="T1301">
        <v>0</v>
      </c>
      <c r="U1301">
        <v>0</v>
      </c>
      <c r="V1301">
        <v>0</v>
      </c>
      <c r="W1301">
        <v>0</v>
      </c>
      <c r="X1301">
        <v>91861000</v>
      </c>
    </row>
    <row r="1302" spans="1:24">
      <c r="A1302">
        <v>886</v>
      </c>
      <c r="B1302" t="s">
        <v>3508</v>
      </c>
      <c r="C1302">
        <v>1</v>
      </c>
      <c r="D1302" t="s">
        <v>3509</v>
      </c>
      <c r="E1302">
        <v>5</v>
      </c>
      <c r="F1302">
        <v>5</v>
      </c>
      <c r="G1302">
        <v>5</v>
      </c>
      <c r="H1302" t="s">
        <v>3508</v>
      </c>
      <c r="I1302">
        <v>23.8</v>
      </c>
      <c r="J1302">
        <v>31.387</v>
      </c>
      <c r="K1302" t="str">
        <f>"ECHS1"</f>
        <v>ECHS1</v>
      </c>
      <c r="L1302" t="str">
        <f>"ECHS1"</f>
        <v>ECHS1</v>
      </c>
      <c r="M1302">
        <v>0</v>
      </c>
      <c r="N1302">
        <v>0</v>
      </c>
      <c r="O1302">
        <v>54426000</v>
      </c>
      <c r="P1302">
        <v>0</v>
      </c>
      <c r="Q1302">
        <v>0</v>
      </c>
      <c r="R1302">
        <v>60649000</v>
      </c>
      <c r="S1302">
        <v>0</v>
      </c>
      <c r="T1302">
        <v>0</v>
      </c>
      <c r="U1302">
        <v>70445000</v>
      </c>
      <c r="V1302">
        <v>0</v>
      </c>
      <c r="W1302">
        <v>0</v>
      </c>
      <c r="X1302">
        <v>0</v>
      </c>
    </row>
    <row r="1303" spans="1:24">
      <c r="A1303">
        <v>988</v>
      </c>
      <c r="B1303" t="s">
        <v>3510</v>
      </c>
      <c r="C1303">
        <v>2</v>
      </c>
      <c r="D1303" t="s">
        <v>3511</v>
      </c>
      <c r="E1303">
        <v>8</v>
      </c>
      <c r="F1303">
        <v>3</v>
      </c>
      <c r="G1303">
        <v>3</v>
      </c>
      <c r="H1303" t="s">
        <v>3512</v>
      </c>
      <c r="I1303">
        <v>51.4</v>
      </c>
      <c r="J1303">
        <v>27.896000000000001</v>
      </c>
      <c r="K1303" t="str">
        <f>"CFHR2"</f>
        <v>CFHR2</v>
      </c>
      <c r="L1303" t="str">
        <f>"CFHR2"</f>
        <v>CFHR2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15381000</v>
      </c>
    </row>
    <row r="1304" spans="1:24">
      <c r="A1304">
        <v>1060</v>
      </c>
      <c r="B1304" t="s">
        <v>3513</v>
      </c>
      <c r="C1304">
        <v>2</v>
      </c>
      <c r="D1304" t="s">
        <v>3514</v>
      </c>
      <c r="E1304">
        <v>5</v>
      </c>
      <c r="F1304">
        <v>5</v>
      </c>
      <c r="G1304">
        <v>5</v>
      </c>
      <c r="H1304" t="s">
        <v>3515</v>
      </c>
      <c r="I1304">
        <v>24.5</v>
      </c>
      <c r="J1304">
        <v>29.667999999999999</v>
      </c>
      <c r="K1304" t="str">
        <f>"UQCRFS1;UQCRFS1P1"</f>
        <v>UQCRFS1;UQCRFS1P1</v>
      </c>
      <c r="L1304" t="str">
        <f>"UQCRFS1;UQCRFS1P1"</f>
        <v>UQCRFS1;UQCRFS1P1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</row>
    <row r="1305" spans="1:24">
      <c r="A1305">
        <v>1080</v>
      </c>
      <c r="B1305" t="s">
        <v>3516</v>
      </c>
      <c r="C1305">
        <v>2</v>
      </c>
      <c r="D1305" t="s">
        <v>3517</v>
      </c>
      <c r="E1305">
        <v>4</v>
      </c>
      <c r="F1305">
        <v>4</v>
      </c>
      <c r="G1305">
        <v>4</v>
      </c>
      <c r="H1305" t="s">
        <v>3518</v>
      </c>
      <c r="I1305">
        <v>11.3</v>
      </c>
      <c r="J1305">
        <v>46.454000000000001</v>
      </c>
      <c r="K1305" t="str">
        <f>"ALDH9A1"</f>
        <v>ALDH9A1</v>
      </c>
      <c r="L1305" t="str">
        <f>"ALDH9A1"</f>
        <v>ALDH9A1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</row>
    <row r="1306" spans="1:24">
      <c r="A1306">
        <v>1262</v>
      </c>
      <c r="B1306" t="s">
        <v>3519</v>
      </c>
      <c r="C1306">
        <v>2</v>
      </c>
      <c r="D1306" t="s">
        <v>3520</v>
      </c>
      <c r="E1306">
        <v>4</v>
      </c>
      <c r="F1306">
        <v>4</v>
      </c>
      <c r="G1306">
        <v>4</v>
      </c>
      <c r="H1306" t="s">
        <v>3521</v>
      </c>
      <c r="I1306">
        <v>27.6</v>
      </c>
      <c r="J1306">
        <v>17.173999999999999</v>
      </c>
      <c r="K1306" t="str">
        <f>"UBE2H"</f>
        <v>UBE2H</v>
      </c>
      <c r="L1306" t="str">
        <f>"UBE2H"</f>
        <v>UBE2H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37399000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</row>
    <row r="1307" spans="1:24">
      <c r="A1307">
        <v>1371</v>
      </c>
      <c r="B1307" t="s">
        <v>3522</v>
      </c>
      <c r="C1307">
        <v>2</v>
      </c>
      <c r="D1307" t="s">
        <v>3523</v>
      </c>
      <c r="E1307">
        <v>2</v>
      </c>
      <c r="F1307">
        <v>2</v>
      </c>
      <c r="G1307">
        <v>2</v>
      </c>
      <c r="H1307" t="s">
        <v>3524</v>
      </c>
      <c r="I1307">
        <v>18.399999999999999</v>
      </c>
      <c r="J1307">
        <v>16.690999999999999</v>
      </c>
      <c r="K1307" t="str">
        <f>"PLP2"</f>
        <v>PLP2</v>
      </c>
      <c r="L1307" t="str">
        <f>"PLP2"</f>
        <v>PLP2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</row>
    <row r="1308" spans="1:24">
      <c r="A1308">
        <v>1383</v>
      </c>
      <c r="B1308" t="s">
        <v>3525</v>
      </c>
      <c r="C1308">
        <v>1</v>
      </c>
      <c r="D1308" t="s">
        <v>3526</v>
      </c>
      <c r="E1308">
        <v>3</v>
      </c>
      <c r="F1308">
        <v>3</v>
      </c>
      <c r="G1308">
        <v>3</v>
      </c>
      <c r="H1308" t="s">
        <v>3525</v>
      </c>
      <c r="I1308">
        <v>23.8</v>
      </c>
      <c r="J1308">
        <v>31.361999999999998</v>
      </c>
      <c r="K1308" t="str">
        <f>"C1QBP"</f>
        <v>C1QBP</v>
      </c>
      <c r="L1308" t="str">
        <f>"C1QBP"</f>
        <v>C1QBP</v>
      </c>
      <c r="M1308">
        <v>0</v>
      </c>
      <c r="N1308">
        <v>97366000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>
      <c r="A1309">
        <v>1524</v>
      </c>
      <c r="B1309" t="s">
        <v>3527</v>
      </c>
      <c r="C1309">
        <v>6</v>
      </c>
      <c r="D1309" t="s">
        <v>3528</v>
      </c>
      <c r="E1309">
        <v>6</v>
      </c>
      <c r="F1309">
        <v>6</v>
      </c>
      <c r="G1309">
        <v>6</v>
      </c>
      <c r="H1309" t="s">
        <v>3529</v>
      </c>
      <c r="I1309">
        <v>5.6</v>
      </c>
      <c r="J1309">
        <v>159.75</v>
      </c>
      <c r="K1309" t="str">
        <f>"GAPVD1"</f>
        <v>GAPVD1</v>
      </c>
      <c r="L1309" t="str">
        <f>"GAPVD1"</f>
        <v>GAPVD1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92193000</v>
      </c>
    </row>
    <row r="1310" spans="1:24">
      <c r="A1310">
        <v>1739</v>
      </c>
      <c r="B1310" t="s">
        <v>3530</v>
      </c>
      <c r="C1310">
        <v>1</v>
      </c>
      <c r="D1310" t="s">
        <v>3531</v>
      </c>
      <c r="E1310">
        <v>2</v>
      </c>
      <c r="F1310">
        <v>2</v>
      </c>
      <c r="G1310">
        <v>2</v>
      </c>
      <c r="H1310" t="s">
        <v>3530</v>
      </c>
      <c r="I1310">
        <v>6.7</v>
      </c>
      <c r="J1310">
        <v>31.538</v>
      </c>
      <c r="K1310" t="str">
        <f>"TSPAN33"</f>
        <v>TSPAN33</v>
      </c>
      <c r="L1310" t="str">
        <f>"TSPAN33"</f>
        <v>TSPAN33</v>
      </c>
      <c r="M1310">
        <v>0</v>
      </c>
      <c r="N1310">
        <v>16598000</v>
      </c>
      <c r="O1310">
        <v>19689000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</row>
    <row r="1311" spans="1:24">
      <c r="A1311">
        <v>1774</v>
      </c>
      <c r="B1311" t="s">
        <v>3532</v>
      </c>
      <c r="C1311">
        <v>2</v>
      </c>
      <c r="D1311" t="s">
        <v>3533</v>
      </c>
      <c r="E1311">
        <v>1</v>
      </c>
      <c r="F1311">
        <v>1</v>
      </c>
      <c r="G1311">
        <v>1</v>
      </c>
      <c r="H1311" t="s">
        <v>3534</v>
      </c>
      <c r="I1311">
        <v>2.6</v>
      </c>
      <c r="J1311">
        <v>52.780999999999999</v>
      </c>
      <c r="K1311" t="str">
        <f>"KATNAL2"</f>
        <v>KATNAL2</v>
      </c>
      <c r="L1311" t="str">
        <f>"KATNAL2"</f>
        <v>KATNAL2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202670000</v>
      </c>
    </row>
    <row r="1312" spans="1:24">
      <c r="A1312">
        <v>1813</v>
      </c>
      <c r="B1312" t="s">
        <v>3535</v>
      </c>
      <c r="C1312">
        <v>4</v>
      </c>
      <c r="D1312" t="s">
        <v>3536</v>
      </c>
      <c r="E1312">
        <v>10</v>
      </c>
      <c r="F1312">
        <v>10</v>
      </c>
      <c r="G1312">
        <v>10</v>
      </c>
      <c r="H1312" t="s">
        <v>3537</v>
      </c>
      <c r="I1312">
        <v>6.5</v>
      </c>
      <c r="J1312">
        <v>227.47</v>
      </c>
      <c r="K1312" t="str">
        <f>"DOCK8"</f>
        <v>DOCK8</v>
      </c>
      <c r="L1312" t="str">
        <f>"DOCK8"</f>
        <v>DOCK8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>
      <c r="A1313">
        <v>1944</v>
      </c>
      <c r="B1313" t="s">
        <v>3538</v>
      </c>
      <c r="C1313">
        <v>4</v>
      </c>
      <c r="D1313" t="s">
        <v>3539</v>
      </c>
      <c r="E1313">
        <v>5</v>
      </c>
      <c r="F1313">
        <v>5</v>
      </c>
      <c r="G1313">
        <v>5</v>
      </c>
      <c r="H1313" t="s">
        <v>3540</v>
      </c>
      <c r="I1313">
        <v>9.3000000000000007</v>
      </c>
      <c r="J1313">
        <v>56.92</v>
      </c>
      <c r="K1313" t="str">
        <f>"CDK5RAP3"</f>
        <v>CDK5RAP3</v>
      </c>
      <c r="L1313" t="str">
        <f>"CDK5RAP3"</f>
        <v>CDK5RAP3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</row>
    <row r="1314" spans="1:24">
      <c r="A1314">
        <v>1978</v>
      </c>
      <c r="B1314" t="s">
        <v>3541</v>
      </c>
      <c r="C1314">
        <v>2</v>
      </c>
      <c r="D1314" t="s">
        <v>3542</v>
      </c>
      <c r="E1314">
        <v>4</v>
      </c>
      <c r="F1314">
        <v>4</v>
      </c>
      <c r="G1314">
        <v>4</v>
      </c>
      <c r="H1314" t="s">
        <v>3543</v>
      </c>
      <c r="I1314">
        <v>26</v>
      </c>
      <c r="J1314">
        <v>29.965</v>
      </c>
      <c r="K1314" t="str">
        <f>"PSMB7"</f>
        <v>PSMB7</v>
      </c>
      <c r="L1314" t="str">
        <f>"PSMB7"</f>
        <v>PSMB7</v>
      </c>
      <c r="M1314">
        <v>0</v>
      </c>
      <c r="N1314">
        <v>0</v>
      </c>
      <c r="O1314">
        <v>26705000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>
      <c r="A1315">
        <v>2054</v>
      </c>
      <c r="B1315" t="s">
        <v>3544</v>
      </c>
      <c r="C1315">
        <v>3</v>
      </c>
      <c r="D1315" t="s">
        <v>3545</v>
      </c>
      <c r="E1315">
        <v>7</v>
      </c>
      <c r="F1315">
        <v>7</v>
      </c>
      <c r="G1315">
        <v>7</v>
      </c>
      <c r="H1315" t="s">
        <v>3546</v>
      </c>
      <c r="I1315">
        <v>6</v>
      </c>
      <c r="J1315">
        <v>148.49</v>
      </c>
      <c r="K1315" t="str">
        <f>"PITPNM2"</f>
        <v>PITPNM2</v>
      </c>
      <c r="L1315" t="str">
        <f>"PITPNM2"</f>
        <v>PITPNM2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</row>
    <row r="1316" spans="1:24">
      <c r="A1316">
        <v>2103</v>
      </c>
      <c r="B1316" t="s">
        <v>3547</v>
      </c>
      <c r="C1316">
        <v>2</v>
      </c>
      <c r="D1316" t="s">
        <v>3548</v>
      </c>
      <c r="E1316">
        <v>3</v>
      </c>
      <c r="F1316">
        <v>3</v>
      </c>
      <c r="G1316">
        <v>3</v>
      </c>
      <c r="H1316" t="s">
        <v>3549</v>
      </c>
      <c r="I1316">
        <v>47</v>
      </c>
      <c r="J1316">
        <v>12.923999999999999</v>
      </c>
      <c r="K1316" t="str">
        <f>"RGCC"</f>
        <v>RGCC</v>
      </c>
      <c r="L1316" t="str">
        <f>"RGCC"</f>
        <v>RGCC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53332000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</row>
    <row r="1317" spans="1:24">
      <c r="A1317">
        <v>2363</v>
      </c>
      <c r="B1317" t="s">
        <v>3550</v>
      </c>
      <c r="C1317">
        <v>1</v>
      </c>
      <c r="D1317" t="s">
        <v>3551</v>
      </c>
      <c r="E1317">
        <v>8</v>
      </c>
      <c r="F1317">
        <v>8</v>
      </c>
      <c r="G1317">
        <v>8</v>
      </c>
      <c r="H1317" t="s">
        <v>3550</v>
      </c>
      <c r="I1317">
        <v>19.399999999999999</v>
      </c>
      <c r="J1317">
        <v>71.45</v>
      </c>
      <c r="K1317" t="str">
        <f>"CD2AP"</f>
        <v>CD2AP</v>
      </c>
      <c r="L1317" t="str">
        <f>"CD2AP"</f>
        <v>CD2AP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>
      <c r="A1318">
        <v>154</v>
      </c>
      <c r="B1318" t="s">
        <v>3552</v>
      </c>
      <c r="C1318">
        <v>5</v>
      </c>
      <c r="D1318" t="s">
        <v>3553</v>
      </c>
      <c r="E1318">
        <v>2</v>
      </c>
      <c r="F1318">
        <v>2</v>
      </c>
      <c r="G1318">
        <v>2</v>
      </c>
      <c r="H1318" t="s">
        <v>3554</v>
      </c>
      <c r="I1318">
        <v>13.4</v>
      </c>
      <c r="J1318">
        <v>24.829000000000001</v>
      </c>
      <c r="K1318" t="str">
        <f>"LAT"</f>
        <v>LAT</v>
      </c>
      <c r="L1318" t="str">
        <f>"LAT"</f>
        <v>LAT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46819000</v>
      </c>
      <c r="V1318">
        <v>0</v>
      </c>
      <c r="W1318">
        <v>0</v>
      </c>
      <c r="X1318">
        <v>0</v>
      </c>
    </row>
    <row r="1319" spans="1:24">
      <c r="A1319">
        <v>246</v>
      </c>
      <c r="B1319" t="s">
        <v>3555</v>
      </c>
      <c r="C1319">
        <v>1</v>
      </c>
      <c r="D1319" t="s">
        <v>3556</v>
      </c>
      <c r="E1319">
        <v>7</v>
      </c>
      <c r="F1319">
        <v>6</v>
      </c>
      <c r="G1319">
        <v>6</v>
      </c>
      <c r="H1319" t="s">
        <v>3555</v>
      </c>
      <c r="I1319">
        <v>8.6</v>
      </c>
      <c r="J1319">
        <v>112.13</v>
      </c>
      <c r="K1319" t="str">
        <f>"STK10"</f>
        <v>STK10</v>
      </c>
      <c r="L1319" t="str">
        <f>"STK10"</f>
        <v>STK10</v>
      </c>
      <c r="M1319">
        <v>0</v>
      </c>
      <c r="N1319">
        <v>0</v>
      </c>
      <c r="O1319">
        <v>24365000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</row>
    <row r="1320" spans="1:24">
      <c r="A1320">
        <v>500</v>
      </c>
      <c r="B1320" t="s">
        <v>3557</v>
      </c>
      <c r="C1320">
        <v>3</v>
      </c>
      <c r="D1320" t="s">
        <v>3558</v>
      </c>
      <c r="E1320">
        <v>6</v>
      </c>
      <c r="F1320">
        <v>1</v>
      </c>
      <c r="G1320">
        <v>0</v>
      </c>
      <c r="H1320" t="s">
        <v>3559</v>
      </c>
      <c r="I1320">
        <v>35.5</v>
      </c>
      <c r="J1320">
        <v>13.38</v>
      </c>
      <c r="K1320" t="str">
        <f>"IGKV4-1"</f>
        <v>IGKV4-1</v>
      </c>
      <c r="L1320" t="str">
        <f>"IGKV4-1"</f>
        <v>IGKV4-1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</row>
    <row r="1321" spans="1:24">
      <c r="A1321">
        <v>588</v>
      </c>
      <c r="B1321" t="s">
        <v>3560</v>
      </c>
      <c r="C1321">
        <v>2</v>
      </c>
      <c r="D1321" t="s">
        <v>3561</v>
      </c>
      <c r="E1321">
        <v>8</v>
      </c>
      <c r="F1321">
        <v>8</v>
      </c>
      <c r="G1321">
        <v>8</v>
      </c>
      <c r="H1321" t="s">
        <v>3562</v>
      </c>
      <c r="I1321">
        <v>18.7</v>
      </c>
      <c r="J1321">
        <v>45.097999999999999</v>
      </c>
      <c r="K1321" t="str">
        <f>"CNP"</f>
        <v>CNP</v>
      </c>
      <c r="L1321" t="str">
        <f>"CNP"</f>
        <v>CNP</v>
      </c>
      <c r="M1321">
        <v>0</v>
      </c>
      <c r="N1321">
        <v>24965000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>
      <c r="A1322">
        <v>678</v>
      </c>
      <c r="B1322" t="s">
        <v>3563</v>
      </c>
      <c r="C1322">
        <v>1</v>
      </c>
      <c r="D1322" t="s">
        <v>3564</v>
      </c>
      <c r="E1322">
        <v>2</v>
      </c>
      <c r="F1322">
        <v>2</v>
      </c>
      <c r="G1322">
        <v>2</v>
      </c>
      <c r="H1322" t="s">
        <v>3563</v>
      </c>
      <c r="I1322">
        <v>17.399999999999999</v>
      </c>
      <c r="J1322">
        <v>12.476000000000001</v>
      </c>
      <c r="K1322" t="str">
        <f>"MIF"</f>
        <v>MIF</v>
      </c>
      <c r="L1322" t="str">
        <f>"MIF"</f>
        <v>MIF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366210000</v>
      </c>
      <c r="V1322">
        <v>0</v>
      </c>
      <c r="W1322">
        <v>0</v>
      </c>
      <c r="X1322">
        <v>0</v>
      </c>
    </row>
    <row r="1323" spans="1:24">
      <c r="A1323">
        <v>839</v>
      </c>
      <c r="B1323" t="s">
        <v>3565</v>
      </c>
      <c r="C1323">
        <v>2</v>
      </c>
      <c r="D1323" t="s">
        <v>3566</v>
      </c>
      <c r="E1323">
        <v>10</v>
      </c>
      <c r="F1323">
        <v>10</v>
      </c>
      <c r="G1323">
        <v>10</v>
      </c>
      <c r="H1323" t="s">
        <v>3567</v>
      </c>
      <c r="I1323">
        <v>10.199999999999999</v>
      </c>
      <c r="J1323">
        <v>140.47</v>
      </c>
      <c r="K1323" t="str">
        <f>"VARS"</f>
        <v>VARS</v>
      </c>
      <c r="L1323" t="str">
        <f>"VARS"</f>
        <v>VARS</v>
      </c>
      <c r="M1323">
        <v>0</v>
      </c>
      <c r="N1323">
        <v>0</v>
      </c>
      <c r="O1323">
        <v>47327000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45244000</v>
      </c>
    </row>
    <row r="1324" spans="1:24">
      <c r="A1324">
        <v>1009</v>
      </c>
      <c r="B1324" t="s">
        <v>3568</v>
      </c>
      <c r="C1324">
        <v>3</v>
      </c>
      <c r="D1324" t="s">
        <v>3569</v>
      </c>
      <c r="E1324">
        <v>9</v>
      </c>
      <c r="F1324">
        <v>9</v>
      </c>
      <c r="G1324">
        <v>9</v>
      </c>
      <c r="H1324" t="s">
        <v>3570</v>
      </c>
      <c r="I1324">
        <v>26.5</v>
      </c>
      <c r="J1324">
        <v>51.109000000000002</v>
      </c>
      <c r="K1324" t="str">
        <f>"EIF2S3;EIF2S3L"</f>
        <v>EIF2S3;EIF2S3L</v>
      </c>
      <c r="L1324" t="str">
        <f>"EIF2S3;EIF2S3L"</f>
        <v>EIF2S3;EIF2S3L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</row>
    <row r="1325" spans="1:24">
      <c r="A1325">
        <v>1103</v>
      </c>
      <c r="B1325" t="s">
        <v>3571</v>
      </c>
      <c r="C1325">
        <v>3</v>
      </c>
      <c r="D1325" t="s">
        <v>3572</v>
      </c>
      <c r="E1325">
        <v>7</v>
      </c>
      <c r="F1325">
        <v>7</v>
      </c>
      <c r="G1325">
        <v>7</v>
      </c>
      <c r="H1325" t="s">
        <v>3573</v>
      </c>
      <c r="I1325">
        <v>28.6</v>
      </c>
      <c r="J1325">
        <v>46.744</v>
      </c>
      <c r="K1325" t="str">
        <f>"GSK3B;GSK3A"</f>
        <v>GSK3B;GSK3A</v>
      </c>
      <c r="L1325" t="str">
        <f>"GSK3B;GSK3A"</f>
        <v>GSK3B;GSK3A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>
      <c r="A1326">
        <v>1150</v>
      </c>
      <c r="B1326" t="s">
        <v>3574</v>
      </c>
      <c r="C1326">
        <v>3</v>
      </c>
      <c r="D1326" t="s">
        <v>3575</v>
      </c>
      <c r="E1326">
        <v>10</v>
      </c>
      <c r="F1326">
        <v>10</v>
      </c>
      <c r="G1326">
        <v>10</v>
      </c>
      <c r="H1326" t="s">
        <v>3576</v>
      </c>
      <c r="I1326">
        <v>12.5</v>
      </c>
      <c r="J1326">
        <v>121.27</v>
      </c>
      <c r="K1326" t="str">
        <f>"JAK3"</f>
        <v>JAK3</v>
      </c>
      <c r="L1326" t="str">
        <f>"JAK3"</f>
        <v>JAK3</v>
      </c>
      <c r="M1326">
        <v>0</v>
      </c>
      <c r="N1326">
        <v>35991000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</row>
    <row r="1327" spans="1:24">
      <c r="A1327">
        <v>1183</v>
      </c>
      <c r="B1327" t="s">
        <v>3577</v>
      </c>
      <c r="C1327">
        <v>2</v>
      </c>
      <c r="D1327" t="s">
        <v>3578</v>
      </c>
      <c r="E1327">
        <v>3</v>
      </c>
      <c r="F1327">
        <v>3</v>
      </c>
      <c r="G1327">
        <v>3</v>
      </c>
      <c r="H1327" t="s">
        <v>3579</v>
      </c>
      <c r="I1327">
        <v>10.6</v>
      </c>
      <c r="J1327">
        <v>40.735999999999997</v>
      </c>
      <c r="K1327" t="str">
        <f>"PSMD4"</f>
        <v>PSMD4</v>
      </c>
      <c r="L1327" t="str">
        <f>"PSMD4"</f>
        <v>PSMD4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72977000</v>
      </c>
    </row>
    <row r="1328" spans="1:24">
      <c r="A1328">
        <v>1199</v>
      </c>
      <c r="B1328" t="s">
        <v>3580</v>
      </c>
      <c r="C1328">
        <v>2</v>
      </c>
      <c r="D1328" t="s">
        <v>3581</v>
      </c>
      <c r="E1328">
        <v>6</v>
      </c>
      <c r="F1328">
        <v>6</v>
      </c>
      <c r="G1328">
        <v>6</v>
      </c>
      <c r="H1328" t="s">
        <v>3582</v>
      </c>
      <c r="I1328">
        <v>14.8</v>
      </c>
      <c r="J1328">
        <v>56.156999999999996</v>
      </c>
      <c r="K1328" t="str">
        <f>"OXCT1"</f>
        <v>OXCT1</v>
      </c>
      <c r="L1328" t="str">
        <f>"OXCT1"</f>
        <v>OXCT1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39220000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>
      <c r="A1329">
        <v>1259</v>
      </c>
      <c r="B1329" t="s">
        <v>3583</v>
      </c>
      <c r="C1329">
        <v>2</v>
      </c>
      <c r="D1329" t="s">
        <v>3584</v>
      </c>
      <c r="E1329">
        <v>6</v>
      </c>
      <c r="F1329">
        <v>6</v>
      </c>
      <c r="G1329">
        <v>6</v>
      </c>
      <c r="H1329" t="s">
        <v>3585</v>
      </c>
      <c r="I1329">
        <v>19.100000000000001</v>
      </c>
      <c r="J1329">
        <v>49.183999999999997</v>
      </c>
      <c r="K1329" t="str">
        <f>"PSMC1"</f>
        <v>PSMC1</v>
      </c>
      <c r="L1329" t="str">
        <f>"PSMC1"</f>
        <v>PSMC1</v>
      </c>
      <c r="M1329">
        <v>0</v>
      </c>
      <c r="N1329">
        <v>98279000</v>
      </c>
      <c r="O1329">
        <v>0</v>
      </c>
      <c r="P1329">
        <v>0</v>
      </c>
      <c r="Q1329">
        <v>0</v>
      </c>
      <c r="R1329">
        <v>52659000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</row>
    <row r="1330" spans="1:24">
      <c r="A1330">
        <v>1324</v>
      </c>
      <c r="B1330" t="s">
        <v>3586</v>
      </c>
      <c r="C1330">
        <v>1</v>
      </c>
      <c r="D1330" t="s">
        <v>3587</v>
      </c>
      <c r="E1330">
        <v>7</v>
      </c>
      <c r="F1330">
        <v>3</v>
      </c>
      <c r="G1330">
        <v>3</v>
      </c>
      <c r="H1330" t="s">
        <v>3586</v>
      </c>
      <c r="I1330">
        <v>40.6</v>
      </c>
      <c r="J1330">
        <v>20.529</v>
      </c>
      <c r="K1330" t="str">
        <f>"ARF5"</f>
        <v>ARF5</v>
      </c>
      <c r="L1330" t="str">
        <f>"ARF5"</f>
        <v>ARF5</v>
      </c>
      <c r="M1330">
        <v>0</v>
      </c>
      <c r="N1330">
        <v>25815000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>
      <c r="A1331">
        <v>1437</v>
      </c>
      <c r="B1331" t="s">
        <v>3588</v>
      </c>
      <c r="C1331">
        <v>2</v>
      </c>
      <c r="D1331" t="s">
        <v>3589</v>
      </c>
      <c r="E1331">
        <v>3</v>
      </c>
      <c r="F1331">
        <v>3</v>
      </c>
      <c r="G1331">
        <v>3</v>
      </c>
      <c r="H1331" t="s">
        <v>3590</v>
      </c>
      <c r="I1331">
        <v>7.3</v>
      </c>
      <c r="J1331">
        <v>52.164000000000001</v>
      </c>
      <c r="K1331" t="str">
        <f>"G3BP1"</f>
        <v>G3BP1</v>
      </c>
      <c r="L1331" t="str">
        <f>"G3BP1"</f>
        <v>G3BP1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50203000</v>
      </c>
      <c r="W1331">
        <v>0</v>
      </c>
      <c r="X1331">
        <v>0</v>
      </c>
    </row>
    <row r="1332" spans="1:24">
      <c r="A1332">
        <v>1505</v>
      </c>
      <c r="B1332" t="s">
        <v>3591</v>
      </c>
      <c r="C1332">
        <v>2</v>
      </c>
      <c r="D1332" t="s">
        <v>3592</v>
      </c>
      <c r="E1332">
        <v>12</v>
      </c>
      <c r="F1332">
        <v>7</v>
      </c>
      <c r="G1332">
        <v>7</v>
      </c>
      <c r="H1332" t="s">
        <v>3593</v>
      </c>
      <c r="I1332">
        <v>4.5</v>
      </c>
      <c r="J1332">
        <v>308.06</v>
      </c>
      <c r="K1332" t="str">
        <f>"ITPR2"</f>
        <v>ITPR2</v>
      </c>
      <c r="L1332" t="str">
        <f>"ITPR2"</f>
        <v>ITPR2</v>
      </c>
      <c r="M1332">
        <v>0</v>
      </c>
      <c r="N1332">
        <v>65197000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67594000</v>
      </c>
    </row>
    <row r="1333" spans="1:24">
      <c r="A1333">
        <v>1537</v>
      </c>
      <c r="B1333" t="s">
        <v>3594</v>
      </c>
      <c r="C1333">
        <v>2</v>
      </c>
      <c r="D1333" t="s">
        <v>3595</v>
      </c>
      <c r="E1333">
        <v>8</v>
      </c>
      <c r="F1333">
        <v>8</v>
      </c>
      <c r="G1333">
        <v>8</v>
      </c>
      <c r="H1333" t="s">
        <v>3596</v>
      </c>
      <c r="I1333">
        <v>26.6</v>
      </c>
      <c r="J1333">
        <v>49.244</v>
      </c>
      <c r="K1333" t="str">
        <f>"PDK1"</f>
        <v>PDK1</v>
      </c>
      <c r="L1333" t="str">
        <f>"PDK1"</f>
        <v>PDK1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74068000</v>
      </c>
    </row>
    <row r="1334" spans="1:24">
      <c r="A1334">
        <v>1593</v>
      </c>
      <c r="B1334" t="s">
        <v>3597</v>
      </c>
      <c r="C1334">
        <v>4</v>
      </c>
      <c r="D1334" t="s">
        <v>3598</v>
      </c>
      <c r="E1334">
        <v>5</v>
      </c>
      <c r="F1334">
        <v>3</v>
      </c>
      <c r="G1334">
        <v>3</v>
      </c>
      <c r="H1334" t="s">
        <v>3599</v>
      </c>
      <c r="I1334">
        <v>19.899999999999999</v>
      </c>
      <c r="J1334">
        <v>42.987000000000002</v>
      </c>
      <c r="K1334" t="str">
        <f>"MAPKAPK3;TSSK3;PRKY;PRKX"</f>
        <v>MAPKAPK3;TSSK3;PRKY;PRKX</v>
      </c>
      <c r="L1334" t="str">
        <f>"MAPKAPK3;TSSK3;PRKY;PRKX"</f>
        <v>MAPKAPK3;TSSK3;PRKY;PRKX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</row>
    <row r="1335" spans="1:24">
      <c r="A1335">
        <v>1675</v>
      </c>
      <c r="B1335" t="s">
        <v>3600</v>
      </c>
      <c r="C1335">
        <v>2</v>
      </c>
      <c r="D1335" t="s">
        <v>3601</v>
      </c>
      <c r="E1335">
        <v>5</v>
      </c>
      <c r="F1335">
        <v>5</v>
      </c>
      <c r="G1335">
        <v>5</v>
      </c>
      <c r="H1335" t="s">
        <v>3602</v>
      </c>
      <c r="I1335">
        <v>9.8000000000000007</v>
      </c>
      <c r="J1335">
        <v>51.353999999999999</v>
      </c>
      <c r="K1335" t="str">
        <f>"SLC25A24"</f>
        <v>SLC25A24</v>
      </c>
      <c r="L1335" t="str">
        <f>"SLC25A24"</f>
        <v>SLC25A24</v>
      </c>
      <c r="M1335">
        <v>0</v>
      </c>
      <c r="N1335">
        <v>36908000</v>
      </c>
      <c r="O1335">
        <v>39091000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</row>
    <row r="1336" spans="1:24">
      <c r="A1336">
        <v>1679</v>
      </c>
      <c r="B1336" t="s">
        <v>3603</v>
      </c>
      <c r="C1336">
        <v>2</v>
      </c>
      <c r="D1336" t="s">
        <v>3604</v>
      </c>
      <c r="E1336">
        <v>1</v>
      </c>
      <c r="F1336">
        <v>1</v>
      </c>
      <c r="G1336">
        <v>1</v>
      </c>
      <c r="H1336" t="s">
        <v>3605</v>
      </c>
      <c r="I1336">
        <v>2.6</v>
      </c>
      <c r="J1336">
        <v>42.764000000000003</v>
      </c>
      <c r="K1336" t="str">
        <f>"C16orf46"</f>
        <v>C16orf46</v>
      </c>
      <c r="L1336" t="str">
        <f>"C16orf46"</f>
        <v>C16orf46</v>
      </c>
      <c r="M1336">
        <v>37474000</v>
      </c>
      <c r="N1336">
        <v>0</v>
      </c>
      <c r="O1336">
        <v>0</v>
      </c>
      <c r="P1336">
        <v>0</v>
      </c>
      <c r="Q1336">
        <v>29234000</v>
      </c>
      <c r="R1336">
        <v>0</v>
      </c>
      <c r="S1336">
        <v>0</v>
      </c>
      <c r="T1336">
        <v>0</v>
      </c>
      <c r="U1336">
        <v>0</v>
      </c>
      <c r="V1336">
        <v>34469000</v>
      </c>
      <c r="W1336">
        <v>0</v>
      </c>
      <c r="X1336">
        <v>0</v>
      </c>
    </row>
    <row r="1337" spans="1:24">
      <c r="A1337">
        <v>1703</v>
      </c>
      <c r="B1337" t="s">
        <v>3606</v>
      </c>
      <c r="C1337">
        <v>3</v>
      </c>
      <c r="D1337" t="s">
        <v>3607</v>
      </c>
      <c r="E1337">
        <v>1</v>
      </c>
      <c r="F1337">
        <v>1</v>
      </c>
      <c r="G1337">
        <v>1</v>
      </c>
      <c r="H1337" t="s">
        <v>3608</v>
      </c>
      <c r="I1337">
        <v>3.1</v>
      </c>
      <c r="J1337">
        <v>34.762999999999998</v>
      </c>
      <c r="K1337" t="str">
        <f>"C15orf52"</f>
        <v>C15orf52</v>
      </c>
      <c r="L1337" t="str">
        <f>"C15orf52"</f>
        <v>C15orf52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20238000</v>
      </c>
    </row>
    <row r="1338" spans="1:24">
      <c r="A1338">
        <v>1704</v>
      </c>
      <c r="B1338" t="s">
        <v>3609</v>
      </c>
      <c r="C1338">
        <v>1</v>
      </c>
      <c r="D1338" t="s">
        <v>3610</v>
      </c>
      <c r="E1338">
        <v>2</v>
      </c>
      <c r="F1338">
        <v>2</v>
      </c>
      <c r="G1338">
        <v>2</v>
      </c>
      <c r="H1338" t="s">
        <v>3609</v>
      </c>
      <c r="I1338">
        <v>14.9</v>
      </c>
      <c r="J1338">
        <v>24.486000000000001</v>
      </c>
      <c r="K1338" t="str">
        <f>"LHFPL2"</f>
        <v>LHFPL2</v>
      </c>
      <c r="L1338" t="str">
        <f>"LHFPL2"</f>
        <v>LHFPL2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119510000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>
      <c r="A1339">
        <v>1721</v>
      </c>
      <c r="B1339" t="s">
        <v>3611</v>
      </c>
      <c r="C1339">
        <v>1</v>
      </c>
      <c r="D1339" t="s">
        <v>3612</v>
      </c>
      <c r="E1339">
        <v>6</v>
      </c>
      <c r="F1339">
        <v>6</v>
      </c>
      <c r="G1339">
        <v>6</v>
      </c>
      <c r="H1339" t="s">
        <v>3611</v>
      </c>
      <c r="I1339">
        <v>28.4</v>
      </c>
      <c r="J1339">
        <v>36.162999999999997</v>
      </c>
      <c r="K1339" t="str">
        <f>"COPS6"</f>
        <v>COPS6</v>
      </c>
      <c r="L1339" t="str">
        <f>"COPS6"</f>
        <v>COPS6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104340000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</row>
    <row r="1340" spans="1:24">
      <c r="A1340">
        <v>1733</v>
      </c>
      <c r="B1340" t="s">
        <v>3613</v>
      </c>
      <c r="C1340">
        <v>3</v>
      </c>
      <c r="D1340" t="s">
        <v>3614</v>
      </c>
      <c r="E1340">
        <v>11</v>
      </c>
      <c r="F1340">
        <v>11</v>
      </c>
      <c r="G1340">
        <v>11</v>
      </c>
      <c r="H1340" t="s">
        <v>3615</v>
      </c>
      <c r="I1340">
        <v>3.5</v>
      </c>
      <c r="J1340">
        <v>480.19</v>
      </c>
      <c r="K1340" t="str">
        <f>"HUWE1"</f>
        <v>HUWE1</v>
      </c>
      <c r="L1340" t="str">
        <f>"HUWE1"</f>
        <v>HUWE1</v>
      </c>
      <c r="M1340">
        <v>0</v>
      </c>
      <c r="N1340">
        <v>46838000</v>
      </c>
      <c r="O1340">
        <v>0</v>
      </c>
      <c r="P1340">
        <v>0</v>
      </c>
      <c r="Q1340">
        <v>0</v>
      </c>
      <c r="R1340">
        <v>60196000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</row>
    <row r="1341" spans="1:24">
      <c r="A1341">
        <v>1807</v>
      </c>
      <c r="B1341" t="s">
        <v>3616</v>
      </c>
      <c r="C1341">
        <v>4</v>
      </c>
      <c r="D1341" t="s">
        <v>3617</v>
      </c>
      <c r="E1341">
        <v>8</v>
      </c>
      <c r="F1341">
        <v>8</v>
      </c>
      <c r="G1341">
        <v>8</v>
      </c>
      <c r="H1341" t="s">
        <v>3618</v>
      </c>
      <c r="I1341">
        <v>12.2</v>
      </c>
      <c r="J1341">
        <v>86.459000000000003</v>
      </c>
      <c r="K1341" t="str">
        <f>"BANK1"</f>
        <v>BANK1</v>
      </c>
      <c r="L1341" t="str">
        <f>"BANK1"</f>
        <v>BANK1</v>
      </c>
      <c r="M1341">
        <v>0</v>
      </c>
      <c r="N1341">
        <v>38879000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>
      <c r="A1342">
        <v>1856</v>
      </c>
      <c r="B1342" t="s">
        <v>3619</v>
      </c>
      <c r="C1342">
        <v>3</v>
      </c>
      <c r="D1342" t="s">
        <v>3620</v>
      </c>
      <c r="E1342">
        <v>6</v>
      </c>
      <c r="F1342">
        <v>6</v>
      </c>
      <c r="G1342">
        <v>6</v>
      </c>
      <c r="H1342" t="s">
        <v>3621</v>
      </c>
      <c r="I1342">
        <v>10</v>
      </c>
      <c r="J1342">
        <v>82.430999999999997</v>
      </c>
      <c r="K1342" t="str">
        <f>"DDX1"</f>
        <v>DDX1</v>
      </c>
      <c r="L1342" t="str">
        <f>"DDX1"</f>
        <v>DDX1</v>
      </c>
      <c r="M1342">
        <v>0</v>
      </c>
      <c r="N1342">
        <v>61636000</v>
      </c>
      <c r="O1342">
        <v>36749000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</row>
    <row r="1343" spans="1:24">
      <c r="A1343">
        <v>2027</v>
      </c>
      <c r="B1343" t="s">
        <v>3622</v>
      </c>
      <c r="C1343">
        <v>3</v>
      </c>
      <c r="D1343" t="s">
        <v>3623</v>
      </c>
      <c r="E1343">
        <v>2</v>
      </c>
      <c r="F1343">
        <v>2</v>
      </c>
      <c r="G1343">
        <v>2</v>
      </c>
      <c r="H1343" t="s">
        <v>3624</v>
      </c>
      <c r="I1343">
        <v>9.9</v>
      </c>
      <c r="J1343">
        <v>20.126000000000001</v>
      </c>
      <c r="K1343" t="str">
        <f>"DCTN5"</f>
        <v>DCTN5</v>
      </c>
      <c r="L1343" t="str">
        <f>"DCTN5"</f>
        <v>DCTN5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</row>
    <row r="1344" spans="1:24">
      <c r="A1344">
        <v>2060</v>
      </c>
      <c r="B1344" t="s">
        <v>3625</v>
      </c>
      <c r="C1344">
        <v>2</v>
      </c>
      <c r="D1344" t="s">
        <v>3626</v>
      </c>
      <c r="E1344">
        <v>4</v>
      </c>
      <c r="F1344">
        <v>4</v>
      </c>
      <c r="G1344">
        <v>4</v>
      </c>
      <c r="H1344" t="s">
        <v>3627</v>
      </c>
      <c r="I1344">
        <v>14.4</v>
      </c>
      <c r="J1344">
        <v>43.808</v>
      </c>
      <c r="K1344" t="str">
        <f>"UBXN6"</f>
        <v>UBXN6</v>
      </c>
      <c r="L1344" t="str">
        <f>"UBXN6"</f>
        <v>UBXN6</v>
      </c>
      <c r="M1344">
        <v>0</v>
      </c>
      <c r="N1344">
        <v>0</v>
      </c>
      <c r="O1344">
        <v>62209000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61676000</v>
      </c>
    </row>
    <row r="1345" spans="1:24">
      <c r="A1345">
        <v>2114</v>
      </c>
      <c r="B1345" t="s">
        <v>3628</v>
      </c>
      <c r="C1345">
        <v>3</v>
      </c>
      <c r="D1345" t="s">
        <v>3629</v>
      </c>
      <c r="E1345">
        <v>3</v>
      </c>
      <c r="F1345">
        <v>3</v>
      </c>
      <c r="G1345">
        <v>3</v>
      </c>
      <c r="H1345" t="s">
        <v>3630</v>
      </c>
      <c r="I1345">
        <v>9.1</v>
      </c>
      <c r="J1345">
        <v>47.145000000000003</v>
      </c>
      <c r="K1345" t="str">
        <f>"GORASP2"</f>
        <v>GORASP2</v>
      </c>
      <c r="L1345" t="str">
        <f>"GORASP2"</f>
        <v>GORASP2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</row>
    <row r="1346" spans="1:24">
      <c r="A1346">
        <v>2193</v>
      </c>
      <c r="B1346" t="s">
        <v>3631</v>
      </c>
      <c r="C1346">
        <v>1</v>
      </c>
      <c r="D1346" t="s">
        <v>3632</v>
      </c>
      <c r="E1346">
        <v>2</v>
      </c>
      <c r="F1346">
        <v>2</v>
      </c>
      <c r="G1346">
        <v>2</v>
      </c>
      <c r="H1346" t="s">
        <v>3631</v>
      </c>
      <c r="I1346">
        <v>11.5</v>
      </c>
      <c r="J1346">
        <v>20.419</v>
      </c>
      <c r="K1346" t="str">
        <f>"CMTM6"</f>
        <v>CMTM6</v>
      </c>
      <c r="L1346" t="str">
        <f>"CMTM6"</f>
        <v>CMTM6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>
      <c r="A1347">
        <v>2344</v>
      </c>
      <c r="B1347" t="s">
        <v>3633</v>
      </c>
      <c r="C1347">
        <v>1</v>
      </c>
      <c r="D1347" t="s">
        <v>3634</v>
      </c>
      <c r="E1347">
        <v>1</v>
      </c>
      <c r="F1347">
        <v>1</v>
      </c>
      <c r="G1347">
        <v>1</v>
      </c>
      <c r="H1347" t="s">
        <v>3633</v>
      </c>
      <c r="I1347">
        <v>10.9</v>
      </c>
      <c r="J1347">
        <v>15.425000000000001</v>
      </c>
      <c r="K1347" t="str">
        <f>"GOLT1B"</f>
        <v>GOLT1B</v>
      </c>
      <c r="L1347" t="str">
        <f>"GOLT1B"</f>
        <v>GOLT1B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17230000</v>
      </c>
    </row>
    <row r="1348" spans="1:24">
      <c r="A1348">
        <v>2345</v>
      </c>
      <c r="B1348" t="s">
        <v>3635</v>
      </c>
      <c r="C1348">
        <v>1</v>
      </c>
      <c r="D1348" t="s">
        <v>3636</v>
      </c>
      <c r="E1348">
        <v>1</v>
      </c>
      <c r="F1348">
        <v>1</v>
      </c>
      <c r="G1348">
        <v>1</v>
      </c>
      <c r="H1348" t="s">
        <v>3635</v>
      </c>
      <c r="I1348">
        <v>8.4</v>
      </c>
      <c r="J1348">
        <v>19.193000000000001</v>
      </c>
      <c r="K1348" t="str">
        <f>"PTRH2"</f>
        <v>PTRH2</v>
      </c>
      <c r="L1348" t="str">
        <f>"PTRH2"</f>
        <v>PTRH2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10247000</v>
      </c>
    </row>
    <row r="1349" spans="1:24">
      <c r="A1349">
        <v>50</v>
      </c>
      <c r="B1349" t="s">
        <v>3637</v>
      </c>
      <c r="C1349">
        <v>7</v>
      </c>
      <c r="D1349" t="s">
        <v>3638</v>
      </c>
      <c r="E1349">
        <v>7</v>
      </c>
      <c r="F1349">
        <v>7</v>
      </c>
      <c r="G1349">
        <v>7</v>
      </c>
      <c r="H1349" t="s">
        <v>3639</v>
      </c>
      <c r="I1349">
        <v>27.1</v>
      </c>
      <c r="J1349">
        <v>36.567</v>
      </c>
      <c r="K1349" t="str">
        <f>"ACOT7"</f>
        <v>ACOT7</v>
      </c>
      <c r="L1349" t="str">
        <f>"ACOT7"</f>
        <v>ACOT7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127470000</v>
      </c>
    </row>
    <row r="1350" spans="1:24">
      <c r="A1350">
        <v>73</v>
      </c>
      <c r="B1350" t="s">
        <v>3640</v>
      </c>
      <c r="C1350">
        <v>1</v>
      </c>
      <c r="D1350" t="s">
        <v>3641</v>
      </c>
      <c r="E1350">
        <v>5</v>
      </c>
      <c r="F1350">
        <v>5</v>
      </c>
      <c r="G1350">
        <v>5</v>
      </c>
      <c r="H1350" t="s">
        <v>3640</v>
      </c>
      <c r="I1350">
        <v>23.5</v>
      </c>
      <c r="J1350">
        <v>34.576999999999998</v>
      </c>
      <c r="K1350" t="str">
        <f>"PSMD14"</f>
        <v>PSMD14</v>
      </c>
      <c r="L1350" t="str">
        <f>"PSMD14"</f>
        <v>PSMD14</v>
      </c>
      <c r="M1350">
        <v>0</v>
      </c>
      <c r="N1350">
        <v>0</v>
      </c>
      <c r="O1350">
        <v>51664000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60238000</v>
      </c>
      <c r="W1350">
        <v>0</v>
      </c>
      <c r="X1350">
        <v>0</v>
      </c>
    </row>
    <row r="1351" spans="1:24">
      <c r="A1351">
        <v>169</v>
      </c>
      <c r="B1351" t="s">
        <v>3642</v>
      </c>
      <c r="C1351">
        <v>1</v>
      </c>
      <c r="D1351" t="s">
        <v>3643</v>
      </c>
      <c r="E1351">
        <v>3</v>
      </c>
      <c r="F1351">
        <v>3</v>
      </c>
      <c r="G1351">
        <v>3</v>
      </c>
      <c r="H1351" t="s">
        <v>3642</v>
      </c>
      <c r="I1351">
        <v>12.5</v>
      </c>
      <c r="J1351">
        <v>45.283000000000001</v>
      </c>
      <c r="K1351" t="str">
        <f>"LANCL1"</f>
        <v>LANCL1</v>
      </c>
      <c r="L1351" t="str">
        <f>"LANCL1"</f>
        <v>LANCL1</v>
      </c>
      <c r="M1351">
        <v>0</v>
      </c>
      <c r="N1351">
        <v>0</v>
      </c>
      <c r="O1351">
        <v>60015000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</row>
    <row r="1352" spans="1:24">
      <c r="A1352">
        <v>230</v>
      </c>
      <c r="B1352" t="s">
        <v>3644</v>
      </c>
      <c r="C1352">
        <v>1</v>
      </c>
      <c r="D1352" t="s">
        <v>3645</v>
      </c>
      <c r="E1352">
        <v>1</v>
      </c>
      <c r="F1352">
        <v>1</v>
      </c>
      <c r="G1352">
        <v>1</v>
      </c>
      <c r="H1352" t="s">
        <v>3644</v>
      </c>
      <c r="I1352">
        <v>2.8</v>
      </c>
      <c r="J1352">
        <v>35.610999999999997</v>
      </c>
      <c r="K1352" t="str">
        <f>"EIF3G"</f>
        <v>EIF3G</v>
      </c>
      <c r="L1352" t="str">
        <f>"EIF3G"</f>
        <v>EIF3G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22019000</v>
      </c>
    </row>
    <row r="1353" spans="1:24">
      <c r="A1353">
        <v>312</v>
      </c>
      <c r="B1353" t="s">
        <v>3646</v>
      </c>
      <c r="C1353">
        <v>1</v>
      </c>
      <c r="D1353" t="s">
        <v>3647</v>
      </c>
      <c r="E1353">
        <v>4</v>
      </c>
      <c r="F1353">
        <v>4</v>
      </c>
      <c r="G1353">
        <v>4</v>
      </c>
      <c r="H1353" t="s">
        <v>3646</v>
      </c>
      <c r="I1353">
        <v>30.4</v>
      </c>
      <c r="J1353">
        <v>27.033000000000001</v>
      </c>
      <c r="K1353" t="str">
        <f>"CFD"</f>
        <v>CFD</v>
      </c>
      <c r="L1353" t="str">
        <f>"CFD"</f>
        <v>CFD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68269000</v>
      </c>
      <c r="W1353">
        <v>0</v>
      </c>
      <c r="X1353">
        <v>0</v>
      </c>
    </row>
    <row r="1354" spans="1:24">
      <c r="A1354">
        <v>354</v>
      </c>
      <c r="B1354" t="s">
        <v>3648</v>
      </c>
      <c r="C1354">
        <v>1</v>
      </c>
      <c r="D1354" t="s">
        <v>3649</v>
      </c>
      <c r="E1354">
        <v>4</v>
      </c>
      <c r="F1354">
        <v>2</v>
      </c>
      <c r="G1354">
        <v>2</v>
      </c>
      <c r="H1354" t="s">
        <v>3648</v>
      </c>
      <c r="I1354">
        <v>54</v>
      </c>
      <c r="J1354">
        <v>10.728999999999999</v>
      </c>
      <c r="K1354" t="s">
        <v>476</v>
      </c>
      <c r="L1354" t="s">
        <v>476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1090400000</v>
      </c>
      <c r="X1354">
        <v>0</v>
      </c>
    </row>
    <row r="1355" spans="1:24">
      <c r="A1355">
        <v>458</v>
      </c>
      <c r="B1355" t="s">
        <v>3650</v>
      </c>
      <c r="C1355">
        <v>5</v>
      </c>
      <c r="D1355" t="s">
        <v>3651</v>
      </c>
      <c r="E1355">
        <v>6</v>
      </c>
      <c r="F1355">
        <v>6</v>
      </c>
      <c r="G1355">
        <v>6</v>
      </c>
      <c r="H1355" t="s">
        <v>3652</v>
      </c>
      <c r="I1355">
        <v>25.6</v>
      </c>
      <c r="J1355">
        <v>43.779000000000003</v>
      </c>
      <c r="K1355" t="str">
        <f>"SHBG"</f>
        <v>SHBG</v>
      </c>
      <c r="L1355" t="str">
        <f>"SHBG"</f>
        <v>SHBG</v>
      </c>
      <c r="M1355">
        <v>136560000</v>
      </c>
      <c r="N1355">
        <v>77014000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116310000</v>
      </c>
    </row>
    <row r="1356" spans="1:24">
      <c r="A1356">
        <v>460</v>
      </c>
      <c r="B1356" t="s">
        <v>3653</v>
      </c>
      <c r="C1356">
        <v>3</v>
      </c>
      <c r="D1356" t="s">
        <v>3654</v>
      </c>
      <c r="E1356">
        <v>9</v>
      </c>
      <c r="F1356">
        <v>9</v>
      </c>
      <c r="G1356">
        <v>9</v>
      </c>
      <c r="H1356" t="s">
        <v>3655</v>
      </c>
      <c r="I1356">
        <v>20</v>
      </c>
      <c r="J1356">
        <v>49.509</v>
      </c>
      <c r="K1356" t="str">
        <f>"ASL"</f>
        <v>ASL</v>
      </c>
      <c r="L1356" t="str">
        <f>"ASL"</f>
        <v>ASL</v>
      </c>
      <c r="M1356">
        <v>0</v>
      </c>
      <c r="N1356">
        <v>62964000</v>
      </c>
      <c r="O1356">
        <v>91162000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</row>
    <row r="1357" spans="1:24">
      <c r="A1357">
        <v>671</v>
      </c>
      <c r="B1357" t="s">
        <v>3656</v>
      </c>
      <c r="C1357">
        <v>1</v>
      </c>
      <c r="D1357" t="s">
        <v>3657</v>
      </c>
      <c r="E1357">
        <v>9</v>
      </c>
      <c r="F1357">
        <v>6</v>
      </c>
      <c r="G1357">
        <v>6</v>
      </c>
      <c r="H1357" t="s">
        <v>3656</v>
      </c>
      <c r="I1357">
        <v>31.8</v>
      </c>
      <c r="J1357">
        <v>40.155999999999999</v>
      </c>
      <c r="K1357" t="str">
        <f>"HLA-E"</f>
        <v>HLA-E</v>
      </c>
      <c r="L1357" t="str">
        <f>"HLA-E"</f>
        <v>HLA-E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195960000</v>
      </c>
      <c r="V1357">
        <v>0</v>
      </c>
      <c r="W1357">
        <v>0</v>
      </c>
      <c r="X1357">
        <v>159910000</v>
      </c>
    </row>
    <row r="1358" spans="1:24">
      <c r="A1358">
        <v>925</v>
      </c>
      <c r="B1358" t="s">
        <v>3658</v>
      </c>
      <c r="C1358">
        <v>2</v>
      </c>
      <c r="D1358" t="s">
        <v>3659</v>
      </c>
      <c r="E1358">
        <v>4</v>
      </c>
      <c r="F1358">
        <v>3</v>
      </c>
      <c r="G1358">
        <v>2</v>
      </c>
      <c r="H1358" t="s">
        <v>3660</v>
      </c>
      <c r="I1358">
        <v>10</v>
      </c>
      <c r="J1358">
        <v>48.345999999999997</v>
      </c>
      <c r="K1358" t="str">
        <f>"AKT1"</f>
        <v>AKT1</v>
      </c>
      <c r="L1358" t="str">
        <f>"AKT1"</f>
        <v>AKT1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</row>
    <row r="1359" spans="1:24">
      <c r="A1359">
        <v>930</v>
      </c>
      <c r="B1359" t="s">
        <v>3661</v>
      </c>
      <c r="C1359">
        <v>2</v>
      </c>
      <c r="D1359" t="s">
        <v>3662</v>
      </c>
      <c r="E1359">
        <v>3</v>
      </c>
      <c r="F1359">
        <v>3</v>
      </c>
      <c r="G1359">
        <v>1</v>
      </c>
      <c r="H1359" t="s">
        <v>3663</v>
      </c>
      <c r="I1359">
        <v>9.6</v>
      </c>
      <c r="J1359">
        <v>49.228999999999999</v>
      </c>
      <c r="K1359" t="str">
        <f>"HNRNPH1;HNRNPH2"</f>
        <v>HNRNPH1;HNRNPH2</v>
      </c>
      <c r="L1359" t="str">
        <f>"HNRNPH1;HNRNPH2"</f>
        <v>HNRNPH1;HNRNPH2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12243000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>
      <c r="A1360">
        <v>1019</v>
      </c>
      <c r="B1360" t="s">
        <v>3664</v>
      </c>
      <c r="C1360">
        <v>2</v>
      </c>
      <c r="D1360" t="s">
        <v>3665</v>
      </c>
      <c r="E1360">
        <v>19</v>
      </c>
      <c r="F1360">
        <v>4</v>
      </c>
      <c r="G1360">
        <v>4</v>
      </c>
      <c r="H1360" t="s">
        <v>3666</v>
      </c>
      <c r="I1360">
        <v>25.6</v>
      </c>
      <c r="J1360">
        <v>90.646000000000001</v>
      </c>
      <c r="K1360" t="str">
        <f>"STAT5A"</f>
        <v>STAT5A</v>
      </c>
      <c r="L1360" t="str">
        <f>"STAT5A"</f>
        <v>STAT5A</v>
      </c>
      <c r="M1360">
        <v>0</v>
      </c>
      <c r="N1360">
        <v>0</v>
      </c>
      <c r="O1360">
        <v>49683000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</row>
    <row r="1361" spans="1:24">
      <c r="A1361">
        <v>1032</v>
      </c>
      <c r="B1361" t="s">
        <v>3667</v>
      </c>
      <c r="C1361">
        <v>3</v>
      </c>
      <c r="D1361" t="s">
        <v>3668</v>
      </c>
      <c r="E1361">
        <v>5</v>
      </c>
      <c r="F1361">
        <v>5</v>
      </c>
      <c r="G1361">
        <v>5</v>
      </c>
      <c r="H1361" t="s">
        <v>3669</v>
      </c>
      <c r="I1361">
        <v>10.5</v>
      </c>
      <c r="J1361">
        <v>61.87</v>
      </c>
      <c r="K1361" t="str">
        <f>"CRAT"</f>
        <v>CRAT</v>
      </c>
      <c r="L1361" t="str">
        <f>"CRAT"</f>
        <v>CRAT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61497000</v>
      </c>
      <c r="X1361">
        <v>0</v>
      </c>
    </row>
    <row r="1362" spans="1:24">
      <c r="A1362">
        <v>1129</v>
      </c>
      <c r="B1362" t="s">
        <v>3670</v>
      </c>
      <c r="C1362">
        <v>2</v>
      </c>
      <c r="D1362" t="s">
        <v>3671</v>
      </c>
      <c r="E1362">
        <v>1</v>
      </c>
      <c r="F1362">
        <v>1</v>
      </c>
      <c r="G1362">
        <v>1</v>
      </c>
      <c r="H1362" t="s">
        <v>3672</v>
      </c>
      <c r="I1362">
        <v>2</v>
      </c>
      <c r="J1362">
        <v>52.514000000000003</v>
      </c>
      <c r="K1362" t="str">
        <f>"MMP16"</f>
        <v>MMP16</v>
      </c>
      <c r="L1362" t="str">
        <f>"MMP16"</f>
        <v>MMP16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186990000</v>
      </c>
      <c r="X1362">
        <v>0</v>
      </c>
    </row>
    <row r="1363" spans="1:24">
      <c r="A1363">
        <v>1204</v>
      </c>
      <c r="B1363" t="s">
        <v>3673</v>
      </c>
      <c r="C1363">
        <v>2</v>
      </c>
      <c r="D1363" t="s">
        <v>3674</v>
      </c>
      <c r="E1363">
        <v>7</v>
      </c>
      <c r="F1363">
        <v>7</v>
      </c>
      <c r="G1363">
        <v>7</v>
      </c>
      <c r="H1363" t="s">
        <v>3675</v>
      </c>
      <c r="I1363">
        <v>11</v>
      </c>
      <c r="J1363">
        <v>101.11</v>
      </c>
      <c r="K1363" t="str">
        <f>"MARS"</f>
        <v>MARS</v>
      </c>
      <c r="L1363" t="str">
        <f>"MARS"</f>
        <v>MARS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</row>
    <row r="1364" spans="1:24">
      <c r="A1364">
        <v>1559</v>
      </c>
      <c r="B1364" t="s">
        <v>3676</v>
      </c>
      <c r="C1364">
        <v>3</v>
      </c>
      <c r="D1364" t="s">
        <v>3677</v>
      </c>
      <c r="E1364">
        <v>9</v>
      </c>
      <c r="F1364">
        <v>9</v>
      </c>
      <c r="G1364">
        <v>9</v>
      </c>
      <c r="H1364" t="s">
        <v>3678</v>
      </c>
      <c r="I1364">
        <v>16.100000000000001</v>
      </c>
      <c r="J1364">
        <v>86.16</v>
      </c>
      <c r="K1364" t="str">
        <f>"SEC23A;SEC23B"</f>
        <v>SEC23A;SEC23B</v>
      </c>
      <c r="L1364" t="str">
        <f>"SEC23A;SEC23B"</f>
        <v>SEC23A;SEC23B</v>
      </c>
      <c r="M1364">
        <v>0</v>
      </c>
      <c r="N1364">
        <v>0</v>
      </c>
      <c r="O1364">
        <v>0</v>
      </c>
      <c r="P1364">
        <v>0</v>
      </c>
      <c r="Q1364">
        <v>22519000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</row>
    <row r="1365" spans="1:24">
      <c r="A1365">
        <v>1691</v>
      </c>
      <c r="B1365" t="s">
        <v>3679</v>
      </c>
      <c r="C1365">
        <v>3</v>
      </c>
      <c r="D1365" t="s">
        <v>3680</v>
      </c>
      <c r="E1365">
        <v>5</v>
      </c>
      <c r="F1365">
        <v>5</v>
      </c>
      <c r="G1365">
        <v>5</v>
      </c>
      <c r="H1365" t="s">
        <v>3681</v>
      </c>
      <c r="I1365">
        <v>6.7</v>
      </c>
      <c r="J1365">
        <v>82.963999999999999</v>
      </c>
      <c r="K1365" t="str">
        <f>"SUSD1"</f>
        <v>SUSD1</v>
      </c>
      <c r="L1365" t="str">
        <f>"SUSD1"</f>
        <v>SUSD1</v>
      </c>
      <c r="M1365">
        <v>0</v>
      </c>
      <c r="N1365">
        <v>0</v>
      </c>
      <c r="O1365">
        <v>0</v>
      </c>
      <c r="P1365">
        <v>36863000</v>
      </c>
      <c r="Q1365">
        <v>0</v>
      </c>
      <c r="R1365">
        <v>50992000</v>
      </c>
      <c r="S1365">
        <v>0</v>
      </c>
      <c r="T1365">
        <v>0</v>
      </c>
      <c r="U1365">
        <v>0</v>
      </c>
      <c r="V1365">
        <v>41681000</v>
      </c>
      <c r="W1365">
        <v>0</v>
      </c>
      <c r="X1365">
        <v>0</v>
      </c>
    </row>
    <row r="1366" spans="1:24">
      <c r="A1366">
        <v>1871</v>
      </c>
      <c r="B1366" t="s">
        <v>3682</v>
      </c>
      <c r="C1366">
        <v>4</v>
      </c>
      <c r="D1366" t="s">
        <v>3683</v>
      </c>
      <c r="E1366">
        <v>5</v>
      </c>
      <c r="F1366">
        <v>5</v>
      </c>
      <c r="G1366">
        <v>5</v>
      </c>
      <c r="H1366" t="s">
        <v>3684</v>
      </c>
      <c r="I1366">
        <v>21</v>
      </c>
      <c r="J1366">
        <v>43.02</v>
      </c>
      <c r="K1366" t="str">
        <f>"TFG"</f>
        <v>TFG</v>
      </c>
      <c r="L1366" t="str">
        <f>"TFG"</f>
        <v>TFG</v>
      </c>
      <c r="M1366">
        <v>0</v>
      </c>
      <c r="N1366">
        <v>51749000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</row>
    <row r="1367" spans="1:24">
      <c r="A1367">
        <v>1967</v>
      </c>
      <c r="B1367" t="s">
        <v>3685</v>
      </c>
      <c r="C1367">
        <v>1</v>
      </c>
      <c r="D1367" t="s">
        <v>3686</v>
      </c>
      <c r="E1367">
        <v>2</v>
      </c>
      <c r="F1367">
        <v>2</v>
      </c>
      <c r="G1367">
        <v>2</v>
      </c>
      <c r="H1367" t="s">
        <v>3685</v>
      </c>
      <c r="I1367">
        <v>5.2</v>
      </c>
      <c r="J1367">
        <v>41.133000000000003</v>
      </c>
      <c r="K1367" t="str">
        <f>"F2RL3"</f>
        <v>F2RL3</v>
      </c>
      <c r="L1367" t="str">
        <f>"F2RL3"</f>
        <v>F2RL3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</row>
    <row r="1368" spans="1:24">
      <c r="A1368">
        <v>2032</v>
      </c>
      <c r="B1368" t="s">
        <v>3687</v>
      </c>
      <c r="C1368">
        <v>3</v>
      </c>
      <c r="D1368" t="s">
        <v>3688</v>
      </c>
      <c r="E1368">
        <v>4</v>
      </c>
      <c r="F1368">
        <v>4</v>
      </c>
      <c r="G1368">
        <v>4</v>
      </c>
      <c r="H1368" t="s">
        <v>3689</v>
      </c>
      <c r="I1368">
        <v>15.7</v>
      </c>
      <c r="J1368">
        <v>27.048999999999999</v>
      </c>
      <c r="K1368" t="str">
        <f>"HTATIP2"</f>
        <v>HTATIP2</v>
      </c>
      <c r="L1368" t="str">
        <f>"HTATIP2"</f>
        <v>HTATIP2</v>
      </c>
      <c r="M1368">
        <v>0</v>
      </c>
      <c r="N1368">
        <v>68928000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</row>
    <row r="1369" spans="1:24">
      <c r="A1369">
        <v>2071</v>
      </c>
      <c r="B1369" t="s">
        <v>3690</v>
      </c>
      <c r="C1369">
        <v>2</v>
      </c>
      <c r="D1369" t="s">
        <v>3691</v>
      </c>
      <c r="E1369">
        <v>3</v>
      </c>
      <c r="F1369">
        <v>3</v>
      </c>
      <c r="G1369">
        <v>3</v>
      </c>
      <c r="H1369" t="s">
        <v>3692</v>
      </c>
      <c r="I1369">
        <v>12.4</v>
      </c>
      <c r="J1369">
        <v>44.863</v>
      </c>
      <c r="K1369" t="str">
        <f>"UBA5"</f>
        <v>UBA5</v>
      </c>
      <c r="L1369" t="str">
        <f>"UBA5"</f>
        <v>UBA5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25548000</v>
      </c>
      <c r="T1369">
        <v>0</v>
      </c>
      <c r="U1369">
        <v>0</v>
      </c>
      <c r="V1369">
        <v>0</v>
      </c>
      <c r="W1369">
        <v>0</v>
      </c>
      <c r="X1369">
        <v>0</v>
      </c>
    </row>
    <row r="1370" spans="1:24">
      <c r="A1370">
        <v>2078</v>
      </c>
      <c r="B1370" t="s">
        <v>3693</v>
      </c>
      <c r="C1370">
        <v>4</v>
      </c>
      <c r="D1370" t="s">
        <v>3694</v>
      </c>
      <c r="E1370">
        <v>6</v>
      </c>
      <c r="F1370">
        <v>6</v>
      </c>
      <c r="G1370">
        <v>6</v>
      </c>
      <c r="H1370" t="s">
        <v>3695</v>
      </c>
      <c r="I1370">
        <v>30.4</v>
      </c>
      <c r="J1370">
        <v>33.097999999999999</v>
      </c>
      <c r="K1370" t="str">
        <f>"C11orf54"</f>
        <v>C11orf54</v>
      </c>
      <c r="L1370" t="str">
        <f>"C11orf54"</f>
        <v>C11orf54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42956000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</row>
    <row r="1371" spans="1:24">
      <c r="A1371">
        <v>2248</v>
      </c>
      <c r="B1371" t="s">
        <v>3696</v>
      </c>
      <c r="C1371">
        <v>8</v>
      </c>
      <c r="D1371" t="s">
        <v>3697</v>
      </c>
      <c r="E1371">
        <v>4</v>
      </c>
      <c r="F1371">
        <v>4</v>
      </c>
      <c r="G1371">
        <v>4</v>
      </c>
      <c r="H1371" t="s">
        <v>3698</v>
      </c>
      <c r="I1371">
        <v>15.2</v>
      </c>
      <c r="J1371">
        <v>38.518000000000001</v>
      </c>
      <c r="K1371" t="str">
        <f>"SEPT9"</f>
        <v>SEPT9</v>
      </c>
      <c r="L1371" t="str">
        <f>"SEPT9"</f>
        <v>SEPT9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50106000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</row>
    <row r="1372" spans="1:24">
      <c r="A1372">
        <v>2335</v>
      </c>
      <c r="B1372" t="s">
        <v>3699</v>
      </c>
      <c r="C1372">
        <v>1</v>
      </c>
      <c r="D1372" t="s">
        <v>3700</v>
      </c>
      <c r="E1372">
        <v>10</v>
      </c>
      <c r="F1372">
        <v>10</v>
      </c>
      <c r="G1372">
        <v>10</v>
      </c>
      <c r="H1372" t="s">
        <v>3699</v>
      </c>
      <c r="I1372">
        <v>35.799999999999997</v>
      </c>
      <c r="J1372">
        <v>35.229999999999997</v>
      </c>
      <c r="K1372" t="str">
        <f>"DERA"</f>
        <v>DERA</v>
      </c>
      <c r="L1372" t="str">
        <f>"DERA"</f>
        <v>DERA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</row>
    <row r="1373" spans="1:24">
      <c r="A1373">
        <v>5</v>
      </c>
      <c r="B1373" t="s">
        <v>3701</v>
      </c>
      <c r="C1373">
        <v>2</v>
      </c>
      <c r="D1373" t="s">
        <v>3702</v>
      </c>
      <c r="E1373">
        <v>4</v>
      </c>
      <c r="F1373">
        <v>4</v>
      </c>
      <c r="G1373">
        <v>4</v>
      </c>
      <c r="H1373" t="s">
        <v>3703</v>
      </c>
      <c r="I1373">
        <v>2</v>
      </c>
      <c r="J1373">
        <v>254.81</v>
      </c>
      <c r="K1373" t="str">
        <f>"NBAS"</f>
        <v>NBAS</v>
      </c>
      <c r="L1373" t="str">
        <f>"NBAS"</f>
        <v>NBAS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</row>
    <row r="1374" spans="1:24">
      <c r="A1374">
        <v>199</v>
      </c>
      <c r="B1374" t="s">
        <v>3704</v>
      </c>
      <c r="C1374">
        <v>3</v>
      </c>
      <c r="D1374" t="s">
        <v>3705</v>
      </c>
      <c r="E1374">
        <v>1</v>
      </c>
      <c r="F1374">
        <v>1</v>
      </c>
      <c r="G1374">
        <v>1</v>
      </c>
      <c r="H1374" t="s">
        <v>3706</v>
      </c>
      <c r="I1374">
        <v>9</v>
      </c>
      <c r="J1374">
        <v>16.832000000000001</v>
      </c>
      <c r="K1374" t="str">
        <f>"CUTA"</f>
        <v>CUTA</v>
      </c>
      <c r="L1374" t="str">
        <f>"CUTA"</f>
        <v>CUTA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47128000</v>
      </c>
    </row>
    <row r="1375" spans="1:24">
      <c r="A1375">
        <v>209</v>
      </c>
      <c r="B1375" t="s">
        <v>3707</v>
      </c>
      <c r="C1375">
        <v>2</v>
      </c>
      <c r="D1375" t="s">
        <v>3708</v>
      </c>
      <c r="E1375">
        <v>5</v>
      </c>
      <c r="F1375">
        <v>5</v>
      </c>
      <c r="G1375">
        <v>5</v>
      </c>
      <c r="H1375" t="s">
        <v>3709</v>
      </c>
      <c r="I1375">
        <v>21</v>
      </c>
      <c r="J1375">
        <v>33.741999999999997</v>
      </c>
      <c r="K1375" t="str">
        <f>"GBAS"</f>
        <v>GBAS</v>
      </c>
      <c r="L1375" t="str">
        <f>"GBAS"</f>
        <v>GBAS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55103000</v>
      </c>
    </row>
    <row r="1376" spans="1:24">
      <c r="A1376">
        <v>374</v>
      </c>
      <c r="B1376" t="s">
        <v>3710</v>
      </c>
      <c r="C1376">
        <v>1</v>
      </c>
      <c r="D1376" t="s">
        <v>3711</v>
      </c>
      <c r="E1376">
        <v>1</v>
      </c>
      <c r="F1376">
        <v>1</v>
      </c>
      <c r="G1376">
        <v>1</v>
      </c>
      <c r="H1376" t="s">
        <v>3710</v>
      </c>
      <c r="I1376">
        <v>9.1999999999999993</v>
      </c>
      <c r="J1376">
        <v>12.265000000000001</v>
      </c>
      <c r="K1376" t="s">
        <v>3712</v>
      </c>
      <c r="L1376" t="s">
        <v>3712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7379500</v>
      </c>
      <c r="X1376">
        <v>0</v>
      </c>
    </row>
    <row r="1377" spans="1:24">
      <c r="A1377">
        <v>551</v>
      </c>
      <c r="B1377" t="s">
        <v>3713</v>
      </c>
      <c r="C1377">
        <v>3</v>
      </c>
      <c r="D1377" t="s">
        <v>3714</v>
      </c>
      <c r="E1377">
        <v>3</v>
      </c>
      <c r="F1377">
        <v>3</v>
      </c>
      <c r="G1377">
        <v>3</v>
      </c>
      <c r="H1377" t="s">
        <v>3715</v>
      </c>
      <c r="I1377">
        <v>5.0999999999999996</v>
      </c>
      <c r="J1377">
        <v>58.344999999999999</v>
      </c>
      <c r="K1377" t="str">
        <f>"GUSB"</f>
        <v>GUSB</v>
      </c>
      <c r="L1377" t="str">
        <f>"GUSB"</f>
        <v>GUSB</v>
      </c>
      <c r="M1377">
        <v>0</v>
      </c>
      <c r="N1377">
        <v>0</v>
      </c>
      <c r="O1377">
        <v>40486000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</row>
    <row r="1378" spans="1:24">
      <c r="A1378">
        <v>575</v>
      </c>
      <c r="B1378" t="s">
        <v>3716</v>
      </c>
      <c r="C1378">
        <v>4</v>
      </c>
      <c r="D1378" t="s">
        <v>3717</v>
      </c>
      <c r="E1378">
        <v>10</v>
      </c>
      <c r="F1378">
        <v>10</v>
      </c>
      <c r="G1378">
        <v>10</v>
      </c>
      <c r="H1378" t="s">
        <v>3718</v>
      </c>
      <c r="I1378">
        <v>14.6</v>
      </c>
      <c r="J1378">
        <v>92.694000000000003</v>
      </c>
      <c r="K1378" t="str">
        <f>"VIL1;AVIL"</f>
        <v>VIL1;AVIL</v>
      </c>
      <c r="L1378" t="str">
        <f>"VIL1;AVIL"</f>
        <v>VIL1;AVIL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</row>
    <row r="1379" spans="1:24">
      <c r="A1379">
        <v>619</v>
      </c>
      <c r="B1379" t="s">
        <v>3719</v>
      </c>
      <c r="C1379">
        <v>2</v>
      </c>
      <c r="D1379" t="s">
        <v>3720</v>
      </c>
      <c r="E1379">
        <v>4</v>
      </c>
      <c r="F1379">
        <v>4</v>
      </c>
      <c r="G1379">
        <v>4</v>
      </c>
      <c r="H1379" t="s">
        <v>3721</v>
      </c>
      <c r="I1379">
        <v>17.100000000000001</v>
      </c>
      <c r="J1379">
        <v>35.015000000000001</v>
      </c>
      <c r="K1379" t="str">
        <f>"TFPI"</f>
        <v>TFPI</v>
      </c>
      <c r="L1379" t="str">
        <f>"TFPI"</f>
        <v>TFPI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</row>
    <row r="1380" spans="1:24">
      <c r="A1380">
        <v>771</v>
      </c>
      <c r="B1380" t="s">
        <v>3722</v>
      </c>
      <c r="C1380">
        <v>1</v>
      </c>
      <c r="D1380" t="s">
        <v>3723</v>
      </c>
      <c r="E1380">
        <v>4</v>
      </c>
      <c r="F1380">
        <v>4</v>
      </c>
      <c r="G1380">
        <v>4</v>
      </c>
      <c r="H1380" t="s">
        <v>3722</v>
      </c>
      <c r="I1380">
        <v>8.9</v>
      </c>
      <c r="J1380">
        <v>43.941000000000003</v>
      </c>
      <c r="K1380" t="str">
        <f>"ATP6V1C1"</f>
        <v>ATP6V1C1</v>
      </c>
      <c r="L1380" t="str">
        <f>"ATP6V1C1"</f>
        <v>ATP6V1C1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51554000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</row>
    <row r="1381" spans="1:24">
      <c r="A1381">
        <v>914</v>
      </c>
      <c r="B1381" t="s">
        <v>3724</v>
      </c>
      <c r="C1381">
        <v>3</v>
      </c>
      <c r="D1381" t="s">
        <v>3725</v>
      </c>
      <c r="E1381">
        <v>10</v>
      </c>
      <c r="F1381">
        <v>10</v>
      </c>
      <c r="G1381">
        <v>8</v>
      </c>
      <c r="H1381" t="s">
        <v>3726</v>
      </c>
      <c r="I1381">
        <v>9.3000000000000007</v>
      </c>
      <c r="J1381">
        <v>156.78</v>
      </c>
      <c r="K1381" t="str">
        <f>"CLIP1"</f>
        <v>CLIP1</v>
      </c>
      <c r="L1381" t="str">
        <f>"CLIP1"</f>
        <v>CLIP1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46669000</v>
      </c>
    </row>
    <row r="1382" spans="1:24">
      <c r="A1382">
        <v>1141</v>
      </c>
      <c r="B1382" t="s">
        <v>3727</v>
      </c>
      <c r="C1382">
        <v>1</v>
      </c>
      <c r="D1382" t="s">
        <v>3728</v>
      </c>
      <c r="E1382">
        <v>9</v>
      </c>
      <c r="F1382">
        <v>9</v>
      </c>
      <c r="G1382">
        <v>4</v>
      </c>
      <c r="H1382" t="s">
        <v>3727</v>
      </c>
      <c r="I1382">
        <v>16.8</v>
      </c>
      <c r="J1382">
        <v>83.734999999999999</v>
      </c>
      <c r="K1382" t="str">
        <f>"RPS6KA3"</f>
        <v>RPS6KA3</v>
      </c>
      <c r="L1382" t="str">
        <f>"RPS6KA3"</f>
        <v>RPS6KA3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</row>
    <row r="1383" spans="1:24">
      <c r="A1383">
        <v>1153</v>
      </c>
      <c r="B1383" t="s">
        <v>3729</v>
      </c>
      <c r="C1383">
        <v>4</v>
      </c>
      <c r="D1383" t="s">
        <v>3730</v>
      </c>
      <c r="E1383">
        <v>3</v>
      </c>
      <c r="F1383">
        <v>3</v>
      </c>
      <c r="G1383">
        <v>3</v>
      </c>
      <c r="H1383" t="s">
        <v>3731</v>
      </c>
      <c r="I1383">
        <v>9.4</v>
      </c>
      <c r="J1383">
        <v>54.180999999999997</v>
      </c>
      <c r="K1383" t="str">
        <f>"AGFG1"</f>
        <v>AGFG1</v>
      </c>
      <c r="L1383" t="str">
        <f>"AGFG1"</f>
        <v>AGFG1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</row>
    <row r="1384" spans="1:24">
      <c r="A1384">
        <v>1257</v>
      </c>
      <c r="B1384" t="s">
        <v>3732</v>
      </c>
      <c r="C1384">
        <v>1</v>
      </c>
      <c r="D1384" t="s">
        <v>3733</v>
      </c>
      <c r="E1384">
        <v>15</v>
      </c>
      <c r="F1384">
        <v>4</v>
      </c>
      <c r="G1384">
        <v>4</v>
      </c>
      <c r="H1384" t="s">
        <v>3732</v>
      </c>
      <c r="I1384">
        <v>40.700000000000003</v>
      </c>
      <c r="J1384">
        <v>37.186</v>
      </c>
      <c r="K1384" t="str">
        <f>"PPP1CB"</f>
        <v>PPP1CB</v>
      </c>
      <c r="L1384" t="str">
        <f>"PPP1CB"</f>
        <v>PPP1CB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142610000</v>
      </c>
      <c r="W1384">
        <v>0</v>
      </c>
      <c r="X1384">
        <v>0</v>
      </c>
    </row>
    <row r="1385" spans="1:24">
      <c r="A1385">
        <v>1319</v>
      </c>
      <c r="B1385" t="s">
        <v>3734</v>
      </c>
      <c r="C1385">
        <v>2</v>
      </c>
      <c r="D1385" t="s">
        <v>3735</v>
      </c>
      <c r="E1385">
        <v>1</v>
      </c>
      <c r="F1385">
        <v>1</v>
      </c>
      <c r="G1385">
        <v>1</v>
      </c>
      <c r="H1385" t="s">
        <v>3736</v>
      </c>
      <c r="I1385">
        <v>2.1</v>
      </c>
      <c r="J1385">
        <v>50.2</v>
      </c>
      <c r="K1385" t="str">
        <f>"NUCB2"</f>
        <v>NUCB2</v>
      </c>
      <c r="L1385" t="str">
        <f>"NUCB2"</f>
        <v>NUCB2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47812000</v>
      </c>
      <c r="X1385">
        <v>0</v>
      </c>
    </row>
    <row r="1386" spans="1:24">
      <c r="A1386">
        <v>1446</v>
      </c>
      <c r="B1386" t="s">
        <v>3737</v>
      </c>
      <c r="C1386">
        <v>2</v>
      </c>
      <c r="D1386" t="s">
        <v>3738</v>
      </c>
      <c r="E1386">
        <v>7</v>
      </c>
      <c r="F1386">
        <v>7</v>
      </c>
      <c r="G1386">
        <v>7</v>
      </c>
      <c r="H1386" t="s">
        <v>3739</v>
      </c>
      <c r="I1386">
        <v>5.3</v>
      </c>
      <c r="J1386">
        <v>229.14</v>
      </c>
      <c r="K1386" t="str">
        <f>"MYO9B"</f>
        <v>MYO9B</v>
      </c>
      <c r="L1386" t="str">
        <f>"MYO9B"</f>
        <v>MYO9B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</row>
    <row r="1387" spans="1:24">
      <c r="A1387">
        <v>1571</v>
      </c>
      <c r="B1387" t="s">
        <v>3740</v>
      </c>
      <c r="C1387">
        <v>2</v>
      </c>
      <c r="D1387" t="s">
        <v>3741</v>
      </c>
      <c r="E1387">
        <v>3</v>
      </c>
      <c r="F1387">
        <v>3</v>
      </c>
      <c r="G1387">
        <v>3</v>
      </c>
      <c r="H1387" t="s">
        <v>3742</v>
      </c>
      <c r="I1387">
        <v>13.3</v>
      </c>
      <c r="J1387">
        <v>23.058</v>
      </c>
      <c r="K1387" t="str">
        <f>"RAB30"</f>
        <v>RAB30</v>
      </c>
      <c r="L1387" t="str">
        <f>"RAB30"</f>
        <v>RAB30</v>
      </c>
      <c r="M1387">
        <v>0</v>
      </c>
      <c r="N1387">
        <v>0</v>
      </c>
      <c r="O1387">
        <v>0</v>
      </c>
      <c r="P1387">
        <v>45184000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</row>
    <row r="1388" spans="1:24">
      <c r="A1388">
        <v>1630</v>
      </c>
      <c r="B1388" t="s">
        <v>3743</v>
      </c>
      <c r="C1388">
        <v>6</v>
      </c>
      <c r="D1388" t="s">
        <v>3744</v>
      </c>
      <c r="E1388">
        <v>4</v>
      </c>
      <c r="F1388">
        <v>4</v>
      </c>
      <c r="G1388">
        <v>4</v>
      </c>
      <c r="H1388" t="s">
        <v>3745</v>
      </c>
      <c r="I1388">
        <v>7.5</v>
      </c>
      <c r="J1388">
        <v>94.444000000000003</v>
      </c>
      <c r="K1388" t="str">
        <f>"PPP6R3"</f>
        <v>PPP6R3</v>
      </c>
      <c r="L1388" t="str">
        <f>"PPP6R3"</f>
        <v>PPP6R3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96498000</v>
      </c>
      <c r="S1388">
        <v>44269000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>
      <c r="A1389">
        <v>1891</v>
      </c>
      <c r="B1389" t="s">
        <v>3746</v>
      </c>
      <c r="C1389">
        <v>1</v>
      </c>
      <c r="D1389" t="s">
        <v>3747</v>
      </c>
      <c r="E1389">
        <v>6</v>
      </c>
      <c r="F1389">
        <v>6</v>
      </c>
      <c r="G1389">
        <v>6</v>
      </c>
      <c r="H1389" t="s">
        <v>3746</v>
      </c>
      <c r="I1389">
        <v>10.8</v>
      </c>
      <c r="J1389">
        <v>90.953999999999994</v>
      </c>
      <c r="K1389" t="str">
        <f>"CUL5"</f>
        <v>CUL5</v>
      </c>
      <c r="L1389" t="str">
        <f>"CUL5"</f>
        <v>CUL5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</row>
    <row r="1390" spans="1:24">
      <c r="A1390">
        <v>1901</v>
      </c>
      <c r="B1390" t="s">
        <v>3748</v>
      </c>
      <c r="C1390">
        <v>2</v>
      </c>
      <c r="D1390" t="s">
        <v>3749</v>
      </c>
      <c r="E1390">
        <v>5</v>
      </c>
      <c r="F1390">
        <v>5</v>
      </c>
      <c r="G1390">
        <v>5</v>
      </c>
      <c r="H1390" t="s">
        <v>3750</v>
      </c>
      <c r="I1390">
        <v>32.799999999999997</v>
      </c>
      <c r="J1390">
        <v>22.16</v>
      </c>
      <c r="K1390" t="str">
        <f>"ERGIC1"</f>
        <v>ERGIC1</v>
      </c>
      <c r="L1390" t="str">
        <f>"ERGIC1"</f>
        <v>ERGIC1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14057000</v>
      </c>
      <c r="U1390">
        <v>0</v>
      </c>
      <c r="V1390">
        <v>0</v>
      </c>
      <c r="W1390">
        <v>0</v>
      </c>
      <c r="X1390">
        <v>0</v>
      </c>
    </row>
    <row r="1391" spans="1:24">
      <c r="A1391">
        <v>1927</v>
      </c>
      <c r="B1391" t="s">
        <v>3751</v>
      </c>
      <c r="C1391">
        <v>2</v>
      </c>
      <c r="D1391" t="s">
        <v>3752</v>
      </c>
      <c r="E1391">
        <v>22</v>
      </c>
      <c r="F1391">
        <v>3</v>
      </c>
      <c r="G1391">
        <v>3</v>
      </c>
      <c r="H1391" t="s">
        <v>3753</v>
      </c>
      <c r="I1391">
        <v>16.2</v>
      </c>
      <c r="J1391">
        <v>145.66999999999999</v>
      </c>
      <c r="K1391" t="str">
        <f>"CYFIP2"</f>
        <v>CYFIP2</v>
      </c>
      <c r="L1391" t="str">
        <f>"CYFIP2"</f>
        <v>CYFIP2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107400000</v>
      </c>
      <c r="V1391">
        <v>0</v>
      </c>
      <c r="W1391">
        <v>0</v>
      </c>
      <c r="X1391">
        <v>73794000</v>
      </c>
    </row>
    <row r="1392" spans="1:24">
      <c r="A1392">
        <v>1976</v>
      </c>
      <c r="B1392" t="s">
        <v>3754</v>
      </c>
      <c r="C1392">
        <v>7</v>
      </c>
      <c r="D1392" t="s">
        <v>3755</v>
      </c>
      <c r="E1392">
        <v>5</v>
      </c>
      <c r="F1392">
        <v>5</v>
      </c>
      <c r="G1392">
        <v>5</v>
      </c>
      <c r="H1392" t="s">
        <v>3756</v>
      </c>
      <c r="I1392">
        <v>16.5</v>
      </c>
      <c r="J1392">
        <v>46.488999999999997</v>
      </c>
      <c r="K1392" t="str">
        <f>"CYTH2;CYTH1;CYTH3"</f>
        <v>CYTH2;CYTH1;CYTH3</v>
      </c>
      <c r="L1392" t="str">
        <f>"CYTH2;CYTH1;CYTH3"</f>
        <v>CYTH2;CYTH1;CYTH3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</row>
    <row r="1393" spans="1:24">
      <c r="A1393">
        <v>1999</v>
      </c>
      <c r="B1393" t="s">
        <v>3757</v>
      </c>
      <c r="C1393">
        <v>2</v>
      </c>
      <c r="D1393" t="s">
        <v>3758</v>
      </c>
      <c r="E1393">
        <v>8</v>
      </c>
      <c r="F1393">
        <v>8</v>
      </c>
      <c r="G1393">
        <v>8</v>
      </c>
      <c r="H1393" t="s">
        <v>3759</v>
      </c>
      <c r="I1393">
        <v>28.2</v>
      </c>
      <c r="J1393">
        <v>34.746000000000002</v>
      </c>
      <c r="K1393" t="str">
        <f>"NAPG"</f>
        <v>NAPG</v>
      </c>
      <c r="L1393" t="str">
        <f>"NAPG"</f>
        <v>NAPG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</row>
    <row r="1394" spans="1:24">
      <c r="A1394">
        <v>2035</v>
      </c>
      <c r="B1394" t="s">
        <v>3760</v>
      </c>
      <c r="C1394">
        <v>1</v>
      </c>
      <c r="D1394" t="s">
        <v>3761</v>
      </c>
      <c r="E1394">
        <v>1</v>
      </c>
      <c r="F1394">
        <v>1</v>
      </c>
      <c r="G1394">
        <v>1</v>
      </c>
      <c r="H1394" t="s">
        <v>3760</v>
      </c>
      <c r="I1394">
        <v>4.9000000000000004</v>
      </c>
      <c r="J1394">
        <v>26.21</v>
      </c>
      <c r="K1394" t="str">
        <f>"TMEM109"</f>
        <v>TMEM109</v>
      </c>
      <c r="L1394" t="str">
        <f>"TMEM109"</f>
        <v>TMEM109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190310000</v>
      </c>
      <c r="X1394">
        <v>0</v>
      </c>
    </row>
    <row r="1395" spans="1:24">
      <c r="A1395">
        <v>2064</v>
      </c>
      <c r="B1395" t="s">
        <v>3762</v>
      </c>
      <c r="C1395">
        <v>4</v>
      </c>
      <c r="D1395" t="s">
        <v>3763</v>
      </c>
      <c r="E1395">
        <v>4</v>
      </c>
      <c r="F1395">
        <v>4</v>
      </c>
      <c r="G1395">
        <v>4</v>
      </c>
      <c r="H1395" t="s">
        <v>3764</v>
      </c>
      <c r="I1395">
        <v>9.8000000000000007</v>
      </c>
      <c r="J1395">
        <v>54.139000000000003</v>
      </c>
      <c r="K1395" t="str">
        <f>"TTYH3"</f>
        <v>TTYH3</v>
      </c>
      <c r="L1395" t="str">
        <f>"TTYH3"</f>
        <v>TTYH3</v>
      </c>
      <c r="M1395">
        <v>0</v>
      </c>
      <c r="N1395">
        <v>0</v>
      </c>
      <c r="O1395">
        <v>0</v>
      </c>
      <c r="P1395">
        <v>62431000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</row>
    <row r="1396" spans="1:24">
      <c r="A1396">
        <v>2108</v>
      </c>
      <c r="B1396" t="s">
        <v>3765</v>
      </c>
      <c r="C1396">
        <v>1</v>
      </c>
      <c r="D1396" t="s">
        <v>3766</v>
      </c>
      <c r="E1396">
        <v>3</v>
      </c>
      <c r="F1396">
        <v>3</v>
      </c>
      <c r="G1396">
        <v>3</v>
      </c>
      <c r="H1396" t="s">
        <v>3765</v>
      </c>
      <c r="I1396">
        <v>8.4</v>
      </c>
      <c r="J1396">
        <v>33.908000000000001</v>
      </c>
      <c r="K1396" t="str">
        <f>"C10orf54"</f>
        <v>C10orf54</v>
      </c>
      <c r="L1396" t="str">
        <f>"C10orf54"</f>
        <v>C10orf54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155870000</v>
      </c>
      <c r="V1396">
        <v>0</v>
      </c>
      <c r="W1396">
        <v>0</v>
      </c>
      <c r="X1396">
        <v>0</v>
      </c>
    </row>
    <row r="1397" spans="1:24">
      <c r="A1397">
        <v>2111</v>
      </c>
      <c r="B1397" t="s">
        <v>3767</v>
      </c>
      <c r="C1397">
        <v>1</v>
      </c>
      <c r="D1397" t="s">
        <v>3768</v>
      </c>
      <c r="E1397">
        <v>5</v>
      </c>
      <c r="F1397">
        <v>5</v>
      </c>
      <c r="G1397">
        <v>5</v>
      </c>
      <c r="H1397" t="s">
        <v>3767</v>
      </c>
      <c r="I1397">
        <v>29.5</v>
      </c>
      <c r="J1397">
        <v>28.318999999999999</v>
      </c>
      <c r="K1397" t="str">
        <f>"METTL7A"</f>
        <v>METTL7A</v>
      </c>
      <c r="L1397" t="str">
        <f>"METTL7A"</f>
        <v>METTL7A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123980000</v>
      </c>
    </row>
    <row r="1398" spans="1:24">
      <c r="A1398">
        <v>2225</v>
      </c>
      <c r="B1398" t="s">
        <v>3769</v>
      </c>
      <c r="C1398">
        <v>3</v>
      </c>
      <c r="D1398" t="s">
        <v>3770</v>
      </c>
      <c r="E1398">
        <v>6</v>
      </c>
      <c r="F1398">
        <v>3</v>
      </c>
      <c r="G1398">
        <v>3</v>
      </c>
      <c r="H1398" t="s">
        <v>3771</v>
      </c>
      <c r="I1398">
        <v>14.1</v>
      </c>
      <c r="J1398">
        <v>37.874000000000002</v>
      </c>
      <c r="K1398" t="str">
        <f>"GMPR2"</f>
        <v>GMPR2</v>
      </c>
      <c r="L1398" t="str">
        <f>"GMPR2"</f>
        <v>GMPR2</v>
      </c>
      <c r="M1398">
        <v>0</v>
      </c>
      <c r="N1398">
        <v>0</v>
      </c>
      <c r="O1398">
        <v>28146000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</row>
    <row r="1399" spans="1:24">
      <c r="A1399">
        <v>2356</v>
      </c>
      <c r="B1399" t="s">
        <v>3772</v>
      </c>
      <c r="C1399">
        <v>5</v>
      </c>
      <c r="D1399" t="s">
        <v>3773</v>
      </c>
      <c r="E1399">
        <v>6</v>
      </c>
      <c r="F1399">
        <v>6</v>
      </c>
      <c r="G1399">
        <v>6</v>
      </c>
      <c r="H1399" t="s">
        <v>3774</v>
      </c>
      <c r="I1399">
        <v>3.6</v>
      </c>
      <c r="J1399">
        <v>212.27</v>
      </c>
      <c r="K1399" t="str">
        <f>"MYO5A;MYO5B"</f>
        <v>MYO5A;MYO5B</v>
      </c>
      <c r="L1399" t="str">
        <f>"MYO5A;MYO5B"</f>
        <v>MYO5A;MYO5B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</row>
    <row r="1400" spans="1:24">
      <c r="A1400">
        <v>232</v>
      </c>
      <c r="B1400" t="s">
        <v>3775</v>
      </c>
      <c r="C1400">
        <v>2</v>
      </c>
      <c r="D1400" t="s">
        <v>3776</v>
      </c>
      <c r="E1400">
        <v>5</v>
      </c>
      <c r="F1400">
        <v>5</v>
      </c>
      <c r="G1400">
        <v>5</v>
      </c>
      <c r="H1400" t="s">
        <v>3777</v>
      </c>
      <c r="I1400">
        <v>30.5</v>
      </c>
      <c r="J1400">
        <v>24.428000000000001</v>
      </c>
      <c r="K1400" t="str">
        <f>"PSMD10"</f>
        <v>PSMD10</v>
      </c>
      <c r="L1400" t="str">
        <f>"PSMD10"</f>
        <v>PSMD10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</row>
    <row r="1401" spans="1:24">
      <c r="A1401">
        <v>244</v>
      </c>
      <c r="B1401" t="s">
        <v>3778</v>
      </c>
      <c r="C1401">
        <v>1</v>
      </c>
      <c r="D1401" t="s">
        <v>3779</v>
      </c>
      <c r="E1401">
        <v>4</v>
      </c>
      <c r="F1401">
        <v>4</v>
      </c>
      <c r="G1401">
        <v>4</v>
      </c>
      <c r="H1401" t="s">
        <v>3778</v>
      </c>
      <c r="I1401">
        <v>17</v>
      </c>
      <c r="J1401">
        <v>37.432000000000002</v>
      </c>
      <c r="K1401" t="str">
        <f>"GLRX3"</f>
        <v>GLRX3</v>
      </c>
      <c r="L1401" t="str">
        <f>"GLRX3"</f>
        <v>GLRX3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122690000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</row>
    <row r="1402" spans="1:24">
      <c r="A1402">
        <v>290</v>
      </c>
      <c r="B1402" t="s">
        <v>3780</v>
      </c>
      <c r="C1402">
        <v>2</v>
      </c>
      <c r="D1402" t="s">
        <v>3781</v>
      </c>
      <c r="E1402">
        <v>3</v>
      </c>
      <c r="F1402">
        <v>3</v>
      </c>
      <c r="G1402">
        <v>3</v>
      </c>
      <c r="H1402" t="s">
        <v>3782</v>
      </c>
      <c r="I1402">
        <v>20.9</v>
      </c>
      <c r="J1402">
        <v>20.776</v>
      </c>
      <c r="K1402" t="str">
        <f>"NDUFB10"</f>
        <v>NDUFB10</v>
      </c>
      <c r="L1402" t="str">
        <f>"NDUFB10"</f>
        <v>NDUFB10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60267000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47574000</v>
      </c>
    </row>
    <row r="1403" spans="1:24">
      <c r="A1403">
        <v>371</v>
      </c>
      <c r="B1403" t="s">
        <v>3783</v>
      </c>
      <c r="C1403">
        <v>1</v>
      </c>
      <c r="D1403" t="s">
        <v>3784</v>
      </c>
      <c r="E1403">
        <v>1</v>
      </c>
      <c r="F1403">
        <v>1</v>
      </c>
      <c r="G1403">
        <v>1</v>
      </c>
      <c r="H1403" t="s">
        <v>3783</v>
      </c>
      <c r="I1403">
        <v>15.6</v>
      </c>
      <c r="J1403">
        <v>11.706</v>
      </c>
      <c r="K1403" t="s">
        <v>3712</v>
      </c>
      <c r="L1403" t="s">
        <v>3712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</row>
    <row r="1404" spans="1:24">
      <c r="A1404">
        <v>534</v>
      </c>
      <c r="B1404" t="s">
        <v>3785</v>
      </c>
      <c r="C1404">
        <v>1</v>
      </c>
      <c r="D1404" t="s">
        <v>3786</v>
      </c>
      <c r="E1404">
        <v>2</v>
      </c>
      <c r="F1404">
        <v>2</v>
      </c>
      <c r="G1404">
        <v>2</v>
      </c>
      <c r="H1404" t="s">
        <v>3785</v>
      </c>
      <c r="I1404">
        <v>6.7</v>
      </c>
      <c r="J1404">
        <v>63.110999999999997</v>
      </c>
      <c r="K1404" t="str">
        <f>"HEXB"</f>
        <v>HEXB</v>
      </c>
      <c r="L1404" t="str">
        <f>"HEXB"</f>
        <v>HEXB</v>
      </c>
      <c r="M1404">
        <v>0</v>
      </c>
      <c r="N1404">
        <v>41186000</v>
      </c>
      <c r="O1404">
        <v>0</v>
      </c>
      <c r="P1404">
        <v>0</v>
      </c>
      <c r="Q1404">
        <v>0</v>
      </c>
      <c r="R1404">
        <v>51128000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</row>
    <row r="1405" spans="1:24">
      <c r="A1405">
        <v>576</v>
      </c>
      <c r="B1405" t="s">
        <v>3787</v>
      </c>
      <c r="C1405">
        <v>1</v>
      </c>
      <c r="D1405" t="s">
        <v>3788</v>
      </c>
      <c r="E1405">
        <v>4</v>
      </c>
      <c r="F1405">
        <v>4</v>
      </c>
      <c r="G1405">
        <v>4</v>
      </c>
      <c r="H1405" t="s">
        <v>3787</v>
      </c>
      <c r="I1405">
        <v>30.4</v>
      </c>
      <c r="J1405">
        <v>14.715999999999999</v>
      </c>
      <c r="K1405" t="str">
        <f>"LGALS1"</f>
        <v>LGALS1</v>
      </c>
      <c r="L1405" t="str">
        <f>"LGALS1"</f>
        <v>LGALS1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</row>
    <row r="1406" spans="1:24">
      <c r="A1406">
        <v>601</v>
      </c>
      <c r="B1406" t="s">
        <v>3789</v>
      </c>
      <c r="C1406">
        <v>1</v>
      </c>
      <c r="D1406" t="s">
        <v>3790</v>
      </c>
      <c r="E1406">
        <v>12</v>
      </c>
      <c r="F1406">
        <v>2</v>
      </c>
      <c r="G1406">
        <v>2</v>
      </c>
      <c r="H1406" t="s">
        <v>3789</v>
      </c>
      <c r="I1406">
        <v>89.6</v>
      </c>
      <c r="J1406">
        <v>11.237</v>
      </c>
      <c r="K1406" t="str">
        <f>"IGLC3"</f>
        <v>IGLC3</v>
      </c>
      <c r="L1406" t="str">
        <f>"IGLC3"</f>
        <v>IGLC3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14519000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>
      <c r="A1407">
        <v>697</v>
      </c>
      <c r="B1407" t="s">
        <v>3791</v>
      </c>
      <c r="C1407">
        <v>1</v>
      </c>
      <c r="D1407" t="s">
        <v>3792</v>
      </c>
      <c r="E1407">
        <v>9</v>
      </c>
      <c r="F1407">
        <v>9</v>
      </c>
      <c r="G1407">
        <v>9</v>
      </c>
      <c r="H1407" t="s">
        <v>3791</v>
      </c>
      <c r="I1407">
        <v>12.4</v>
      </c>
      <c r="J1407">
        <v>109.54</v>
      </c>
      <c r="K1407" t="str">
        <f>"ANPEP"</f>
        <v>ANPEP</v>
      </c>
      <c r="L1407" t="str">
        <f>"ANPEP"</f>
        <v>ANPEP</v>
      </c>
      <c r="M1407">
        <v>0</v>
      </c>
      <c r="N1407">
        <v>0</v>
      </c>
      <c r="O1407">
        <v>85945000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</row>
    <row r="1408" spans="1:24">
      <c r="A1408">
        <v>706</v>
      </c>
      <c r="B1408" t="s">
        <v>3793</v>
      </c>
      <c r="C1408">
        <v>1</v>
      </c>
      <c r="D1408" t="s">
        <v>3794</v>
      </c>
      <c r="E1408">
        <v>2</v>
      </c>
      <c r="F1408">
        <v>2</v>
      </c>
      <c r="G1408">
        <v>2</v>
      </c>
      <c r="H1408" t="s">
        <v>3793</v>
      </c>
      <c r="I1408">
        <v>14.1</v>
      </c>
      <c r="J1408">
        <v>22.963000000000001</v>
      </c>
      <c r="K1408" t="str">
        <f>"IGLL1"</f>
        <v>IGLL1</v>
      </c>
      <c r="L1408" t="str">
        <f>"IGLL1"</f>
        <v>IGLL1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44485000</v>
      </c>
      <c r="U1408">
        <v>0</v>
      </c>
      <c r="V1408">
        <v>0</v>
      </c>
      <c r="W1408">
        <v>0</v>
      </c>
      <c r="X1408">
        <v>0</v>
      </c>
    </row>
    <row r="1409" spans="1:24">
      <c r="A1409">
        <v>813</v>
      </c>
      <c r="B1409" t="s">
        <v>3795</v>
      </c>
      <c r="C1409">
        <v>2</v>
      </c>
      <c r="D1409" t="s">
        <v>3796</v>
      </c>
      <c r="E1409">
        <v>5</v>
      </c>
      <c r="F1409">
        <v>5</v>
      </c>
      <c r="G1409">
        <v>5</v>
      </c>
      <c r="H1409" t="s">
        <v>3797</v>
      </c>
      <c r="I1409">
        <v>26.1</v>
      </c>
      <c r="J1409">
        <v>21.064</v>
      </c>
      <c r="K1409" t="str">
        <f>"DTYMK"</f>
        <v>DTYMK</v>
      </c>
      <c r="L1409" t="str">
        <f>"DTYMK"</f>
        <v>DTYMK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</row>
    <row r="1410" spans="1:24">
      <c r="A1410">
        <v>1433</v>
      </c>
      <c r="B1410" t="s">
        <v>3798</v>
      </c>
      <c r="C1410">
        <v>2</v>
      </c>
      <c r="D1410" t="s">
        <v>3799</v>
      </c>
      <c r="E1410">
        <v>8</v>
      </c>
      <c r="F1410">
        <v>4</v>
      </c>
      <c r="G1410">
        <v>4</v>
      </c>
      <c r="H1410" t="s">
        <v>3800</v>
      </c>
      <c r="I1410">
        <v>18.100000000000001</v>
      </c>
      <c r="J1410">
        <v>56.3</v>
      </c>
      <c r="K1410" t="str">
        <f>"STK3"</f>
        <v>STK3</v>
      </c>
      <c r="L1410" t="str">
        <f>"STK3"</f>
        <v>STK3</v>
      </c>
      <c r="M1410">
        <v>0</v>
      </c>
      <c r="N1410">
        <v>44690000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63866000</v>
      </c>
    </row>
    <row r="1411" spans="1:24">
      <c r="A1411">
        <v>1440</v>
      </c>
      <c r="B1411" t="s">
        <v>3801</v>
      </c>
      <c r="C1411">
        <v>1</v>
      </c>
      <c r="D1411" t="s">
        <v>3802</v>
      </c>
      <c r="E1411">
        <v>4</v>
      </c>
      <c r="F1411">
        <v>4</v>
      </c>
      <c r="G1411">
        <v>4</v>
      </c>
      <c r="H1411" t="s">
        <v>3801</v>
      </c>
      <c r="I1411">
        <v>16</v>
      </c>
      <c r="J1411">
        <v>36.500999999999998</v>
      </c>
      <c r="K1411" t="str">
        <f>"EIF3I"</f>
        <v>EIF3I</v>
      </c>
      <c r="L1411" t="str">
        <f>"EIF3I"</f>
        <v>EIF3I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</row>
    <row r="1412" spans="1:24">
      <c r="A1412">
        <v>1445</v>
      </c>
      <c r="B1412" t="s">
        <v>3803</v>
      </c>
      <c r="C1412">
        <v>2</v>
      </c>
      <c r="D1412" t="s">
        <v>3804</v>
      </c>
      <c r="E1412">
        <v>6</v>
      </c>
      <c r="F1412">
        <v>6</v>
      </c>
      <c r="G1412">
        <v>6</v>
      </c>
      <c r="H1412" t="s">
        <v>3805</v>
      </c>
      <c r="I1412">
        <v>18.399999999999999</v>
      </c>
      <c r="J1412">
        <v>51.212000000000003</v>
      </c>
      <c r="K1412" t="str">
        <f>"FKBP5"</f>
        <v>FKBP5</v>
      </c>
      <c r="L1412" t="str">
        <f>"FKBP5"</f>
        <v>FKBP5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</row>
    <row r="1413" spans="1:24">
      <c r="A1413">
        <v>1453</v>
      </c>
      <c r="B1413" t="s">
        <v>3806</v>
      </c>
      <c r="C1413">
        <v>1</v>
      </c>
      <c r="D1413" t="s">
        <v>3807</v>
      </c>
      <c r="E1413">
        <v>5</v>
      </c>
      <c r="F1413">
        <v>5</v>
      </c>
      <c r="G1413">
        <v>5</v>
      </c>
      <c r="H1413" t="s">
        <v>3806</v>
      </c>
      <c r="I1413">
        <v>44.2</v>
      </c>
      <c r="J1413">
        <v>18.242999999999999</v>
      </c>
      <c r="K1413" t="str">
        <f>"PIN1"</f>
        <v>PIN1</v>
      </c>
      <c r="L1413" t="str">
        <f>"PIN1"</f>
        <v>PIN1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</row>
    <row r="1414" spans="1:24">
      <c r="A1414">
        <v>1600</v>
      </c>
      <c r="B1414" t="s">
        <v>3808</v>
      </c>
      <c r="C1414">
        <v>1</v>
      </c>
      <c r="D1414" t="s">
        <v>3809</v>
      </c>
      <c r="E1414">
        <v>5</v>
      </c>
      <c r="F1414">
        <v>5</v>
      </c>
      <c r="G1414">
        <v>5</v>
      </c>
      <c r="H1414" t="s">
        <v>3808</v>
      </c>
      <c r="I1414">
        <v>16.7</v>
      </c>
      <c r="J1414">
        <v>42.509</v>
      </c>
      <c r="K1414" t="str">
        <f>"NDUFA9"</f>
        <v>NDUFA9</v>
      </c>
      <c r="L1414" t="str">
        <f>"NDUFA9"</f>
        <v>NDUFA9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39746000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</row>
    <row r="1415" spans="1:24">
      <c r="A1415">
        <v>1720</v>
      </c>
      <c r="B1415" t="s">
        <v>3810</v>
      </c>
      <c r="C1415">
        <v>2</v>
      </c>
      <c r="D1415" t="s">
        <v>3811</v>
      </c>
      <c r="E1415">
        <v>3</v>
      </c>
      <c r="F1415">
        <v>3</v>
      </c>
      <c r="G1415">
        <v>3</v>
      </c>
      <c r="H1415" t="s">
        <v>3812</v>
      </c>
      <c r="I1415">
        <v>10.4</v>
      </c>
      <c r="J1415">
        <v>36.503999999999998</v>
      </c>
      <c r="K1415" t="str">
        <f>"GET4"</f>
        <v>GET4</v>
      </c>
      <c r="L1415" t="str">
        <f>"GET4"</f>
        <v>GET4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8950300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</row>
    <row r="1416" spans="1:24">
      <c r="A1416">
        <v>1765</v>
      </c>
      <c r="B1416" t="s">
        <v>3813</v>
      </c>
      <c r="C1416">
        <v>3</v>
      </c>
      <c r="D1416" t="s">
        <v>3814</v>
      </c>
      <c r="E1416">
        <v>8</v>
      </c>
      <c r="F1416">
        <v>8</v>
      </c>
      <c r="G1416">
        <v>8</v>
      </c>
      <c r="H1416" t="s">
        <v>3815</v>
      </c>
      <c r="I1416">
        <v>11.6</v>
      </c>
      <c r="J1416">
        <v>79.844999999999999</v>
      </c>
      <c r="K1416" t="str">
        <f>"SLC44A2"</f>
        <v>SLC44A2</v>
      </c>
      <c r="L1416" t="str">
        <f>"SLC44A2"</f>
        <v>SLC44A2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93745000</v>
      </c>
      <c r="X1416">
        <v>0</v>
      </c>
    </row>
    <row r="1417" spans="1:24">
      <c r="A1417">
        <v>1788</v>
      </c>
      <c r="B1417" t="s">
        <v>3816</v>
      </c>
      <c r="C1417">
        <v>1</v>
      </c>
      <c r="D1417" t="s">
        <v>3817</v>
      </c>
      <c r="E1417">
        <v>4</v>
      </c>
      <c r="F1417">
        <v>4</v>
      </c>
      <c r="G1417">
        <v>4</v>
      </c>
      <c r="H1417" t="s">
        <v>3816</v>
      </c>
      <c r="I1417">
        <v>26.8</v>
      </c>
      <c r="J1417">
        <v>28.081</v>
      </c>
      <c r="K1417" t="str">
        <f>"TMEM55A"</f>
        <v>TMEM55A</v>
      </c>
      <c r="L1417" t="str">
        <f>"TMEM55A"</f>
        <v>TMEM55A</v>
      </c>
      <c r="M1417">
        <v>0</v>
      </c>
      <c r="N1417">
        <v>72621000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</row>
    <row r="1418" spans="1:24">
      <c r="A1418">
        <v>1794</v>
      </c>
      <c r="B1418" t="s">
        <v>3818</v>
      </c>
      <c r="C1418">
        <v>4</v>
      </c>
      <c r="D1418" t="s">
        <v>3819</v>
      </c>
      <c r="E1418">
        <v>2</v>
      </c>
      <c r="F1418">
        <v>2</v>
      </c>
      <c r="G1418">
        <v>2</v>
      </c>
      <c r="H1418" t="s">
        <v>3820</v>
      </c>
      <c r="I1418">
        <v>3.7</v>
      </c>
      <c r="J1418">
        <v>109.42</v>
      </c>
      <c r="K1418" t="str">
        <f>"EMC1"</f>
        <v>EMC1</v>
      </c>
      <c r="L1418" t="str">
        <f>"EMC1"</f>
        <v>EMC1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</row>
    <row r="1419" spans="1:24">
      <c r="A1419">
        <v>1855</v>
      </c>
      <c r="B1419" t="s">
        <v>3821</v>
      </c>
      <c r="C1419">
        <v>12</v>
      </c>
      <c r="D1419" t="s">
        <v>3822</v>
      </c>
      <c r="E1419">
        <v>2</v>
      </c>
      <c r="F1419">
        <v>2</v>
      </c>
      <c r="G1419">
        <v>2</v>
      </c>
      <c r="H1419" t="s">
        <v>3823</v>
      </c>
      <c r="I1419">
        <v>0.2</v>
      </c>
      <c r="J1419">
        <v>2992.9</v>
      </c>
      <c r="K1419" t="str">
        <f>"TTN"</f>
        <v>TTN</v>
      </c>
      <c r="L1419" t="str">
        <f>"TTN"</f>
        <v>TTN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</row>
    <row r="1420" spans="1:24">
      <c r="A1420">
        <v>1952</v>
      </c>
      <c r="B1420" t="s">
        <v>3824</v>
      </c>
      <c r="C1420">
        <v>1</v>
      </c>
      <c r="D1420" t="s">
        <v>3825</v>
      </c>
      <c r="E1420">
        <v>6</v>
      </c>
      <c r="F1420">
        <v>6</v>
      </c>
      <c r="G1420">
        <v>6</v>
      </c>
      <c r="H1420" t="s">
        <v>3824</v>
      </c>
      <c r="I1420">
        <v>16.8</v>
      </c>
      <c r="J1420">
        <v>56.704999999999998</v>
      </c>
      <c r="K1420" t="str">
        <f>"CNDP1"</f>
        <v>CNDP1</v>
      </c>
      <c r="L1420" t="str">
        <f>"CNDP1"</f>
        <v>CNDP1</v>
      </c>
      <c r="M1420">
        <v>241610000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>
      <c r="A1421">
        <v>1985</v>
      </c>
      <c r="B1421" t="s">
        <v>3826</v>
      </c>
      <c r="C1421">
        <v>4</v>
      </c>
      <c r="D1421" t="s">
        <v>3827</v>
      </c>
      <c r="E1421">
        <v>6</v>
      </c>
      <c r="F1421">
        <v>6</v>
      </c>
      <c r="G1421">
        <v>6</v>
      </c>
      <c r="H1421" t="s">
        <v>3828</v>
      </c>
      <c r="I1421">
        <v>13.4</v>
      </c>
      <c r="J1421">
        <v>72.715999999999994</v>
      </c>
      <c r="K1421" t="str">
        <f>"GAS2L1"</f>
        <v>GAS2L1</v>
      </c>
      <c r="L1421" t="str">
        <f>"GAS2L1"</f>
        <v>GAS2L1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</row>
    <row r="1422" spans="1:24">
      <c r="A1422">
        <v>1997</v>
      </c>
      <c r="B1422" t="s">
        <v>3829</v>
      </c>
      <c r="C1422">
        <v>1</v>
      </c>
      <c r="D1422" t="s">
        <v>3830</v>
      </c>
      <c r="E1422">
        <v>14</v>
      </c>
      <c r="F1422">
        <v>3</v>
      </c>
      <c r="G1422">
        <v>3</v>
      </c>
      <c r="H1422" t="s">
        <v>3829</v>
      </c>
      <c r="I1422">
        <v>39.299999999999997</v>
      </c>
      <c r="J1422">
        <v>39.331000000000003</v>
      </c>
      <c r="K1422" t="str">
        <f>"SEPT5"</f>
        <v>SEPT5</v>
      </c>
      <c r="L1422" t="str">
        <f>"SEPT5"</f>
        <v>SEPT5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</row>
    <row r="1423" spans="1:24">
      <c r="A1423">
        <v>2025</v>
      </c>
      <c r="B1423" t="s">
        <v>3831</v>
      </c>
      <c r="C1423">
        <v>2</v>
      </c>
      <c r="D1423" t="s">
        <v>3832</v>
      </c>
      <c r="E1423">
        <v>1</v>
      </c>
      <c r="F1423">
        <v>1</v>
      </c>
      <c r="G1423">
        <v>1</v>
      </c>
      <c r="H1423" t="s">
        <v>3833</v>
      </c>
      <c r="I1423">
        <v>2.7</v>
      </c>
      <c r="J1423">
        <v>42.783000000000001</v>
      </c>
      <c r="K1423" t="str">
        <f>"INPP5K"</f>
        <v>INPP5K</v>
      </c>
      <c r="L1423" t="str">
        <f>"INPP5K"</f>
        <v>INPP5K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9528700</v>
      </c>
    </row>
    <row r="1424" spans="1:24">
      <c r="A1424">
        <v>2081</v>
      </c>
      <c r="B1424" t="s">
        <v>3834</v>
      </c>
      <c r="C1424">
        <v>1</v>
      </c>
      <c r="D1424" t="s">
        <v>3835</v>
      </c>
      <c r="E1424">
        <v>1</v>
      </c>
      <c r="F1424">
        <v>1</v>
      </c>
      <c r="G1424">
        <v>1</v>
      </c>
      <c r="H1424" t="s">
        <v>3834</v>
      </c>
      <c r="I1424">
        <v>3.7</v>
      </c>
      <c r="J1424">
        <v>38.951999999999998</v>
      </c>
      <c r="K1424" t="str">
        <f>"TMX4"</f>
        <v>TMX4</v>
      </c>
      <c r="L1424" t="str">
        <f>"TMX4"</f>
        <v>TMX4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16710000</v>
      </c>
    </row>
    <row r="1425" spans="1:24">
      <c r="A1425">
        <v>2090</v>
      </c>
      <c r="B1425" t="s">
        <v>3836</v>
      </c>
      <c r="C1425">
        <v>2</v>
      </c>
      <c r="D1425" t="s">
        <v>3837</v>
      </c>
      <c r="E1425">
        <v>9</v>
      </c>
      <c r="F1425">
        <v>9</v>
      </c>
      <c r="G1425">
        <v>9</v>
      </c>
      <c r="H1425" t="s">
        <v>3838</v>
      </c>
      <c r="I1425">
        <v>7.2</v>
      </c>
      <c r="J1425">
        <v>155.97999999999999</v>
      </c>
      <c r="K1425" t="str">
        <f>"RAB3GAP2"</f>
        <v>RAB3GAP2</v>
      </c>
      <c r="L1425" t="str">
        <f>"RAB3GAP2"</f>
        <v>RAB3GAP2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</row>
    <row r="1426" spans="1:24">
      <c r="A1426">
        <v>2096</v>
      </c>
      <c r="B1426" t="s">
        <v>3839</v>
      </c>
      <c r="C1426">
        <v>6</v>
      </c>
      <c r="D1426" t="s">
        <v>3840</v>
      </c>
      <c r="E1426">
        <v>2</v>
      </c>
      <c r="F1426">
        <v>2</v>
      </c>
      <c r="G1426">
        <v>2</v>
      </c>
      <c r="H1426" t="s">
        <v>3841</v>
      </c>
      <c r="I1426">
        <v>5.4</v>
      </c>
      <c r="J1426">
        <v>46.619</v>
      </c>
      <c r="K1426" t="str">
        <f>"MFSD1"</f>
        <v>MFSD1</v>
      </c>
      <c r="L1426" t="str">
        <f>"MFSD1"</f>
        <v>MFSD1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22623000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</row>
    <row r="1427" spans="1:24">
      <c r="A1427">
        <v>2188</v>
      </c>
      <c r="B1427" t="s">
        <v>3842</v>
      </c>
      <c r="C1427">
        <v>2</v>
      </c>
      <c r="D1427" t="s">
        <v>3843</v>
      </c>
      <c r="E1427">
        <v>1</v>
      </c>
      <c r="F1427">
        <v>1</v>
      </c>
      <c r="G1427">
        <v>1</v>
      </c>
      <c r="H1427" t="s">
        <v>3844</v>
      </c>
      <c r="I1427">
        <v>4.2</v>
      </c>
      <c r="J1427">
        <v>35.918999999999997</v>
      </c>
      <c r="K1427" t="str">
        <f>"CLN6"</f>
        <v>CLN6</v>
      </c>
      <c r="L1427" t="str">
        <f>"CLN6"</f>
        <v>CLN6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24565000</v>
      </c>
    </row>
    <row r="1428" spans="1:24">
      <c r="A1428">
        <v>2189</v>
      </c>
      <c r="B1428" t="s">
        <v>3845</v>
      </c>
      <c r="C1428">
        <v>2</v>
      </c>
      <c r="D1428" t="s">
        <v>3846</v>
      </c>
      <c r="E1428">
        <v>5</v>
      </c>
      <c r="F1428">
        <v>5</v>
      </c>
      <c r="G1428">
        <v>5</v>
      </c>
      <c r="H1428" t="s">
        <v>3847</v>
      </c>
      <c r="I1428">
        <v>13.5</v>
      </c>
      <c r="J1428">
        <v>51.529000000000003</v>
      </c>
      <c r="K1428" t="str">
        <f>"IRAK4"</f>
        <v>IRAK4</v>
      </c>
      <c r="L1428" t="str">
        <f>"IRAK4"</f>
        <v>IRAK4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</row>
    <row r="1429" spans="1:24">
      <c r="A1429">
        <v>2235</v>
      </c>
      <c r="B1429" t="s">
        <v>3848</v>
      </c>
      <c r="C1429">
        <v>2</v>
      </c>
      <c r="D1429" t="s">
        <v>3849</v>
      </c>
      <c r="E1429">
        <v>6</v>
      </c>
      <c r="F1429">
        <v>4</v>
      </c>
      <c r="G1429">
        <v>4</v>
      </c>
      <c r="H1429" t="s">
        <v>3850</v>
      </c>
      <c r="I1429">
        <v>8.3000000000000007</v>
      </c>
      <c r="J1429">
        <v>111.78</v>
      </c>
      <c r="K1429" t="str">
        <f>"CLIP2"</f>
        <v>CLIP2</v>
      </c>
      <c r="L1429" t="str">
        <f>"CLIP2"</f>
        <v>CLIP2</v>
      </c>
      <c r="M1429">
        <v>0</v>
      </c>
      <c r="N1429">
        <v>61226000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40616000</v>
      </c>
    </row>
    <row r="1430" spans="1:24">
      <c r="A1430">
        <v>2334</v>
      </c>
      <c r="B1430" t="s">
        <v>3851</v>
      </c>
      <c r="C1430">
        <v>4</v>
      </c>
      <c r="D1430" t="s">
        <v>3852</v>
      </c>
      <c r="E1430">
        <v>7</v>
      </c>
      <c r="F1430">
        <v>7</v>
      </c>
      <c r="G1430">
        <v>7</v>
      </c>
      <c r="H1430" t="s">
        <v>3853</v>
      </c>
      <c r="I1430">
        <v>25.1</v>
      </c>
      <c r="J1430">
        <v>43.206000000000003</v>
      </c>
      <c r="K1430" t="str">
        <f>"ACOT9"</f>
        <v>ACOT9</v>
      </c>
      <c r="L1430" t="str">
        <f>"ACOT9"</f>
        <v>ACOT9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33602000</v>
      </c>
    </row>
    <row r="1431" spans="1:24">
      <c r="A1431">
        <v>2336</v>
      </c>
      <c r="B1431" t="s">
        <v>3854</v>
      </c>
      <c r="C1431">
        <v>3</v>
      </c>
      <c r="D1431" t="s">
        <v>3855</v>
      </c>
      <c r="E1431">
        <v>4</v>
      </c>
      <c r="F1431">
        <v>4</v>
      </c>
      <c r="G1431">
        <v>4</v>
      </c>
      <c r="H1431" t="s">
        <v>3856</v>
      </c>
      <c r="I1431">
        <v>17.899999999999999</v>
      </c>
      <c r="J1431">
        <v>31.306999999999999</v>
      </c>
      <c r="K1431" t="str">
        <f>"MEMO1"</f>
        <v>MEMO1</v>
      </c>
      <c r="L1431" t="str">
        <f>"MEMO1"</f>
        <v>MEMO1</v>
      </c>
      <c r="M1431">
        <v>0</v>
      </c>
      <c r="N1431">
        <v>70810000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</row>
    <row r="1432" spans="1:24">
      <c r="A1432">
        <v>8</v>
      </c>
      <c r="B1432" t="s">
        <v>3857</v>
      </c>
      <c r="C1432">
        <v>1</v>
      </c>
      <c r="D1432" t="s">
        <v>3858</v>
      </c>
      <c r="E1432">
        <v>4</v>
      </c>
      <c r="F1432">
        <v>4</v>
      </c>
      <c r="G1432">
        <v>4</v>
      </c>
      <c r="H1432" t="s">
        <v>3857</v>
      </c>
      <c r="I1432">
        <v>25.2</v>
      </c>
      <c r="J1432">
        <v>33.619999999999997</v>
      </c>
      <c r="K1432" t="str">
        <f>"C5orf51"</f>
        <v>C5orf51</v>
      </c>
      <c r="L1432" t="str">
        <f>"C5orf51"</f>
        <v>C5orf51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36389000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</row>
    <row r="1433" spans="1:24">
      <c r="A1433">
        <v>94</v>
      </c>
      <c r="B1433" t="s">
        <v>3859</v>
      </c>
      <c r="C1433">
        <v>3</v>
      </c>
      <c r="D1433" t="s">
        <v>3860</v>
      </c>
      <c r="E1433">
        <v>4</v>
      </c>
      <c r="F1433">
        <v>4</v>
      </c>
      <c r="G1433">
        <v>4</v>
      </c>
      <c r="H1433" t="s">
        <v>3861</v>
      </c>
      <c r="I1433">
        <v>20.8</v>
      </c>
      <c r="J1433">
        <v>31.247</v>
      </c>
      <c r="K1433" t="str">
        <f>"GNB5"</f>
        <v>GNB5</v>
      </c>
      <c r="L1433" t="str">
        <f>"GNB5"</f>
        <v>GNB5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60210000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</row>
    <row r="1434" spans="1:24">
      <c r="A1434">
        <v>114</v>
      </c>
      <c r="B1434" t="s">
        <v>3862</v>
      </c>
      <c r="C1434">
        <v>1</v>
      </c>
      <c r="D1434" t="s">
        <v>3863</v>
      </c>
      <c r="E1434">
        <v>2</v>
      </c>
      <c r="F1434">
        <v>2</v>
      </c>
      <c r="G1434">
        <v>2</v>
      </c>
      <c r="H1434" t="s">
        <v>3862</v>
      </c>
      <c r="I1434">
        <v>17.3</v>
      </c>
      <c r="J1434">
        <v>15.179</v>
      </c>
      <c r="K1434" t="str">
        <f>"LSM1"</f>
        <v>LSM1</v>
      </c>
      <c r="L1434" t="str">
        <f>"LSM1"</f>
        <v>LSM1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10924000</v>
      </c>
      <c r="W1434">
        <v>0</v>
      </c>
      <c r="X1434">
        <v>0</v>
      </c>
    </row>
    <row r="1435" spans="1:24">
      <c r="A1435">
        <v>256</v>
      </c>
      <c r="B1435" t="s">
        <v>3864</v>
      </c>
      <c r="C1435">
        <v>5</v>
      </c>
      <c r="D1435" t="s">
        <v>3865</v>
      </c>
      <c r="E1435">
        <v>5</v>
      </c>
      <c r="F1435">
        <v>5</v>
      </c>
      <c r="G1435">
        <v>5</v>
      </c>
      <c r="H1435" t="s">
        <v>3866</v>
      </c>
      <c r="I1435">
        <v>7.8</v>
      </c>
      <c r="J1435">
        <v>86.400999999999996</v>
      </c>
      <c r="K1435" t="str">
        <f>"MFN2;MFN1"</f>
        <v>MFN2;MFN1</v>
      </c>
      <c r="L1435" t="str">
        <f>"MFN2;MFN1"</f>
        <v>MFN2;MFN1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</row>
    <row r="1436" spans="1:24">
      <c r="A1436">
        <v>265</v>
      </c>
      <c r="B1436" t="s">
        <v>3867</v>
      </c>
      <c r="C1436">
        <v>1</v>
      </c>
      <c r="D1436" t="s">
        <v>3868</v>
      </c>
      <c r="E1436">
        <v>3</v>
      </c>
      <c r="F1436">
        <v>3</v>
      </c>
      <c r="G1436">
        <v>3</v>
      </c>
      <c r="H1436" t="s">
        <v>3867</v>
      </c>
      <c r="I1436">
        <v>14.7</v>
      </c>
      <c r="J1436">
        <v>24.736999999999998</v>
      </c>
      <c r="K1436" t="str">
        <f>"LYPLA2"</f>
        <v>LYPLA2</v>
      </c>
      <c r="L1436" t="str">
        <f>"LYPLA2"</f>
        <v>LYPLA2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>
      <c r="A1437">
        <v>289</v>
      </c>
      <c r="B1437" t="s">
        <v>3869</v>
      </c>
      <c r="C1437">
        <v>1</v>
      </c>
      <c r="D1437" t="s">
        <v>3870</v>
      </c>
      <c r="E1437">
        <v>4</v>
      </c>
      <c r="F1437">
        <v>4</v>
      </c>
      <c r="G1437">
        <v>4</v>
      </c>
      <c r="H1437" t="s">
        <v>3869</v>
      </c>
      <c r="I1437">
        <v>32.6</v>
      </c>
      <c r="J1437">
        <v>19.471</v>
      </c>
      <c r="K1437" t="str">
        <f>"NUDT3"</f>
        <v>NUDT3</v>
      </c>
      <c r="L1437" t="str">
        <f>"NUDT3"</f>
        <v>NUDT3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</row>
    <row r="1438" spans="1:24">
      <c r="A1438">
        <v>335</v>
      </c>
      <c r="B1438" t="s">
        <v>3871</v>
      </c>
      <c r="C1438">
        <v>1</v>
      </c>
      <c r="D1438" t="s">
        <v>3872</v>
      </c>
      <c r="E1438">
        <v>2</v>
      </c>
      <c r="F1438">
        <v>1</v>
      </c>
      <c r="G1438">
        <v>1</v>
      </c>
      <c r="H1438" t="s">
        <v>3871</v>
      </c>
      <c r="I1438">
        <v>33.6</v>
      </c>
      <c r="J1438">
        <v>11.346</v>
      </c>
      <c r="K1438" t="s">
        <v>1648</v>
      </c>
      <c r="L1438" t="s">
        <v>1648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</row>
    <row r="1439" spans="1:24">
      <c r="A1439">
        <v>343</v>
      </c>
      <c r="B1439" t="s">
        <v>3873</v>
      </c>
      <c r="C1439">
        <v>4</v>
      </c>
      <c r="D1439" t="s">
        <v>3874</v>
      </c>
      <c r="E1439">
        <v>2</v>
      </c>
      <c r="F1439">
        <v>1</v>
      </c>
      <c r="G1439">
        <v>1</v>
      </c>
      <c r="H1439" t="s">
        <v>3875</v>
      </c>
      <c r="I1439">
        <v>24.1</v>
      </c>
      <c r="J1439">
        <v>11.782</v>
      </c>
      <c r="K1439" t="s">
        <v>3876</v>
      </c>
      <c r="L1439" t="s">
        <v>3876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94715000</v>
      </c>
      <c r="W1439">
        <v>0</v>
      </c>
      <c r="X1439">
        <v>0</v>
      </c>
    </row>
    <row r="1440" spans="1:24">
      <c r="A1440">
        <v>376</v>
      </c>
      <c r="B1440" t="s">
        <v>3877</v>
      </c>
      <c r="C1440">
        <v>1</v>
      </c>
      <c r="D1440" t="s">
        <v>3878</v>
      </c>
      <c r="E1440">
        <v>2</v>
      </c>
      <c r="F1440">
        <v>1</v>
      </c>
      <c r="G1440">
        <v>0</v>
      </c>
      <c r="H1440" t="s">
        <v>3877</v>
      </c>
      <c r="I1440">
        <v>26.7</v>
      </c>
      <c r="J1440">
        <v>12.188000000000001</v>
      </c>
      <c r="K1440" t="s">
        <v>1307</v>
      </c>
      <c r="L1440" t="s">
        <v>1307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151130000</v>
      </c>
    </row>
    <row r="1441" spans="1:24">
      <c r="A1441">
        <v>379</v>
      </c>
      <c r="B1441" t="s">
        <v>3879</v>
      </c>
      <c r="C1441">
        <v>1</v>
      </c>
      <c r="D1441" t="s">
        <v>3880</v>
      </c>
      <c r="E1441">
        <v>2</v>
      </c>
      <c r="F1441">
        <v>2</v>
      </c>
      <c r="G1441">
        <v>2</v>
      </c>
      <c r="H1441" t="s">
        <v>3879</v>
      </c>
      <c r="I1441">
        <v>13.2</v>
      </c>
      <c r="J1441">
        <v>14.117000000000001</v>
      </c>
      <c r="K1441" t="s">
        <v>3881</v>
      </c>
      <c r="L1441" t="s">
        <v>3881</v>
      </c>
      <c r="M1441">
        <v>0</v>
      </c>
      <c r="N1441">
        <v>0</v>
      </c>
      <c r="O1441">
        <v>0</v>
      </c>
      <c r="P1441">
        <v>76636000</v>
      </c>
      <c r="Q1441">
        <v>0</v>
      </c>
      <c r="R1441">
        <v>0</v>
      </c>
      <c r="S1441">
        <v>0</v>
      </c>
      <c r="T1441">
        <v>136700000</v>
      </c>
      <c r="U1441">
        <v>0</v>
      </c>
      <c r="V1441">
        <v>0</v>
      </c>
      <c r="W1441">
        <v>0</v>
      </c>
      <c r="X1441">
        <v>0</v>
      </c>
    </row>
    <row r="1442" spans="1:24">
      <c r="A1442">
        <v>517</v>
      </c>
      <c r="B1442" t="s">
        <v>3882</v>
      </c>
      <c r="C1442">
        <v>1</v>
      </c>
      <c r="D1442" t="s">
        <v>3883</v>
      </c>
      <c r="E1442">
        <v>1</v>
      </c>
      <c r="F1442">
        <v>1</v>
      </c>
      <c r="G1442">
        <v>1</v>
      </c>
      <c r="H1442" t="s">
        <v>3882</v>
      </c>
      <c r="I1442">
        <v>23.6</v>
      </c>
      <c r="J1442">
        <v>11.143000000000001</v>
      </c>
      <c r="K1442" t="s">
        <v>3884</v>
      </c>
      <c r="L1442" t="s">
        <v>3884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</row>
    <row r="1443" spans="1:24">
      <c r="A1443">
        <v>538</v>
      </c>
      <c r="B1443" t="s">
        <v>3885</v>
      </c>
      <c r="C1443">
        <v>1</v>
      </c>
      <c r="D1443" t="s">
        <v>3886</v>
      </c>
      <c r="E1443">
        <v>10</v>
      </c>
      <c r="F1443">
        <v>10</v>
      </c>
      <c r="G1443">
        <v>10</v>
      </c>
      <c r="H1443" t="s">
        <v>3885</v>
      </c>
      <c r="I1443">
        <v>9.1</v>
      </c>
      <c r="J1443">
        <v>170.59</v>
      </c>
      <c r="K1443" t="str">
        <f>"EPRS"</f>
        <v>EPRS</v>
      </c>
      <c r="L1443" t="str">
        <f>"EPRS"</f>
        <v>EPRS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</row>
    <row r="1444" spans="1:24">
      <c r="A1444">
        <v>564</v>
      </c>
      <c r="B1444" t="s">
        <v>3887</v>
      </c>
      <c r="C1444">
        <v>1</v>
      </c>
      <c r="D1444" t="s">
        <v>3888</v>
      </c>
      <c r="E1444">
        <v>5</v>
      </c>
      <c r="F1444">
        <v>5</v>
      </c>
      <c r="G1444">
        <v>5</v>
      </c>
      <c r="H1444" t="s">
        <v>3887</v>
      </c>
      <c r="I1444">
        <v>7.7</v>
      </c>
      <c r="J1444">
        <v>114.54</v>
      </c>
      <c r="K1444" t="str">
        <f>"ITGA5"</f>
        <v>ITGA5</v>
      </c>
      <c r="L1444" t="str">
        <f>"ITGA5"</f>
        <v>ITGA5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</row>
    <row r="1445" spans="1:24">
      <c r="A1445">
        <v>586</v>
      </c>
      <c r="B1445" t="s">
        <v>3889</v>
      </c>
      <c r="C1445">
        <v>2</v>
      </c>
      <c r="D1445" t="s">
        <v>3890</v>
      </c>
      <c r="E1445">
        <v>4</v>
      </c>
      <c r="F1445">
        <v>4</v>
      </c>
      <c r="G1445">
        <v>4</v>
      </c>
      <c r="H1445" t="s">
        <v>3891</v>
      </c>
      <c r="I1445">
        <v>16.600000000000001</v>
      </c>
      <c r="J1445">
        <v>23.181000000000001</v>
      </c>
      <c r="K1445" t="str">
        <f>"CLTB"</f>
        <v>CLTB</v>
      </c>
      <c r="L1445" t="str">
        <f>"CLTB"</f>
        <v>CLTB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32231000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</row>
    <row r="1446" spans="1:24">
      <c r="A1446">
        <v>802</v>
      </c>
      <c r="B1446" t="s">
        <v>3892</v>
      </c>
      <c r="C1446">
        <v>2</v>
      </c>
      <c r="D1446" t="s">
        <v>3893</v>
      </c>
      <c r="E1446">
        <v>8</v>
      </c>
      <c r="F1446">
        <v>8</v>
      </c>
      <c r="G1446">
        <v>8</v>
      </c>
      <c r="H1446" t="s">
        <v>3894</v>
      </c>
      <c r="I1446">
        <v>25.7</v>
      </c>
      <c r="J1446">
        <v>51.168999999999997</v>
      </c>
      <c r="K1446" t="str">
        <f>"TUBG1;TUBG2"</f>
        <v>TUBG1;TUBG2</v>
      </c>
      <c r="L1446" t="str">
        <f>"TUBG1;TUBG2"</f>
        <v>TUBG1;TUBG2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80638000</v>
      </c>
      <c r="V1446">
        <v>0</v>
      </c>
      <c r="W1446">
        <v>0</v>
      </c>
      <c r="X1446">
        <v>0</v>
      </c>
    </row>
    <row r="1447" spans="1:24">
      <c r="A1447">
        <v>941</v>
      </c>
      <c r="B1447" t="s">
        <v>3895</v>
      </c>
      <c r="C1447">
        <v>3</v>
      </c>
      <c r="D1447" t="s">
        <v>3896</v>
      </c>
      <c r="E1447">
        <v>5</v>
      </c>
      <c r="F1447">
        <v>5</v>
      </c>
      <c r="G1447">
        <v>5</v>
      </c>
      <c r="H1447" t="s">
        <v>3897</v>
      </c>
      <c r="I1447">
        <v>10.6</v>
      </c>
      <c r="J1447">
        <v>77.906000000000006</v>
      </c>
      <c r="K1447" t="str">
        <f>"ACSL1"</f>
        <v>ACSL1</v>
      </c>
      <c r="L1447" t="str">
        <f>"ACSL1"</f>
        <v>ACSL1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</row>
    <row r="1448" spans="1:24">
      <c r="A1448">
        <v>946</v>
      </c>
      <c r="B1448" t="s">
        <v>3898</v>
      </c>
      <c r="C1448">
        <v>4</v>
      </c>
      <c r="D1448" t="s">
        <v>3899</v>
      </c>
      <c r="E1448">
        <v>8</v>
      </c>
      <c r="F1448">
        <v>7</v>
      </c>
      <c r="G1448">
        <v>7</v>
      </c>
      <c r="H1448" t="s">
        <v>3900</v>
      </c>
      <c r="I1448">
        <v>26.4</v>
      </c>
      <c r="J1448">
        <v>49.027000000000001</v>
      </c>
      <c r="K1448" t="str">
        <f>"SHMT1"</f>
        <v>SHMT1</v>
      </c>
      <c r="L1448" t="str">
        <f>"SHMT1"</f>
        <v>SHMT1</v>
      </c>
      <c r="M1448">
        <v>0</v>
      </c>
      <c r="N1448">
        <v>0</v>
      </c>
      <c r="O1448">
        <v>54423000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</row>
    <row r="1449" spans="1:24">
      <c r="A1449">
        <v>1048</v>
      </c>
      <c r="B1449" t="s">
        <v>3901</v>
      </c>
      <c r="C1449">
        <v>5</v>
      </c>
      <c r="D1449" t="s">
        <v>3902</v>
      </c>
      <c r="E1449">
        <v>7</v>
      </c>
      <c r="F1449">
        <v>7</v>
      </c>
      <c r="G1449">
        <v>7</v>
      </c>
      <c r="H1449" t="s">
        <v>3903</v>
      </c>
      <c r="I1449">
        <v>10.7</v>
      </c>
      <c r="J1449">
        <v>96.798000000000002</v>
      </c>
      <c r="K1449" t="str">
        <f>"BAG6"</f>
        <v>BAG6</v>
      </c>
      <c r="L1449" t="str">
        <f>"BAG6"</f>
        <v>BAG6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>
      <c r="A1450">
        <v>1104</v>
      </c>
      <c r="B1450" t="s">
        <v>3904</v>
      </c>
      <c r="C1450">
        <v>2</v>
      </c>
      <c r="D1450" t="s">
        <v>3905</v>
      </c>
      <c r="E1450">
        <v>6</v>
      </c>
      <c r="F1450">
        <v>6</v>
      </c>
      <c r="G1450">
        <v>6</v>
      </c>
      <c r="H1450" t="s">
        <v>3906</v>
      </c>
      <c r="I1450">
        <v>11.5</v>
      </c>
      <c r="J1450">
        <v>61.44</v>
      </c>
      <c r="K1450" t="str">
        <f>"NT5C2"</f>
        <v>NT5C2</v>
      </c>
      <c r="L1450" t="str">
        <f>"NT5C2"</f>
        <v>NT5C2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</row>
    <row r="1451" spans="1:24">
      <c r="A1451">
        <v>1139</v>
      </c>
      <c r="B1451" t="s">
        <v>3907</v>
      </c>
      <c r="C1451">
        <v>6</v>
      </c>
      <c r="D1451" t="s">
        <v>3908</v>
      </c>
      <c r="E1451">
        <v>4</v>
      </c>
      <c r="F1451">
        <v>4</v>
      </c>
      <c r="G1451">
        <v>3</v>
      </c>
      <c r="H1451" t="s">
        <v>3909</v>
      </c>
      <c r="I1451">
        <v>5.3</v>
      </c>
      <c r="J1451">
        <v>88.462999999999994</v>
      </c>
      <c r="K1451" t="str">
        <f>"CLCN3;CLCN4"</f>
        <v>CLCN3;CLCN4</v>
      </c>
      <c r="L1451" t="str">
        <f>"CLCN3;CLCN4"</f>
        <v>CLCN3;CLCN4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</row>
    <row r="1452" spans="1:24">
      <c r="A1452">
        <v>1182</v>
      </c>
      <c r="B1452" t="s">
        <v>3910</v>
      </c>
      <c r="C1452">
        <v>1</v>
      </c>
      <c r="D1452" t="s">
        <v>3911</v>
      </c>
      <c r="E1452">
        <v>4</v>
      </c>
      <c r="F1452">
        <v>4</v>
      </c>
      <c r="G1452">
        <v>4</v>
      </c>
      <c r="H1452" t="s">
        <v>3910</v>
      </c>
      <c r="I1452">
        <v>6.7</v>
      </c>
      <c r="J1452">
        <v>49.222000000000001</v>
      </c>
      <c r="K1452" t="str">
        <f>"EIF5"</f>
        <v>EIF5</v>
      </c>
      <c r="L1452" t="str">
        <f>"EIF5"</f>
        <v>EIF5</v>
      </c>
      <c r="M1452">
        <v>0</v>
      </c>
      <c r="N1452">
        <v>20546000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>
      <c r="A1453">
        <v>1269</v>
      </c>
      <c r="B1453" t="s">
        <v>3912</v>
      </c>
      <c r="C1453">
        <v>3</v>
      </c>
      <c r="D1453" t="s">
        <v>3913</v>
      </c>
      <c r="E1453">
        <v>5</v>
      </c>
      <c r="F1453">
        <v>5</v>
      </c>
      <c r="G1453">
        <v>5</v>
      </c>
      <c r="H1453" t="s">
        <v>3914</v>
      </c>
      <c r="I1453">
        <v>20.5</v>
      </c>
      <c r="J1453">
        <v>29.597000000000001</v>
      </c>
      <c r="K1453" t="str">
        <f>"RPS4X;RPS4Y2;RPS4Y1"</f>
        <v>RPS4X;RPS4Y2;RPS4Y1</v>
      </c>
      <c r="L1453" t="str">
        <f>"RPS4X;RPS4Y2;RPS4Y1"</f>
        <v>RPS4X;RPS4Y2;RPS4Y1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54384000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</row>
    <row r="1454" spans="1:24">
      <c r="A1454">
        <v>1424</v>
      </c>
      <c r="B1454" t="s">
        <v>3915</v>
      </c>
      <c r="C1454">
        <v>4</v>
      </c>
      <c r="D1454" t="s">
        <v>3916</v>
      </c>
      <c r="E1454">
        <v>6</v>
      </c>
      <c r="F1454">
        <v>6</v>
      </c>
      <c r="G1454">
        <v>6</v>
      </c>
      <c r="H1454" t="s">
        <v>3917</v>
      </c>
      <c r="I1454">
        <v>16.2</v>
      </c>
      <c r="J1454">
        <v>55.091999999999999</v>
      </c>
      <c r="K1454" t="str">
        <f>"GPS1"</f>
        <v>GPS1</v>
      </c>
      <c r="L1454" t="str">
        <f>"GPS1"</f>
        <v>GPS1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102490000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</row>
    <row r="1455" spans="1:24">
      <c r="A1455">
        <v>1654</v>
      </c>
      <c r="B1455" t="s">
        <v>3918</v>
      </c>
      <c r="C1455">
        <v>1</v>
      </c>
      <c r="D1455" t="s">
        <v>3919</v>
      </c>
      <c r="E1455">
        <v>2</v>
      </c>
      <c r="F1455">
        <v>2</v>
      </c>
      <c r="G1455">
        <v>2</v>
      </c>
      <c r="H1455" t="s">
        <v>3918</v>
      </c>
      <c r="I1455">
        <v>9.5</v>
      </c>
      <c r="J1455">
        <v>27.52</v>
      </c>
      <c r="K1455" t="str">
        <f>"HACD4"</f>
        <v>HACD4</v>
      </c>
      <c r="L1455" t="str">
        <f>"HACD4"</f>
        <v>HACD4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</row>
    <row r="1456" spans="1:24">
      <c r="A1456">
        <v>1716</v>
      </c>
      <c r="B1456" t="s">
        <v>3920</v>
      </c>
      <c r="C1456">
        <v>2</v>
      </c>
      <c r="D1456" t="s">
        <v>3921</v>
      </c>
      <c r="E1456">
        <v>1</v>
      </c>
      <c r="F1456">
        <v>1</v>
      </c>
      <c r="G1456">
        <v>1</v>
      </c>
      <c r="H1456" t="s">
        <v>3922</v>
      </c>
      <c r="I1456">
        <v>8.3000000000000007</v>
      </c>
      <c r="J1456">
        <v>27.864999999999998</v>
      </c>
      <c r="K1456" t="str">
        <f>"EIF3M"</f>
        <v>EIF3M</v>
      </c>
      <c r="L1456" t="str">
        <f>"EIF3M"</f>
        <v>EIF3M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42694000</v>
      </c>
    </row>
    <row r="1457" spans="1:24">
      <c r="A1457">
        <v>1859</v>
      </c>
      <c r="B1457" t="s">
        <v>3923</v>
      </c>
      <c r="C1457">
        <v>3</v>
      </c>
      <c r="D1457" t="s">
        <v>3924</v>
      </c>
      <c r="E1457">
        <v>5</v>
      </c>
      <c r="F1457">
        <v>5</v>
      </c>
      <c r="G1457">
        <v>5</v>
      </c>
      <c r="H1457" t="s">
        <v>3925</v>
      </c>
      <c r="I1457">
        <v>3.6</v>
      </c>
      <c r="J1457">
        <v>206.01</v>
      </c>
      <c r="K1457" t="str">
        <f>"GBF1"</f>
        <v>GBF1</v>
      </c>
      <c r="L1457" t="str">
        <f>"GBF1"</f>
        <v>GBF1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>
      <c r="A1458">
        <v>1872</v>
      </c>
      <c r="B1458" t="s">
        <v>3926</v>
      </c>
      <c r="C1458">
        <v>2</v>
      </c>
      <c r="D1458" t="s">
        <v>3927</v>
      </c>
      <c r="E1458">
        <v>3</v>
      </c>
      <c r="F1458">
        <v>3</v>
      </c>
      <c r="G1458">
        <v>3</v>
      </c>
      <c r="H1458" t="s">
        <v>3928</v>
      </c>
      <c r="I1458">
        <v>0.7</v>
      </c>
      <c r="J1458">
        <v>564.55999999999995</v>
      </c>
      <c r="K1458" t="str">
        <f>"RYR2"</f>
        <v>RYR2</v>
      </c>
      <c r="L1458" t="str">
        <f>"RYR2"</f>
        <v>RYR2</v>
      </c>
      <c r="M1458">
        <v>0</v>
      </c>
      <c r="N1458">
        <v>0</v>
      </c>
      <c r="O1458">
        <v>0</v>
      </c>
      <c r="P1458">
        <v>0</v>
      </c>
      <c r="Q1458">
        <v>1084400000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</row>
    <row r="1459" spans="1:24">
      <c r="A1459">
        <v>1947</v>
      </c>
      <c r="B1459" t="s">
        <v>3929</v>
      </c>
      <c r="C1459">
        <v>2</v>
      </c>
      <c r="D1459" t="s">
        <v>3930</v>
      </c>
      <c r="E1459">
        <v>6</v>
      </c>
      <c r="F1459">
        <v>6</v>
      </c>
      <c r="G1459">
        <v>6</v>
      </c>
      <c r="H1459" t="s">
        <v>3931</v>
      </c>
      <c r="I1459">
        <v>12.6</v>
      </c>
      <c r="J1459">
        <v>51.871000000000002</v>
      </c>
      <c r="K1459" t="str">
        <f>"TMX3"</f>
        <v>TMX3</v>
      </c>
      <c r="L1459" t="str">
        <f>"TMX3"</f>
        <v>TMX3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</row>
    <row r="1460" spans="1:24">
      <c r="A1460">
        <v>1953</v>
      </c>
      <c r="B1460" t="s">
        <v>3932</v>
      </c>
      <c r="C1460">
        <v>1</v>
      </c>
      <c r="D1460" t="s">
        <v>3933</v>
      </c>
      <c r="E1460">
        <v>7</v>
      </c>
      <c r="F1460">
        <v>7</v>
      </c>
      <c r="G1460">
        <v>7</v>
      </c>
      <c r="H1460" t="s">
        <v>3932</v>
      </c>
      <c r="I1460">
        <v>10.4</v>
      </c>
      <c r="J1460">
        <v>104.07</v>
      </c>
      <c r="K1460" t="str">
        <f>"EXOC2"</f>
        <v>EXOC2</v>
      </c>
      <c r="L1460" t="str">
        <f>"EXOC2"</f>
        <v>EXOC2</v>
      </c>
      <c r="M1460">
        <v>0</v>
      </c>
      <c r="N1460">
        <v>78946000</v>
      </c>
      <c r="O1460">
        <v>80957000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</row>
    <row r="1461" spans="1:24">
      <c r="A1461">
        <v>1981</v>
      </c>
      <c r="B1461" t="s">
        <v>3934</v>
      </c>
      <c r="C1461">
        <v>1</v>
      </c>
      <c r="D1461" t="s">
        <v>3935</v>
      </c>
      <c r="E1461">
        <v>1</v>
      </c>
      <c r="F1461">
        <v>1</v>
      </c>
      <c r="G1461">
        <v>1</v>
      </c>
      <c r="H1461" t="s">
        <v>3934</v>
      </c>
      <c r="I1461">
        <v>1.1000000000000001</v>
      </c>
      <c r="J1461">
        <v>92.25</v>
      </c>
      <c r="K1461" t="str">
        <f>"CDC5L"</f>
        <v>CDC5L</v>
      </c>
      <c r="L1461" t="str">
        <f>"CDC5L"</f>
        <v>CDC5L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323680000</v>
      </c>
      <c r="X1461">
        <v>0</v>
      </c>
    </row>
    <row r="1462" spans="1:24">
      <c r="A1462">
        <v>2269</v>
      </c>
      <c r="B1462" t="s">
        <v>3936</v>
      </c>
      <c r="C1462">
        <v>3</v>
      </c>
      <c r="D1462" t="s">
        <v>3937</v>
      </c>
      <c r="E1462">
        <v>2</v>
      </c>
      <c r="F1462">
        <v>2</v>
      </c>
      <c r="G1462">
        <v>2</v>
      </c>
      <c r="H1462" t="s">
        <v>3938</v>
      </c>
      <c r="I1462">
        <v>6.9</v>
      </c>
      <c r="J1462">
        <v>45.756</v>
      </c>
      <c r="K1462" t="str">
        <f>"DCTN4"</f>
        <v>DCTN4</v>
      </c>
      <c r="L1462" t="str">
        <f>"DCTN4"</f>
        <v>DCTN4</v>
      </c>
      <c r="M1462">
        <v>0</v>
      </c>
      <c r="N1462">
        <v>27162000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</row>
    <row r="1463" spans="1:24">
      <c r="A1463">
        <v>4</v>
      </c>
      <c r="B1463" t="s">
        <v>3939</v>
      </c>
      <c r="C1463">
        <v>1</v>
      </c>
      <c r="D1463" t="s">
        <v>3940</v>
      </c>
      <c r="E1463">
        <v>2</v>
      </c>
      <c r="F1463">
        <v>2</v>
      </c>
      <c r="G1463">
        <v>2</v>
      </c>
      <c r="H1463" t="s">
        <v>3939</v>
      </c>
      <c r="I1463">
        <v>6.4</v>
      </c>
      <c r="J1463">
        <v>33.356000000000002</v>
      </c>
      <c r="K1463" t="str">
        <f>"ELOVL7"</f>
        <v>ELOVL7</v>
      </c>
      <c r="L1463" t="str">
        <f>"ELOVL7"</f>
        <v>ELOVL7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</row>
    <row r="1464" spans="1:24">
      <c r="A1464">
        <v>66</v>
      </c>
      <c r="B1464" t="s">
        <v>3941</v>
      </c>
      <c r="C1464">
        <v>1</v>
      </c>
      <c r="D1464" t="s">
        <v>3942</v>
      </c>
      <c r="E1464">
        <v>3</v>
      </c>
      <c r="F1464">
        <v>3</v>
      </c>
      <c r="G1464">
        <v>3</v>
      </c>
      <c r="H1464" t="s">
        <v>3941</v>
      </c>
      <c r="I1464">
        <v>8.6999999999999993</v>
      </c>
      <c r="J1464">
        <v>37.563000000000002</v>
      </c>
      <c r="K1464" t="str">
        <f>"EIF3F"</f>
        <v>EIF3F</v>
      </c>
      <c r="L1464" t="str">
        <f>"EIF3F"</f>
        <v>EIF3F</v>
      </c>
      <c r="M1464">
        <v>0</v>
      </c>
      <c r="N1464">
        <v>0</v>
      </c>
      <c r="O1464">
        <v>64338000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</row>
    <row r="1465" spans="1:24">
      <c r="A1465">
        <v>102</v>
      </c>
      <c r="B1465" t="s">
        <v>3943</v>
      </c>
      <c r="C1465">
        <v>1</v>
      </c>
      <c r="D1465" t="s">
        <v>3944</v>
      </c>
      <c r="E1465">
        <v>3</v>
      </c>
      <c r="F1465">
        <v>3</v>
      </c>
      <c r="G1465">
        <v>3</v>
      </c>
      <c r="H1465" t="s">
        <v>3943</v>
      </c>
      <c r="I1465">
        <v>35.4</v>
      </c>
      <c r="J1465">
        <v>9.9062000000000001</v>
      </c>
      <c r="K1465" t="str">
        <f>"UQCRQ"</f>
        <v>UQCRQ</v>
      </c>
      <c r="L1465" t="str">
        <f>"UQCRQ"</f>
        <v>UQCRQ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55804000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</row>
    <row r="1466" spans="1:24">
      <c r="A1466">
        <v>138</v>
      </c>
      <c r="B1466" t="s">
        <v>3945</v>
      </c>
      <c r="C1466">
        <v>3</v>
      </c>
      <c r="D1466" t="s">
        <v>3946</v>
      </c>
      <c r="E1466">
        <v>15</v>
      </c>
      <c r="F1466">
        <v>15</v>
      </c>
      <c r="G1466">
        <v>15</v>
      </c>
      <c r="H1466" t="s">
        <v>3947</v>
      </c>
      <c r="I1466">
        <v>7.1</v>
      </c>
      <c r="J1466">
        <v>331.07</v>
      </c>
      <c r="K1466" t="str">
        <f>"ZZEF1"</f>
        <v>ZZEF1</v>
      </c>
      <c r="L1466" t="str">
        <f>"ZZEF1"</f>
        <v>ZZEF1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108810000</v>
      </c>
    </row>
    <row r="1467" spans="1:24">
      <c r="A1467">
        <v>158</v>
      </c>
      <c r="B1467" t="s">
        <v>3948</v>
      </c>
      <c r="C1467">
        <v>1</v>
      </c>
      <c r="D1467" t="s">
        <v>3949</v>
      </c>
      <c r="E1467">
        <v>4</v>
      </c>
      <c r="F1467">
        <v>4</v>
      </c>
      <c r="G1467">
        <v>4</v>
      </c>
      <c r="H1467" t="s">
        <v>3948</v>
      </c>
      <c r="I1467">
        <v>14.4</v>
      </c>
      <c r="J1467">
        <v>25.103999999999999</v>
      </c>
      <c r="K1467" t="str">
        <f>"CHMP2A"</f>
        <v>CHMP2A</v>
      </c>
      <c r="L1467" t="str">
        <f>"CHMP2A"</f>
        <v>CHMP2A</v>
      </c>
      <c r="M1467">
        <v>0</v>
      </c>
      <c r="N1467">
        <v>96860000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</row>
    <row r="1468" spans="1:24">
      <c r="A1468">
        <v>179</v>
      </c>
      <c r="B1468" t="s">
        <v>3950</v>
      </c>
      <c r="C1468">
        <v>6</v>
      </c>
      <c r="D1468" t="s">
        <v>3951</v>
      </c>
      <c r="E1468">
        <v>8</v>
      </c>
      <c r="F1468">
        <v>8</v>
      </c>
      <c r="G1468">
        <v>8</v>
      </c>
      <c r="H1468" t="s">
        <v>3952</v>
      </c>
      <c r="I1468">
        <v>32.200000000000003</v>
      </c>
      <c r="J1468">
        <v>40.924999999999997</v>
      </c>
      <c r="K1468" t="str">
        <f>"PRPSAP2;PRPSAP1"</f>
        <v>PRPSAP2;PRPSAP1</v>
      </c>
      <c r="L1468" t="str">
        <f>"PRPSAP2;PRPSAP1"</f>
        <v>PRPSAP2;PRPSAP1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79806000</v>
      </c>
      <c r="X1468">
        <v>0</v>
      </c>
    </row>
    <row r="1469" spans="1:24">
      <c r="A1469">
        <v>192</v>
      </c>
      <c r="B1469" t="s">
        <v>3953</v>
      </c>
      <c r="C1469">
        <v>32</v>
      </c>
      <c r="D1469" t="s">
        <v>3954</v>
      </c>
      <c r="E1469">
        <v>3</v>
      </c>
      <c r="F1469">
        <v>3</v>
      </c>
      <c r="G1469">
        <v>3</v>
      </c>
      <c r="H1469" t="s">
        <v>3955</v>
      </c>
      <c r="I1469">
        <v>5.9</v>
      </c>
      <c r="J1469">
        <v>65.64</v>
      </c>
      <c r="K1469" t="str">
        <f>"CTNND1"</f>
        <v>CTNND1</v>
      </c>
      <c r="L1469" t="str">
        <f>"CTNND1"</f>
        <v>CTNND1</v>
      </c>
      <c r="M1469">
        <v>0</v>
      </c>
      <c r="N1469">
        <v>43871000</v>
      </c>
      <c r="O1469">
        <v>42760000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</row>
    <row r="1470" spans="1:24">
      <c r="A1470">
        <v>207</v>
      </c>
      <c r="B1470" t="s">
        <v>3956</v>
      </c>
      <c r="C1470">
        <v>3</v>
      </c>
      <c r="D1470" t="s">
        <v>3957</v>
      </c>
      <c r="E1470">
        <v>3</v>
      </c>
      <c r="F1470">
        <v>3</v>
      </c>
      <c r="G1470">
        <v>3</v>
      </c>
      <c r="H1470" t="s">
        <v>3958</v>
      </c>
      <c r="I1470">
        <v>23.9</v>
      </c>
      <c r="J1470">
        <v>22.315999999999999</v>
      </c>
      <c r="K1470" t="str">
        <f>"RTN2"</f>
        <v>RTN2</v>
      </c>
      <c r="L1470" t="str">
        <f>"RTN2"</f>
        <v>RTN2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48604000</v>
      </c>
      <c r="T1470">
        <v>0</v>
      </c>
      <c r="U1470">
        <v>0</v>
      </c>
      <c r="V1470">
        <v>0</v>
      </c>
      <c r="W1470">
        <v>49319000</v>
      </c>
      <c r="X1470">
        <v>51342000</v>
      </c>
    </row>
    <row r="1471" spans="1:24">
      <c r="A1471">
        <v>208</v>
      </c>
      <c r="B1471" t="s">
        <v>3959</v>
      </c>
      <c r="C1471">
        <v>2</v>
      </c>
      <c r="D1471" t="s">
        <v>3960</v>
      </c>
      <c r="E1471">
        <v>3</v>
      </c>
      <c r="F1471">
        <v>3</v>
      </c>
      <c r="G1471">
        <v>3</v>
      </c>
      <c r="H1471" t="s">
        <v>3961</v>
      </c>
      <c r="I1471">
        <v>9.4</v>
      </c>
      <c r="J1471">
        <v>51.850999999999999</v>
      </c>
      <c r="K1471" t="str">
        <f>"NDUFS2"</f>
        <v>NDUFS2</v>
      </c>
      <c r="L1471" t="str">
        <f>"NDUFS2"</f>
        <v>NDUFS2</v>
      </c>
      <c r="M1471">
        <v>0</v>
      </c>
      <c r="N1471">
        <v>0</v>
      </c>
      <c r="O1471">
        <v>57186000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>
      <c r="A1472">
        <v>451</v>
      </c>
      <c r="B1472" t="s">
        <v>3962</v>
      </c>
      <c r="C1472">
        <v>1</v>
      </c>
      <c r="D1472" t="s">
        <v>3963</v>
      </c>
      <c r="E1472">
        <v>2</v>
      </c>
      <c r="F1472">
        <v>2</v>
      </c>
      <c r="G1472">
        <v>2</v>
      </c>
      <c r="H1472" t="s">
        <v>3962</v>
      </c>
      <c r="I1472">
        <v>21.4</v>
      </c>
      <c r="J1472">
        <v>11.581</v>
      </c>
      <c r="K1472" t="s">
        <v>3964</v>
      </c>
      <c r="L1472" t="s">
        <v>3964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</row>
    <row r="1473" spans="1:24">
      <c r="A1473">
        <v>472</v>
      </c>
      <c r="B1473" t="s">
        <v>3965</v>
      </c>
      <c r="C1473">
        <v>11</v>
      </c>
      <c r="D1473" t="s">
        <v>3966</v>
      </c>
      <c r="E1473">
        <v>9</v>
      </c>
      <c r="F1473">
        <v>9</v>
      </c>
      <c r="G1473">
        <v>8</v>
      </c>
      <c r="H1473" t="s">
        <v>3967</v>
      </c>
      <c r="I1473">
        <v>10.6</v>
      </c>
      <c r="J1473">
        <v>113</v>
      </c>
      <c r="K1473" t="str">
        <f>"ATP1A1;ATP1A3;ATP1A2;ATP1A4;ATP12A"</f>
        <v>ATP1A1;ATP1A3;ATP1A2;ATP1A4;ATP12A</v>
      </c>
      <c r="L1473" t="str">
        <f>"ATP1A1;ATP1A3;ATP1A2;ATP1A4;ATP12A"</f>
        <v>ATP1A1;ATP1A3;ATP1A2;ATP1A4;ATP12A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</row>
    <row r="1474" spans="1:24">
      <c r="A1474">
        <v>547</v>
      </c>
      <c r="B1474" t="s">
        <v>3968</v>
      </c>
      <c r="C1474">
        <v>2</v>
      </c>
      <c r="D1474" t="s">
        <v>3969</v>
      </c>
      <c r="E1474">
        <v>10</v>
      </c>
      <c r="F1474">
        <v>3</v>
      </c>
      <c r="G1474">
        <v>3</v>
      </c>
      <c r="H1474" t="s">
        <v>3970</v>
      </c>
      <c r="I1474">
        <v>45.1</v>
      </c>
      <c r="J1474">
        <v>22.006</v>
      </c>
      <c r="K1474" t="str">
        <f>"RHOC;RHOB"</f>
        <v>RHOC;RHOB</v>
      </c>
      <c r="L1474" t="str">
        <f>"RHOC;RHOB"</f>
        <v>RHOC;RHOB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</row>
    <row r="1475" spans="1:24">
      <c r="A1475">
        <v>754</v>
      </c>
      <c r="B1475" t="s">
        <v>3971</v>
      </c>
      <c r="C1475">
        <v>3</v>
      </c>
      <c r="D1475" t="s">
        <v>3972</v>
      </c>
      <c r="E1475">
        <v>3</v>
      </c>
      <c r="F1475">
        <v>3</v>
      </c>
      <c r="G1475">
        <v>3</v>
      </c>
      <c r="H1475" t="s">
        <v>3973</v>
      </c>
      <c r="I1475">
        <v>5.6</v>
      </c>
      <c r="J1475">
        <v>105.35</v>
      </c>
      <c r="K1475" t="str">
        <f>"NFKB1"</f>
        <v>NFKB1</v>
      </c>
      <c r="L1475" t="str">
        <f>"NFKB1"</f>
        <v>NFKB1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</row>
    <row r="1476" spans="1:24">
      <c r="A1476">
        <v>949</v>
      </c>
      <c r="B1476" t="s">
        <v>3974</v>
      </c>
      <c r="C1476">
        <v>1</v>
      </c>
      <c r="D1476" t="s">
        <v>3975</v>
      </c>
      <c r="E1476">
        <v>13</v>
      </c>
      <c r="F1476">
        <v>1</v>
      </c>
      <c r="G1476">
        <v>1</v>
      </c>
      <c r="H1476" t="s">
        <v>3974</v>
      </c>
      <c r="I1476">
        <v>20.6</v>
      </c>
      <c r="J1476">
        <v>70.373999999999995</v>
      </c>
      <c r="K1476" t="str">
        <f>"HSPA1L"</f>
        <v>HSPA1L</v>
      </c>
      <c r="L1476" t="str">
        <f>"HSPA1L"</f>
        <v>HSPA1L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13393000</v>
      </c>
      <c r="X1476">
        <v>0</v>
      </c>
    </row>
    <row r="1477" spans="1:24">
      <c r="A1477">
        <v>1090</v>
      </c>
      <c r="B1477" t="s">
        <v>3976</v>
      </c>
      <c r="C1477">
        <v>3</v>
      </c>
      <c r="D1477" t="s">
        <v>3977</v>
      </c>
      <c r="E1477">
        <v>6</v>
      </c>
      <c r="F1477">
        <v>6</v>
      </c>
      <c r="G1477">
        <v>6</v>
      </c>
      <c r="H1477" t="s">
        <v>3978</v>
      </c>
      <c r="I1477">
        <v>9.6</v>
      </c>
      <c r="J1477">
        <v>82.844999999999999</v>
      </c>
      <c r="K1477" t="str">
        <f>"CARS"</f>
        <v>CARS</v>
      </c>
      <c r="L1477" t="str">
        <f>"CARS"</f>
        <v>CARS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</row>
    <row r="1478" spans="1:24">
      <c r="A1478">
        <v>1100</v>
      </c>
      <c r="B1478" t="s">
        <v>3979</v>
      </c>
      <c r="C1478">
        <v>20</v>
      </c>
      <c r="D1478" t="s">
        <v>3980</v>
      </c>
      <c r="E1478">
        <v>4</v>
      </c>
      <c r="F1478">
        <v>4</v>
      </c>
      <c r="G1478">
        <v>4</v>
      </c>
      <c r="H1478" t="s">
        <v>3981</v>
      </c>
      <c r="I1478">
        <v>16.2</v>
      </c>
      <c r="J1478">
        <v>40.588000000000001</v>
      </c>
      <c r="K1478" t="str">
        <f>"RGS6;RGS7"</f>
        <v>RGS6;RGS7</v>
      </c>
      <c r="L1478" t="str">
        <f>"RGS6;RGS7"</f>
        <v>RGS6;RGS7</v>
      </c>
      <c r="M1478">
        <v>0</v>
      </c>
      <c r="N1478">
        <v>71920000</v>
      </c>
      <c r="O1478">
        <v>49478000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</row>
    <row r="1479" spans="1:24">
      <c r="A1479">
        <v>1209</v>
      </c>
      <c r="B1479" t="s">
        <v>3982</v>
      </c>
      <c r="C1479">
        <v>1</v>
      </c>
      <c r="D1479" t="s">
        <v>3983</v>
      </c>
      <c r="E1479">
        <v>4</v>
      </c>
      <c r="F1479">
        <v>4</v>
      </c>
      <c r="G1479">
        <v>4</v>
      </c>
      <c r="H1479" t="s">
        <v>3982</v>
      </c>
      <c r="I1479">
        <v>9.3000000000000007</v>
      </c>
      <c r="J1479">
        <v>52.8</v>
      </c>
      <c r="K1479" t="str">
        <f>"GSDMD"</f>
        <v>GSDMD</v>
      </c>
      <c r="L1479" t="str">
        <f>"GSDMD"</f>
        <v>GSDMD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</row>
    <row r="1480" spans="1:24">
      <c r="A1480">
        <v>1335</v>
      </c>
      <c r="B1480" t="s">
        <v>3984</v>
      </c>
      <c r="C1480">
        <v>29</v>
      </c>
      <c r="D1480" t="s">
        <v>3985</v>
      </c>
      <c r="E1480">
        <v>4</v>
      </c>
      <c r="F1480">
        <v>4</v>
      </c>
      <c r="G1480">
        <v>3</v>
      </c>
      <c r="H1480" t="s">
        <v>3986</v>
      </c>
      <c r="I1480">
        <v>14.7</v>
      </c>
      <c r="J1480">
        <v>33.304000000000002</v>
      </c>
      <c r="K1480" t="str">
        <f>"CDK5;CDK4;CDK2;CDK1;CDK3;CDK6;CDK15;CDK9;CDK14;CDK18;CDK16;CDK17;CDK13"</f>
        <v>CDK5;CDK4;CDK2;CDK1;CDK3;CDK6;CDK15;CDK9;CDK14;CDK18;CDK16;CDK17;CDK13</v>
      </c>
      <c r="L1480" t="str">
        <f>"CDK5;CDK4;CDK2;CDK1;CDK3;CDK6;CDK15;CDK9;CDK14;CDK18;CDK16;CDK17;CDK13"</f>
        <v>CDK5;CDK4;CDK2;CDK1;CDK3;CDK6;CDK15;CDK9;CDK14;CDK18;CDK16;CDK17;CDK13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</row>
    <row r="1481" spans="1:24">
      <c r="A1481">
        <v>1348</v>
      </c>
      <c r="B1481" t="s">
        <v>3987</v>
      </c>
      <c r="C1481">
        <v>2</v>
      </c>
      <c r="D1481" t="s">
        <v>3988</v>
      </c>
      <c r="E1481">
        <v>4</v>
      </c>
      <c r="F1481">
        <v>4</v>
      </c>
      <c r="G1481">
        <v>4</v>
      </c>
      <c r="H1481" t="s">
        <v>3989</v>
      </c>
      <c r="I1481">
        <v>4.5999999999999996</v>
      </c>
      <c r="J1481">
        <v>131.19999999999999</v>
      </c>
      <c r="K1481" t="str">
        <f>"PLCB3"</f>
        <v>PLCB3</v>
      </c>
      <c r="L1481" t="str">
        <f>"PLCB3"</f>
        <v>PLCB3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>
      <c r="A1482">
        <v>1555</v>
      </c>
      <c r="B1482" t="s">
        <v>3990</v>
      </c>
      <c r="C1482">
        <v>1</v>
      </c>
      <c r="D1482" t="s">
        <v>3991</v>
      </c>
      <c r="E1482">
        <v>7</v>
      </c>
      <c r="F1482">
        <v>7</v>
      </c>
      <c r="G1482">
        <v>7</v>
      </c>
      <c r="H1482" t="s">
        <v>3990</v>
      </c>
      <c r="I1482">
        <v>8.8000000000000007</v>
      </c>
      <c r="J1482">
        <v>123.92</v>
      </c>
      <c r="K1482" t="str">
        <f>"UBE3C"</f>
        <v>UBE3C</v>
      </c>
      <c r="L1482" t="str">
        <f>"UBE3C"</f>
        <v>UBE3C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825470000</v>
      </c>
    </row>
    <row r="1483" spans="1:24">
      <c r="A1483">
        <v>1577</v>
      </c>
      <c r="B1483" t="s">
        <v>3992</v>
      </c>
      <c r="C1483">
        <v>1</v>
      </c>
      <c r="D1483" t="s">
        <v>3993</v>
      </c>
      <c r="E1483">
        <v>1</v>
      </c>
      <c r="F1483">
        <v>1</v>
      </c>
      <c r="G1483">
        <v>1</v>
      </c>
      <c r="H1483" t="s">
        <v>3992</v>
      </c>
      <c r="I1483">
        <v>6.1</v>
      </c>
      <c r="J1483">
        <v>26.413</v>
      </c>
      <c r="K1483" t="str">
        <f>"ADIPOQ"</f>
        <v>ADIPOQ</v>
      </c>
      <c r="L1483" t="str">
        <f>"ADIPOQ"</f>
        <v>ADIPOQ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</row>
    <row r="1484" spans="1:24">
      <c r="A1484">
        <v>1579</v>
      </c>
      <c r="B1484" t="s">
        <v>3994</v>
      </c>
      <c r="C1484">
        <v>9</v>
      </c>
      <c r="D1484" t="s">
        <v>3995</v>
      </c>
      <c r="E1484">
        <v>2</v>
      </c>
      <c r="F1484">
        <v>2</v>
      </c>
      <c r="G1484">
        <v>2</v>
      </c>
      <c r="H1484" t="s">
        <v>3996</v>
      </c>
      <c r="I1484">
        <v>0.5</v>
      </c>
      <c r="J1484">
        <v>393.73</v>
      </c>
      <c r="K1484" t="str">
        <f>"ZFHX4;ZFHX3;ZFHX2"</f>
        <v>ZFHX4;ZFHX3;ZFHX2</v>
      </c>
      <c r="L1484" t="str">
        <f>"ZFHX4;ZFHX3;ZFHX2"</f>
        <v>ZFHX4;ZFHX3;ZFHX2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</row>
    <row r="1485" spans="1:24">
      <c r="A1485">
        <v>1598</v>
      </c>
      <c r="B1485" t="s">
        <v>3997</v>
      </c>
      <c r="C1485">
        <v>2</v>
      </c>
      <c r="D1485" t="s">
        <v>3998</v>
      </c>
      <c r="E1485">
        <v>4</v>
      </c>
      <c r="F1485">
        <v>4</v>
      </c>
      <c r="G1485">
        <v>4</v>
      </c>
      <c r="H1485" t="s">
        <v>3999</v>
      </c>
      <c r="I1485">
        <v>20</v>
      </c>
      <c r="J1485">
        <v>28.86</v>
      </c>
      <c r="K1485" t="str">
        <f>"HAGH"</f>
        <v>HAGH</v>
      </c>
      <c r="L1485" t="str">
        <f>"HAGH"</f>
        <v>HAGH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</row>
    <row r="1486" spans="1:24">
      <c r="A1486">
        <v>1631</v>
      </c>
      <c r="B1486" t="s">
        <v>4000</v>
      </c>
      <c r="C1486">
        <v>3</v>
      </c>
      <c r="D1486" t="s">
        <v>4001</v>
      </c>
      <c r="E1486">
        <v>7</v>
      </c>
      <c r="F1486">
        <v>7</v>
      </c>
      <c r="G1486">
        <v>7</v>
      </c>
      <c r="H1486" t="s">
        <v>4002</v>
      </c>
      <c r="I1486">
        <v>10.3</v>
      </c>
      <c r="J1486">
        <v>106.06</v>
      </c>
      <c r="K1486" t="str">
        <f>"PITRM1"</f>
        <v>PITRM1</v>
      </c>
      <c r="L1486" t="str">
        <f>"PITRM1"</f>
        <v>PITRM1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</row>
    <row r="1487" spans="1:24">
      <c r="A1487">
        <v>1689</v>
      </c>
      <c r="B1487" t="s">
        <v>4003</v>
      </c>
      <c r="C1487">
        <v>1</v>
      </c>
      <c r="D1487" t="s">
        <v>4004</v>
      </c>
      <c r="E1487">
        <v>6</v>
      </c>
      <c r="F1487">
        <v>6</v>
      </c>
      <c r="G1487">
        <v>6</v>
      </c>
      <c r="H1487" t="s">
        <v>4003</v>
      </c>
      <c r="I1487">
        <v>22.5</v>
      </c>
      <c r="J1487">
        <v>35.74</v>
      </c>
      <c r="K1487" t="str">
        <f>"TMED8"</f>
        <v>TMED8</v>
      </c>
      <c r="L1487" t="str">
        <f>"TMED8"</f>
        <v>TMED8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</row>
    <row r="1488" spans="1:24">
      <c r="A1488">
        <v>1692</v>
      </c>
      <c r="B1488" t="s">
        <v>4005</v>
      </c>
      <c r="C1488">
        <v>3</v>
      </c>
      <c r="D1488" t="s">
        <v>4006</v>
      </c>
      <c r="E1488">
        <v>5</v>
      </c>
      <c r="F1488">
        <v>5</v>
      </c>
      <c r="G1488">
        <v>5</v>
      </c>
      <c r="H1488" t="s">
        <v>4007</v>
      </c>
      <c r="I1488">
        <v>13.3</v>
      </c>
      <c r="J1488">
        <v>53.911000000000001</v>
      </c>
      <c r="K1488" t="str">
        <f>"PLXDC2"</f>
        <v>PLXDC2</v>
      </c>
      <c r="L1488" t="str">
        <f>"PLXDC2"</f>
        <v>PLXDC2</v>
      </c>
      <c r="M1488">
        <v>0</v>
      </c>
      <c r="N1488">
        <v>0</v>
      </c>
      <c r="O1488">
        <v>0</v>
      </c>
      <c r="P1488">
        <v>22418000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>
      <c r="A1489">
        <v>1803</v>
      </c>
      <c r="B1489" t="s">
        <v>4008</v>
      </c>
      <c r="C1489">
        <v>2</v>
      </c>
      <c r="D1489" t="s">
        <v>4009</v>
      </c>
      <c r="E1489">
        <v>2</v>
      </c>
      <c r="F1489">
        <v>2</v>
      </c>
      <c r="G1489">
        <v>2</v>
      </c>
      <c r="H1489" t="s">
        <v>4010</v>
      </c>
      <c r="I1489">
        <v>6.6</v>
      </c>
      <c r="J1489">
        <v>55.271999999999998</v>
      </c>
      <c r="K1489" t="str">
        <f>"FAM98A"</f>
        <v>FAM98A</v>
      </c>
      <c r="L1489" t="str">
        <f>"FAM98A"</f>
        <v>FAM98A</v>
      </c>
      <c r="M1489">
        <v>0</v>
      </c>
      <c r="N1489">
        <v>15400000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</row>
    <row r="1490" spans="1:24">
      <c r="A1490">
        <v>1886</v>
      </c>
      <c r="B1490" t="s">
        <v>4011</v>
      </c>
      <c r="C1490">
        <v>3</v>
      </c>
      <c r="D1490" t="s">
        <v>4012</v>
      </c>
      <c r="E1490">
        <v>1</v>
      </c>
      <c r="F1490">
        <v>1</v>
      </c>
      <c r="G1490">
        <v>1</v>
      </c>
      <c r="H1490" t="s">
        <v>4013</v>
      </c>
      <c r="I1490">
        <v>6.6</v>
      </c>
      <c r="J1490">
        <v>21.632999999999999</v>
      </c>
      <c r="K1490" t="str">
        <f>"RIT1"</f>
        <v>RIT1</v>
      </c>
      <c r="L1490" t="str">
        <f>"RIT1"</f>
        <v>RIT1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14209000</v>
      </c>
    </row>
    <row r="1491" spans="1:24">
      <c r="A1491">
        <v>1925</v>
      </c>
      <c r="B1491" t="s">
        <v>4014</v>
      </c>
      <c r="C1491">
        <v>1</v>
      </c>
      <c r="D1491" t="s">
        <v>4015</v>
      </c>
      <c r="E1491">
        <v>3</v>
      </c>
      <c r="F1491">
        <v>2</v>
      </c>
      <c r="G1491">
        <v>2</v>
      </c>
      <c r="H1491" t="s">
        <v>4014</v>
      </c>
      <c r="I1491">
        <v>18.100000000000001</v>
      </c>
      <c r="J1491">
        <v>25.952000000000002</v>
      </c>
      <c r="K1491" t="str">
        <f>"RAB3C"</f>
        <v>RAB3C</v>
      </c>
      <c r="L1491" t="str">
        <f>"RAB3C"</f>
        <v>RAB3C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75257000</v>
      </c>
    </row>
    <row r="1492" spans="1:24">
      <c r="A1492">
        <v>2051</v>
      </c>
      <c r="B1492" t="s">
        <v>4016</v>
      </c>
      <c r="C1492">
        <v>4</v>
      </c>
      <c r="D1492" t="s">
        <v>4017</v>
      </c>
      <c r="E1492">
        <v>6</v>
      </c>
      <c r="F1492">
        <v>6</v>
      </c>
      <c r="G1492">
        <v>6</v>
      </c>
      <c r="H1492" t="s">
        <v>4018</v>
      </c>
      <c r="I1492">
        <v>12.9</v>
      </c>
      <c r="J1492">
        <v>66.515000000000001</v>
      </c>
      <c r="K1492" t="str">
        <f>"FUT8"</f>
        <v>FUT8</v>
      </c>
      <c r="L1492" t="str">
        <f>"FUT8"</f>
        <v>FUT8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63641000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</row>
    <row r="1493" spans="1:24">
      <c r="A1493">
        <v>2119</v>
      </c>
      <c r="B1493" t="s">
        <v>4019</v>
      </c>
      <c r="C1493">
        <v>2</v>
      </c>
      <c r="D1493" t="s">
        <v>4020</v>
      </c>
      <c r="E1493">
        <v>3</v>
      </c>
      <c r="F1493">
        <v>3</v>
      </c>
      <c r="G1493">
        <v>3</v>
      </c>
      <c r="H1493" t="s">
        <v>4021</v>
      </c>
      <c r="I1493">
        <v>10.5</v>
      </c>
      <c r="J1493">
        <v>54.572000000000003</v>
      </c>
      <c r="K1493" t="str">
        <f>"SIAE"</f>
        <v>SIAE</v>
      </c>
      <c r="L1493" t="str">
        <f>"SIAE"</f>
        <v>SIAE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>
      <c r="A1494">
        <v>2165</v>
      </c>
      <c r="B1494" t="s">
        <v>4022</v>
      </c>
      <c r="C1494">
        <v>1</v>
      </c>
      <c r="D1494" t="s">
        <v>4023</v>
      </c>
      <c r="E1494">
        <v>3</v>
      </c>
      <c r="F1494">
        <v>3</v>
      </c>
      <c r="G1494">
        <v>3</v>
      </c>
      <c r="H1494" t="s">
        <v>4022</v>
      </c>
      <c r="I1494">
        <v>8.5</v>
      </c>
      <c r="J1494">
        <v>55.468000000000004</v>
      </c>
      <c r="K1494" t="str">
        <f>"FAM114A2"</f>
        <v>FAM114A2</v>
      </c>
      <c r="L1494" t="str">
        <f>"FAM114A2"</f>
        <v>FAM114A2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71817000</v>
      </c>
    </row>
    <row r="1495" spans="1:24">
      <c r="A1495">
        <v>2187</v>
      </c>
      <c r="B1495" t="s">
        <v>4024</v>
      </c>
      <c r="C1495">
        <v>1</v>
      </c>
      <c r="D1495" t="s">
        <v>4025</v>
      </c>
      <c r="E1495">
        <v>3</v>
      </c>
      <c r="F1495">
        <v>3</v>
      </c>
      <c r="G1495">
        <v>3</v>
      </c>
      <c r="H1495" t="s">
        <v>4024</v>
      </c>
      <c r="I1495">
        <v>30</v>
      </c>
      <c r="J1495">
        <v>18.047999999999998</v>
      </c>
      <c r="K1495" t="str">
        <f>"C1orf123"</f>
        <v>C1orf123</v>
      </c>
      <c r="L1495" t="str">
        <f>"C1orf123"</f>
        <v>C1orf123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</row>
    <row r="1496" spans="1:24">
      <c r="A1496">
        <v>2203</v>
      </c>
      <c r="B1496" t="s">
        <v>4026</v>
      </c>
      <c r="C1496">
        <v>1</v>
      </c>
      <c r="D1496" t="s">
        <v>4027</v>
      </c>
      <c r="E1496">
        <v>4</v>
      </c>
      <c r="F1496">
        <v>4</v>
      </c>
      <c r="G1496">
        <v>4</v>
      </c>
      <c r="H1496" t="s">
        <v>4026</v>
      </c>
      <c r="I1496">
        <v>12.7</v>
      </c>
      <c r="J1496">
        <v>46.305999999999997</v>
      </c>
      <c r="K1496" t="str">
        <f>"ACTR10"</f>
        <v>ACTR10</v>
      </c>
      <c r="L1496" t="str">
        <f>"ACTR10"</f>
        <v>ACTR10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</row>
    <row r="1497" spans="1:24">
      <c r="A1497">
        <v>2227</v>
      </c>
      <c r="B1497" t="s">
        <v>4028</v>
      </c>
      <c r="C1497">
        <v>2</v>
      </c>
      <c r="D1497" t="s">
        <v>4029</v>
      </c>
      <c r="E1497">
        <v>9</v>
      </c>
      <c r="F1497">
        <v>7</v>
      </c>
      <c r="G1497">
        <v>7</v>
      </c>
      <c r="H1497" t="s">
        <v>4030</v>
      </c>
      <c r="I1497">
        <v>14.2</v>
      </c>
      <c r="J1497">
        <v>97.620999999999995</v>
      </c>
      <c r="K1497" t="str">
        <f>"COPG2"</f>
        <v>COPG2</v>
      </c>
      <c r="L1497" t="str">
        <f>"COPG2"</f>
        <v>COPG2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</row>
    <row r="1498" spans="1:24">
      <c r="A1498">
        <v>2387</v>
      </c>
      <c r="B1498" t="s">
        <v>4031</v>
      </c>
      <c r="C1498">
        <v>1</v>
      </c>
      <c r="D1498" t="s">
        <v>4032</v>
      </c>
      <c r="E1498">
        <v>3</v>
      </c>
      <c r="F1498">
        <v>3</v>
      </c>
      <c r="G1498">
        <v>3</v>
      </c>
      <c r="H1498" t="s">
        <v>4031</v>
      </c>
      <c r="I1498">
        <v>23.5</v>
      </c>
      <c r="J1498">
        <v>21.831</v>
      </c>
      <c r="K1498" t="str">
        <f>"NDUFB9"</f>
        <v>NDUFB9</v>
      </c>
      <c r="L1498" t="str">
        <f>"NDUFB9"</f>
        <v>NDUFB9</v>
      </c>
      <c r="M1498">
        <v>0</v>
      </c>
      <c r="N1498">
        <v>41035000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</row>
    <row r="1499" spans="1:24">
      <c r="A1499">
        <v>126</v>
      </c>
      <c r="B1499" t="s">
        <v>4033</v>
      </c>
      <c r="C1499">
        <v>2</v>
      </c>
      <c r="D1499" t="s">
        <v>4034</v>
      </c>
      <c r="E1499">
        <v>3</v>
      </c>
      <c r="F1499">
        <v>3</v>
      </c>
      <c r="G1499">
        <v>3</v>
      </c>
      <c r="H1499" t="s">
        <v>4035</v>
      </c>
      <c r="I1499">
        <v>5.7</v>
      </c>
      <c r="J1499">
        <v>62.923999999999999</v>
      </c>
      <c r="K1499" t="str">
        <f>"SPTLC2;SPTLC3"</f>
        <v>SPTLC2;SPTLC3</v>
      </c>
      <c r="L1499" t="str">
        <f>"SPTLC2;SPTLC3"</f>
        <v>SPTLC2;SPTLC3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1111200000</v>
      </c>
      <c r="W1499">
        <v>0</v>
      </c>
      <c r="X1499">
        <v>0</v>
      </c>
    </row>
    <row r="1500" spans="1:24">
      <c r="A1500">
        <v>149</v>
      </c>
      <c r="B1500" t="s">
        <v>4036</v>
      </c>
      <c r="C1500">
        <v>2</v>
      </c>
      <c r="D1500" t="s">
        <v>4037</v>
      </c>
      <c r="E1500">
        <v>3</v>
      </c>
      <c r="F1500">
        <v>3</v>
      </c>
      <c r="G1500">
        <v>3</v>
      </c>
      <c r="H1500" t="s">
        <v>4038</v>
      </c>
      <c r="I1500">
        <v>10.9</v>
      </c>
      <c r="J1500">
        <v>41.21</v>
      </c>
      <c r="K1500" t="str">
        <f>"FIBP"</f>
        <v>FIBP</v>
      </c>
      <c r="L1500" t="str">
        <f>"FIBP"</f>
        <v>FIBP</v>
      </c>
      <c r="M1500">
        <v>0</v>
      </c>
      <c r="N1500">
        <v>24300000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>
      <c r="A1501">
        <v>167</v>
      </c>
      <c r="B1501" t="s">
        <v>4039</v>
      </c>
      <c r="C1501">
        <v>1</v>
      </c>
      <c r="D1501" t="s">
        <v>4040</v>
      </c>
      <c r="E1501">
        <v>4</v>
      </c>
      <c r="F1501">
        <v>4</v>
      </c>
      <c r="G1501">
        <v>4</v>
      </c>
      <c r="H1501" t="s">
        <v>4039</v>
      </c>
      <c r="I1501">
        <v>12.6</v>
      </c>
      <c r="J1501">
        <v>32.942999999999998</v>
      </c>
      <c r="K1501" t="str">
        <f>"SLC25A20"</f>
        <v>SLC25A20</v>
      </c>
      <c r="L1501" t="str">
        <f>"SLC25A20"</f>
        <v>SLC25A20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</row>
    <row r="1502" spans="1:24">
      <c r="A1502">
        <v>218</v>
      </c>
      <c r="B1502" t="s">
        <v>4041</v>
      </c>
      <c r="C1502">
        <v>14</v>
      </c>
      <c r="D1502" t="s">
        <v>4042</v>
      </c>
      <c r="E1502">
        <v>4</v>
      </c>
      <c r="F1502">
        <v>4</v>
      </c>
      <c r="G1502">
        <v>4</v>
      </c>
      <c r="H1502" t="s">
        <v>4043</v>
      </c>
      <c r="I1502">
        <v>5.2</v>
      </c>
      <c r="J1502">
        <v>79.870999999999995</v>
      </c>
      <c r="K1502" t="str">
        <f>"TACC1;TACC2"</f>
        <v>TACC1;TACC2</v>
      </c>
      <c r="L1502" t="str">
        <f>"TACC1;TACC2"</f>
        <v>TACC1;TACC2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16887000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</row>
    <row r="1503" spans="1:24">
      <c r="A1503">
        <v>254</v>
      </c>
      <c r="B1503" t="s">
        <v>4044</v>
      </c>
      <c r="C1503">
        <v>13</v>
      </c>
      <c r="D1503" t="s">
        <v>4045</v>
      </c>
      <c r="E1503">
        <v>6</v>
      </c>
      <c r="F1503">
        <v>6</v>
      </c>
      <c r="G1503">
        <v>6</v>
      </c>
      <c r="H1503" t="s">
        <v>4046</v>
      </c>
      <c r="I1503">
        <v>9.1999999999999993</v>
      </c>
      <c r="J1503">
        <v>77.801000000000002</v>
      </c>
      <c r="K1503" t="str">
        <f>"ABLIM3;ABLIM2"</f>
        <v>ABLIM3;ABLIM2</v>
      </c>
      <c r="L1503" t="str">
        <f>"ABLIM3;ABLIM2"</f>
        <v>ABLIM3;ABLIM2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</row>
    <row r="1504" spans="1:24">
      <c r="A1504">
        <v>349</v>
      </c>
      <c r="B1504" t="s">
        <v>4047</v>
      </c>
      <c r="C1504">
        <v>1</v>
      </c>
      <c r="D1504" t="s">
        <v>4048</v>
      </c>
      <c r="E1504">
        <v>2</v>
      </c>
      <c r="F1504">
        <v>1</v>
      </c>
      <c r="G1504">
        <v>1</v>
      </c>
      <c r="H1504" t="s">
        <v>4047</v>
      </c>
      <c r="I1504">
        <v>17.7</v>
      </c>
      <c r="J1504">
        <v>12.058999999999999</v>
      </c>
      <c r="K1504" t="s">
        <v>1301</v>
      </c>
      <c r="L1504" t="s">
        <v>1301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63455000</v>
      </c>
      <c r="X1504">
        <v>0</v>
      </c>
    </row>
    <row r="1505" spans="1:24">
      <c r="A1505">
        <v>396</v>
      </c>
      <c r="B1505" t="s">
        <v>4049</v>
      </c>
      <c r="C1505">
        <v>6</v>
      </c>
      <c r="D1505" t="s">
        <v>4050</v>
      </c>
      <c r="E1505">
        <v>6</v>
      </c>
      <c r="F1505">
        <v>6</v>
      </c>
      <c r="G1505">
        <v>5</v>
      </c>
      <c r="H1505" t="s">
        <v>4051</v>
      </c>
      <c r="I1505">
        <v>13.8</v>
      </c>
      <c r="J1505">
        <v>65.134</v>
      </c>
      <c r="K1505" t="str">
        <f>"LMNA"</f>
        <v>LMNA</v>
      </c>
      <c r="L1505" t="str">
        <f>"LMNA"</f>
        <v>LMNA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</row>
    <row r="1506" spans="1:24">
      <c r="A1506">
        <v>397</v>
      </c>
      <c r="B1506" t="s">
        <v>4052</v>
      </c>
      <c r="C1506">
        <v>2</v>
      </c>
      <c r="D1506" t="s">
        <v>4053</v>
      </c>
      <c r="E1506">
        <v>9</v>
      </c>
      <c r="F1506">
        <v>9</v>
      </c>
      <c r="G1506">
        <v>9</v>
      </c>
      <c r="H1506" t="s">
        <v>4054</v>
      </c>
      <c r="I1506">
        <v>5</v>
      </c>
      <c r="J1506">
        <v>279.67</v>
      </c>
      <c r="K1506" t="str">
        <f>"SPTA1"</f>
        <v>SPTA1</v>
      </c>
      <c r="L1506" t="str">
        <f>"SPTA1"</f>
        <v>SPTA1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</row>
    <row r="1507" spans="1:24">
      <c r="A1507">
        <v>432</v>
      </c>
      <c r="B1507" t="s">
        <v>4055</v>
      </c>
      <c r="C1507">
        <v>2</v>
      </c>
      <c r="D1507" t="s">
        <v>4056</v>
      </c>
      <c r="E1507">
        <v>7</v>
      </c>
      <c r="F1507">
        <v>6</v>
      </c>
      <c r="G1507">
        <v>6</v>
      </c>
      <c r="H1507" t="s">
        <v>4057</v>
      </c>
      <c r="I1507">
        <v>15.8</v>
      </c>
      <c r="J1507">
        <v>63.84</v>
      </c>
      <c r="K1507" t="str">
        <f>"F11"</f>
        <v>F11</v>
      </c>
      <c r="L1507" t="str">
        <f>"F11"</f>
        <v>F11</v>
      </c>
      <c r="M1507">
        <v>46897000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</row>
    <row r="1508" spans="1:24">
      <c r="A1508">
        <v>442</v>
      </c>
      <c r="B1508" t="s">
        <v>4058</v>
      </c>
      <c r="C1508">
        <v>2</v>
      </c>
      <c r="D1508" t="s">
        <v>4059</v>
      </c>
      <c r="E1508">
        <v>1</v>
      </c>
      <c r="F1508">
        <v>1</v>
      </c>
      <c r="G1508">
        <v>1</v>
      </c>
      <c r="H1508" t="s">
        <v>4060</v>
      </c>
      <c r="I1508">
        <v>4.0999999999999996</v>
      </c>
      <c r="J1508">
        <v>22.253</v>
      </c>
      <c r="K1508" t="str">
        <f>"PDGFA"</f>
        <v>PDGFA</v>
      </c>
      <c r="L1508" t="str">
        <f>"PDGFA"</f>
        <v>PDGFA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</row>
    <row r="1509" spans="1:24">
      <c r="A1509">
        <v>679</v>
      </c>
      <c r="B1509" t="s">
        <v>4061</v>
      </c>
      <c r="C1509">
        <v>2</v>
      </c>
      <c r="D1509" t="s">
        <v>4062</v>
      </c>
      <c r="E1509">
        <v>2</v>
      </c>
      <c r="F1509">
        <v>2</v>
      </c>
      <c r="G1509">
        <v>2</v>
      </c>
      <c r="H1509" t="s">
        <v>4063</v>
      </c>
      <c r="I1509">
        <v>14.2</v>
      </c>
      <c r="J1509">
        <v>17.128</v>
      </c>
      <c r="K1509" t="str">
        <f>"CD99"</f>
        <v>CD99</v>
      </c>
      <c r="L1509" t="str">
        <f>"CD99"</f>
        <v>CD99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3194100</v>
      </c>
    </row>
    <row r="1510" spans="1:24">
      <c r="A1510">
        <v>688</v>
      </c>
      <c r="B1510" t="s">
        <v>4064</v>
      </c>
      <c r="C1510">
        <v>3</v>
      </c>
      <c r="D1510" t="s">
        <v>4065</v>
      </c>
      <c r="E1510">
        <v>45</v>
      </c>
      <c r="F1510">
        <v>3</v>
      </c>
      <c r="G1510">
        <v>3</v>
      </c>
      <c r="H1510" t="s">
        <v>4066</v>
      </c>
      <c r="I1510">
        <v>79.3</v>
      </c>
      <c r="J1510">
        <v>58.061</v>
      </c>
      <c r="K1510" t="str">
        <f>"PKM;PKLR"</f>
        <v>PKM;PKLR</v>
      </c>
      <c r="L1510" t="str">
        <f>"PKM;PKLR"</f>
        <v>PKM;PKLR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41254000</v>
      </c>
      <c r="T1510">
        <v>0</v>
      </c>
      <c r="U1510">
        <v>0</v>
      </c>
      <c r="V1510">
        <v>0</v>
      </c>
      <c r="W1510">
        <v>0</v>
      </c>
      <c r="X1510">
        <v>0</v>
      </c>
    </row>
    <row r="1511" spans="1:24">
      <c r="A1511">
        <v>741</v>
      </c>
      <c r="B1511" t="s">
        <v>4067</v>
      </c>
      <c r="C1511">
        <v>4</v>
      </c>
      <c r="D1511" t="s">
        <v>4068</v>
      </c>
      <c r="E1511">
        <v>5</v>
      </c>
      <c r="F1511">
        <v>5</v>
      </c>
      <c r="G1511">
        <v>5</v>
      </c>
      <c r="H1511" t="s">
        <v>4069</v>
      </c>
      <c r="I1511">
        <v>8.4</v>
      </c>
      <c r="J1511">
        <v>89.701999999999998</v>
      </c>
      <c r="K1511" t="str">
        <f>"PTPRA"</f>
        <v>PTPRA</v>
      </c>
      <c r="L1511" t="str">
        <f>"PTPRA"</f>
        <v>PTPRA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</row>
    <row r="1512" spans="1:24">
      <c r="A1512">
        <v>756</v>
      </c>
      <c r="B1512" t="s">
        <v>4070</v>
      </c>
      <c r="C1512">
        <v>1</v>
      </c>
      <c r="D1512" t="s">
        <v>4071</v>
      </c>
      <c r="E1512">
        <v>5</v>
      </c>
      <c r="F1512">
        <v>5</v>
      </c>
      <c r="G1512">
        <v>5</v>
      </c>
      <c r="H1512" t="s">
        <v>4070</v>
      </c>
      <c r="I1512">
        <v>14.4</v>
      </c>
      <c r="J1512">
        <v>38.387999999999998</v>
      </c>
      <c r="K1512" t="str">
        <f>"EIF2S2"</f>
        <v>EIF2S2</v>
      </c>
      <c r="L1512" t="str">
        <f>"EIF2S2"</f>
        <v>EIF2S2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48513000</v>
      </c>
      <c r="S1512">
        <v>0</v>
      </c>
      <c r="T1512">
        <v>0</v>
      </c>
      <c r="U1512">
        <v>0</v>
      </c>
      <c r="V1512">
        <v>30074000</v>
      </c>
      <c r="W1512">
        <v>0</v>
      </c>
      <c r="X1512">
        <v>0</v>
      </c>
    </row>
    <row r="1513" spans="1:24">
      <c r="A1513">
        <v>769</v>
      </c>
      <c r="B1513" t="s">
        <v>4072</v>
      </c>
      <c r="C1513">
        <v>1</v>
      </c>
      <c r="D1513" t="s">
        <v>4073</v>
      </c>
      <c r="E1513">
        <v>8</v>
      </c>
      <c r="F1513">
        <v>7</v>
      </c>
      <c r="G1513">
        <v>7</v>
      </c>
      <c r="H1513" t="s">
        <v>4072</v>
      </c>
      <c r="I1513">
        <v>38.700000000000003</v>
      </c>
      <c r="J1513">
        <v>26.559000000000001</v>
      </c>
      <c r="K1513" t="str">
        <f>"GSTM3"</f>
        <v>GSTM3</v>
      </c>
      <c r="L1513" t="str">
        <f>"GSTM3"</f>
        <v>GSTM3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224540000</v>
      </c>
      <c r="U1513">
        <v>0</v>
      </c>
      <c r="V1513">
        <v>0</v>
      </c>
      <c r="W1513">
        <v>0</v>
      </c>
      <c r="X1513">
        <v>0</v>
      </c>
    </row>
    <row r="1514" spans="1:24">
      <c r="A1514">
        <v>775</v>
      </c>
      <c r="B1514" t="s">
        <v>4074</v>
      </c>
      <c r="C1514">
        <v>2</v>
      </c>
      <c r="D1514" t="s">
        <v>4075</v>
      </c>
      <c r="E1514">
        <v>2</v>
      </c>
      <c r="F1514">
        <v>2</v>
      </c>
      <c r="G1514">
        <v>2</v>
      </c>
      <c r="H1514" t="s">
        <v>4076</v>
      </c>
      <c r="I1514">
        <v>6.1</v>
      </c>
      <c r="J1514">
        <v>37.430999999999997</v>
      </c>
      <c r="K1514" t="str">
        <f>"TBXA2R"</f>
        <v>TBXA2R</v>
      </c>
      <c r="L1514" t="str">
        <f>"TBXA2R"</f>
        <v>TBXA2R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</row>
    <row r="1515" spans="1:24">
      <c r="A1515">
        <v>894</v>
      </c>
      <c r="B1515" t="s">
        <v>4077</v>
      </c>
      <c r="C1515">
        <v>2</v>
      </c>
      <c r="D1515" t="s">
        <v>4078</v>
      </c>
      <c r="E1515">
        <v>22</v>
      </c>
      <c r="F1515">
        <v>4</v>
      </c>
      <c r="G1515">
        <v>3</v>
      </c>
      <c r="H1515" t="s">
        <v>4079</v>
      </c>
      <c r="I1515">
        <v>59.7</v>
      </c>
      <c r="J1515">
        <v>40.844999999999999</v>
      </c>
      <c r="K1515" t="str">
        <f>"HLA-A"</f>
        <v>HLA-A</v>
      </c>
      <c r="L1515" t="str">
        <f>"HLA-A"</f>
        <v>HLA-A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</row>
    <row r="1516" spans="1:24">
      <c r="A1516">
        <v>974</v>
      </c>
      <c r="B1516" t="s">
        <v>4080</v>
      </c>
      <c r="C1516">
        <v>1</v>
      </c>
      <c r="D1516" t="s">
        <v>4081</v>
      </c>
      <c r="E1516">
        <v>2</v>
      </c>
      <c r="F1516">
        <v>2</v>
      </c>
      <c r="G1516">
        <v>2</v>
      </c>
      <c r="H1516" t="s">
        <v>4080</v>
      </c>
      <c r="I1516">
        <v>15.9</v>
      </c>
      <c r="J1516">
        <v>20.454999999999998</v>
      </c>
      <c r="K1516" t="str">
        <f>"ARL3"</f>
        <v>ARL3</v>
      </c>
      <c r="L1516" t="str">
        <f>"ARL3"</f>
        <v>ARL3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</row>
    <row r="1517" spans="1:24">
      <c r="A1517">
        <v>1105</v>
      </c>
      <c r="B1517" t="s">
        <v>4082</v>
      </c>
      <c r="C1517">
        <v>1</v>
      </c>
      <c r="D1517" t="s">
        <v>4083</v>
      </c>
      <c r="E1517">
        <v>3</v>
      </c>
      <c r="F1517">
        <v>3</v>
      </c>
      <c r="G1517">
        <v>3</v>
      </c>
      <c r="H1517" t="s">
        <v>4082</v>
      </c>
      <c r="I1517">
        <v>6.8</v>
      </c>
      <c r="J1517">
        <v>43.173000000000002</v>
      </c>
      <c r="K1517" t="str">
        <f>"SEPP1"</f>
        <v>SEPP1</v>
      </c>
      <c r="L1517" t="str">
        <f>"SEPP1"</f>
        <v>SEPP1</v>
      </c>
      <c r="M1517">
        <v>238880000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</row>
    <row r="1518" spans="1:24">
      <c r="A1518">
        <v>1163</v>
      </c>
      <c r="B1518" t="s">
        <v>4084</v>
      </c>
      <c r="C1518">
        <v>1</v>
      </c>
      <c r="D1518" t="s">
        <v>4085</v>
      </c>
      <c r="E1518">
        <v>3</v>
      </c>
      <c r="F1518">
        <v>3</v>
      </c>
      <c r="G1518">
        <v>3</v>
      </c>
      <c r="H1518" t="s">
        <v>4084</v>
      </c>
      <c r="I1518">
        <v>14.7</v>
      </c>
      <c r="J1518">
        <v>36.249000000000002</v>
      </c>
      <c r="K1518" t="str">
        <f>"SUCLG1"</f>
        <v>SUCLG1</v>
      </c>
      <c r="L1518" t="str">
        <f>"SUCLG1"</f>
        <v>SUCLG1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62484000</v>
      </c>
    </row>
    <row r="1519" spans="1:24">
      <c r="A1519">
        <v>1316</v>
      </c>
      <c r="B1519" t="s">
        <v>4086</v>
      </c>
      <c r="C1519">
        <v>3</v>
      </c>
      <c r="D1519" t="s">
        <v>4087</v>
      </c>
      <c r="E1519">
        <v>5</v>
      </c>
      <c r="F1519">
        <v>5</v>
      </c>
      <c r="G1519">
        <v>5</v>
      </c>
      <c r="H1519" t="s">
        <v>4088</v>
      </c>
      <c r="I1519">
        <v>2.2999999999999998</v>
      </c>
      <c r="J1519">
        <v>305.48</v>
      </c>
      <c r="K1519" t="str">
        <f>"MAP1A;MAP1B"</f>
        <v>MAP1A;MAP1B</v>
      </c>
      <c r="L1519" t="str">
        <f>"MAP1A;MAP1B"</f>
        <v>MAP1A;MAP1B</v>
      </c>
      <c r="M1519">
        <v>0</v>
      </c>
      <c r="N1519">
        <v>0</v>
      </c>
      <c r="O1519">
        <v>42203000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</row>
    <row r="1520" spans="1:24">
      <c r="A1520">
        <v>1326</v>
      </c>
      <c r="B1520" t="s">
        <v>4089</v>
      </c>
      <c r="C1520">
        <v>3</v>
      </c>
      <c r="D1520" t="s">
        <v>4090</v>
      </c>
      <c r="E1520">
        <v>5</v>
      </c>
      <c r="F1520">
        <v>5</v>
      </c>
      <c r="G1520">
        <v>5</v>
      </c>
      <c r="H1520" t="s">
        <v>4091</v>
      </c>
      <c r="I1520">
        <v>10.8</v>
      </c>
      <c r="J1520">
        <v>80.227000000000004</v>
      </c>
      <c r="K1520" t="str">
        <f>"DAB2"</f>
        <v>DAB2</v>
      </c>
      <c r="L1520" t="str">
        <f>"DAB2"</f>
        <v>DAB2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</row>
    <row r="1521" spans="1:24">
      <c r="A1521">
        <v>1356</v>
      </c>
      <c r="B1521" t="s">
        <v>4092</v>
      </c>
      <c r="C1521">
        <v>1</v>
      </c>
      <c r="D1521" t="s">
        <v>4093</v>
      </c>
      <c r="E1521">
        <v>3</v>
      </c>
      <c r="F1521">
        <v>3</v>
      </c>
      <c r="G1521">
        <v>3</v>
      </c>
      <c r="H1521" t="s">
        <v>4092</v>
      </c>
      <c r="I1521">
        <v>8.5</v>
      </c>
      <c r="J1521">
        <v>53.878999999999998</v>
      </c>
      <c r="K1521" t="str">
        <f>"NUCB1"</f>
        <v>NUCB1</v>
      </c>
      <c r="L1521" t="str">
        <f>"NUCB1"</f>
        <v>NUCB1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>
      <c r="A1522">
        <v>1438</v>
      </c>
      <c r="B1522" t="s">
        <v>4094</v>
      </c>
      <c r="C1522">
        <v>5</v>
      </c>
      <c r="D1522" t="s">
        <v>4095</v>
      </c>
      <c r="E1522">
        <v>3</v>
      </c>
      <c r="F1522">
        <v>3</v>
      </c>
      <c r="G1522">
        <v>3</v>
      </c>
      <c r="H1522" t="s">
        <v>4096</v>
      </c>
      <c r="I1522">
        <v>14.3</v>
      </c>
      <c r="J1522">
        <v>33.655999999999999</v>
      </c>
      <c r="K1522" t="str">
        <f>"KCNAB2"</f>
        <v>KCNAB2</v>
      </c>
      <c r="L1522" t="str">
        <f>"KCNAB2"</f>
        <v>KCNAB2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36617000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</row>
    <row r="1523" spans="1:24">
      <c r="A1523">
        <v>1553</v>
      </c>
      <c r="B1523" t="s">
        <v>4097</v>
      </c>
      <c r="C1523">
        <v>2</v>
      </c>
      <c r="D1523" t="s">
        <v>4098</v>
      </c>
      <c r="E1523">
        <v>5</v>
      </c>
      <c r="F1523">
        <v>5</v>
      </c>
      <c r="G1523">
        <v>5</v>
      </c>
      <c r="H1523" t="s">
        <v>4099</v>
      </c>
      <c r="I1523">
        <v>38.1</v>
      </c>
      <c r="J1523">
        <v>13.132999999999999</v>
      </c>
      <c r="K1523" t="str">
        <f>"TCEB2"</f>
        <v>TCEB2</v>
      </c>
      <c r="L1523" t="str">
        <f>"TCEB2"</f>
        <v>TCEB2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</row>
    <row r="1524" spans="1:24">
      <c r="A1524">
        <v>1684</v>
      </c>
      <c r="B1524" t="s">
        <v>4100</v>
      </c>
      <c r="C1524">
        <v>1</v>
      </c>
      <c r="D1524" t="s">
        <v>4101</v>
      </c>
      <c r="E1524">
        <v>1</v>
      </c>
      <c r="F1524">
        <v>1</v>
      </c>
      <c r="G1524">
        <v>1</v>
      </c>
      <c r="H1524" t="s">
        <v>4100</v>
      </c>
      <c r="I1524">
        <v>3.5</v>
      </c>
      <c r="J1524">
        <v>50.993000000000002</v>
      </c>
      <c r="K1524" t="str">
        <f>"TLDC1"</f>
        <v>TLDC1</v>
      </c>
      <c r="L1524" t="str">
        <f>"TLDC1"</f>
        <v>TLDC1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13014000</v>
      </c>
      <c r="W1524">
        <v>0</v>
      </c>
      <c r="X1524">
        <v>0</v>
      </c>
    </row>
    <row r="1525" spans="1:24">
      <c r="A1525">
        <v>1708</v>
      </c>
      <c r="B1525" t="s">
        <v>4102</v>
      </c>
      <c r="C1525">
        <v>1</v>
      </c>
      <c r="D1525" t="s">
        <v>4103</v>
      </c>
      <c r="E1525">
        <v>3</v>
      </c>
      <c r="F1525">
        <v>3</v>
      </c>
      <c r="G1525">
        <v>3</v>
      </c>
      <c r="H1525" t="s">
        <v>4102</v>
      </c>
      <c r="I1525">
        <v>12</v>
      </c>
      <c r="J1525">
        <v>25.622</v>
      </c>
      <c r="K1525" t="str">
        <f>"MOB3C"</f>
        <v>MOB3C</v>
      </c>
      <c r="L1525" t="str">
        <f>"MOB3C"</f>
        <v>MOB3C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</row>
    <row r="1526" spans="1:24">
      <c r="A1526">
        <v>1731</v>
      </c>
      <c r="B1526" t="s">
        <v>4104</v>
      </c>
      <c r="C1526">
        <v>1</v>
      </c>
      <c r="D1526" t="s">
        <v>4105</v>
      </c>
      <c r="E1526">
        <v>3</v>
      </c>
      <c r="F1526">
        <v>3</v>
      </c>
      <c r="G1526">
        <v>3</v>
      </c>
      <c r="H1526" t="s">
        <v>4104</v>
      </c>
      <c r="I1526">
        <v>11.9</v>
      </c>
      <c r="J1526">
        <v>25.913</v>
      </c>
      <c r="K1526" t="str">
        <f>"DCXR"</f>
        <v>DCXR</v>
      </c>
      <c r="L1526" t="str">
        <f>"DCXR"</f>
        <v>DCXR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</row>
    <row r="1527" spans="1:24">
      <c r="A1527">
        <v>1738</v>
      </c>
      <c r="B1527" t="s">
        <v>4106</v>
      </c>
      <c r="C1527">
        <v>1</v>
      </c>
      <c r="D1527" t="s">
        <v>4107</v>
      </c>
      <c r="E1527">
        <v>5</v>
      </c>
      <c r="F1527">
        <v>5</v>
      </c>
      <c r="G1527">
        <v>5</v>
      </c>
      <c r="H1527" t="s">
        <v>4106</v>
      </c>
      <c r="I1527">
        <v>9.3000000000000007</v>
      </c>
      <c r="J1527">
        <v>63.835999999999999</v>
      </c>
      <c r="K1527" t="str">
        <f>"MTDH"</f>
        <v>MTDH</v>
      </c>
      <c r="L1527" t="str">
        <f>"MTDH"</f>
        <v>MTDH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</row>
    <row r="1528" spans="1:24">
      <c r="A1528">
        <v>1764</v>
      </c>
      <c r="B1528" t="s">
        <v>4108</v>
      </c>
      <c r="C1528">
        <v>4</v>
      </c>
      <c r="D1528" t="s">
        <v>4109</v>
      </c>
      <c r="E1528">
        <v>4</v>
      </c>
      <c r="F1528">
        <v>4</v>
      </c>
      <c r="G1528">
        <v>4</v>
      </c>
      <c r="H1528" t="s">
        <v>4110</v>
      </c>
      <c r="I1528">
        <v>6.2</v>
      </c>
      <c r="J1528">
        <v>97.114000000000004</v>
      </c>
      <c r="K1528" t="str">
        <f>"KSR1"</f>
        <v>KSR1</v>
      </c>
      <c r="L1528" t="str">
        <f>"KSR1"</f>
        <v>KSR1</v>
      </c>
      <c r="M1528">
        <v>0</v>
      </c>
      <c r="N1528">
        <v>59821000</v>
      </c>
      <c r="O1528">
        <v>0</v>
      </c>
      <c r="P1528">
        <v>0</v>
      </c>
      <c r="Q1528">
        <v>0</v>
      </c>
      <c r="R1528">
        <v>50406000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</row>
    <row r="1529" spans="1:24">
      <c r="A1529">
        <v>1793</v>
      </c>
      <c r="B1529" t="s">
        <v>4111</v>
      </c>
      <c r="C1529">
        <v>5</v>
      </c>
      <c r="D1529" t="s">
        <v>4112</v>
      </c>
      <c r="E1529">
        <v>4</v>
      </c>
      <c r="F1529">
        <v>4</v>
      </c>
      <c r="G1529">
        <v>4</v>
      </c>
      <c r="H1529" t="s">
        <v>4113</v>
      </c>
      <c r="I1529">
        <v>10</v>
      </c>
      <c r="J1529">
        <v>56.72</v>
      </c>
      <c r="K1529" t="str">
        <f>"ARFGAP2;ARFGAP3"</f>
        <v>ARFGAP2;ARFGAP3</v>
      </c>
      <c r="L1529" t="str">
        <f>"ARFGAP2;ARFGAP3"</f>
        <v>ARFGAP2;ARFGAP3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75009000</v>
      </c>
      <c r="V1529">
        <v>0</v>
      </c>
      <c r="W1529">
        <v>0</v>
      </c>
      <c r="X1529">
        <v>0</v>
      </c>
    </row>
    <row r="1530" spans="1:24">
      <c r="A1530">
        <v>2049</v>
      </c>
      <c r="B1530" t="s">
        <v>4114</v>
      </c>
      <c r="C1530">
        <v>3</v>
      </c>
      <c r="D1530" t="s">
        <v>4115</v>
      </c>
      <c r="E1530">
        <v>2</v>
      </c>
      <c r="F1530">
        <v>2</v>
      </c>
      <c r="G1530">
        <v>2</v>
      </c>
      <c r="H1530" t="s">
        <v>4116</v>
      </c>
      <c r="I1530">
        <v>19.100000000000001</v>
      </c>
      <c r="J1530">
        <v>21.445</v>
      </c>
      <c r="K1530" t="str">
        <f>"ITPA"</f>
        <v>ITPA</v>
      </c>
      <c r="L1530" t="str">
        <f>"ITPA"</f>
        <v>ITPA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</row>
    <row r="1531" spans="1:24">
      <c r="A1531">
        <v>2050</v>
      </c>
      <c r="B1531" t="s">
        <v>4117</v>
      </c>
      <c r="C1531">
        <v>4</v>
      </c>
      <c r="D1531" t="s">
        <v>4118</v>
      </c>
      <c r="E1531">
        <v>3</v>
      </c>
      <c r="F1531">
        <v>3</v>
      </c>
      <c r="G1531">
        <v>3</v>
      </c>
      <c r="H1531" t="s">
        <v>4119</v>
      </c>
      <c r="I1531">
        <v>6.5</v>
      </c>
      <c r="J1531">
        <v>57.994</v>
      </c>
      <c r="K1531" t="str">
        <f>"EIF2A"</f>
        <v>EIF2A</v>
      </c>
      <c r="L1531" t="str">
        <f>"EIF2A"</f>
        <v>EIF2A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</row>
    <row r="1532" spans="1:24">
      <c r="A1532">
        <v>2086</v>
      </c>
      <c r="B1532" t="s">
        <v>4120</v>
      </c>
      <c r="C1532">
        <v>1</v>
      </c>
      <c r="D1532" t="s">
        <v>4121</v>
      </c>
      <c r="E1532">
        <v>3</v>
      </c>
      <c r="F1532">
        <v>3</v>
      </c>
      <c r="G1532">
        <v>3</v>
      </c>
      <c r="H1532" t="s">
        <v>4120</v>
      </c>
      <c r="I1532">
        <v>8.6</v>
      </c>
      <c r="J1532">
        <v>70.584000000000003</v>
      </c>
      <c r="K1532" t="str">
        <f>"VPS33B"</f>
        <v>VPS33B</v>
      </c>
      <c r="L1532" t="str">
        <f>"VPS33B"</f>
        <v>VPS33B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32897000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</row>
    <row r="1533" spans="1:24">
      <c r="A1533">
        <v>2164</v>
      </c>
      <c r="B1533" t="s">
        <v>4122</v>
      </c>
      <c r="C1533">
        <v>1</v>
      </c>
      <c r="D1533" t="s">
        <v>4123</v>
      </c>
      <c r="E1533">
        <v>2</v>
      </c>
      <c r="F1533">
        <v>2</v>
      </c>
      <c r="G1533">
        <v>2</v>
      </c>
      <c r="H1533" t="s">
        <v>4122</v>
      </c>
      <c r="I1533">
        <v>4.9000000000000004</v>
      </c>
      <c r="J1533">
        <v>65.075999999999993</v>
      </c>
      <c r="K1533" t="str">
        <f>"VPS45"</f>
        <v>VPS45</v>
      </c>
      <c r="L1533" t="str">
        <f>"VPS45"</f>
        <v>VPS45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35966000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</row>
    <row r="1534" spans="1:24">
      <c r="A1534">
        <v>2219</v>
      </c>
      <c r="B1534" t="s">
        <v>4124</v>
      </c>
      <c r="C1534">
        <v>2</v>
      </c>
      <c r="D1534" t="s">
        <v>4125</v>
      </c>
      <c r="E1534">
        <v>8</v>
      </c>
      <c r="F1534">
        <v>8</v>
      </c>
      <c r="G1534">
        <v>8</v>
      </c>
      <c r="H1534" t="s">
        <v>4126</v>
      </c>
      <c r="I1534">
        <v>8.3000000000000007</v>
      </c>
      <c r="J1534">
        <v>134.63</v>
      </c>
      <c r="K1534" t="str">
        <f>"KIAA1468"</f>
        <v>KIAA1468</v>
      </c>
      <c r="L1534" t="str">
        <f>"KIAA1468"</f>
        <v>KIAA1468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</row>
    <row r="1535" spans="1:24">
      <c r="A1535">
        <v>2232</v>
      </c>
      <c r="B1535" t="s">
        <v>4127</v>
      </c>
      <c r="C1535">
        <v>1</v>
      </c>
      <c r="D1535" t="s">
        <v>4128</v>
      </c>
      <c r="E1535">
        <v>5</v>
      </c>
      <c r="F1535">
        <v>5</v>
      </c>
      <c r="G1535">
        <v>5</v>
      </c>
      <c r="H1535" t="s">
        <v>4127</v>
      </c>
      <c r="I1535">
        <v>17.600000000000001</v>
      </c>
      <c r="J1535">
        <v>40.512999999999998</v>
      </c>
      <c r="K1535" t="str">
        <f>"DNAJB11"</f>
        <v>DNAJB11</v>
      </c>
      <c r="L1535" t="str">
        <f>"DNAJB11"</f>
        <v>DNAJB11</v>
      </c>
      <c r="M1535">
        <v>0</v>
      </c>
      <c r="N1535">
        <v>0</v>
      </c>
      <c r="O1535">
        <v>65943000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</row>
    <row r="1536" spans="1:24">
      <c r="A1536">
        <v>2271</v>
      </c>
      <c r="B1536" t="s">
        <v>4129</v>
      </c>
      <c r="C1536">
        <v>2</v>
      </c>
      <c r="D1536" t="s">
        <v>4130</v>
      </c>
      <c r="E1536">
        <v>8</v>
      </c>
      <c r="F1536">
        <v>8</v>
      </c>
      <c r="G1536">
        <v>8</v>
      </c>
      <c r="H1536" t="s">
        <v>4131</v>
      </c>
      <c r="I1536">
        <v>17.3</v>
      </c>
      <c r="J1536">
        <v>50.706000000000003</v>
      </c>
      <c r="K1536" t="str">
        <f>"SERPINA10"</f>
        <v>SERPINA10</v>
      </c>
      <c r="L1536" t="str">
        <f>"SERPINA10"</f>
        <v>SERPINA10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49936000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>
      <c r="A1537">
        <v>2330</v>
      </c>
      <c r="B1537" t="s">
        <v>4132</v>
      </c>
      <c r="C1537">
        <v>2</v>
      </c>
      <c r="D1537" t="s">
        <v>4133</v>
      </c>
      <c r="E1537">
        <v>4</v>
      </c>
      <c r="F1537">
        <v>4</v>
      </c>
      <c r="G1537">
        <v>4</v>
      </c>
      <c r="H1537" t="s">
        <v>4134</v>
      </c>
      <c r="I1537">
        <v>14.5</v>
      </c>
      <c r="J1537">
        <v>33.357999999999997</v>
      </c>
      <c r="K1537" t="str">
        <f>"CRYL1"</f>
        <v>CRYL1</v>
      </c>
      <c r="L1537" t="str">
        <f>"CRYL1"</f>
        <v>CRYL1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58028000</v>
      </c>
    </row>
    <row r="1538" spans="1:24">
      <c r="A1538">
        <v>10</v>
      </c>
      <c r="B1538" t="s">
        <v>4135</v>
      </c>
      <c r="C1538">
        <v>1</v>
      </c>
      <c r="D1538" t="s">
        <v>4136</v>
      </c>
      <c r="E1538">
        <v>2</v>
      </c>
      <c r="F1538">
        <v>2</v>
      </c>
      <c r="G1538">
        <v>2</v>
      </c>
      <c r="H1538" t="s">
        <v>4135</v>
      </c>
      <c r="I1538">
        <v>12.2</v>
      </c>
      <c r="J1538">
        <v>13.584</v>
      </c>
      <c r="K1538" t="str">
        <f>"IGHV4OR15-8"</f>
        <v>IGHV4OR15-8</v>
      </c>
      <c r="L1538" t="str">
        <f>"IGHV4OR15-8"</f>
        <v>IGHV4OR15-8</v>
      </c>
      <c r="M1538">
        <v>45366000</v>
      </c>
      <c r="N1538">
        <v>0</v>
      </c>
      <c r="O1538">
        <v>0</v>
      </c>
      <c r="P1538">
        <v>31710000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>
      <c r="A1539">
        <v>124</v>
      </c>
      <c r="B1539" t="s">
        <v>4137</v>
      </c>
      <c r="C1539">
        <v>1</v>
      </c>
      <c r="D1539" t="s">
        <v>4138</v>
      </c>
      <c r="E1539">
        <v>2</v>
      </c>
      <c r="F1539">
        <v>2</v>
      </c>
      <c r="G1539">
        <v>2</v>
      </c>
      <c r="H1539" t="s">
        <v>4137</v>
      </c>
      <c r="I1539">
        <v>14.8</v>
      </c>
      <c r="J1539">
        <v>22.957999999999998</v>
      </c>
      <c r="K1539" t="str">
        <f>"RER1"</f>
        <v>RER1</v>
      </c>
      <c r="L1539" t="str">
        <f>"RER1"</f>
        <v>RER1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</row>
    <row r="1540" spans="1:24">
      <c r="A1540">
        <v>134</v>
      </c>
      <c r="B1540" t="s">
        <v>4139</v>
      </c>
      <c r="C1540">
        <v>2</v>
      </c>
      <c r="D1540" t="s">
        <v>4140</v>
      </c>
      <c r="E1540">
        <v>4</v>
      </c>
      <c r="F1540">
        <v>4</v>
      </c>
      <c r="G1540">
        <v>4</v>
      </c>
      <c r="H1540" t="s">
        <v>4141</v>
      </c>
      <c r="I1540">
        <v>23.7</v>
      </c>
      <c r="J1540">
        <v>22.417000000000002</v>
      </c>
      <c r="K1540" t="str">
        <f>"YKT6"</f>
        <v>YKT6</v>
      </c>
      <c r="L1540" t="str">
        <f>"YKT6"</f>
        <v>YKT6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>
      <c r="A1541">
        <v>144</v>
      </c>
      <c r="B1541" t="s">
        <v>4142</v>
      </c>
      <c r="C1541">
        <v>2</v>
      </c>
      <c r="D1541" t="s">
        <v>4143</v>
      </c>
      <c r="E1541">
        <v>5</v>
      </c>
      <c r="F1541">
        <v>5</v>
      </c>
      <c r="G1541">
        <v>5</v>
      </c>
      <c r="H1541" t="s">
        <v>4144</v>
      </c>
      <c r="I1541">
        <v>5.9</v>
      </c>
      <c r="J1541">
        <v>124.86</v>
      </c>
      <c r="K1541" t="str">
        <f>"ADCY6"</f>
        <v>ADCY6</v>
      </c>
      <c r="L1541" t="str">
        <f>"ADCY6"</f>
        <v>ADCY6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</row>
    <row r="1542" spans="1:24">
      <c r="A1542">
        <v>191</v>
      </c>
      <c r="B1542" t="s">
        <v>4145</v>
      </c>
      <c r="C1542">
        <v>1</v>
      </c>
      <c r="D1542" t="s">
        <v>4146</v>
      </c>
      <c r="E1542">
        <v>4</v>
      </c>
      <c r="F1542">
        <v>4</v>
      </c>
      <c r="G1542">
        <v>4</v>
      </c>
      <c r="H1542" t="s">
        <v>4145</v>
      </c>
      <c r="I1542">
        <v>12.7</v>
      </c>
      <c r="J1542">
        <v>41.911000000000001</v>
      </c>
      <c r="K1542" t="str">
        <f>"TPST2"</f>
        <v>TPST2</v>
      </c>
      <c r="L1542" t="str">
        <f>"TPST2"</f>
        <v>TPST2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</row>
    <row r="1543" spans="1:24">
      <c r="A1543">
        <v>352</v>
      </c>
      <c r="B1543" t="s">
        <v>4147</v>
      </c>
      <c r="C1543">
        <v>1</v>
      </c>
      <c r="D1543" t="s">
        <v>4148</v>
      </c>
      <c r="E1543">
        <v>3</v>
      </c>
      <c r="F1543">
        <v>2</v>
      </c>
      <c r="G1543">
        <v>2</v>
      </c>
      <c r="H1543" t="s">
        <v>4147</v>
      </c>
      <c r="I1543">
        <v>41.7</v>
      </c>
      <c r="J1543">
        <v>11.12</v>
      </c>
      <c r="K1543" t="s">
        <v>476</v>
      </c>
      <c r="L1543" t="s">
        <v>476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30198000</v>
      </c>
      <c r="U1543">
        <v>0</v>
      </c>
      <c r="V1543">
        <v>0</v>
      </c>
      <c r="W1543">
        <v>0</v>
      </c>
      <c r="X1543">
        <v>0</v>
      </c>
    </row>
    <row r="1544" spans="1:24">
      <c r="A1544">
        <v>603</v>
      </c>
      <c r="B1544" t="s">
        <v>4149</v>
      </c>
      <c r="C1544">
        <v>2</v>
      </c>
      <c r="D1544" t="s">
        <v>4150</v>
      </c>
      <c r="E1544">
        <v>3</v>
      </c>
      <c r="F1544">
        <v>3</v>
      </c>
      <c r="G1544">
        <v>2</v>
      </c>
      <c r="H1544" t="s">
        <v>4151</v>
      </c>
      <c r="I1544">
        <v>41</v>
      </c>
      <c r="J1544">
        <v>13.532</v>
      </c>
      <c r="K1544" t="str">
        <f>"SAA1;SAA2"</f>
        <v>SAA1;SAA2</v>
      </c>
      <c r="L1544" t="str">
        <f>"SAA1;SAA2"</f>
        <v>SAA1;SAA2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207160000</v>
      </c>
      <c r="S1544">
        <v>1197500000</v>
      </c>
      <c r="T1544">
        <v>0</v>
      </c>
      <c r="U1544">
        <v>0</v>
      </c>
      <c r="V1544">
        <v>0</v>
      </c>
      <c r="W1544">
        <v>0</v>
      </c>
      <c r="X1544">
        <v>0</v>
      </c>
    </row>
    <row r="1545" spans="1:24">
      <c r="A1545">
        <v>715</v>
      </c>
      <c r="B1545" t="s">
        <v>4152</v>
      </c>
      <c r="C1545">
        <v>1</v>
      </c>
      <c r="D1545" t="s">
        <v>4153</v>
      </c>
      <c r="E1545">
        <v>2</v>
      </c>
      <c r="F1545">
        <v>2</v>
      </c>
      <c r="G1545">
        <v>2</v>
      </c>
      <c r="H1545" t="s">
        <v>4152</v>
      </c>
      <c r="I1545">
        <v>6.8</v>
      </c>
      <c r="J1545">
        <v>44.296999999999997</v>
      </c>
      <c r="K1545" t="str">
        <f>"ACADS"</f>
        <v>ACADS</v>
      </c>
      <c r="L1545" t="str">
        <f>"ACADS"</f>
        <v>ACADS</v>
      </c>
      <c r="M1545">
        <v>0</v>
      </c>
      <c r="N1545">
        <v>0</v>
      </c>
      <c r="O1545">
        <v>26881000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</row>
    <row r="1546" spans="1:24">
      <c r="A1546">
        <v>764</v>
      </c>
      <c r="B1546" t="s">
        <v>4154</v>
      </c>
      <c r="C1546">
        <v>1</v>
      </c>
      <c r="D1546" t="s">
        <v>4155</v>
      </c>
      <c r="E1546">
        <v>4</v>
      </c>
      <c r="F1546">
        <v>4</v>
      </c>
      <c r="G1546">
        <v>4</v>
      </c>
      <c r="H1546" t="s">
        <v>4154</v>
      </c>
      <c r="I1546">
        <v>28</v>
      </c>
      <c r="J1546">
        <v>16.762</v>
      </c>
      <c r="K1546" t="str">
        <f>"COX5A"</f>
        <v>COX5A</v>
      </c>
      <c r="L1546" t="str">
        <f>"COX5A"</f>
        <v>COX5A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144040000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>
      <c r="A1547">
        <v>819</v>
      </c>
      <c r="B1547" t="s">
        <v>4156</v>
      </c>
      <c r="C1547">
        <v>3</v>
      </c>
      <c r="D1547" t="s">
        <v>4157</v>
      </c>
      <c r="E1547">
        <v>1</v>
      </c>
      <c r="F1547">
        <v>1</v>
      </c>
      <c r="G1547">
        <v>1</v>
      </c>
      <c r="H1547" t="s">
        <v>4158</v>
      </c>
      <c r="I1547">
        <v>1.5</v>
      </c>
      <c r="J1547">
        <v>59.52</v>
      </c>
      <c r="K1547" t="str">
        <f>"PRKCH;PRKCE"</f>
        <v>PRKCH;PRKCE</v>
      </c>
      <c r="L1547" t="str">
        <f>"PRKCH;PRKCE"</f>
        <v>PRKCH;PRKCE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57723000</v>
      </c>
    </row>
    <row r="1548" spans="1:24">
      <c r="A1548">
        <v>943</v>
      </c>
      <c r="B1548" t="s">
        <v>4159</v>
      </c>
      <c r="C1548">
        <v>2</v>
      </c>
      <c r="D1548" t="s">
        <v>4160</v>
      </c>
      <c r="E1548">
        <v>5</v>
      </c>
      <c r="F1548">
        <v>5</v>
      </c>
      <c r="G1548">
        <v>5</v>
      </c>
      <c r="H1548" t="s">
        <v>4161</v>
      </c>
      <c r="I1548">
        <v>13.2</v>
      </c>
      <c r="J1548">
        <v>72.968000000000004</v>
      </c>
      <c r="K1548" t="str">
        <f>"MAN1A1"</f>
        <v>MAN1A1</v>
      </c>
      <c r="L1548" t="str">
        <f>"MAN1A1"</f>
        <v>MAN1A1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</row>
    <row r="1549" spans="1:24">
      <c r="A1549">
        <v>955</v>
      </c>
      <c r="B1549" t="s">
        <v>4162</v>
      </c>
      <c r="C1549">
        <v>6</v>
      </c>
      <c r="D1549" t="s">
        <v>4163</v>
      </c>
      <c r="E1549">
        <v>17</v>
      </c>
      <c r="F1549">
        <v>3</v>
      </c>
      <c r="G1549">
        <v>3</v>
      </c>
      <c r="H1549" t="s">
        <v>4164</v>
      </c>
      <c r="I1549">
        <v>23.3</v>
      </c>
      <c r="J1549">
        <v>68.563000000000002</v>
      </c>
      <c r="K1549" t="str">
        <f>"RDX;EZR"</f>
        <v>RDX;EZR</v>
      </c>
      <c r="L1549" t="str">
        <f>"RDX;EZR"</f>
        <v>RDX;EZR</v>
      </c>
      <c r="M1549">
        <v>0</v>
      </c>
      <c r="N1549">
        <v>142500000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</row>
    <row r="1550" spans="1:24">
      <c r="A1550">
        <v>965</v>
      </c>
      <c r="B1550" t="s">
        <v>4165</v>
      </c>
      <c r="C1550">
        <v>2</v>
      </c>
      <c r="D1550" t="s">
        <v>4166</v>
      </c>
      <c r="E1550">
        <v>25</v>
      </c>
      <c r="F1550">
        <v>3</v>
      </c>
      <c r="G1550">
        <v>2</v>
      </c>
      <c r="H1550" t="s">
        <v>4167</v>
      </c>
      <c r="I1550">
        <v>22.7</v>
      </c>
      <c r="J1550">
        <v>103.92</v>
      </c>
      <c r="K1550" t="str">
        <f>"ACTN2"</f>
        <v>ACTN2</v>
      </c>
      <c r="L1550" t="str">
        <f>"ACTN2"</f>
        <v>ACTN2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78896000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</row>
    <row r="1551" spans="1:24">
      <c r="A1551">
        <v>978</v>
      </c>
      <c r="B1551" t="s">
        <v>4168</v>
      </c>
      <c r="C1551">
        <v>2</v>
      </c>
      <c r="D1551" t="s">
        <v>4169</v>
      </c>
      <c r="E1551">
        <v>4</v>
      </c>
      <c r="F1551">
        <v>4</v>
      </c>
      <c r="G1551">
        <v>4</v>
      </c>
      <c r="H1551" t="s">
        <v>4170</v>
      </c>
      <c r="I1551">
        <v>9.6999999999999993</v>
      </c>
      <c r="J1551">
        <v>50.151000000000003</v>
      </c>
      <c r="K1551" t="str">
        <f>"CPOX"</f>
        <v>CPOX</v>
      </c>
      <c r="L1551" t="str">
        <f>"CPOX"</f>
        <v>CPOX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</row>
    <row r="1552" spans="1:24">
      <c r="A1552">
        <v>1018</v>
      </c>
      <c r="B1552" t="s">
        <v>4171</v>
      </c>
      <c r="C1552">
        <v>3</v>
      </c>
      <c r="D1552" t="s">
        <v>4172</v>
      </c>
      <c r="E1552">
        <v>3</v>
      </c>
      <c r="F1552">
        <v>3</v>
      </c>
      <c r="G1552">
        <v>3</v>
      </c>
      <c r="H1552" t="s">
        <v>4173</v>
      </c>
      <c r="I1552">
        <v>3.7</v>
      </c>
      <c r="J1552">
        <v>94.134</v>
      </c>
      <c r="K1552" t="str">
        <f>"STAT6"</f>
        <v>STAT6</v>
      </c>
      <c r="L1552" t="str">
        <f>"STAT6"</f>
        <v>STAT6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</row>
    <row r="1553" spans="1:24">
      <c r="A1553">
        <v>1028</v>
      </c>
      <c r="B1553" t="s">
        <v>4174</v>
      </c>
      <c r="C1553">
        <v>1</v>
      </c>
      <c r="D1553" t="s">
        <v>4175</v>
      </c>
      <c r="E1553">
        <v>4</v>
      </c>
      <c r="F1553">
        <v>4</v>
      </c>
      <c r="G1553">
        <v>4</v>
      </c>
      <c r="H1553" t="s">
        <v>4174</v>
      </c>
      <c r="I1553">
        <v>1.8</v>
      </c>
      <c r="J1553">
        <v>347.6</v>
      </c>
      <c r="K1553" t="str">
        <f>"HTT"</f>
        <v>HTT</v>
      </c>
      <c r="L1553" t="str">
        <f>"HTT"</f>
        <v>HTT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1:24">
      <c r="A1554">
        <v>1036</v>
      </c>
      <c r="B1554" t="s">
        <v>4176</v>
      </c>
      <c r="C1554">
        <v>2</v>
      </c>
      <c r="D1554" t="s">
        <v>4177</v>
      </c>
      <c r="E1554">
        <v>3</v>
      </c>
      <c r="F1554">
        <v>3</v>
      </c>
      <c r="G1554">
        <v>3</v>
      </c>
      <c r="H1554" t="s">
        <v>4178</v>
      </c>
      <c r="I1554">
        <v>11.9</v>
      </c>
      <c r="J1554">
        <v>32.234999999999999</v>
      </c>
      <c r="K1554" t="str">
        <f>"SSR1"</f>
        <v>SSR1</v>
      </c>
      <c r="L1554" t="str">
        <f>"SSR1"</f>
        <v>SSR1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</row>
    <row r="1555" spans="1:24">
      <c r="A1555">
        <v>1109</v>
      </c>
      <c r="B1555" t="s">
        <v>4179</v>
      </c>
      <c r="C1555">
        <v>2</v>
      </c>
      <c r="D1555" t="s">
        <v>4180</v>
      </c>
      <c r="E1555">
        <v>4</v>
      </c>
      <c r="F1555">
        <v>4</v>
      </c>
      <c r="G1555">
        <v>4</v>
      </c>
      <c r="H1555" t="s">
        <v>4181</v>
      </c>
      <c r="I1555">
        <v>22.9</v>
      </c>
      <c r="J1555">
        <v>31.381</v>
      </c>
      <c r="K1555" t="str">
        <f>"IDH3A"</f>
        <v>IDH3A</v>
      </c>
      <c r="L1555" t="str">
        <f>"IDH3A"</f>
        <v>IDH3A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</row>
    <row r="1556" spans="1:24">
      <c r="A1556">
        <v>1207</v>
      </c>
      <c r="B1556" t="s">
        <v>4182</v>
      </c>
      <c r="C1556">
        <v>1</v>
      </c>
      <c r="D1556" t="s">
        <v>4183</v>
      </c>
      <c r="E1556">
        <v>5</v>
      </c>
      <c r="F1556">
        <v>4</v>
      </c>
      <c r="G1556">
        <v>4</v>
      </c>
      <c r="H1556" t="s">
        <v>4182</v>
      </c>
      <c r="I1556">
        <v>26.5</v>
      </c>
      <c r="J1556">
        <v>23.712</v>
      </c>
      <c r="K1556" t="str">
        <f>"RAB38"</f>
        <v>RAB38</v>
      </c>
      <c r="L1556" t="str">
        <f>"RAB38"</f>
        <v>RAB38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</row>
    <row r="1557" spans="1:24">
      <c r="A1557">
        <v>1241</v>
      </c>
      <c r="B1557" t="s">
        <v>4184</v>
      </c>
      <c r="C1557">
        <v>1</v>
      </c>
      <c r="D1557" t="s">
        <v>4185</v>
      </c>
      <c r="E1557">
        <v>5</v>
      </c>
      <c r="F1557">
        <v>5</v>
      </c>
      <c r="G1557">
        <v>5</v>
      </c>
      <c r="H1557" t="s">
        <v>4184</v>
      </c>
      <c r="I1557">
        <v>10.7</v>
      </c>
      <c r="J1557">
        <v>67.313999999999993</v>
      </c>
      <c r="K1557" t="str">
        <f>"ABCE1"</f>
        <v>ABCE1</v>
      </c>
      <c r="L1557" t="str">
        <f>"ABCE1"</f>
        <v>ABCE1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50159000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</row>
    <row r="1558" spans="1:24">
      <c r="A1558">
        <v>1336</v>
      </c>
      <c r="B1558" t="s">
        <v>4186</v>
      </c>
      <c r="C1558">
        <v>1</v>
      </c>
      <c r="D1558" t="s">
        <v>4187</v>
      </c>
      <c r="E1558">
        <v>4</v>
      </c>
      <c r="F1558">
        <v>4</v>
      </c>
      <c r="G1558">
        <v>3</v>
      </c>
      <c r="H1558" t="s">
        <v>4186</v>
      </c>
      <c r="I1558">
        <v>20.8</v>
      </c>
      <c r="J1558">
        <v>34.909999999999997</v>
      </c>
      <c r="K1558" t="str">
        <f>"PURA"</f>
        <v>PURA</v>
      </c>
      <c r="L1558" t="str">
        <f>"PURA"</f>
        <v>PURA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</row>
    <row r="1559" spans="1:24">
      <c r="A1559">
        <v>1396</v>
      </c>
      <c r="B1559" t="s">
        <v>4188</v>
      </c>
      <c r="C1559">
        <v>1</v>
      </c>
      <c r="D1559" t="s">
        <v>4189</v>
      </c>
      <c r="E1559">
        <v>6</v>
      </c>
      <c r="F1559">
        <v>5</v>
      </c>
      <c r="G1559">
        <v>5</v>
      </c>
      <c r="H1559" t="s">
        <v>4188</v>
      </c>
      <c r="I1559">
        <v>13.2</v>
      </c>
      <c r="J1559">
        <v>40.762999999999998</v>
      </c>
      <c r="K1559" t="str">
        <f>"PPID"</f>
        <v>PPID</v>
      </c>
      <c r="L1559" t="str">
        <f>"PPID"</f>
        <v>PPID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26059000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</row>
    <row r="1560" spans="1:24">
      <c r="A1560">
        <v>1488</v>
      </c>
      <c r="B1560" t="s">
        <v>4190</v>
      </c>
      <c r="C1560">
        <v>1</v>
      </c>
      <c r="D1560" t="s">
        <v>4191</v>
      </c>
      <c r="E1560">
        <v>5</v>
      </c>
      <c r="F1560">
        <v>5</v>
      </c>
      <c r="G1560">
        <v>5</v>
      </c>
      <c r="H1560" t="s">
        <v>4190</v>
      </c>
      <c r="I1560">
        <v>14</v>
      </c>
      <c r="J1560">
        <v>74.403000000000006</v>
      </c>
      <c r="K1560" t="str">
        <f>"TTLL12"</f>
        <v>TTLL12</v>
      </c>
      <c r="L1560" t="str">
        <f>"TTLL12"</f>
        <v>TTLL12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23576000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</row>
    <row r="1561" spans="1:24">
      <c r="A1561">
        <v>1512</v>
      </c>
      <c r="B1561" t="s">
        <v>4192</v>
      </c>
      <c r="C1561">
        <v>2</v>
      </c>
      <c r="D1561" t="s">
        <v>4193</v>
      </c>
      <c r="E1561">
        <v>5</v>
      </c>
      <c r="F1561">
        <v>5</v>
      </c>
      <c r="G1561">
        <v>5</v>
      </c>
      <c r="H1561" t="s">
        <v>4194</v>
      </c>
      <c r="I1561">
        <v>28.6</v>
      </c>
      <c r="J1561">
        <v>26.076000000000001</v>
      </c>
      <c r="K1561" t="str">
        <f>"MESDC2"</f>
        <v>MESDC2</v>
      </c>
      <c r="L1561" t="str">
        <f>"MESDC2"</f>
        <v>MESDC2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97432000</v>
      </c>
    </row>
    <row r="1562" spans="1:24">
      <c r="A1562">
        <v>1676</v>
      </c>
      <c r="B1562" t="s">
        <v>4195</v>
      </c>
      <c r="C1562">
        <v>2</v>
      </c>
      <c r="D1562" t="s">
        <v>4196</v>
      </c>
      <c r="E1562">
        <v>6</v>
      </c>
      <c r="F1562">
        <v>6</v>
      </c>
      <c r="G1562">
        <v>6</v>
      </c>
      <c r="H1562" t="s">
        <v>4197</v>
      </c>
      <c r="I1562">
        <v>14.8</v>
      </c>
      <c r="J1562">
        <v>43.481999999999999</v>
      </c>
      <c r="K1562" t="str">
        <f>"HIBCH"</f>
        <v>HIBCH</v>
      </c>
      <c r="L1562" t="str">
        <f>"HIBCH"</f>
        <v>HIBCH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</row>
    <row r="1563" spans="1:24">
      <c r="A1563">
        <v>1687</v>
      </c>
      <c r="B1563" t="s">
        <v>4198</v>
      </c>
      <c r="C1563">
        <v>1</v>
      </c>
      <c r="D1563" t="s">
        <v>4199</v>
      </c>
      <c r="E1563">
        <v>4</v>
      </c>
      <c r="F1563">
        <v>4</v>
      </c>
      <c r="G1563">
        <v>4</v>
      </c>
      <c r="H1563" t="s">
        <v>4198</v>
      </c>
      <c r="I1563">
        <v>9.1</v>
      </c>
      <c r="J1563">
        <v>73.561999999999998</v>
      </c>
      <c r="K1563" t="str">
        <f>"DARS2"</f>
        <v>DARS2</v>
      </c>
      <c r="L1563" t="str">
        <f>"DARS2"</f>
        <v>DARS2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38467000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</row>
    <row r="1564" spans="1:24">
      <c r="A1564">
        <v>1768</v>
      </c>
      <c r="B1564" t="s">
        <v>4200</v>
      </c>
      <c r="C1564">
        <v>5</v>
      </c>
      <c r="D1564" t="s">
        <v>4201</v>
      </c>
      <c r="E1564">
        <v>2</v>
      </c>
      <c r="F1564">
        <v>2</v>
      </c>
      <c r="G1564">
        <v>2</v>
      </c>
      <c r="H1564" t="s">
        <v>4202</v>
      </c>
      <c r="I1564">
        <v>7</v>
      </c>
      <c r="J1564">
        <v>30.378</v>
      </c>
      <c r="K1564" t="str">
        <f>"SIRT2"</f>
        <v>SIRT2</v>
      </c>
      <c r="L1564" t="str">
        <f>"SIRT2"</f>
        <v>SIRT2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25188000</v>
      </c>
    </row>
    <row r="1565" spans="1:24">
      <c r="A1565">
        <v>1880</v>
      </c>
      <c r="B1565" t="s">
        <v>4203</v>
      </c>
      <c r="C1565">
        <v>3</v>
      </c>
      <c r="D1565" t="s">
        <v>4204</v>
      </c>
      <c r="E1565">
        <v>4</v>
      </c>
      <c r="F1565">
        <v>4</v>
      </c>
      <c r="G1565">
        <v>4</v>
      </c>
      <c r="H1565" t="s">
        <v>4205</v>
      </c>
      <c r="I1565">
        <v>14</v>
      </c>
      <c r="J1565">
        <v>34.5</v>
      </c>
      <c r="K1565" t="str">
        <f>"UFD1L"</f>
        <v>UFD1L</v>
      </c>
      <c r="L1565" t="str">
        <f>"UFD1L"</f>
        <v>UFD1L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>
      <c r="A1566">
        <v>2013</v>
      </c>
      <c r="B1566" t="s">
        <v>4206</v>
      </c>
      <c r="C1566">
        <v>1</v>
      </c>
      <c r="D1566" t="s">
        <v>4207</v>
      </c>
      <c r="E1566">
        <v>2</v>
      </c>
      <c r="F1566">
        <v>2</v>
      </c>
      <c r="G1566">
        <v>2</v>
      </c>
      <c r="H1566" t="s">
        <v>4206</v>
      </c>
      <c r="I1566">
        <v>15.4</v>
      </c>
      <c r="J1566">
        <v>13.941000000000001</v>
      </c>
      <c r="K1566" t="str">
        <f>"TXNDC17"</f>
        <v>TXNDC17</v>
      </c>
      <c r="L1566" t="str">
        <f>"TXNDC17"</f>
        <v>TXNDC17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</row>
    <row r="1567" spans="1:24">
      <c r="A1567">
        <v>2151</v>
      </c>
      <c r="B1567" t="s">
        <v>4208</v>
      </c>
      <c r="C1567">
        <v>1</v>
      </c>
      <c r="D1567" t="s">
        <v>4209</v>
      </c>
      <c r="E1567">
        <v>2</v>
      </c>
      <c r="F1567">
        <v>2</v>
      </c>
      <c r="G1567">
        <v>2</v>
      </c>
      <c r="H1567" t="s">
        <v>4208</v>
      </c>
      <c r="I1567">
        <v>8.9</v>
      </c>
      <c r="J1567">
        <v>40.307000000000002</v>
      </c>
      <c r="K1567" t="str">
        <f>"NANS"</f>
        <v>NANS</v>
      </c>
      <c r="L1567" t="str">
        <f>"NANS"</f>
        <v>NANS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29702000</v>
      </c>
      <c r="T1567">
        <v>0</v>
      </c>
      <c r="U1567">
        <v>0</v>
      </c>
      <c r="V1567">
        <v>0</v>
      </c>
      <c r="W1567">
        <v>0</v>
      </c>
      <c r="X1567">
        <v>0</v>
      </c>
    </row>
    <row r="1568" spans="1:24">
      <c r="A1568">
        <v>2154</v>
      </c>
      <c r="B1568" t="s">
        <v>4210</v>
      </c>
      <c r="C1568">
        <v>14</v>
      </c>
      <c r="D1568" t="s">
        <v>4211</v>
      </c>
      <c r="E1568">
        <v>5</v>
      </c>
      <c r="F1568">
        <v>5</v>
      </c>
      <c r="G1568">
        <v>5</v>
      </c>
      <c r="H1568" t="s">
        <v>4212</v>
      </c>
      <c r="I1568">
        <v>12.6</v>
      </c>
      <c r="J1568">
        <v>36.991</v>
      </c>
      <c r="K1568" t="str">
        <f>"MBNL1;MBNL2;MBNL3"</f>
        <v>MBNL1;MBNL2;MBNL3</v>
      </c>
      <c r="L1568" t="str">
        <f>"MBNL1;MBNL2;MBNL3"</f>
        <v>MBNL1;MBNL2;MBNL3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</row>
    <row r="1569" spans="1:24">
      <c r="A1569">
        <v>2183</v>
      </c>
      <c r="B1569" t="s">
        <v>4213</v>
      </c>
      <c r="C1569">
        <v>2</v>
      </c>
      <c r="D1569" t="s">
        <v>4214</v>
      </c>
      <c r="E1569">
        <v>6</v>
      </c>
      <c r="F1569">
        <v>2</v>
      </c>
      <c r="G1569">
        <v>2</v>
      </c>
      <c r="H1569" t="s">
        <v>4215</v>
      </c>
      <c r="I1569">
        <v>40.299999999999997</v>
      </c>
      <c r="J1569">
        <v>21.539000000000001</v>
      </c>
      <c r="K1569" t="str">
        <f>"ARL8B"</f>
        <v>ARL8B</v>
      </c>
      <c r="L1569" t="str">
        <f>"ARL8B"</f>
        <v>ARL8B</v>
      </c>
      <c r="M1569">
        <v>0</v>
      </c>
      <c r="N1569">
        <v>81106000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</row>
    <row r="1570" spans="1:24">
      <c r="A1570">
        <v>2212</v>
      </c>
      <c r="B1570" t="s">
        <v>4216</v>
      </c>
      <c r="C1570">
        <v>2</v>
      </c>
      <c r="D1570" t="s">
        <v>4217</v>
      </c>
      <c r="E1570">
        <v>1</v>
      </c>
      <c r="F1570">
        <v>1</v>
      </c>
      <c r="G1570">
        <v>1</v>
      </c>
      <c r="H1570" t="s">
        <v>4218</v>
      </c>
      <c r="I1570">
        <v>9.6999999999999993</v>
      </c>
      <c r="J1570">
        <v>16.698</v>
      </c>
      <c r="K1570" t="str">
        <f>"NDUFA13"</f>
        <v>NDUFA13</v>
      </c>
      <c r="L1570" t="str">
        <f>"NDUFA13"</f>
        <v>NDUFA13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39460000</v>
      </c>
    </row>
    <row r="1571" spans="1:24">
      <c r="A1571">
        <v>2288</v>
      </c>
      <c r="B1571" t="s">
        <v>4219</v>
      </c>
      <c r="C1571">
        <v>2</v>
      </c>
      <c r="D1571" t="s">
        <v>4220</v>
      </c>
      <c r="E1571">
        <v>1</v>
      </c>
      <c r="F1571">
        <v>1</v>
      </c>
      <c r="G1571">
        <v>1</v>
      </c>
      <c r="H1571" t="s">
        <v>4221</v>
      </c>
      <c r="I1571">
        <v>8.9</v>
      </c>
      <c r="J1571">
        <v>18.765999999999998</v>
      </c>
      <c r="K1571" t="str">
        <f>"TMCO1"</f>
        <v>TMCO1</v>
      </c>
      <c r="L1571" t="str">
        <f>"TMCO1"</f>
        <v>TMCO1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>
      <c r="A1572">
        <v>2303</v>
      </c>
      <c r="B1572" t="s">
        <v>4222</v>
      </c>
      <c r="C1572">
        <v>1</v>
      </c>
      <c r="D1572" t="s">
        <v>4223</v>
      </c>
      <c r="E1572">
        <v>7</v>
      </c>
      <c r="F1572">
        <v>7</v>
      </c>
      <c r="G1572">
        <v>7</v>
      </c>
      <c r="H1572" t="s">
        <v>4222</v>
      </c>
      <c r="I1572">
        <v>3.5</v>
      </c>
      <c r="J1572">
        <v>294.36</v>
      </c>
      <c r="K1572" t="str">
        <f>"USP24"</f>
        <v>USP24</v>
      </c>
      <c r="L1572" t="str">
        <f>"USP24"</f>
        <v>USP24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15239000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>
      <c r="A1573">
        <v>2306</v>
      </c>
      <c r="B1573" t="s">
        <v>4224</v>
      </c>
      <c r="C1573">
        <v>5</v>
      </c>
      <c r="D1573" t="s">
        <v>4225</v>
      </c>
      <c r="E1573">
        <v>12</v>
      </c>
      <c r="F1573">
        <v>3</v>
      </c>
      <c r="G1573">
        <v>3</v>
      </c>
      <c r="H1573" t="s">
        <v>4226</v>
      </c>
      <c r="I1573">
        <v>14.1</v>
      </c>
      <c r="J1573">
        <v>96.680999999999997</v>
      </c>
      <c r="K1573" t="str">
        <f>"DNM3"</f>
        <v>DNM3</v>
      </c>
      <c r="L1573" t="str">
        <f>"DNM3"</f>
        <v>DNM3</v>
      </c>
      <c r="M1573">
        <v>0</v>
      </c>
      <c r="N1573">
        <v>70859000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</row>
    <row r="1574" spans="1:24">
      <c r="A1574">
        <v>13</v>
      </c>
      <c r="B1574" t="s">
        <v>4227</v>
      </c>
      <c r="C1574">
        <v>3</v>
      </c>
      <c r="D1574" t="s">
        <v>4228</v>
      </c>
      <c r="E1574">
        <v>4</v>
      </c>
      <c r="F1574">
        <v>4</v>
      </c>
      <c r="G1574">
        <v>4</v>
      </c>
      <c r="H1574" t="s">
        <v>4229</v>
      </c>
      <c r="I1574">
        <v>4.8</v>
      </c>
      <c r="J1574">
        <v>104.1</v>
      </c>
      <c r="K1574" t="str">
        <f>"EIF3C;EIF3CL"</f>
        <v>EIF3C;EIF3CL</v>
      </c>
      <c r="L1574" t="str">
        <f>"EIF3C;EIF3CL"</f>
        <v>EIF3C;EIF3CL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</row>
    <row r="1575" spans="1:24">
      <c r="A1575">
        <v>72</v>
      </c>
      <c r="B1575" t="s">
        <v>4230</v>
      </c>
      <c r="C1575">
        <v>1</v>
      </c>
      <c r="D1575" t="s">
        <v>4231</v>
      </c>
      <c r="E1575">
        <v>3</v>
      </c>
      <c r="F1575">
        <v>3</v>
      </c>
      <c r="G1575">
        <v>3</v>
      </c>
      <c r="H1575" t="s">
        <v>4230</v>
      </c>
      <c r="I1575">
        <v>32.1</v>
      </c>
      <c r="J1575">
        <v>9.3696999999999999</v>
      </c>
      <c r="K1575" t="str">
        <f>"NDUFA4"</f>
        <v>NDUFA4</v>
      </c>
      <c r="L1575" t="str">
        <f>"NDUFA4"</f>
        <v>NDUFA4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77686000</v>
      </c>
      <c r="V1575">
        <v>0</v>
      </c>
      <c r="W1575">
        <v>0</v>
      </c>
      <c r="X1575">
        <v>0</v>
      </c>
    </row>
    <row r="1576" spans="1:24">
      <c r="A1576">
        <v>172</v>
      </c>
      <c r="B1576" t="s">
        <v>4232</v>
      </c>
      <c r="C1576">
        <v>2</v>
      </c>
      <c r="D1576" t="s">
        <v>4233</v>
      </c>
      <c r="E1576">
        <v>8</v>
      </c>
      <c r="F1576">
        <v>8</v>
      </c>
      <c r="G1576">
        <v>8</v>
      </c>
      <c r="H1576" t="s">
        <v>4234</v>
      </c>
      <c r="I1576">
        <v>7.1</v>
      </c>
      <c r="J1576">
        <v>139.28</v>
      </c>
      <c r="K1576" t="str">
        <f>"NRD1"</f>
        <v>NRD1</v>
      </c>
      <c r="L1576" t="str">
        <f>"NRDC"</f>
        <v>NRDC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12636000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</row>
    <row r="1577" spans="1:24">
      <c r="A1577">
        <v>182</v>
      </c>
      <c r="B1577" t="s">
        <v>4235</v>
      </c>
      <c r="C1577">
        <v>4</v>
      </c>
      <c r="D1577" t="s">
        <v>4236</v>
      </c>
      <c r="E1577">
        <v>4</v>
      </c>
      <c r="F1577">
        <v>4</v>
      </c>
      <c r="G1577">
        <v>4</v>
      </c>
      <c r="H1577" t="s">
        <v>4237</v>
      </c>
      <c r="I1577">
        <v>11.2</v>
      </c>
      <c r="J1577">
        <v>70.212999999999994</v>
      </c>
      <c r="K1577" t="str">
        <f>"PIP5K1C"</f>
        <v>PIP5K1C</v>
      </c>
      <c r="L1577" t="str">
        <f>"PIP5K1C"</f>
        <v>PIP5K1C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</row>
    <row r="1578" spans="1:24">
      <c r="A1578">
        <v>237</v>
      </c>
      <c r="B1578" t="s">
        <v>4238</v>
      </c>
      <c r="C1578">
        <v>2</v>
      </c>
      <c r="D1578" t="s">
        <v>4239</v>
      </c>
      <c r="E1578">
        <v>5</v>
      </c>
      <c r="F1578">
        <v>5</v>
      </c>
      <c r="G1578">
        <v>3</v>
      </c>
      <c r="H1578" t="s">
        <v>4240</v>
      </c>
      <c r="I1578">
        <v>10.7</v>
      </c>
      <c r="J1578">
        <v>58.164000000000001</v>
      </c>
      <c r="K1578" t="str">
        <f>"STAM2"</f>
        <v>STAM2</v>
      </c>
      <c r="L1578" t="str">
        <f>"STAM2"</f>
        <v>STAM2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</row>
    <row r="1579" spans="1:24">
      <c r="A1579">
        <v>239</v>
      </c>
      <c r="B1579" t="s">
        <v>4241</v>
      </c>
      <c r="C1579">
        <v>3</v>
      </c>
      <c r="D1579" t="s">
        <v>4242</v>
      </c>
      <c r="E1579">
        <v>4</v>
      </c>
      <c r="F1579">
        <v>4</v>
      </c>
      <c r="G1579">
        <v>4</v>
      </c>
      <c r="H1579" t="s">
        <v>4243</v>
      </c>
      <c r="I1579">
        <v>21.5</v>
      </c>
      <c r="J1579">
        <v>18.001000000000001</v>
      </c>
      <c r="K1579" t="str">
        <f>"DCTN3"</f>
        <v>DCTN3</v>
      </c>
      <c r="L1579" t="str">
        <f>"DCTN3"</f>
        <v>DCTN3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54453000</v>
      </c>
      <c r="V1579">
        <v>0</v>
      </c>
      <c r="W1579">
        <v>0</v>
      </c>
      <c r="X1579">
        <v>63321000</v>
      </c>
    </row>
    <row r="1580" spans="1:24">
      <c r="A1580">
        <v>285</v>
      </c>
      <c r="B1580" t="s">
        <v>4244</v>
      </c>
      <c r="C1580">
        <v>4</v>
      </c>
      <c r="D1580" t="s">
        <v>4245</v>
      </c>
      <c r="E1580">
        <v>8</v>
      </c>
      <c r="F1580">
        <v>2</v>
      </c>
      <c r="G1580">
        <v>2</v>
      </c>
      <c r="H1580" t="s">
        <v>4246</v>
      </c>
      <c r="I1580">
        <v>46.1</v>
      </c>
      <c r="J1580">
        <v>26.163</v>
      </c>
      <c r="K1580" t="str">
        <f>"G6B"</f>
        <v>G6B</v>
      </c>
      <c r="L1580" t="str">
        <f>"C6orf25"</f>
        <v>C6orf25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</row>
    <row r="1581" spans="1:24">
      <c r="A1581">
        <v>311</v>
      </c>
      <c r="B1581" t="s">
        <v>4247</v>
      </c>
      <c r="C1581">
        <v>1</v>
      </c>
      <c r="D1581" t="s">
        <v>4248</v>
      </c>
      <c r="E1581">
        <v>5</v>
      </c>
      <c r="F1581">
        <v>5</v>
      </c>
      <c r="G1581">
        <v>5</v>
      </c>
      <c r="H1581" t="s">
        <v>4247</v>
      </c>
      <c r="I1581">
        <v>14.5</v>
      </c>
      <c r="J1581">
        <v>54.731000000000002</v>
      </c>
      <c r="K1581" t="str">
        <f>"F10"</f>
        <v>F10</v>
      </c>
      <c r="L1581" t="str">
        <f>"F10"</f>
        <v>F10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</row>
    <row r="1582" spans="1:24">
      <c r="A1582">
        <v>326</v>
      </c>
      <c r="B1582" t="s">
        <v>4249</v>
      </c>
      <c r="C1582">
        <v>1</v>
      </c>
      <c r="D1582" t="s">
        <v>4250</v>
      </c>
      <c r="E1582">
        <v>2</v>
      </c>
      <c r="F1582">
        <v>2</v>
      </c>
      <c r="G1582">
        <v>2</v>
      </c>
      <c r="H1582" t="s">
        <v>4249</v>
      </c>
      <c r="I1582">
        <v>19.2</v>
      </c>
      <c r="J1582">
        <v>15.798999999999999</v>
      </c>
      <c r="K1582" t="str">
        <f>"CST3"</f>
        <v>CST3</v>
      </c>
      <c r="L1582" t="str">
        <f>"CST3"</f>
        <v>CST3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</row>
    <row r="1583" spans="1:24">
      <c r="A1583">
        <v>497</v>
      </c>
      <c r="B1583" t="s">
        <v>4251</v>
      </c>
      <c r="C1583">
        <v>1</v>
      </c>
      <c r="D1583" t="s">
        <v>4252</v>
      </c>
      <c r="E1583">
        <v>4</v>
      </c>
      <c r="F1583">
        <v>4</v>
      </c>
      <c r="G1583">
        <v>4</v>
      </c>
      <c r="H1583" t="s">
        <v>4251</v>
      </c>
      <c r="I1583">
        <v>8.1</v>
      </c>
      <c r="J1583">
        <v>68.417000000000002</v>
      </c>
      <c r="K1583" t="str">
        <f>"BCHE"</f>
        <v>BCHE</v>
      </c>
      <c r="L1583" t="str">
        <f>"BCHE"</f>
        <v>BCHE</v>
      </c>
      <c r="M1583">
        <v>0</v>
      </c>
      <c r="N1583">
        <v>0</v>
      </c>
      <c r="O1583">
        <v>0</v>
      </c>
      <c r="P1583">
        <v>43208000</v>
      </c>
      <c r="Q1583">
        <v>75343000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</row>
    <row r="1584" spans="1:24">
      <c r="A1584">
        <v>578</v>
      </c>
      <c r="B1584" t="s">
        <v>4253</v>
      </c>
      <c r="C1584">
        <v>2</v>
      </c>
      <c r="D1584" t="s">
        <v>4254</v>
      </c>
      <c r="E1584">
        <v>6</v>
      </c>
      <c r="F1584">
        <v>6</v>
      </c>
      <c r="G1584">
        <v>5</v>
      </c>
      <c r="H1584" t="s">
        <v>4255</v>
      </c>
      <c r="I1584">
        <v>34</v>
      </c>
      <c r="J1584">
        <v>24.893000000000001</v>
      </c>
      <c r="K1584" t="str">
        <f>"HMGB1;HMGB1P1"</f>
        <v>HMGB1;HMGB1P1</v>
      </c>
      <c r="L1584" t="str">
        <f>"HMGB1;HMGB1P1"</f>
        <v>HMGB1;HMGB1P1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230430000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</row>
    <row r="1585" spans="1:24">
      <c r="A1585">
        <v>590</v>
      </c>
      <c r="B1585" t="s">
        <v>4256</v>
      </c>
      <c r="C1585">
        <v>4</v>
      </c>
      <c r="D1585" t="s">
        <v>4257</v>
      </c>
      <c r="E1585">
        <v>6</v>
      </c>
      <c r="F1585">
        <v>6</v>
      </c>
      <c r="G1585">
        <v>6</v>
      </c>
      <c r="H1585" t="s">
        <v>4258</v>
      </c>
      <c r="I1585">
        <v>31.1</v>
      </c>
      <c r="J1585">
        <v>29.385999999999999</v>
      </c>
      <c r="K1585" t="str">
        <f>"HNRNPA1;HNRNPA1L2"</f>
        <v>HNRNPA1;HNRNPA1L2</v>
      </c>
      <c r="L1585" t="str">
        <f>"HNRNPA1;HNRNPA1L2"</f>
        <v>HNRNPA1;HNRNPA1L2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16631000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</row>
    <row r="1586" spans="1:24">
      <c r="A1586">
        <v>642</v>
      </c>
      <c r="B1586" t="s">
        <v>4259</v>
      </c>
      <c r="C1586">
        <v>2</v>
      </c>
      <c r="D1586" t="s">
        <v>4260</v>
      </c>
      <c r="E1586">
        <v>3</v>
      </c>
      <c r="F1586">
        <v>3</v>
      </c>
      <c r="G1586">
        <v>3</v>
      </c>
      <c r="H1586" t="s">
        <v>4261</v>
      </c>
      <c r="I1586">
        <v>8.1</v>
      </c>
      <c r="J1586">
        <v>47.786999999999999</v>
      </c>
      <c r="K1586" t="str">
        <f>"CETP"</f>
        <v>CETP</v>
      </c>
      <c r="L1586" t="str">
        <f>"CETP"</f>
        <v>CETP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</row>
    <row r="1587" spans="1:24">
      <c r="A1587">
        <v>730</v>
      </c>
      <c r="B1587" t="s">
        <v>4262</v>
      </c>
      <c r="C1587">
        <v>2</v>
      </c>
      <c r="D1587" t="s">
        <v>4263</v>
      </c>
      <c r="E1587">
        <v>6</v>
      </c>
      <c r="F1587">
        <v>6</v>
      </c>
      <c r="G1587">
        <v>6</v>
      </c>
      <c r="H1587" t="s">
        <v>4264</v>
      </c>
      <c r="I1587">
        <v>14.2</v>
      </c>
      <c r="J1587">
        <v>66.69</v>
      </c>
      <c r="K1587" t="str">
        <f>"CTPS1"</f>
        <v>CTPS1</v>
      </c>
      <c r="L1587" t="str">
        <f>"CTPS1"</f>
        <v>CTPS1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42815000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</row>
    <row r="1588" spans="1:24">
      <c r="A1588">
        <v>780</v>
      </c>
      <c r="B1588" t="s">
        <v>4265</v>
      </c>
      <c r="C1588">
        <v>1</v>
      </c>
      <c r="D1588" t="s">
        <v>4266</v>
      </c>
      <c r="E1588">
        <v>8</v>
      </c>
      <c r="F1588">
        <v>8</v>
      </c>
      <c r="G1588">
        <v>7</v>
      </c>
      <c r="H1588" t="s">
        <v>4265</v>
      </c>
      <c r="I1588">
        <v>15.7</v>
      </c>
      <c r="J1588">
        <v>89.42</v>
      </c>
      <c r="K1588" t="str">
        <f>"OSBP"</f>
        <v>OSBP</v>
      </c>
      <c r="L1588" t="str">
        <f>"OSBP"</f>
        <v>OSBP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</row>
    <row r="1589" spans="1:24">
      <c r="A1589">
        <v>853</v>
      </c>
      <c r="B1589" t="s">
        <v>4267</v>
      </c>
      <c r="C1589">
        <v>1</v>
      </c>
      <c r="D1589" t="s">
        <v>4268</v>
      </c>
      <c r="E1589">
        <v>4</v>
      </c>
      <c r="F1589">
        <v>4</v>
      </c>
      <c r="G1589">
        <v>4</v>
      </c>
      <c r="H1589" t="s">
        <v>4267</v>
      </c>
      <c r="I1589">
        <v>11.1</v>
      </c>
      <c r="J1589">
        <v>51.276000000000003</v>
      </c>
      <c r="K1589" t="str">
        <f>"CFP"</f>
        <v>CFP</v>
      </c>
      <c r="L1589" t="str">
        <f>"CFP"</f>
        <v>CFP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</row>
    <row r="1590" spans="1:24">
      <c r="A1590">
        <v>928</v>
      </c>
      <c r="B1590" t="s">
        <v>4269</v>
      </c>
      <c r="C1590">
        <v>1</v>
      </c>
      <c r="D1590" t="s">
        <v>4270</v>
      </c>
      <c r="E1590">
        <v>1</v>
      </c>
      <c r="F1590">
        <v>1</v>
      </c>
      <c r="G1590">
        <v>1</v>
      </c>
      <c r="H1590" t="s">
        <v>4269</v>
      </c>
      <c r="I1590">
        <v>4.2</v>
      </c>
      <c r="J1590">
        <v>35.329000000000001</v>
      </c>
      <c r="K1590" t="str">
        <f>"HIBADH"</f>
        <v>HIBADH</v>
      </c>
      <c r="L1590" t="str">
        <f>"HIBADH"</f>
        <v>HIBADH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</row>
    <row r="1591" spans="1:24">
      <c r="A1591">
        <v>1072</v>
      </c>
      <c r="B1591" t="s">
        <v>4271</v>
      </c>
      <c r="C1591">
        <v>1</v>
      </c>
      <c r="D1591" t="s">
        <v>4272</v>
      </c>
      <c r="E1591">
        <v>3</v>
      </c>
      <c r="F1591">
        <v>3</v>
      </c>
      <c r="G1591">
        <v>3</v>
      </c>
      <c r="H1591" t="s">
        <v>4271</v>
      </c>
      <c r="I1591">
        <v>9.6999999999999993</v>
      </c>
      <c r="J1591">
        <v>39.610999999999997</v>
      </c>
      <c r="K1591" t="str">
        <f>"PSMD8"</f>
        <v>PSMD8</v>
      </c>
      <c r="L1591" t="str">
        <f>"PSMD8"</f>
        <v>PSMD8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49095000</v>
      </c>
      <c r="W1591">
        <v>0</v>
      </c>
      <c r="X1591">
        <v>0</v>
      </c>
    </row>
    <row r="1592" spans="1:24">
      <c r="A1592">
        <v>1177</v>
      </c>
      <c r="B1592" t="s">
        <v>4273</v>
      </c>
      <c r="C1592">
        <v>2</v>
      </c>
      <c r="D1592" t="s">
        <v>4274</v>
      </c>
      <c r="E1592">
        <v>3</v>
      </c>
      <c r="F1592">
        <v>3</v>
      </c>
      <c r="G1592">
        <v>3</v>
      </c>
      <c r="H1592" t="s">
        <v>4275</v>
      </c>
      <c r="I1592">
        <v>11.5</v>
      </c>
      <c r="J1592">
        <v>31.512</v>
      </c>
      <c r="K1592" t="str">
        <f>"ATP1B3"</f>
        <v>ATP1B3</v>
      </c>
      <c r="L1592" t="str">
        <f>"ATP1B3"</f>
        <v>ATP1B3</v>
      </c>
      <c r="M1592">
        <v>0</v>
      </c>
      <c r="N1592">
        <v>55244000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</row>
    <row r="1593" spans="1:24">
      <c r="A1593">
        <v>1210</v>
      </c>
      <c r="B1593" t="s">
        <v>4276</v>
      </c>
      <c r="C1593">
        <v>2</v>
      </c>
      <c r="D1593" t="s">
        <v>4277</v>
      </c>
      <c r="E1593">
        <v>2</v>
      </c>
      <c r="F1593">
        <v>2</v>
      </c>
      <c r="G1593">
        <v>2</v>
      </c>
      <c r="H1593" t="s">
        <v>4278</v>
      </c>
      <c r="I1593">
        <v>4.4000000000000004</v>
      </c>
      <c r="J1593">
        <v>62.578000000000003</v>
      </c>
      <c r="K1593" t="str">
        <f>"EEFSEC"</f>
        <v>EEFSEC</v>
      </c>
      <c r="L1593" t="str">
        <f>"EEFSEC"</f>
        <v>EEFSEC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65121000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</row>
    <row r="1594" spans="1:24">
      <c r="A1594">
        <v>1266</v>
      </c>
      <c r="B1594" t="s">
        <v>4279</v>
      </c>
      <c r="C1594">
        <v>1</v>
      </c>
      <c r="D1594" t="s">
        <v>4280</v>
      </c>
      <c r="E1594">
        <v>3</v>
      </c>
      <c r="F1594">
        <v>3</v>
      </c>
      <c r="G1594">
        <v>3</v>
      </c>
      <c r="H1594" t="s">
        <v>4279</v>
      </c>
      <c r="I1594">
        <v>24</v>
      </c>
      <c r="J1594">
        <v>20.082000000000001</v>
      </c>
      <c r="K1594" t="str">
        <f>"ARF6"</f>
        <v>ARF6</v>
      </c>
      <c r="L1594" t="str">
        <f>"ARF6"</f>
        <v>ARF6</v>
      </c>
      <c r="M1594">
        <v>0</v>
      </c>
      <c r="N1594">
        <v>0</v>
      </c>
      <c r="O1594">
        <v>63998000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163930000</v>
      </c>
    </row>
    <row r="1595" spans="1:24">
      <c r="A1595">
        <v>1369</v>
      </c>
      <c r="B1595" t="s">
        <v>4281</v>
      </c>
      <c r="C1595">
        <v>1</v>
      </c>
      <c r="D1595" t="s">
        <v>4282</v>
      </c>
      <c r="E1595">
        <v>4</v>
      </c>
      <c r="F1595">
        <v>4</v>
      </c>
      <c r="G1595">
        <v>4</v>
      </c>
      <c r="H1595" t="s">
        <v>4281</v>
      </c>
      <c r="I1595">
        <v>37.200000000000003</v>
      </c>
      <c r="J1595">
        <v>17.259</v>
      </c>
      <c r="K1595" t="str">
        <f>"SSBP1"</f>
        <v>SSBP1</v>
      </c>
      <c r="L1595" t="str">
        <f>"SSBP1"</f>
        <v>SSBP1</v>
      </c>
      <c r="M1595">
        <v>0</v>
      </c>
      <c r="N1595">
        <v>0</v>
      </c>
      <c r="O1595">
        <v>27971000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</row>
    <row r="1596" spans="1:24">
      <c r="A1596">
        <v>1530</v>
      </c>
      <c r="B1596" t="s">
        <v>4283</v>
      </c>
      <c r="C1596">
        <v>3</v>
      </c>
      <c r="D1596" t="s">
        <v>4284</v>
      </c>
      <c r="E1596">
        <v>2</v>
      </c>
      <c r="F1596">
        <v>2</v>
      </c>
      <c r="G1596">
        <v>2</v>
      </c>
      <c r="H1596" t="s">
        <v>4285</v>
      </c>
      <c r="I1596">
        <v>10.3</v>
      </c>
      <c r="J1596">
        <v>20.260000000000002</v>
      </c>
      <c r="K1596" t="str">
        <f>"ARL6IP1"</f>
        <v>ARL6IP1</v>
      </c>
      <c r="L1596" t="str">
        <f>"ARL6IP1"</f>
        <v>ARL6IP1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>
      <c r="A1597">
        <v>1542</v>
      </c>
      <c r="B1597" t="s">
        <v>4286</v>
      </c>
      <c r="C1597">
        <v>2</v>
      </c>
      <c r="D1597" t="s">
        <v>4287</v>
      </c>
      <c r="E1597">
        <v>5</v>
      </c>
      <c r="F1597">
        <v>5</v>
      </c>
      <c r="G1597">
        <v>5</v>
      </c>
      <c r="H1597" t="s">
        <v>4288</v>
      </c>
      <c r="I1597">
        <v>12.1</v>
      </c>
      <c r="J1597">
        <v>56.192999999999998</v>
      </c>
      <c r="K1597" t="str">
        <f>"PPP2R5A"</f>
        <v>PPP2R5A</v>
      </c>
      <c r="L1597" t="str">
        <f>"PPP2R5A"</f>
        <v>PPP2R5A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96550000</v>
      </c>
      <c r="T1597">
        <v>0</v>
      </c>
      <c r="U1597">
        <v>0</v>
      </c>
      <c r="V1597">
        <v>0</v>
      </c>
      <c r="W1597">
        <v>0</v>
      </c>
      <c r="X1597">
        <v>72045000</v>
      </c>
    </row>
    <row r="1598" spans="1:24">
      <c r="A1598">
        <v>1543</v>
      </c>
      <c r="B1598" t="s">
        <v>4289</v>
      </c>
      <c r="C1598">
        <v>1</v>
      </c>
      <c r="D1598" t="s">
        <v>4290</v>
      </c>
      <c r="E1598">
        <v>4</v>
      </c>
      <c r="F1598">
        <v>4</v>
      </c>
      <c r="G1598">
        <v>4</v>
      </c>
      <c r="H1598" t="s">
        <v>4289</v>
      </c>
      <c r="I1598">
        <v>19</v>
      </c>
      <c r="J1598">
        <v>32.659999999999997</v>
      </c>
      <c r="K1598" t="str">
        <f>"PPA1"</f>
        <v>PPA1</v>
      </c>
      <c r="L1598" t="str">
        <f>"PPA1"</f>
        <v>PPA1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27392000</v>
      </c>
      <c r="V1598">
        <v>0</v>
      </c>
      <c r="W1598">
        <v>0</v>
      </c>
      <c r="X1598">
        <v>0</v>
      </c>
    </row>
    <row r="1599" spans="1:24">
      <c r="A1599">
        <v>1573</v>
      </c>
      <c r="B1599" t="s">
        <v>4291</v>
      </c>
      <c r="C1599">
        <v>10</v>
      </c>
      <c r="D1599" t="s">
        <v>4292</v>
      </c>
      <c r="E1599">
        <v>4</v>
      </c>
      <c r="F1599">
        <v>4</v>
      </c>
      <c r="G1599">
        <v>4</v>
      </c>
      <c r="H1599" t="s">
        <v>4293</v>
      </c>
      <c r="I1599">
        <v>10.5</v>
      </c>
      <c r="J1599">
        <v>48.954999999999998</v>
      </c>
      <c r="K1599" t="str">
        <f>"SMAD2;SMAD3;SMAD9;SMAD5;SMAD1"</f>
        <v>SMAD2;SMAD3;SMAD9;SMAD5;SMAD1</v>
      </c>
      <c r="L1599" t="str">
        <f>"SMAD2;SMAD3;SMAD9;SMAD5;SMAD1"</f>
        <v>SMAD2;SMAD3;SMAD9;SMAD5;SMAD1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</row>
    <row r="1600" spans="1:24">
      <c r="A1600">
        <v>1645</v>
      </c>
      <c r="B1600" t="s">
        <v>4294</v>
      </c>
      <c r="C1600">
        <v>3</v>
      </c>
      <c r="D1600" t="s">
        <v>4295</v>
      </c>
      <c r="E1600">
        <v>3</v>
      </c>
      <c r="F1600">
        <v>3</v>
      </c>
      <c r="G1600">
        <v>3</v>
      </c>
      <c r="H1600" t="s">
        <v>4296</v>
      </c>
      <c r="I1600">
        <v>4.0999999999999996</v>
      </c>
      <c r="J1600">
        <v>132.47</v>
      </c>
      <c r="K1600" t="str">
        <f>"FKBP15"</f>
        <v>FKBP15</v>
      </c>
      <c r="L1600" t="str">
        <f>"FKBP15"</f>
        <v>FKBP15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</row>
    <row r="1601" spans="1:24">
      <c r="A1601">
        <v>1652</v>
      </c>
      <c r="B1601" t="s">
        <v>4297</v>
      </c>
      <c r="C1601">
        <v>2</v>
      </c>
      <c r="D1601" t="s">
        <v>4298</v>
      </c>
      <c r="E1601">
        <v>3</v>
      </c>
      <c r="F1601">
        <v>3</v>
      </c>
      <c r="G1601">
        <v>3</v>
      </c>
      <c r="H1601" t="s">
        <v>4299</v>
      </c>
      <c r="I1601">
        <v>11.5</v>
      </c>
      <c r="J1601">
        <v>33.978999999999999</v>
      </c>
      <c r="K1601" t="str">
        <f>"YOD1"</f>
        <v>YOD1</v>
      </c>
      <c r="L1601" t="str">
        <f>"YOD1"</f>
        <v>YOD1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</row>
    <row r="1602" spans="1:24">
      <c r="A1602">
        <v>1734</v>
      </c>
      <c r="B1602" t="s">
        <v>4300</v>
      </c>
      <c r="C1602">
        <v>3</v>
      </c>
      <c r="D1602" t="s">
        <v>4301</v>
      </c>
      <c r="E1602">
        <v>4</v>
      </c>
      <c r="F1602">
        <v>4</v>
      </c>
      <c r="G1602">
        <v>4</v>
      </c>
      <c r="H1602" t="s">
        <v>4302</v>
      </c>
      <c r="I1602">
        <v>31.7</v>
      </c>
      <c r="J1602">
        <v>20.780999999999999</v>
      </c>
      <c r="K1602" t="str">
        <f>"TMED4"</f>
        <v>TMED4</v>
      </c>
      <c r="L1602" t="str">
        <f>"TMED4"</f>
        <v>TMED4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</row>
    <row r="1603" spans="1:24">
      <c r="A1603">
        <v>1822</v>
      </c>
      <c r="B1603" t="s">
        <v>4303</v>
      </c>
      <c r="C1603">
        <v>8</v>
      </c>
      <c r="D1603" t="s">
        <v>4304</v>
      </c>
      <c r="E1603">
        <v>2</v>
      </c>
      <c r="F1603">
        <v>2</v>
      </c>
      <c r="G1603">
        <v>2</v>
      </c>
      <c r="H1603" t="s">
        <v>4305</v>
      </c>
      <c r="I1603">
        <v>16.7</v>
      </c>
      <c r="J1603">
        <v>17.620999999999999</v>
      </c>
      <c r="K1603" t="str">
        <f>"FAM213B"</f>
        <v>FAM213B</v>
      </c>
      <c r="L1603" t="str">
        <f>"FAM213B"</f>
        <v>FAM213B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</row>
    <row r="1604" spans="1:24">
      <c r="A1604">
        <v>1823</v>
      </c>
      <c r="B1604" t="s">
        <v>4306</v>
      </c>
      <c r="C1604">
        <v>3</v>
      </c>
      <c r="D1604" t="s">
        <v>4307</v>
      </c>
      <c r="E1604">
        <v>8</v>
      </c>
      <c r="F1604">
        <v>8</v>
      </c>
      <c r="G1604">
        <v>8</v>
      </c>
      <c r="H1604" t="s">
        <v>4308</v>
      </c>
      <c r="I1604">
        <v>12.9</v>
      </c>
      <c r="J1604">
        <v>77.394000000000005</v>
      </c>
      <c r="K1604" t="str">
        <f>"TBC1D15"</f>
        <v>TBC1D15</v>
      </c>
      <c r="L1604" t="str">
        <f>"TBC1D15"</f>
        <v>TBC1D15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40041000</v>
      </c>
    </row>
    <row r="1605" spans="1:24">
      <c r="A1605">
        <v>1851</v>
      </c>
      <c r="B1605" t="s">
        <v>4309</v>
      </c>
      <c r="C1605">
        <v>2</v>
      </c>
      <c r="D1605" t="s">
        <v>4310</v>
      </c>
      <c r="E1605">
        <v>8</v>
      </c>
      <c r="F1605">
        <v>8</v>
      </c>
      <c r="G1605">
        <v>8</v>
      </c>
      <c r="H1605" t="s">
        <v>4311</v>
      </c>
      <c r="I1605">
        <v>18.3</v>
      </c>
      <c r="J1605">
        <v>63.054000000000002</v>
      </c>
      <c r="K1605" t="str">
        <f>"ATL1"</f>
        <v>ATL1</v>
      </c>
      <c r="L1605" t="str">
        <f>"ATL1"</f>
        <v>ATL1</v>
      </c>
      <c r="M1605">
        <v>0</v>
      </c>
      <c r="N1605">
        <v>0</v>
      </c>
      <c r="O1605">
        <v>41234000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>
      <c r="A1606">
        <v>1895</v>
      </c>
      <c r="B1606" t="s">
        <v>4312</v>
      </c>
      <c r="C1606">
        <v>2</v>
      </c>
      <c r="D1606" t="s">
        <v>4313</v>
      </c>
      <c r="E1606">
        <v>19</v>
      </c>
      <c r="F1606">
        <v>2</v>
      </c>
      <c r="G1606">
        <v>0</v>
      </c>
      <c r="H1606" t="s">
        <v>4314</v>
      </c>
      <c r="I1606">
        <v>49.4</v>
      </c>
      <c r="J1606">
        <v>40.415999999999997</v>
      </c>
      <c r="K1606" t="str">
        <f>"HLA-B"</f>
        <v>HLA-B</v>
      </c>
      <c r="L1606" t="str">
        <f>"HLA-B"</f>
        <v>HLA-B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</row>
    <row r="1607" spans="1:24">
      <c r="A1607">
        <v>1899</v>
      </c>
      <c r="B1607" t="s">
        <v>4315</v>
      </c>
      <c r="C1607">
        <v>2</v>
      </c>
      <c r="D1607" t="s">
        <v>4316</v>
      </c>
      <c r="E1607">
        <v>3</v>
      </c>
      <c r="F1607">
        <v>3</v>
      </c>
      <c r="G1607">
        <v>3</v>
      </c>
      <c r="H1607" t="s">
        <v>4317</v>
      </c>
      <c r="I1607">
        <v>8.6999999999999993</v>
      </c>
      <c r="J1607">
        <v>62.845999999999997</v>
      </c>
      <c r="K1607" t="str">
        <f>"NCLN"</f>
        <v>NCLN</v>
      </c>
      <c r="L1607" t="str">
        <f>"NCLN"</f>
        <v>NCLN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</row>
    <row r="1608" spans="1:24">
      <c r="A1608">
        <v>2067</v>
      </c>
      <c r="B1608" t="s">
        <v>4318</v>
      </c>
      <c r="C1608">
        <v>2</v>
      </c>
      <c r="D1608" t="s">
        <v>4319</v>
      </c>
      <c r="E1608">
        <v>3</v>
      </c>
      <c r="F1608">
        <v>3</v>
      </c>
      <c r="G1608">
        <v>3</v>
      </c>
      <c r="H1608" t="s">
        <v>4320</v>
      </c>
      <c r="I1608">
        <v>11.8</v>
      </c>
      <c r="J1608">
        <v>24.178000000000001</v>
      </c>
      <c r="K1608" t="str">
        <f>"PITHD1"</f>
        <v>PITHD1</v>
      </c>
      <c r="L1608" t="str">
        <f>"PITHD1"</f>
        <v>PITHD1</v>
      </c>
      <c r="M1608">
        <v>0</v>
      </c>
      <c r="N1608">
        <v>39279000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34977000</v>
      </c>
    </row>
    <row r="1609" spans="1:24">
      <c r="A1609">
        <v>2084</v>
      </c>
      <c r="B1609" t="s">
        <v>4321</v>
      </c>
      <c r="C1609">
        <v>1</v>
      </c>
      <c r="D1609" t="s">
        <v>4322</v>
      </c>
      <c r="E1609">
        <v>12</v>
      </c>
      <c r="F1609">
        <v>6</v>
      </c>
      <c r="G1609">
        <v>5</v>
      </c>
      <c r="H1609" t="s">
        <v>4321</v>
      </c>
      <c r="I1609">
        <v>21.3</v>
      </c>
      <c r="J1609">
        <v>61.173999999999999</v>
      </c>
      <c r="K1609" t="str">
        <f>"EHD4"</f>
        <v>EHD4</v>
      </c>
      <c r="L1609" t="str">
        <f>"EHD4"</f>
        <v>EHD4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</row>
    <row r="1610" spans="1:24">
      <c r="A1610">
        <v>2159</v>
      </c>
      <c r="B1610" t="s">
        <v>4323</v>
      </c>
      <c r="C1610">
        <v>2</v>
      </c>
      <c r="D1610" t="s">
        <v>4324</v>
      </c>
      <c r="E1610">
        <v>2</v>
      </c>
      <c r="F1610">
        <v>2</v>
      </c>
      <c r="G1610">
        <v>2</v>
      </c>
      <c r="H1610" t="s">
        <v>4325</v>
      </c>
      <c r="I1610">
        <v>7.8</v>
      </c>
      <c r="J1610">
        <v>35.776000000000003</v>
      </c>
      <c r="K1610" t="str">
        <f>"AASDHPPT"</f>
        <v>AASDHPPT</v>
      </c>
      <c r="L1610" t="str">
        <f>"AASDHPPT"</f>
        <v>AASDHPPT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14031000</v>
      </c>
      <c r="X1610">
        <v>0</v>
      </c>
    </row>
    <row r="1611" spans="1:24">
      <c r="A1611">
        <v>2170</v>
      </c>
      <c r="B1611" t="s">
        <v>4326</v>
      </c>
      <c r="C1611">
        <v>4</v>
      </c>
      <c r="D1611" t="s">
        <v>4327</v>
      </c>
      <c r="E1611">
        <v>3</v>
      </c>
      <c r="F1611">
        <v>3</v>
      </c>
      <c r="G1611">
        <v>3</v>
      </c>
      <c r="H1611" t="s">
        <v>4328</v>
      </c>
      <c r="I1611">
        <v>3.6</v>
      </c>
      <c r="J1611">
        <v>104.69</v>
      </c>
      <c r="K1611" t="str">
        <f>"MAN2C1"</f>
        <v>MAN2C1</v>
      </c>
      <c r="L1611" t="str">
        <f>"MAN2C1"</f>
        <v>MAN2C1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30434000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>
      <c r="A1612">
        <v>2174</v>
      </c>
      <c r="B1612" t="s">
        <v>4329</v>
      </c>
      <c r="C1612">
        <v>3</v>
      </c>
      <c r="D1612" t="s">
        <v>4330</v>
      </c>
      <c r="E1612">
        <v>5</v>
      </c>
      <c r="F1612">
        <v>5</v>
      </c>
      <c r="G1612">
        <v>5</v>
      </c>
      <c r="H1612" t="s">
        <v>4331</v>
      </c>
      <c r="I1612">
        <v>16.3</v>
      </c>
      <c r="J1612">
        <v>33.932000000000002</v>
      </c>
      <c r="K1612" t="str">
        <f>"ABHD10"</f>
        <v>ABHD10</v>
      </c>
      <c r="L1612" t="str">
        <f>"ABHD10"</f>
        <v>ABHD10</v>
      </c>
      <c r="M1612">
        <v>0</v>
      </c>
      <c r="N1612">
        <v>25256000</v>
      </c>
      <c r="O1612">
        <v>0</v>
      </c>
      <c r="P1612">
        <v>0</v>
      </c>
      <c r="Q1612">
        <v>0</v>
      </c>
      <c r="R1612">
        <v>66704000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42822000</v>
      </c>
    </row>
    <row r="1613" spans="1:24">
      <c r="A1613">
        <v>2302</v>
      </c>
      <c r="B1613" t="s">
        <v>4332</v>
      </c>
      <c r="C1613">
        <v>6</v>
      </c>
      <c r="D1613" t="s">
        <v>4333</v>
      </c>
      <c r="E1613">
        <v>3</v>
      </c>
      <c r="F1613">
        <v>3</v>
      </c>
      <c r="G1613">
        <v>3</v>
      </c>
      <c r="H1613" t="s">
        <v>4334</v>
      </c>
      <c r="I1613">
        <v>6</v>
      </c>
      <c r="J1613">
        <v>74.712000000000003</v>
      </c>
      <c r="K1613" t="str">
        <f>"EXOC7"</f>
        <v>EXOC7</v>
      </c>
      <c r="L1613" t="str">
        <f>"EXOC7"</f>
        <v>EXOC7</v>
      </c>
      <c r="M1613">
        <v>0</v>
      </c>
      <c r="N1613">
        <v>0</v>
      </c>
      <c r="O1613">
        <v>44121000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</row>
    <row r="1614" spans="1:24">
      <c r="A1614">
        <v>2331</v>
      </c>
      <c r="B1614" t="s">
        <v>4335</v>
      </c>
      <c r="C1614">
        <v>3</v>
      </c>
      <c r="D1614" t="s">
        <v>4336</v>
      </c>
      <c r="E1614">
        <v>7</v>
      </c>
      <c r="F1614">
        <v>7</v>
      </c>
      <c r="G1614">
        <v>7</v>
      </c>
      <c r="H1614" t="s">
        <v>4337</v>
      </c>
      <c r="I1614">
        <v>21.5</v>
      </c>
      <c r="J1614">
        <v>46.939</v>
      </c>
      <c r="K1614" t="str">
        <f>"AP3M1;AP3M2"</f>
        <v>AP3M1;AP3M2</v>
      </c>
      <c r="L1614" t="str">
        <f>"AP3M1;AP3M2"</f>
        <v>AP3M1;AP3M2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82012000</v>
      </c>
      <c r="V1614">
        <v>0</v>
      </c>
      <c r="W1614">
        <v>0</v>
      </c>
      <c r="X1614">
        <v>0</v>
      </c>
    </row>
    <row r="1615" spans="1:24">
      <c r="A1615">
        <v>2342</v>
      </c>
      <c r="B1615" t="s">
        <v>4338</v>
      </c>
      <c r="C1615">
        <v>2</v>
      </c>
      <c r="D1615" t="s">
        <v>4339</v>
      </c>
      <c r="E1615">
        <v>4</v>
      </c>
      <c r="F1615">
        <v>4</v>
      </c>
      <c r="G1615">
        <v>4</v>
      </c>
      <c r="H1615" t="s">
        <v>4340</v>
      </c>
      <c r="I1615">
        <v>17.5</v>
      </c>
      <c r="J1615">
        <v>26.004999999999999</v>
      </c>
      <c r="K1615" t="str">
        <f>"TMED5"</f>
        <v>TMED5</v>
      </c>
      <c r="L1615" t="str">
        <f>"TMED5"</f>
        <v>TMED5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</row>
    <row r="1616" spans="1:24">
      <c r="A1616">
        <v>2367</v>
      </c>
      <c r="B1616" t="s">
        <v>4341</v>
      </c>
      <c r="C1616">
        <v>2</v>
      </c>
      <c r="D1616" t="s">
        <v>4342</v>
      </c>
      <c r="E1616">
        <v>5</v>
      </c>
      <c r="F1616">
        <v>5</v>
      </c>
      <c r="G1616">
        <v>5</v>
      </c>
      <c r="H1616" t="s">
        <v>4343</v>
      </c>
      <c r="I1616">
        <v>20.3</v>
      </c>
      <c r="J1616">
        <v>39.834000000000003</v>
      </c>
      <c r="K1616" t="str">
        <f>"GMPPB"</f>
        <v>GMPPB</v>
      </c>
      <c r="L1616" t="str">
        <f>"GMPPB"</f>
        <v>GMPPB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</row>
    <row r="1617" spans="1:24">
      <c r="A1617">
        <v>59</v>
      </c>
      <c r="B1617" t="s">
        <v>4344</v>
      </c>
      <c r="C1617">
        <v>2</v>
      </c>
      <c r="D1617" t="s">
        <v>4345</v>
      </c>
      <c r="E1617">
        <v>5</v>
      </c>
      <c r="F1617">
        <v>5</v>
      </c>
      <c r="G1617">
        <v>5</v>
      </c>
      <c r="H1617" t="s">
        <v>4346</v>
      </c>
      <c r="I1617">
        <v>15.3</v>
      </c>
      <c r="J1617">
        <v>40.396999999999998</v>
      </c>
      <c r="K1617" t="str">
        <f>"LGALS8"</f>
        <v>LGALS8</v>
      </c>
      <c r="L1617" t="str">
        <f>"LGALS8"</f>
        <v>LGALS8</v>
      </c>
      <c r="M1617">
        <v>0</v>
      </c>
      <c r="N1617">
        <v>25100000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</row>
    <row r="1618" spans="1:24">
      <c r="A1618">
        <v>187</v>
      </c>
      <c r="B1618" t="s">
        <v>4347</v>
      </c>
      <c r="C1618">
        <v>1</v>
      </c>
      <c r="D1618" t="s">
        <v>4348</v>
      </c>
      <c r="E1618">
        <v>2</v>
      </c>
      <c r="F1618">
        <v>2</v>
      </c>
      <c r="G1618">
        <v>2</v>
      </c>
      <c r="H1618" t="s">
        <v>4347</v>
      </c>
      <c r="I1618">
        <v>1.9</v>
      </c>
      <c r="J1618">
        <v>97.831999999999994</v>
      </c>
      <c r="K1618" t="str">
        <f>"TLR5"</f>
        <v>TLR5</v>
      </c>
      <c r="L1618" t="str">
        <f>"TLR5"</f>
        <v>TLR5</v>
      </c>
      <c r="M1618">
        <v>0</v>
      </c>
      <c r="N1618">
        <v>3279600000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</row>
    <row r="1619" spans="1:24">
      <c r="A1619">
        <v>250</v>
      </c>
      <c r="B1619" t="s">
        <v>4349</v>
      </c>
      <c r="C1619">
        <v>1</v>
      </c>
      <c r="D1619" t="s">
        <v>4350</v>
      </c>
      <c r="E1619">
        <v>3</v>
      </c>
      <c r="F1619">
        <v>3</v>
      </c>
      <c r="G1619">
        <v>3</v>
      </c>
      <c r="H1619" t="s">
        <v>4349</v>
      </c>
      <c r="I1619">
        <v>11.3</v>
      </c>
      <c r="J1619">
        <v>30.344000000000001</v>
      </c>
      <c r="K1619" t="str">
        <f>"PROSC"</f>
        <v>PROSC</v>
      </c>
      <c r="L1619" t="str">
        <f>"PROSC"</f>
        <v>PROSC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40716000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</row>
    <row r="1620" spans="1:24">
      <c r="A1620">
        <v>334</v>
      </c>
      <c r="B1620" t="s">
        <v>4351</v>
      </c>
      <c r="C1620">
        <v>1</v>
      </c>
      <c r="D1620" t="s">
        <v>4352</v>
      </c>
      <c r="E1620">
        <v>2</v>
      </c>
      <c r="F1620">
        <v>1</v>
      </c>
      <c r="G1620">
        <v>1</v>
      </c>
      <c r="H1620" t="s">
        <v>4351</v>
      </c>
      <c r="I1620">
        <v>31.5</v>
      </c>
      <c r="J1620">
        <v>11.939</v>
      </c>
      <c r="K1620" t="s">
        <v>4353</v>
      </c>
      <c r="L1620" t="s">
        <v>4353</v>
      </c>
      <c r="M1620">
        <v>0</v>
      </c>
      <c r="N1620">
        <v>0</v>
      </c>
      <c r="O1620">
        <v>0</v>
      </c>
      <c r="P1620">
        <v>105800000</v>
      </c>
      <c r="Q1620">
        <v>195250000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</row>
    <row r="1621" spans="1:24">
      <c r="A1621">
        <v>402</v>
      </c>
      <c r="B1621" t="s">
        <v>4354</v>
      </c>
      <c r="C1621">
        <v>1</v>
      </c>
      <c r="D1621" t="s">
        <v>4355</v>
      </c>
      <c r="E1621">
        <v>3</v>
      </c>
      <c r="F1621">
        <v>3</v>
      </c>
      <c r="G1621">
        <v>3</v>
      </c>
      <c r="H1621" t="s">
        <v>4354</v>
      </c>
      <c r="I1621">
        <v>28.7</v>
      </c>
      <c r="J1621">
        <v>11.284000000000001</v>
      </c>
      <c r="K1621" t="str">
        <f>"APOC2"</f>
        <v>APOC2</v>
      </c>
      <c r="L1621" t="str">
        <f>"APOC2"</f>
        <v>APOC2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431250000</v>
      </c>
      <c r="T1621">
        <v>0</v>
      </c>
      <c r="U1621">
        <v>0</v>
      </c>
      <c r="V1621">
        <v>0</v>
      </c>
      <c r="W1621">
        <v>0</v>
      </c>
      <c r="X1621">
        <v>0</v>
      </c>
    </row>
    <row r="1622" spans="1:24">
      <c r="A1622">
        <v>461</v>
      </c>
      <c r="B1622" t="s">
        <v>4356</v>
      </c>
      <c r="C1622">
        <v>1</v>
      </c>
      <c r="D1622" t="s">
        <v>4357</v>
      </c>
      <c r="E1622">
        <v>1</v>
      </c>
      <c r="F1622">
        <v>1</v>
      </c>
      <c r="G1622">
        <v>1</v>
      </c>
      <c r="H1622" t="s">
        <v>4356</v>
      </c>
      <c r="I1622">
        <v>16.7</v>
      </c>
      <c r="J1622">
        <v>11.84</v>
      </c>
      <c r="K1622" t="s">
        <v>4358</v>
      </c>
      <c r="L1622" t="s">
        <v>4358</v>
      </c>
      <c r="M1622">
        <v>0</v>
      </c>
      <c r="N1622">
        <v>0</v>
      </c>
      <c r="O1622">
        <v>0</v>
      </c>
      <c r="P1622">
        <v>104130000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</row>
    <row r="1623" spans="1:24">
      <c r="A1623">
        <v>612</v>
      </c>
      <c r="B1623" t="s">
        <v>4359</v>
      </c>
      <c r="C1623">
        <v>5</v>
      </c>
      <c r="D1623" t="s">
        <v>4360</v>
      </c>
      <c r="E1623">
        <v>5</v>
      </c>
      <c r="F1623">
        <v>5</v>
      </c>
      <c r="G1623">
        <v>5</v>
      </c>
      <c r="H1623" t="s">
        <v>4361</v>
      </c>
      <c r="I1623">
        <v>16</v>
      </c>
      <c r="J1623">
        <v>21.364000000000001</v>
      </c>
      <c r="K1623" t="str">
        <f>"HIST1H1C;HIST1H1E;HIST1H1D;HIST1H1T;HIST1H1A"</f>
        <v>HIST1H1C;HIST1H1E;HIST1H1D;HIST1H1T;HIST1H1A</v>
      </c>
      <c r="L1623" t="str">
        <f>"HIST1H1C;HIST1H1E;HIST1H1D;HIST1H1T;HIST1H1A"</f>
        <v>HIST1H1C;HIST1H1E;HIST1H1D;HIST1H1T;HIST1H1A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137350000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>
      <c r="A1624">
        <v>658</v>
      </c>
      <c r="B1624" t="s">
        <v>4362</v>
      </c>
      <c r="C1624">
        <v>1</v>
      </c>
      <c r="D1624" t="s">
        <v>4363</v>
      </c>
      <c r="E1624">
        <v>5</v>
      </c>
      <c r="F1624">
        <v>5</v>
      </c>
      <c r="G1624">
        <v>5</v>
      </c>
      <c r="H1624" t="s">
        <v>4362</v>
      </c>
      <c r="I1624">
        <v>7.4</v>
      </c>
      <c r="J1624">
        <v>82.703999999999994</v>
      </c>
      <c r="K1624" t="str">
        <f>"XRCC5"</f>
        <v>XRCC5</v>
      </c>
      <c r="L1624" t="str">
        <f>"XRCC5"</f>
        <v>XRCC5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</row>
    <row r="1625" spans="1:24">
      <c r="A1625">
        <v>983</v>
      </c>
      <c r="B1625" t="s">
        <v>4364</v>
      </c>
      <c r="C1625">
        <v>2</v>
      </c>
      <c r="D1625" t="s">
        <v>4365</v>
      </c>
      <c r="E1625">
        <v>1</v>
      </c>
      <c r="F1625">
        <v>1</v>
      </c>
      <c r="G1625">
        <v>1</v>
      </c>
      <c r="H1625" t="s">
        <v>4366</v>
      </c>
      <c r="I1625">
        <v>2.2999999999999998</v>
      </c>
      <c r="J1625">
        <v>47.305999999999997</v>
      </c>
      <c r="K1625" t="str">
        <f>"GNL1"</f>
        <v>GNL1</v>
      </c>
      <c r="L1625" t="str">
        <f>"GNL1"</f>
        <v>GNL1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</row>
    <row r="1626" spans="1:24">
      <c r="A1626">
        <v>1021</v>
      </c>
      <c r="B1626" t="s">
        <v>4367</v>
      </c>
      <c r="C1626">
        <v>6</v>
      </c>
      <c r="D1626" t="s">
        <v>4368</v>
      </c>
      <c r="E1626">
        <v>2</v>
      </c>
      <c r="F1626">
        <v>2</v>
      </c>
      <c r="G1626">
        <v>2</v>
      </c>
      <c r="H1626" t="s">
        <v>4369</v>
      </c>
      <c r="I1626">
        <v>3.8</v>
      </c>
      <c r="J1626">
        <v>69.016000000000005</v>
      </c>
      <c r="K1626" t="str">
        <f>"ARHGAP25"</f>
        <v>ARHGAP25</v>
      </c>
      <c r="L1626" t="str">
        <f>"ARHGAP25"</f>
        <v>ARHGAP25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</row>
    <row r="1627" spans="1:24">
      <c r="A1627">
        <v>1064</v>
      </c>
      <c r="B1627" t="s">
        <v>4370</v>
      </c>
      <c r="C1627">
        <v>2</v>
      </c>
      <c r="D1627" t="s">
        <v>4371</v>
      </c>
      <c r="E1627">
        <v>9</v>
      </c>
      <c r="F1627">
        <v>9</v>
      </c>
      <c r="G1627">
        <v>9</v>
      </c>
      <c r="H1627" t="s">
        <v>4372</v>
      </c>
      <c r="I1627">
        <v>22</v>
      </c>
      <c r="J1627">
        <v>64.149000000000001</v>
      </c>
      <c r="K1627" t="str">
        <f>"ME1"</f>
        <v>ME1</v>
      </c>
      <c r="L1627" t="str">
        <f>"ME1"</f>
        <v>ME1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</row>
    <row r="1628" spans="1:24">
      <c r="A1628">
        <v>1078</v>
      </c>
      <c r="B1628" t="s">
        <v>4373</v>
      </c>
      <c r="C1628">
        <v>4</v>
      </c>
      <c r="D1628" t="s">
        <v>4374</v>
      </c>
      <c r="E1628">
        <v>5</v>
      </c>
      <c r="F1628">
        <v>4</v>
      </c>
      <c r="G1628">
        <v>4</v>
      </c>
      <c r="H1628" t="s">
        <v>4375</v>
      </c>
      <c r="I1628">
        <v>6.9</v>
      </c>
      <c r="J1628">
        <v>79.245999999999995</v>
      </c>
      <c r="K1628" t="str">
        <f>"MASP1"</f>
        <v>MASP1</v>
      </c>
      <c r="L1628" t="str">
        <f>"MASP1"</f>
        <v>MASP1</v>
      </c>
      <c r="M1628">
        <v>0</v>
      </c>
      <c r="N1628">
        <v>0</v>
      </c>
      <c r="O1628">
        <v>35062000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</row>
    <row r="1629" spans="1:24">
      <c r="A1629">
        <v>1102</v>
      </c>
      <c r="B1629" t="s">
        <v>4376</v>
      </c>
      <c r="C1629">
        <v>2</v>
      </c>
      <c r="D1629" t="s">
        <v>4377</v>
      </c>
      <c r="E1629">
        <v>5</v>
      </c>
      <c r="F1629">
        <v>5</v>
      </c>
      <c r="G1629">
        <v>5</v>
      </c>
      <c r="H1629" t="s">
        <v>4378</v>
      </c>
      <c r="I1629">
        <v>12.7</v>
      </c>
      <c r="J1629">
        <v>49.866999999999997</v>
      </c>
      <c r="K1629" t="str">
        <f>"NDUFV1"</f>
        <v>NDUFV1</v>
      </c>
      <c r="L1629" t="str">
        <f>"NDUFV1"</f>
        <v>NDUFV1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74306000</v>
      </c>
      <c r="V1629">
        <v>0</v>
      </c>
      <c r="W1629">
        <v>0</v>
      </c>
      <c r="X1629">
        <v>0</v>
      </c>
    </row>
    <row r="1630" spans="1:24">
      <c r="A1630">
        <v>1197</v>
      </c>
      <c r="B1630" t="s">
        <v>4379</v>
      </c>
      <c r="C1630">
        <v>3</v>
      </c>
      <c r="D1630" t="s">
        <v>4380</v>
      </c>
      <c r="E1630">
        <v>4</v>
      </c>
      <c r="F1630">
        <v>4</v>
      </c>
      <c r="G1630">
        <v>4</v>
      </c>
      <c r="H1630" t="s">
        <v>4381</v>
      </c>
      <c r="I1630">
        <v>21.8</v>
      </c>
      <c r="J1630">
        <v>34.011000000000003</v>
      </c>
      <c r="K1630" t="str">
        <f>"SEC13"</f>
        <v>SEC13</v>
      </c>
      <c r="L1630" t="str">
        <f>"SEC13"</f>
        <v>SEC13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</row>
    <row r="1631" spans="1:24">
      <c r="A1631">
        <v>1297</v>
      </c>
      <c r="B1631" t="s">
        <v>4382</v>
      </c>
      <c r="C1631">
        <v>1</v>
      </c>
      <c r="D1631" t="s">
        <v>4383</v>
      </c>
      <c r="E1631">
        <v>3</v>
      </c>
      <c r="F1631">
        <v>3</v>
      </c>
      <c r="G1631">
        <v>3</v>
      </c>
      <c r="H1631" t="s">
        <v>4382</v>
      </c>
      <c r="I1631">
        <v>23.3</v>
      </c>
      <c r="J1631">
        <v>24.942</v>
      </c>
      <c r="K1631" t="str">
        <f>"CSNK2B"</f>
        <v>CSNK2B</v>
      </c>
      <c r="L1631" t="str">
        <f>"CSNK2B"</f>
        <v>CSNK2B</v>
      </c>
      <c r="M1631">
        <v>0</v>
      </c>
      <c r="N1631">
        <v>0</v>
      </c>
      <c r="O1631">
        <v>33842000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</row>
    <row r="1632" spans="1:24">
      <c r="A1632">
        <v>1342</v>
      </c>
      <c r="B1632" t="s">
        <v>4384</v>
      </c>
      <c r="C1632">
        <v>2</v>
      </c>
      <c r="D1632" t="s">
        <v>4385</v>
      </c>
      <c r="E1632">
        <v>4</v>
      </c>
      <c r="F1632">
        <v>4</v>
      </c>
      <c r="G1632">
        <v>4</v>
      </c>
      <c r="H1632" t="s">
        <v>4386</v>
      </c>
      <c r="I1632">
        <v>7.6</v>
      </c>
      <c r="J1632">
        <v>88.978999999999999</v>
      </c>
      <c r="K1632" t="str">
        <f>"HNRNPU"</f>
        <v>HNRNPU</v>
      </c>
      <c r="L1632" t="str">
        <f>"HNRNPU"</f>
        <v>HNRNPU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76206000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</row>
    <row r="1633" spans="1:24">
      <c r="A1633">
        <v>1387</v>
      </c>
      <c r="B1633" t="s">
        <v>4387</v>
      </c>
      <c r="C1633">
        <v>14</v>
      </c>
      <c r="D1633" t="s">
        <v>4388</v>
      </c>
      <c r="E1633">
        <v>8</v>
      </c>
      <c r="F1633">
        <v>8</v>
      </c>
      <c r="G1633">
        <v>4</v>
      </c>
      <c r="H1633" t="s">
        <v>4389</v>
      </c>
      <c r="I1633">
        <v>18.3</v>
      </c>
      <c r="J1633">
        <v>62.825000000000003</v>
      </c>
      <c r="K1633" t="str">
        <f>"KLC1;KLC4"</f>
        <v>KLC1;KLC4</v>
      </c>
      <c r="L1633" t="str">
        <f>"KLC1;KLC4"</f>
        <v>KLC1;KLC4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24083000</v>
      </c>
    </row>
    <row r="1634" spans="1:24">
      <c r="A1634">
        <v>1410</v>
      </c>
      <c r="B1634" t="s">
        <v>4390</v>
      </c>
      <c r="C1634">
        <v>2</v>
      </c>
      <c r="D1634" t="s">
        <v>4391</v>
      </c>
      <c r="E1634">
        <v>3</v>
      </c>
      <c r="F1634">
        <v>3</v>
      </c>
      <c r="G1634">
        <v>3</v>
      </c>
      <c r="H1634" t="s">
        <v>4392</v>
      </c>
      <c r="I1634">
        <v>5.2</v>
      </c>
      <c r="J1634">
        <v>90.808000000000007</v>
      </c>
      <c r="K1634" t="str">
        <f>"MAP4K2"</f>
        <v>MAP4K2</v>
      </c>
      <c r="L1634" t="str">
        <f>"MAP4K2"</f>
        <v>MAP4K2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</row>
    <row r="1635" spans="1:24">
      <c r="A1635">
        <v>1449</v>
      </c>
      <c r="B1635" t="s">
        <v>4393</v>
      </c>
      <c r="C1635">
        <v>2</v>
      </c>
      <c r="D1635" t="s">
        <v>4394</v>
      </c>
      <c r="E1635">
        <v>4</v>
      </c>
      <c r="F1635">
        <v>4</v>
      </c>
      <c r="G1635">
        <v>4</v>
      </c>
      <c r="H1635" t="s">
        <v>4395</v>
      </c>
      <c r="I1635">
        <v>12.2</v>
      </c>
      <c r="J1635">
        <v>66.052999999999997</v>
      </c>
      <c r="K1635" t="str">
        <f>"MTM1"</f>
        <v>MTM1</v>
      </c>
      <c r="L1635" t="str">
        <f>"MTM1"</f>
        <v>MTM1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</row>
    <row r="1636" spans="1:24">
      <c r="A1636">
        <v>1485</v>
      </c>
      <c r="B1636" t="s">
        <v>4396</v>
      </c>
      <c r="C1636">
        <v>5</v>
      </c>
      <c r="D1636" t="s">
        <v>4397</v>
      </c>
      <c r="E1636">
        <v>2</v>
      </c>
      <c r="F1636">
        <v>2</v>
      </c>
      <c r="G1636">
        <v>2</v>
      </c>
      <c r="H1636" t="s">
        <v>4398</v>
      </c>
      <c r="I1636">
        <v>2.5</v>
      </c>
      <c r="J1636">
        <v>103.17</v>
      </c>
      <c r="K1636" t="str">
        <f>"UBAP2L"</f>
        <v>UBAP2L</v>
      </c>
      <c r="L1636" t="str">
        <f>"UBAP2L"</f>
        <v>UBAP2L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</row>
    <row r="1637" spans="1:24">
      <c r="A1637">
        <v>1493</v>
      </c>
      <c r="B1637" t="s">
        <v>4399</v>
      </c>
      <c r="C1637">
        <v>2</v>
      </c>
      <c r="D1637" t="s">
        <v>4400</v>
      </c>
      <c r="E1637">
        <v>16</v>
      </c>
      <c r="F1637">
        <v>4</v>
      </c>
      <c r="G1637">
        <v>4</v>
      </c>
      <c r="H1637" t="s">
        <v>4401</v>
      </c>
      <c r="I1637">
        <v>39.6</v>
      </c>
      <c r="J1637">
        <v>46.402000000000001</v>
      </c>
      <c r="K1637" t="str">
        <f>"EIF4A2"</f>
        <v>EIF4A2</v>
      </c>
      <c r="L1637" t="str">
        <f>"EIF4A2"</f>
        <v>EIF4A2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</row>
    <row r="1638" spans="1:24">
      <c r="A1638">
        <v>1525</v>
      </c>
      <c r="B1638" t="s">
        <v>4402</v>
      </c>
      <c r="C1638">
        <v>1</v>
      </c>
      <c r="D1638" t="s">
        <v>4403</v>
      </c>
      <c r="E1638">
        <v>3</v>
      </c>
      <c r="F1638">
        <v>3</v>
      </c>
      <c r="G1638">
        <v>3</v>
      </c>
      <c r="H1638" t="s">
        <v>4402</v>
      </c>
      <c r="I1638">
        <v>11.9</v>
      </c>
      <c r="J1638">
        <v>25.003</v>
      </c>
      <c r="K1638" t="str">
        <f>"SPCS2"</f>
        <v>SPCS2</v>
      </c>
      <c r="L1638" t="str">
        <f>"SPCS2"</f>
        <v>SPCS2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</row>
    <row r="1639" spans="1:24">
      <c r="A1639">
        <v>1583</v>
      </c>
      <c r="B1639" t="s">
        <v>4404</v>
      </c>
      <c r="C1639">
        <v>2</v>
      </c>
      <c r="D1639" t="s">
        <v>4405</v>
      </c>
      <c r="E1639">
        <v>6</v>
      </c>
      <c r="F1639">
        <v>6</v>
      </c>
      <c r="G1639">
        <v>6</v>
      </c>
      <c r="H1639" t="s">
        <v>4406</v>
      </c>
      <c r="I1639">
        <v>13.7</v>
      </c>
      <c r="J1639">
        <v>51.311</v>
      </c>
      <c r="K1639" t="str">
        <f>"PSMD5"</f>
        <v>PSMD5</v>
      </c>
      <c r="L1639" t="str">
        <f>"PSMD5"</f>
        <v>PSMD5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</row>
    <row r="1640" spans="1:24">
      <c r="A1640">
        <v>1614</v>
      </c>
      <c r="B1640" t="s">
        <v>4407</v>
      </c>
      <c r="C1640">
        <v>3</v>
      </c>
      <c r="D1640" t="s">
        <v>4408</v>
      </c>
      <c r="E1640">
        <v>3</v>
      </c>
      <c r="F1640">
        <v>3</v>
      </c>
      <c r="G1640">
        <v>3</v>
      </c>
      <c r="H1640" t="s">
        <v>4409</v>
      </c>
      <c r="I1640">
        <v>2.9</v>
      </c>
      <c r="J1640">
        <v>95.195999999999998</v>
      </c>
      <c r="K1640" t="str">
        <f>"EML3"</f>
        <v>EML3</v>
      </c>
      <c r="L1640" t="str">
        <f>"EML3"</f>
        <v>EML3</v>
      </c>
      <c r="M1640">
        <v>0</v>
      </c>
      <c r="N1640">
        <v>18303000</v>
      </c>
      <c r="O1640">
        <v>0</v>
      </c>
      <c r="P1640">
        <v>0</v>
      </c>
      <c r="Q1640">
        <v>0</v>
      </c>
      <c r="R1640">
        <v>22407000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</row>
    <row r="1641" spans="1:24">
      <c r="A1641">
        <v>1636</v>
      </c>
      <c r="B1641" t="s">
        <v>4410</v>
      </c>
      <c r="C1641">
        <v>5</v>
      </c>
      <c r="D1641" t="s">
        <v>4411</v>
      </c>
      <c r="E1641">
        <v>7</v>
      </c>
      <c r="F1641">
        <v>7</v>
      </c>
      <c r="G1641">
        <v>7</v>
      </c>
      <c r="H1641" t="s">
        <v>4412</v>
      </c>
      <c r="I1641">
        <v>14.1</v>
      </c>
      <c r="J1641">
        <v>87.887</v>
      </c>
      <c r="K1641" t="str">
        <f>"SPECC1"</f>
        <v>SPECC1</v>
      </c>
      <c r="L1641" t="str">
        <f>"SPECC1"</f>
        <v>SPECC1</v>
      </c>
      <c r="M1641">
        <v>0</v>
      </c>
      <c r="N1641">
        <v>103980000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>
      <c r="A1642">
        <v>1695</v>
      </c>
      <c r="B1642" t="s">
        <v>4413</v>
      </c>
      <c r="C1642">
        <v>3</v>
      </c>
      <c r="D1642" t="s">
        <v>4414</v>
      </c>
      <c r="E1642">
        <v>4</v>
      </c>
      <c r="F1642">
        <v>4</v>
      </c>
      <c r="G1642">
        <v>4</v>
      </c>
      <c r="H1642" t="s">
        <v>4415</v>
      </c>
      <c r="I1642">
        <v>4.5</v>
      </c>
      <c r="J1642">
        <v>114.05</v>
      </c>
      <c r="K1642" t="str">
        <f>"MPRIP"</f>
        <v>MPRIP</v>
      </c>
      <c r="L1642" t="str">
        <f>"MPRIP"</f>
        <v>MPRIP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</row>
    <row r="1643" spans="1:24">
      <c r="A1643">
        <v>1745</v>
      </c>
      <c r="B1643" t="s">
        <v>4416</v>
      </c>
      <c r="C1643">
        <v>1</v>
      </c>
      <c r="D1643" t="s">
        <v>4417</v>
      </c>
      <c r="E1643">
        <v>2</v>
      </c>
      <c r="F1643">
        <v>2</v>
      </c>
      <c r="G1643">
        <v>2</v>
      </c>
      <c r="H1643" t="s">
        <v>4416</v>
      </c>
      <c r="I1643">
        <v>7.1</v>
      </c>
      <c r="J1643">
        <v>51.396000000000001</v>
      </c>
      <c r="K1643" t="str">
        <f>"FAM134C"</f>
        <v>FAM134C</v>
      </c>
      <c r="L1643" t="str">
        <f>"FAM134C"</f>
        <v>FAM134C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</row>
    <row r="1644" spans="1:24">
      <c r="A1644">
        <v>1771</v>
      </c>
      <c r="B1644" t="s">
        <v>4418</v>
      </c>
      <c r="C1644">
        <v>3</v>
      </c>
      <c r="D1644" t="s">
        <v>4419</v>
      </c>
      <c r="E1644">
        <v>2</v>
      </c>
      <c r="F1644">
        <v>2</v>
      </c>
      <c r="G1644">
        <v>2</v>
      </c>
      <c r="H1644" t="s">
        <v>4420</v>
      </c>
      <c r="I1644">
        <v>5.7</v>
      </c>
      <c r="J1644">
        <v>47.860999999999997</v>
      </c>
      <c r="K1644" t="str">
        <f>"SMAP1"</f>
        <v>SMAP1</v>
      </c>
      <c r="L1644" t="str">
        <f>"SMAP1"</f>
        <v>SMAP1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54394000</v>
      </c>
      <c r="V1644">
        <v>0</v>
      </c>
      <c r="W1644">
        <v>0</v>
      </c>
      <c r="X1644">
        <v>0</v>
      </c>
    </row>
    <row r="1645" spans="1:24">
      <c r="A1645">
        <v>2083</v>
      </c>
      <c r="B1645" t="s">
        <v>4421</v>
      </c>
      <c r="C1645">
        <v>2</v>
      </c>
      <c r="D1645" t="s">
        <v>4422</v>
      </c>
      <c r="E1645">
        <v>1</v>
      </c>
      <c r="F1645">
        <v>1</v>
      </c>
      <c r="G1645">
        <v>1</v>
      </c>
      <c r="H1645" t="s">
        <v>4423</v>
      </c>
      <c r="I1645">
        <v>9.6</v>
      </c>
      <c r="J1645">
        <v>22.931000000000001</v>
      </c>
      <c r="K1645" t="str">
        <f>"ATG5"</f>
        <v>ATG5</v>
      </c>
      <c r="L1645" t="str">
        <f>"ATG5"</f>
        <v>ATG5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26226000</v>
      </c>
    </row>
    <row r="1646" spans="1:24">
      <c r="A1646">
        <v>2138</v>
      </c>
      <c r="B1646" t="s">
        <v>4424</v>
      </c>
      <c r="C1646">
        <v>1</v>
      </c>
      <c r="D1646" t="s">
        <v>4425</v>
      </c>
      <c r="E1646">
        <v>1</v>
      </c>
      <c r="F1646">
        <v>1</v>
      </c>
      <c r="G1646">
        <v>1</v>
      </c>
      <c r="H1646" t="s">
        <v>4424</v>
      </c>
      <c r="I1646">
        <v>6.6</v>
      </c>
      <c r="J1646">
        <v>26.47</v>
      </c>
      <c r="K1646" t="str">
        <f>"EMC7"</f>
        <v>EMC7</v>
      </c>
      <c r="L1646" t="str">
        <f>"EMC7"</f>
        <v>EMC7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25768000</v>
      </c>
    </row>
    <row r="1647" spans="1:24">
      <c r="A1647">
        <v>2208</v>
      </c>
      <c r="B1647" t="s">
        <v>4426</v>
      </c>
      <c r="C1647">
        <v>2</v>
      </c>
      <c r="D1647" t="s">
        <v>4427</v>
      </c>
      <c r="E1647">
        <v>6</v>
      </c>
      <c r="F1647">
        <v>6</v>
      </c>
      <c r="G1647">
        <v>6</v>
      </c>
      <c r="H1647" t="s">
        <v>4428</v>
      </c>
      <c r="I1647">
        <v>4.7</v>
      </c>
      <c r="J1647">
        <v>171.11</v>
      </c>
      <c r="K1647" t="str">
        <f>"ARHGEF12"</f>
        <v>ARHGEF12</v>
      </c>
      <c r="L1647" t="str">
        <f>"ARHGEF12"</f>
        <v>ARHGEF12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</row>
    <row r="1648" spans="1:24">
      <c r="A1648">
        <v>2264</v>
      </c>
      <c r="B1648" t="s">
        <v>4429</v>
      </c>
      <c r="C1648">
        <v>2</v>
      </c>
      <c r="D1648" t="s">
        <v>4430</v>
      </c>
      <c r="E1648">
        <v>4</v>
      </c>
      <c r="F1648">
        <v>4</v>
      </c>
      <c r="G1648">
        <v>4</v>
      </c>
      <c r="H1648" t="s">
        <v>4431</v>
      </c>
      <c r="I1648">
        <v>16</v>
      </c>
      <c r="J1648">
        <v>37.375</v>
      </c>
      <c r="K1648" t="str">
        <f>"NAGK"</f>
        <v>NAGK</v>
      </c>
      <c r="L1648" t="str">
        <f>"NAGK"</f>
        <v>NAGK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>
      <c r="A1649">
        <v>2268</v>
      </c>
      <c r="B1649" t="s">
        <v>4432</v>
      </c>
      <c r="C1649">
        <v>4</v>
      </c>
      <c r="D1649" t="s">
        <v>4433</v>
      </c>
      <c r="E1649">
        <v>21</v>
      </c>
      <c r="F1649">
        <v>1</v>
      </c>
      <c r="G1649">
        <v>1</v>
      </c>
      <c r="H1649" t="s">
        <v>4434</v>
      </c>
      <c r="I1649">
        <v>52.2</v>
      </c>
      <c r="J1649">
        <v>48.293999999999997</v>
      </c>
      <c r="K1649" t="str">
        <f>"DBNL"</f>
        <v>DBNL</v>
      </c>
      <c r="L1649" t="str">
        <f>"DBNL"</f>
        <v>DBNL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</row>
    <row r="1650" spans="1:24">
      <c r="A1650">
        <v>2350</v>
      </c>
      <c r="B1650" t="s">
        <v>4435</v>
      </c>
      <c r="C1650">
        <v>4</v>
      </c>
      <c r="D1650" t="s">
        <v>4436</v>
      </c>
      <c r="E1650">
        <v>7</v>
      </c>
      <c r="F1650">
        <v>7</v>
      </c>
      <c r="G1650">
        <v>7</v>
      </c>
      <c r="H1650" t="s">
        <v>4437</v>
      </c>
      <c r="I1650">
        <v>15.4</v>
      </c>
      <c r="J1650">
        <v>68.120999999999995</v>
      </c>
      <c r="K1650" t="str">
        <f>"SAMHD1"</f>
        <v>SAMHD1</v>
      </c>
      <c r="L1650" t="str">
        <f>"SAMHD1"</f>
        <v>SAMHD1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204660000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</row>
    <row r="1651" spans="1:24">
      <c r="A1651">
        <v>2366</v>
      </c>
      <c r="B1651" t="s">
        <v>4438</v>
      </c>
      <c r="C1651">
        <v>1</v>
      </c>
      <c r="D1651" t="s">
        <v>4439</v>
      </c>
      <c r="E1651">
        <v>6</v>
      </c>
      <c r="F1651">
        <v>6</v>
      </c>
      <c r="G1651">
        <v>6</v>
      </c>
      <c r="H1651" t="s">
        <v>4438</v>
      </c>
      <c r="I1651">
        <v>28</v>
      </c>
      <c r="J1651">
        <v>29.702000000000002</v>
      </c>
      <c r="K1651" t="str">
        <f>"SRPRB"</f>
        <v>SRPRB</v>
      </c>
      <c r="L1651" t="str">
        <f>"SRPRB"</f>
        <v>SRPRB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52408000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</row>
    <row r="1652" spans="1:24">
      <c r="A1652">
        <v>56</v>
      </c>
      <c r="B1652" t="s">
        <v>4440</v>
      </c>
      <c r="C1652">
        <v>2</v>
      </c>
      <c r="D1652" t="s">
        <v>4441</v>
      </c>
      <c r="E1652">
        <v>4</v>
      </c>
      <c r="F1652">
        <v>4</v>
      </c>
      <c r="G1652">
        <v>4</v>
      </c>
      <c r="H1652" t="s">
        <v>4442</v>
      </c>
      <c r="I1652">
        <v>6.9</v>
      </c>
      <c r="J1652">
        <v>75.701999999999998</v>
      </c>
      <c r="K1652" t="str">
        <f>"MASP2"</f>
        <v>MASP2</v>
      </c>
      <c r="L1652" t="str">
        <f>"MASP2"</f>
        <v>MASP2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</row>
    <row r="1653" spans="1:24">
      <c r="A1653">
        <v>70</v>
      </c>
      <c r="B1653" t="s">
        <v>4443</v>
      </c>
      <c r="C1653">
        <v>2</v>
      </c>
      <c r="D1653" t="s">
        <v>4444</v>
      </c>
      <c r="E1653">
        <v>2</v>
      </c>
      <c r="F1653">
        <v>2</v>
      </c>
      <c r="G1653">
        <v>2</v>
      </c>
      <c r="H1653" t="s">
        <v>4445</v>
      </c>
      <c r="I1653">
        <v>6.6</v>
      </c>
      <c r="J1653">
        <v>39.335999999999999</v>
      </c>
      <c r="K1653" t="str">
        <f>"RTCA"</f>
        <v>RTCA</v>
      </c>
      <c r="L1653" t="str">
        <f>"RTCA"</f>
        <v>RTCA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</row>
    <row r="1654" spans="1:24">
      <c r="A1654">
        <v>89</v>
      </c>
      <c r="B1654" t="s">
        <v>4446</v>
      </c>
      <c r="C1654">
        <v>1</v>
      </c>
      <c r="D1654" t="s">
        <v>4447</v>
      </c>
      <c r="E1654">
        <v>3</v>
      </c>
      <c r="F1654">
        <v>3</v>
      </c>
      <c r="G1654">
        <v>3</v>
      </c>
      <c r="H1654" t="s">
        <v>4446</v>
      </c>
      <c r="I1654">
        <v>17.600000000000001</v>
      </c>
      <c r="J1654">
        <v>35.914000000000001</v>
      </c>
      <c r="K1654" t="str">
        <f>"ACOT8"</f>
        <v>ACOT8</v>
      </c>
      <c r="L1654" t="str">
        <f>"ACOT8"</f>
        <v>ACOT8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</row>
    <row r="1655" spans="1:24">
      <c r="A1655">
        <v>95</v>
      </c>
      <c r="B1655" t="s">
        <v>4448</v>
      </c>
      <c r="C1655">
        <v>2</v>
      </c>
      <c r="D1655" t="s">
        <v>4449</v>
      </c>
      <c r="E1655">
        <v>5</v>
      </c>
      <c r="F1655">
        <v>3</v>
      </c>
      <c r="G1655">
        <v>3</v>
      </c>
      <c r="H1655" t="s">
        <v>4450</v>
      </c>
      <c r="I1655">
        <v>8.9</v>
      </c>
      <c r="J1655">
        <v>100.41</v>
      </c>
      <c r="K1655" t="str">
        <f>"TNPO2"</f>
        <v>TNPO2</v>
      </c>
      <c r="L1655" t="str">
        <f>"TNPO2"</f>
        <v>TNPO2</v>
      </c>
      <c r="M1655">
        <v>0</v>
      </c>
      <c r="N1655">
        <v>28849000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>
      <c r="A1656">
        <v>133</v>
      </c>
      <c r="B1656" t="s">
        <v>4451</v>
      </c>
      <c r="C1656">
        <v>4</v>
      </c>
      <c r="D1656" t="s">
        <v>4452</v>
      </c>
      <c r="E1656">
        <v>7</v>
      </c>
      <c r="F1656">
        <v>7</v>
      </c>
      <c r="G1656">
        <v>7</v>
      </c>
      <c r="H1656" t="s">
        <v>4453</v>
      </c>
      <c r="I1656">
        <v>7.2</v>
      </c>
      <c r="J1656">
        <v>144.19999999999999</v>
      </c>
      <c r="K1656" t="str">
        <f>"ABCC4"</f>
        <v>ABCC4</v>
      </c>
      <c r="L1656" t="str">
        <f>"ABCC4"</f>
        <v>ABCC4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</row>
    <row r="1657" spans="1:24">
      <c r="A1657">
        <v>198</v>
      </c>
      <c r="B1657" t="s">
        <v>4454</v>
      </c>
      <c r="C1657">
        <v>1</v>
      </c>
      <c r="D1657" t="s">
        <v>4455</v>
      </c>
      <c r="E1657">
        <v>5</v>
      </c>
      <c r="F1657">
        <v>5</v>
      </c>
      <c r="G1657">
        <v>5</v>
      </c>
      <c r="H1657" t="s">
        <v>4454</v>
      </c>
      <c r="I1657">
        <v>13.1</v>
      </c>
      <c r="J1657">
        <v>45.744999999999997</v>
      </c>
      <c r="K1657" t="str">
        <f>"DNAJA2"</f>
        <v>DNAJA2</v>
      </c>
      <c r="L1657" t="str">
        <f>"DNAJA2"</f>
        <v>DNAJA2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>
      <c r="A1658">
        <v>280</v>
      </c>
      <c r="B1658" t="s">
        <v>4456</v>
      </c>
      <c r="C1658">
        <v>1</v>
      </c>
      <c r="D1658" t="s">
        <v>4457</v>
      </c>
      <c r="E1658">
        <v>1</v>
      </c>
      <c r="F1658">
        <v>1</v>
      </c>
      <c r="G1658">
        <v>1</v>
      </c>
      <c r="H1658" t="s">
        <v>4456</v>
      </c>
      <c r="I1658">
        <v>5.0999999999999996</v>
      </c>
      <c r="J1658">
        <v>17.399999999999999</v>
      </c>
      <c r="K1658" t="str">
        <f>"TMEM50A"</f>
        <v>TMEM50A</v>
      </c>
      <c r="L1658" t="str">
        <f>"TMEM50A"</f>
        <v>TMEM50A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23734000</v>
      </c>
    </row>
    <row r="1659" spans="1:24">
      <c r="A1659">
        <v>580</v>
      </c>
      <c r="B1659" t="s">
        <v>4458</v>
      </c>
      <c r="C1659">
        <v>3</v>
      </c>
      <c r="D1659" t="s">
        <v>4459</v>
      </c>
      <c r="E1659">
        <v>7</v>
      </c>
      <c r="F1659">
        <v>3</v>
      </c>
      <c r="G1659">
        <v>2</v>
      </c>
      <c r="H1659" t="s">
        <v>4460</v>
      </c>
      <c r="I1659">
        <v>33</v>
      </c>
      <c r="J1659">
        <v>25.712</v>
      </c>
      <c r="K1659" t="str">
        <f>"GSTM1;GSTM4"</f>
        <v>GSTM1;GSTM4</v>
      </c>
      <c r="L1659" t="str">
        <f>"GSTM1;GSTM4"</f>
        <v>GSTM1;GSTM4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</row>
    <row r="1660" spans="1:24">
      <c r="A1660">
        <v>633</v>
      </c>
      <c r="B1660" t="s">
        <v>4461</v>
      </c>
      <c r="C1660">
        <v>1</v>
      </c>
      <c r="D1660" t="s">
        <v>4462</v>
      </c>
      <c r="E1660">
        <v>2</v>
      </c>
      <c r="F1660">
        <v>2</v>
      </c>
      <c r="G1660">
        <v>2</v>
      </c>
      <c r="H1660" t="s">
        <v>4461</v>
      </c>
      <c r="I1660">
        <v>8.5</v>
      </c>
      <c r="J1660">
        <v>26.143000000000001</v>
      </c>
      <c r="K1660" t="str">
        <f>"MBL2"</f>
        <v>MBL2</v>
      </c>
      <c r="L1660" t="str">
        <f>"MBL2"</f>
        <v>MBL2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14430000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</row>
    <row r="1661" spans="1:24">
      <c r="A1661">
        <v>637</v>
      </c>
      <c r="B1661" t="s">
        <v>4463</v>
      </c>
      <c r="C1661">
        <v>2</v>
      </c>
      <c r="D1661" t="s">
        <v>4464</v>
      </c>
      <c r="E1661">
        <v>4</v>
      </c>
      <c r="F1661">
        <v>4</v>
      </c>
      <c r="G1661">
        <v>4</v>
      </c>
      <c r="H1661" t="s">
        <v>4465</v>
      </c>
      <c r="I1661">
        <v>8.4</v>
      </c>
      <c r="J1661">
        <v>44.881999999999998</v>
      </c>
      <c r="K1661" t="str">
        <f>"LAMP1"</f>
        <v>LAMP1</v>
      </c>
      <c r="L1661" t="str">
        <f>"LAMP1"</f>
        <v>LAMP1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</row>
    <row r="1662" spans="1:24">
      <c r="A1662">
        <v>693</v>
      </c>
      <c r="B1662" t="s">
        <v>4466</v>
      </c>
      <c r="C1662">
        <v>1</v>
      </c>
      <c r="D1662" t="s">
        <v>4467</v>
      </c>
      <c r="E1662">
        <v>2</v>
      </c>
      <c r="F1662">
        <v>2</v>
      </c>
      <c r="G1662">
        <v>2</v>
      </c>
      <c r="H1662" t="s">
        <v>4466</v>
      </c>
      <c r="I1662">
        <v>44.2</v>
      </c>
      <c r="J1662">
        <v>10.192</v>
      </c>
      <c r="K1662" t="str">
        <f>"COX6B1"</f>
        <v>COX6B1</v>
      </c>
      <c r="L1662" t="str">
        <f>"COX6B1"</f>
        <v>COX6B1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45085000</v>
      </c>
      <c r="W1662">
        <v>0</v>
      </c>
      <c r="X1662">
        <v>0</v>
      </c>
    </row>
    <row r="1663" spans="1:24">
      <c r="A1663">
        <v>789</v>
      </c>
      <c r="B1663" t="s">
        <v>4468</v>
      </c>
      <c r="C1663">
        <v>1</v>
      </c>
      <c r="D1663" t="s">
        <v>4469</v>
      </c>
      <c r="E1663">
        <v>3</v>
      </c>
      <c r="F1663">
        <v>3</v>
      </c>
      <c r="G1663">
        <v>3</v>
      </c>
      <c r="H1663" t="s">
        <v>4468</v>
      </c>
      <c r="I1663">
        <v>5</v>
      </c>
      <c r="J1663">
        <v>99.632000000000005</v>
      </c>
      <c r="K1663" t="str">
        <f>"CBL"</f>
        <v>CBL</v>
      </c>
      <c r="L1663" t="str">
        <f>"CBL"</f>
        <v>CBL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</row>
    <row r="1664" spans="1:24">
      <c r="A1664">
        <v>854</v>
      </c>
      <c r="B1664" t="s">
        <v>4470</v>
      </c>
      <c r="C1664">
        <v>6</v>
      </c>
      <c r="D1664" t="s">
        <v>4471</v>
      </c>
      <c r="E1664">
        <v>4</v>
      </c>
      <c r="F1664">
        <v>4</v>
      </c>
      <c r="G1664">
        <v>4</v>
      </c>
      <c r="H1664" t="s">
        <v>4472</v>
      </c>
      <c r="I1664">
        <v>5.5</v>
      </c>
      <c r="J1664">
        <v>83.596999999999994</v>
      </c>
      <c r="K1664" t="str">
        <f>"PIK3R1;PIK3R3"</f>
        <v>PIK3R1;PIK3R3</v>
      </c>
      <c r="L1664" t="str">
        <f>"PIK3R1;PIK3R3"</f>
        <v>PIK3R1;PIK3R3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26736000</v>
      </c>
    </row>
    <row r="1665" spans="1:24">
      <c r="A1665">
        <v>968</v>
      </c>
      <c r="B1665" t="s">
        <v>4473</v>
      </c>
      <c r="C1665">
        <v>1</v>
      </c>
      <c r="D1665" t="s">
        <v>4474</v>
      </c>
      <c r="E1665">
        <v>4</v>
      </c>
      <c r="F1665">
        <v>4</v>
      </c>
      <c r="G1665">
        <v>4</v>
      </c>
      <c r="H1665" t="s">
        <v>4473</v>
      </c>
      <c r="I1665">
        <v>18.5</v>
      </c>
      <c r="J1665">
        <v>24.145</v>
      </c>
      <c r="K1665" t="str">
        <f>"TIMP3"</f>
        <v>TIMP3</v>
      </c>
      <c r="L1665" t="str">
        <f>"TIMP3"</f>
        <v>TIMP3</v>
      </c>
      <c r="M1665">
        <v>0</v>
      </c>
      <c r="N1665">
        <v>0</v>
      </c>
      <c r="O1665">
        <v>66728000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</row>
    <row r="1666" spans="1:24">
      <c r="A1666">
        <v>1076</v>
      </c>
      <c r="B1666" t="s">
        <v>4475</v>
      </c>
      <c r="C1666">
        <v>1</v>
      </c>
      <c r="D1666" t="s">
        <v>4476</v>
      </c>
      <c r="E1666">
        <v>3</v>
      </c>
      <c r="F1666">
        <v>3</v>
      </c>
      <c r="G1666">
        <v>3</v>
      </c>
      <c r="H1666" t="s">
        <v>4475</v>
      </c>
      <c r="I1666">
        <v>3.8</v>
      </c>
      <c r="J1666">
        <v>126.45</v>
      </c>
      <c r="K1666" t="str">
        <f>"PIK3CG"</f>
        <v>PIK3CG</v>
      </c>
      <c r="L1666" t="str">
        <f>"PIK3CG"</f>
        <v>PIK3CG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36332000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>
      <c r="A1667">
        <v>1213</v>
      </c>
      <c r="B1667" t="s">
        <v>4477</v>
      </c>
      <c r="C1667">
        <v>2</v>
      </c>
      <c r="D1667" t="s">
        <v>4478</v>
      </c>
      <c r="E1667">
        <v>4</v>
      </c>
      <c r="F1667">
        <v>4</v>
      </c>
      <c r="G1667">
        <v>4</v>
      </c>
      <c r="H1667" t="s">
        <v>4479</v>
      </c>
      <c r="I1667">
        <v>20.2</v>
      </c>
      <c r="J1667">
        <v>10.244999999999999</v>
      </c>
      <c r="K1667" t="str">
        <f>"DEFA3;DEFA1"</f>
        <v>DEFA3;DEFA1</v>
      </c>
      <c r="L1667" t="str">
        <f>"DEFA3;DEFA1"</f>
        <v>DEFA3;DEFA1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</row>
    <row r="1668" spans="1:24">
      <c r="A1668">
        <v>1244</v>
      </c>
      <c r="B1668" t="s">
        <v>4480</v>
      </c>
      <c r="C1668">
        <v>1</v>
      </c>
      <c r="D1668" t="s">
        <v>4481</v>
      </c>
      <c r="E1668">
        <v>4</v>
      </c>
      <c r="F1668">
        <v>4</v>
      </c>
      <c r="G1668">
        <v>4</v>
      </c>
      <c r="H1668" t="s">
        <v>4480</v>
      </c>
      <c r="I1668">
        <v>11.1</v>
      </c>
      <c r="J1668">
        <v>40.329000000000001</v>
      </c>
      <c r="K1668" t="str">
        <f>"ATP6V0D1"</f>
        <v>ATP6V0D1</v>
      </c>
      <c r="L1668" t="str">
        <f>"ATP6V0D1"</f>
        <v>ATP6V0D1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28204000</v>
      </c>
      <c r="X1668">
        <v>0</v>
      </c>
    </row>
    <row r="1669" spans="1:24">
      <c r="A1669">
        <v>1264</v>
      </c>
      <c r="B1669" t="s">
        <v>4482</v>
      </c>
      <c r="C1669">
        <v>1</v>
      </c>
      <c r="D1669" t="s">
        <v>4483</v>
      </c>
      <c r="E1669">
        <v>4</v>
      </c>
      <c r="F1669">
        <v>4</v>
      </c>
      <c r="G1669">
        <v>4</v>
      </c>
      <c r="H1669" t="s">
        <v>4482</v>
      </c>
      <c r="I1669">
        <v>23.8</v>
      </c>
      <c r="J1669">
        <v>17.222000000000001</v>
      </c>
      <c r="K1669" t="str">
        <f>"RPS13"</f>
        <v>RPS13</v>
      </c>
      <c r="L1669" t="str">
        <f>"RPS13"</f>
        <v>RPS13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40937000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</row>
    <row r="1670" spans="1:24">
      <c r="A1670">
        <v>1313</v>
      </c>
      <c r="B1670" t="s">
        <v>4484</v>
      </c>
      <c r="C1670">
        <v>2</v>
      </c>
      <c r="D1670" t="s">
        <v>4485</v>
      </c>
      <c r="E1670">
        <v>5</v>
      </c>
      <c r="F1670">
        <v>1</v>
      </c>
      <c r="G1670">
        <v>1</v>
      </c>
      <c r="H1670" t="s">
        <v>4486</v>
      </c>
      <c r="I1670">
        <v>13.5</v>
      </c>
      <c r="J1670">
        <v>47.377000000000002</v>
      </c>
      <c r="K1670" t="str">
        <f>"PIP4K2B"</f>
        <v>PIP4K2B</v>
      </c>
      <c r="L1670" t="str">
        <f>"PIP4K2B"</f>
        <v>PIP4K2B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12737000</v>
      </c>
    </row>
    <row r="1671" spans="1:24">
      <c r="A1671">
        <v>1345</v>
      </c>
      <c r="B1671" t="s">
        <v>4487</v>
      </c>
      <c r="C1671">
        <v>2</v>
      </c>
      <c r="D1671" t="s">
        <v>4488</v>
      </c>
      <c r="E1671">
        <v>4</v>
      </c>
      <c r="F1671">
        <v>4</v>
      </c>
      <c r="G1671">
        <v>4</v>
      </c>
      <c r="H1671" t="s">
        <v>4489</v>
      </c>
      <c r="I1671">
        <v>34.1</v>
      </c>
      <c r="J1671">
        <v>15.164</v>
      </c>
      <c r="K1671" t="str">
        <f>"FABP5;FABP5P3"</f>
        <v>FABP5;FABP5P3</v>
      </c>
      <c r="L1671" t="str">
        <f>"FABP5;FABP5P3"</f>
        <v>FABP5;FABP5P3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</row>
    <row r="1672" spans="1:24">
      <c r="A1672">
        <v>1385</v>
      </c>
      <c r="B1672" t="s">
        <v>4490</v>
      </c>
      <c r="C1672">
        <v>7</v>
      </c>
      <c r="D1672" t="s">
        <v>4491</v>
      </c>
      <c r="E1672">
        <v>3</v>
      </c>
      <c r="F1672">
        <v>3</v>
      </c>
      <c r="G1672">
        <v>3</v>
      </c>
      <c r="H1672" t="s">
        <v>4492</v>
      </c>
      <c r="I1672">
        <v>22</v>
      </c>
      <c r="J1672">
        <v>18.129000000000001</v>
      </c>
      <c r="K1672" t="str">
        <f>"BAX"</f>
        <v>BAX</v>
      </c>
      <c r="L1672" t="str">
        <f>"BAX"</f>
        <v>BAX</v>
      </c>
      <c r="M1672">
        <v>0</v>
      </c>
      <c r="N1672">
        <v>0</v>
      </c>
      <c r="O1672">
        <v>0</v>
      </c>
      <c r="P1672">
        <v>41546000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</row>
    <row r="1673" spans="1:24">
      <c r="A1673">
        <v>1426</v>
      </c>
      <c r="B1673" t="s">
        <v>4493</v>
      </c>
      <c r="C1673">
        <v>4</v>
      </c>
      <c r="D1673" t="s">
        <v>4494</v>
      </c>
      <c r="E1673">
        <v>4</v>
      </c>
      <c r="F1673">
        <v>3</v>
      </c>
      <c r="G1673">
        <v>3</v>
      </c>
      <c r="H1673" t="s">
        <v>4495</v>
      </c>
      <c r="I1673">
        <v>3.9</v>
      </c>
      <c r="J1673">
        <v>103.96</v>
      </c>
      <c r="K1673" t="str">
        <f>"USP4;USP11"</f>
        <v>USP4;USP11</v>
      </c>
      <c r="L1673" t="str">
        <f>"USP4;USP11"</f>
        <v>USP4;USP11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</row>
    <row r="1674" spans="1:24">
      <c r="A1674">
        <v>1454</v>
      </c>
      <c r="B1674" t="s">
        <v>4496</v>
      </c>
      <c r="C1674">
        <v>20</v>
      </c>
      <c r="D1674" t="s">
        <v>4497</v>
      </c>
      <c r="E1674">
        <v>3</v>
      </c>
      <c r="F1674">
        <v>3</v>
      </c>
      <c r="G1674">
        <v>2</v>
      </c>
      <c r="H1674" t="s">
        <v>4498</v>
      </c>
      <c r="I1674">
        <v>8.3000000000000007</v>
      </c>
      <c r="J1674">
        <v>55.96</v>
      </c>
      <c r="K1674" t="str">
        <f>"CAMK2G;CAMK2B;CAMK2A"</f>
        <v>CAMK2G;CAMK2B;CAMK2A</v>
      </c>
      <c r="L1674" t="str">
        <f>"CAMK2G;CAMK2B;CAMK2A"</f>
        <v>CAMK2G;CAMK2B;CAMK2A</v>
      </c>
      <c r="M1674">
        <v>0</v>
      </c>
      <c r="N1674">
        <v>57113000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</row>
    <row r="1675" spans="1:24">
      <c r="A1675">
        <v>1460</v>
      </c>
      <c r="B1675" t="s">
        <v>4499</v>
      </c>
      <c r="C1675">
        <v>1</v>
      </c>
      <c r="D1675" t="s">
        <v>4500</v>
      </c>
      <c r="E1675">
        <v>3</v>
      </c>
      <c r="F1675">
        <v>3</v>
      </c>
      <c r="G1675">
        <v>3</v>
      </c>
      <c r="H1675" t="s">
        <v>4499</v>
      </c>
      <c r="I1675">
        <v>4.3</v>
      </c>
      <c r="J1675">
        <v>89.677000000000007</v>
      </c>
      <c r="K1675" t="str">
        <f>"CUL1"</f>
        <v>CUL1</v>
      </c>
      <c r="L1675" t="str">
        <f>"CUL1"</f>
        <v>CUL1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81826000</v>
      </c>
      <c r="T1675">
        <v>0</v>
      </c>
      <c r="U1675">
        <v>0</v>
      </c>
      <c r="V1675">
        <v>47827000</v>
      </c>
      <c r="W1675">
        <v>0</v>
      </c>
      <c r="X1675">
        <v>0</v>
      </c>
    </row>
    <row r="1676" spans="1:24">
      <c r="A1676">
        <v>1497</v>
      </c>
      <c r="B1676" t="s">
        <v>4501</v>
      </c>
      <c r="C1676">
        <v>2</v>
      </c>
      <c r="D1676" t="s">
        <v>4502</v>
      </c>
      <c r="E1676">
        <v>7</v>
      </c>
      <c r="F1676">
        <v>6</v>
      </c>
      <c r="G1676">
        <v>6</v>
      </c>
      <c r="H1676" t="s">
        <v>4503</v>
      </c>
      <c r="I1676">
        <v>8.9</v>
      </c>
      <c r="J1676">
        <v>111.18</v>
      </c>
      <c r="K1676" t="str">
        <f>"PTK2B"</f>
        <v>PTK2B</v>
      </c>
      <c r="L1676" t="str">
        <f>"PTK2B"</f>
        <v>PTK2B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</row>
    <row r="1677" spans="1:24">
      <c r="A1677">
        <v>1758</v>
      </c>
      <c r="B1677" t="s">
        <v>4504</v>
      </c>
      <c r="C1677">
        <v>1</v>
      </c>
      <c r="D1677" t="s">
        <v>4505</v>
      </c>
      <c r="E1677">
        <v>5</v>
      </c>
      <c r="F1677">
        <v>1</v>
      </c>
      <c r="G1677">
        <v>1</v>
      </c>
      <c r="H1677" t="s">
        <v>4504</v>
      </c>
      <c r="I1677">
        <v>25.1</v>
      </c>
      <c r="J1677">
        <v>21.323</v>
      </c>
      <c r="K1677" t="str">
        <f>"TREML1"</f>
        <v>TREML1</v>
      </c>
      <c r="L1677" t="str">
        <f>"TREML1"</f>
        <v>TREML1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15749000</v>
      </c>
    </row>
    <row r="1678" spans="1:24">
      <c r="A1678">
        <v>1827</v>
      </c>
      <c r="B1678" t="s">
        <v>4506</v>
      </c>
      <c r="C1678">
        <v>3</v>
      </c>
      <c r="D1678" t="s">
        <v>4507</v>
      </c>
      <c r="E1678">
        <v>1</v>
      </c>
      <c r="F1678">
        <v>1</v>
      </c>
      <c r="G1678">
        <v>1</v>
      </c>
      <c r="H1678" t="s">
        <v>4508</v>
      </c>
      <c r="I1678">
        <v>5.6</v>
      </c>
      <c r="J1678">
        <v>18.242999999999999</v>
      </c>
      <c r="K1678" t="str">
        <f>"ZFAND1"</f>
        <v>ZFAND1</v>
      </c>
      <c r="L1678" t="str">
        <f>"ZFAND1"</f>
        <v>ZFAND1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25559000</v>
      </c>
    </row>
    <row r="1679" spans="1:24">
      <c r="A1679">
        <v>1905</v>
      </c>
      <c r="B1679" t="s">
        <v>4509</v>
      </c>
      <c r="C1679">
        <v>1</v>
      </c>
      <c r="D1679" t="s">
        <v>4510</v>
      </c>
      <c r="E1679">
        <v>1</v>
      </c>
      <c r="F1679">
        <v>1</v>
      </c>
      <c r="G1679">
        <v>1</v>
      </c>
      <c r="H1679" t="s">
        <v>4509</v>
      </c>
      <c r="I1679">
        <v>2.6</v>
      </c>
      <c r="J1679">
        <v>39.933</v>
      </c>
      <c r="K1679" t="str">
        <f>"SYAP1"</f>
        <v>SYAP1</v>
      </c>
      <c r="L1679" t="str">
        <f>"SYAP1"</f>
        <v>SYAP1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11136000</v>
      </c>
    </row>
    <row r="1680" spans="1:24">
      <c r="A1680">
        <v>2018</v>
      </c>
      <c r="B1680" t="s">
        <v>4511</v>
      </c>
      <c r="C1680">
        <v>1</v>
      </c>
      <c r="D1680" t="s">
        <v>4512</v>
      </c>
      <c r="E1680">
        <v>2</v>
      </c>
      <c r="F1680">
        <v>2</v>
      </c>
      <c r="G1680">
        <v>2</v>
      </c>
      <c r="H1680" t="s">
        <v>4511</v>
      </c>
      <c r="I1680">
        <v>12.2</v>
      </c>
      <c r="J1680">
        <v>25.75</v>
      </c>
      <c r="K1680" t="str">
        <f>"LXN"</f>
        <v>LXN</v>
      </c>
      <c r="L1680" t="str">
        <f>"LXN"</f>
        <v>LXN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</row>
    <row r="1681" spans="1:24">
      <c r="A1681">
        <v>2076</v>
      </c>
      <c r="B1681" t="s">
        <v>4513</v>
      </c>
      <c r="C1681">
        <v>2</v>
      </c>
      <c r="D1681" t="s">
        <v>4514</v>
      </c>
      <c r="E1681">
        <v>2</v>
      </c>
      <c r="F1681">
        <v>2</v>
      </c>
      <c r="G1681">
        <v>2</v>
      </c>
      <c r="H1681" t="s">
        <v>4515</v>
      </c>
      <c r="I1681">
        <v>5.7</v>
      </c>
      <c r="J1681">
        <v>38.036000000000001</v>
      </c>
      <c r="K1681" t="str">
        <f>"MAGT1"</f>
        <v>MAGT1</v>
      </c>
      <c r="L1681" t="str">
        <f>"MAGT1"</f>
        <v>MAGT1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</row>
    <row r="1682" spans="1:24">
      <c r="A1682">
        <v>2105</v>
      </c>
      <c r="B1682" t="s">
        <v>4516</v>
      </c>
      <c r="C1682">
        <v>3</v>
      </c>
      <c r="D1682" t="s">
        <v>4517</v>
      </c>
      <c r="E1682">
        <v>2</v>
      </c>
      <c r="F1682">
        <v>2</v>
      </c>
      <c r="G1682">
        <v>2</v>
      </c>
      <c r="H1682" t="s">
        <v>4518</v>
      </c>
      <c r="I1682">
        <v>7.8</v>
      </c>
      <c r="J1682">
        <v>29.759</v>
      </c>
      <c r="K1682" t="str">
        <f>"SMYD3"</f>
        <v>SMYD3</v>
      </c>
      <c r="L1682" t="str">
        <f>"SMYD3"</f>
        <v>SMYD3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</row>
    <row r="1683" spans="1:24">
      <c r="A1683">
        <v>2155</v>
      </c>
      <c r="B1683" t="s">
        <v>4519</v>
      </c>
      <c r="C1683">
        <v>1</v>
      </c>
      <c r="D1683" t="s">
        <v>4520</v>
      </c>
      <c r="E1683">
        <v>4</v>
      </c>
      <c r="F1683">
        <v>4</v>
      </c>
      <c r="G1683">
        <v>4</v>
      </c>
      <c r="H1683" t="s">
        <v>4519</v>
      </c>
      <c r="I1683">
        <v>10.199999999999999</v>
      </c>
      <c r="J1683">
        <v>65.677000000000007</v>
      </c>
      <c r="K1683" t="str">
        <f>"CTPS2"</f>
        <v>CTPS2</v>
      </c>
      <c r="L1683" t="str">
        <f>"CTPS2"</f>
        <v>CTPS2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</row>
    <row r="1684" spans="1:24">
      <c r="A1684">
        <v>2246</v>
      </c>
      <c r="B1684" t="s">
        <v>4521</v>
      </c>
      <c r="C1684">
        <v>2</v>
      </c>
      <c r="D1684" t="s">
        <v>4522</v>
      </c>
      <c r="E1684">
        <v>4</v>
      </c>
      <c r="F1684">
        <v>4</v>
      </c>
      <c r="G1684">
        <v>4</v>
      </c>
      <c r="H1684" t="s">
        <v>4523</v>
      </c>
      <c r="I1684">
        <v>17.899999999999999</v>
      </c>
      <c r="J1684">
        <v>35.286000000000001</v>
      </c>
      <c r="K1684" t="str">
        <f>"CHORDC1"</f>
        <v>CHORDC1</v>
      </c>
      <c r="L1684" t="str">
        <f>"CHORDC1"</f>
        <v>CHORDC1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</row>
    <row r="1685" spans="1:24">
      <c r="A1685">
        <v>2251</v>
      </c>
      <c r="B1685" t="s">
        <v>4524</v>
      </c>
      <c r="C1685">
        <v>1</v>
      </c>
      <c r="D1685" t="s">
        <v>4525</v>
      </c>
      <c r="E1685">
        <v>2</v>
      </c>
      <c r="F1685">
        <v>2</v>
      </c>
      <c r="G1685">
        <v>2</v>
      </c>
      <c r="H1685" t="s">
        <v>4524</v>
      </c>
      <c r="I1685">
        <v>3.7</v>
      </c>
      <c r="J1685">
        <v>54.341000000000001</v>
      </c>
      <c r="K1685" t="str">
        <f>"DPP7"</f>
        <v>DPP7</v>
      </c>
      <c r="L1685" t="str">
        <f>"DPP7"</f>
        <v>DPP7</v>
      </c>
      <c r="M1685">
        <v>0</v>
      </c>
      <c r="N1685">
        <v>38773000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</row>
    <row r="1686" spans="1:24">
      <c r="A1686">
        <v>2255</v>
      </c>
      <c r="B1686" t="s">
        <v>4526</v>
      </c>
      <c r="C1686">
        <v>2</v>
      </c>
      <c r="D1686" t="s">
        <v>4527</v>
      </c>
      <c r="E1686">
        <v>1</v>
      </c>
      <c r="F1686">
        <v>1</v>
      </c>
      <c r="G1686">
        <v>1</v>
      </c>
      <c r="H1686" t="s">
        <v>4528</v>
      </c>
      <c r="I1686">
        <v>19.100000000000001</v>
      </c>
      <c r="J1686">
        <v>12.552</v>
      </c>
      <c r="K1686" t="str">
        <f>"ENOPH1"</f>
        <v>ENOPH1</v>
      </c>
      <c r="L1686" t="str">
        <f>"ENOPH1"</f>
        <v>ENOPH1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15336000</v>
      </c>
      <c r="W1686">
        <v>0</v>
      </c>
      <c r="X1686">
        <v>0</v>
      </c>
    </row>
    <row r="1687" spans="1:24">
      <c r="A1687">
        <v>2314</v>
      </c>
      <c r="B1687" t="s">
        <v>4529</v>
      </c>
      <c r="C1687">
        <v>1</v>
      </c>
      <c r="D1687" t="s">
        <v>4530</v>
      </c>
      <c r="E1687">
        <v>4</v>
      </c>
      <c r="F1687">
        <v>4</v>
      </c>
      <c r="G1687">
        <v>4</v>
      </c>
      <c r="H1687" t="s">
        <v>4529</v>
      </c>
      <c r="I1687">
        <v>7.8</v>
      </c>
      <c r="J1687">
        <v>87.156000000000006</v>
      </c>
      <c r="K1687" t="str">
        <f>"PLAA"</f>
        <v>PLAA</v>
      </c>
      <c r="L1687" t="str">
        <f>"PLAA"</f>
        <v>PLAA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</row>
    <row r="1688" spans="1:24">
      <c r="A1688">
        <v>2320</v>
      </c>
      <c r="B1688" t="s">
        <v>4531</v>
      </c>
      <c r="C1688">
        <v>2</v>
      </c>
      <c r="D1688" t="s">
        <v>4532</v>
      </c>
      <c r="E1688">
        <v>3</v>
      </c>
      <c r="F1688">
        <v>3</v>
      </c>
      <c r="G1688">
        <v>3</v>
      </c>
      <c r="H1688" t="s">
        <v>4533</v>
      </c>
      <c r="I1688">
        <v>11.1</v>
      </c>
      <c r="J1688">
        <v>54.156999999999996</v>
      </c>
      <c r="K1688" t="str">
        <f>"FARSA"</f>
        <v>FARSA</v>
      </c>
      <c r="L1688" t="str">
        <f>"FARSA"</f>
        <v>FARSA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</row>
    <row r="1689" spans="1:24">
      <c r="A1689">
        <v>2361</v>
      </c>
      <c r="B1689" t="s">
        <v>4534</v>
      </c>
      <c r="C1689">
        <v>4</v>
      </c>
      <c r="D1689" t="s">
        <v>4535</v>
      </c>
      <c r="E1689">
        <v>2</v>
      </c>
      <c r="F1689">
        <v>2</v>
      </c>
      <c r="G1689">
        <v>2</v>
      </c>
      <c r="H1689" t="s">
        <v>4536</v>
      </c>
      <c r="I1689">
        <v>13</v>
      </c>
      <c r="J1689">
        <v>18.213999999999999</v>
      </c>
      <c r="K1689" t="str">
        <f>"PPME1"</f>
        <v>PPME1</v>
      </c>
      <c r="L1689" t="str">
        <f>"PPME1"</f>
        <v>PPME1</v>
      </c>
      <c r="M1689">
        <v>0</v>
      </c>
      <c r="N1689">
        <v>0</v>
      </c>
      <c r="O1689">
        <v>19679000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</row>
    <row r="1690" spans="1:24">
      <c r="A1690">
        <v>2362</v>
      </c>
      <c r="B1690" t="s">
        <v>4537</v>
      </c>
      <c r="C1690">
        <v>4</v>
      </c>
      <c r="D1690" t="s">
        <v>4538</v>
      </c>
      <c r="E1690">
        <v>3</v>
      </c>
      <c r="F1690">
        <v>3</v>
      </c>
      <c r="G1690">
        <v>3</v>
      </c>
      <c r="H1690" t="s">
        <v>4539</v>
      </c>
      <c r="I1690">
        <v>9.8000000000000007</v>
      </c>
      <c r="J1690">
        <v>36.079000000000001</v>
      </c>
      <c r="K1690" t="str">
        <f>"UCHL5"</f>
        <v>UCHL5</v>
      </c>
      <c r="L1690" t="str">
        <f>"UCHL5"</f>
        <v>UCHL5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23001000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</row>
    <row r="1691" spans="1:24">
      <c r="A1691">
        <v>2378</v>
      </c>
      <c r="B1691" t="s">
        <v>4540</v>
      </c>
      <c r="C1691">
        <v>1</v>
      </c>
      <c r="D1691" t="s">
        <v>4541</v>
      </c>
      <c r="E1691">
        <v>2</v>
      </c>
      <c r="F1691">
        <v>2</v>
      </c>
      <c r="G1691">
        <v>2</v>
      </c>
      <c r="H1691" t="s">
        <v>4540</v>
      </c>
      <c r="I1691">
        <v>31.4</v>
      </c>
      <c r="J1691">
        <v>11.805</v>
      </c>
      <c r="K1691" t="str">
        <f>"SPCS1"</f>
        <v>SPCS1</v>
      </c>
      <c r="L1691" t="str">
        <f>"SPCS1"</f>
        <v>SPCS1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</row>
    <row r="1692" spans="1:24">
      <c r="A1692">
        <v>71</v>
      </c>
      <c r="B1692" t="s">
        <v>4542</v>
      </c>
      <c r="C1692">
        <v>1</v>
      </c>
      <c r="D1692" t="s">
        <v>4543</v>
      </c>
      <c r="E1692">
        <v>4</v>
      </c>
      <c r="F1692">
        <v>4</v>
      </c>
      <c r="G1692">
        <v>4</v>
      </c>
      <c r="H1692" t="s">
        <v>4542</v>
      </c>
      <c r="I1692">
        <v>9.1999999999999993</v>
      </c>
      <c r="J1692">
        <v>81.852000000000004</v>
      </c>
      <c r="K1692" t="str">
        <f>"EXOC5"</f>
        <v>EXOC5</v>
      </c>
      <c r="L1692" t="str">
        <f>"EXOC5"</f>
        <v>EXOC5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</row>
    <row r="1693" spans="1:24">
      <c r="A1693">
        <v>84</v>
      </c>
      <c r="B1693" t="s">
        <v>4544</v>
      </c>
      <c r="C1693">
        <v>5</v>
      </c>
      <c r="D1693" t="s">
        <v>4545</v>
      </c>
      <c r="E1693">
        <v>5</v>
      </c>
      <c r="F1693">
        <v>5</v>
      </c>
      <c r="G1693">
        <v>5</v>
      </c>
      <c r="H1693" t="s">
        <v>4546</v>
      </c>
      <c r="I1693">
        <v>5.8</v>
      </c>
      <c r="J1693">
        <v>114.71</v>
      </c>
      <c r="K1693" t="str">
        <f>"AP3D1"</f>
        <v>AP3D1</v>
      </c>
      <c r="L1693" t="str">
        <f>"AP3D1"</f>
        <v>AP3D1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</row>
    <row r="1694" spans="1:24">
      <c r="A1694">
        <v>220</v>
      </c>
      <c r="B1694" t="s">
        <v>4547</v>
      </c>
      <c r="C1694">
        <v>2</v>
      </c>
      <c r="D1694" t="s">
        <v>4548</v>
      </c>
      <c r="E1694">
        <v>5</v>
      </c>
      <c r="F1694">
        <v>5</v>
      </c>
      <c r="G1694">
        <v>5</v>
      </c>
      <c r="H1694" t="s">
        <v>4549</v>
      </c>
      <c r="I1694">
        <v>17.8</v>
      </c>
      <c r="J1694">
        <v>30.241</v>
      </c>
      <c r="K1694" t="str">
        <f>"NDUFS3"</f>
        <v>NDUFS3</v>
      </c>
      <c r="L1694" t="str">
        <f>"NDUFS3"</f>
        <v>NDUFS3</v>
      </c>
      <c r="M1694">
        <v>0</v>
      </c>
      <c r="N1694">
        <v>35872000</v>
      </c>
      <c r="O1694">
        <v>0</v>
      </c>
      <c r="P1694">
        <v>0</v>
      </c>
      <c r="Q1694">
        <v>0</v>
      </c>
      <c r="R1694">
        <v>59517000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</row>
    <row r="1695" spans="1:24">
      <c r="A1695">
        <v>284</v>
      </c>
      <c r="B1695" t="s">
        <v>4550</v>
      </c>
      <c r="C1695">
        <v>4</v>
      </c>
      <c r="D1695" t="s">
        <v>4551</v>
      </c>
      <c r="E1695">
        <v>5</v>
      </c>
      <c r="F1695">
        <v>5</v>
      </c>
      <c r="G1695">
        <v>5</v>
      </c>
      <c r="H1695" t="s">
        <v>4552</v>
      </c>
      <c r="I1695">
        <v>25</v>
      </c>
      <c r="J1695">
        <v>29.187999999999999</v>
      </c>
      <c r="K1695" t="str">
        <f>"BPNT1"</f>
        <v>BPNT1</v>
      </c>
      <c r="L1695" t="str">
        <f>"BPNT1"</f>
        <v>BPNT1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</row>
    <row r="1696" spans="1:24">
      <c r="A1696">
        <v>455</v>
      </c>
      <c r="B1696" t="s">
        <v>4553</v>
      </c>
      <c r="C1696">
        <v>1</v>
      </c>
      <c r="D1696" t="s">
        <v>4554</v>
      </c>
      <c r="E1696">
        <v>16</v>
      </c>
      <c r="F1696">
        <v>4</v>
      </c>
      <c r="G1696">
        <v>0</v>
      </c>
      <c r="H1696" t="s">
        <v>4553</v>
      </c>
      <c r="I1696">
        <v>24.8</v>
      </c>
      <c r="J1696">
        <v>60.066000000000003</v>
      </c>
      <c r="K1696" t="str">
        <f>"KRT6B"</f>
        <v>KRT6B</v>
      </c>
      <c r="L1696" t="str">
        <f>"KRT6B"</f>
        <v>KRT6B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</row>
    <row r="1697" spans="1:24">
      <c r="A1697">
        <v>550</v>
      </c>
      <c r="B1697" t="s">
        <v>4555</v>
      </c>
      <c r="C1697">
        <v>4</v>
      </c>
      <c r="D1697" t="s">
        <v>4556</v>
      </c>
      <c r="E1697">
        <v>5</v>
      </c>
      <c r="F1697">
        <v>5</v>
      </c>
      <c r="G1697">
        <v>5</v>
      </c>
      <c r="H1697" t="s">
        <v>4557</v>
      </c>
      <c r="I1697">
        <v>13.4</v>
      </c>
      <c r="J1697">
        <v>57.944000000000003</v>
      </c>
      <c r="K1697" t="str">
        <f>"SLC3A2"</f>
        <v>SLC3A2</v>
      </c>
      <c r="L1697" t="str">
        <f>"SLC3A2"</f>
        <v>SLC3A2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</row>
    <row r="1698" spans="1:24">
      <c r="A1698">
        <v>598</v>
      </c>
      <c r="B1698" t="s">
        <v>4558</v>
      </c>
      <c r="C1698">
        <v>1</v>
      </c>
      <c r="D1698" t="s">
        <v>4559</v>
      </c>
      <c r="E1698">
        <v>2</v>
      </c>
      <c r="F1698">
        <v>2</v>
      </c>
      <c r="G1698">
        <v>2</v>
      </c>
      <c r="H1698" t="s">
        <v>4558</v>
      </c>
      <c r="I1698">
        <v>8.9</v>
      </c>
      <c r="J1698">
        <v>23.925999999999998</v>
      </c>
      <c r="K1698" t="str">
        <f>"CLEC2L"</f>
        <v>CLEC2L</v>
      </c>
      <c r="L1698" t="str">
        <f>"CLEC2L"</f>
        <v>CLEC2L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>
      <c r="A1699">
        <v>613</v>
      </c>
      <c r="B1699" t="s">
        <v>4560</v>
      </c>
      <c r="C1699">
        <v>1</v>
      </c>
      <c r="D1699" t="s">
        <v>4561</v>
      </c>
      <c r="E1699">
        <v>3</v>
      </c>
      <c r="F1699">
        <v>3</v>
      </c>
      <c r="G1699">
        <v>3</v>
      </c>
      <c r="H1699" t="s">
        <v>4560</v>
      </c>
      <c r="I1699">
        <v>2.9</v>
      </c>
      <c r="J1699">
        <v>68.995999999999995</v>
      </c>
      <c r="K1699" t="str">
        <f>"DLAT"</f>
        <v>DLAT</v>
      </c>
      <c r="L1699" t="str">
        <f>"DLAT"</f>
        <v>DLAT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11241000</v>
      </c>
      <c r="W1699">
        <v>0</v>
      </c>
      <c r="X1699">
        <v>0</v>
      </c>
    </row>
    <row r="1700" spans="1:24">
      <c r="A1700">
        <v>670</v>
      </c>
      <c r="B1700" t="s">
        <v>4562</v>
      </c>
      <c r="C1700">
        <v>2</v>
      </c>
      <c r="D1700" t="s">
        <v>4563</v>
      </c>
      <c r="E1700">
        <v>23</v>
      </c>
      <c r="F1700">
        <v>3</v>
      </c>
      <c r="G1700">
        <v>3</v>
      </c>
      <c r="H1700" t="s">
        <v>4564</v>
      </c>
      <c r="I1700">
        <v>60.5</v>
      </c>
      <c r="J1700">
        <v>40.936</v>
      </c>
      <c r="K1700" t="str">
        <f>"HLA-A"</f>
        <v>HLA-A</v>
      </c>
      <c r="L1700" t="str">
        <f>"HLA-A"</f>
        <v>HLA-A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>
      <c r="A1701">
        <v>677</v>
      </c>
      <c r="B1701" t="s">
        <v>4565</v>
      </c>
      <c r="C1701">
        <v>1</v>
      </c>
      <c r="D1701" t="s">
        <v>4566</v>
      </c>
      <c r="E1701">
        <v>2</v>
      </c>
      <c r="F1701">
        <v>2</v>
      </c>
      <c r="G1701">
        <v>2</v>
      </c>
      <c r="H1701" t="s">
        <v>4565</v>
      </c>
      <c r="I1701">
        <v>15.6</v>
      </c>
      <c r="J1701">
        <v>14.177</v>
      </c>
      <c r="K1701" t="str">
        <f>"CD59"</f>
        <v>CD59</v>
      </c>
      <c r="L1701" t="str">
        <f>"CD59"</f>
        <v>CD59</v>
      </c>
      <c r="M1701">
        <v>0</v>
      </c>
      <c r="N1701">
        <v>0</v>
      </c>
      <c r="O1701">
        <v>18815000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</row>
    <row r="1702" spans="1:24">
      <c r="A1702">
        <v>713</v>
      </c>
      <c r="B1702" t="s">
        <v>4567</v>
      </c>
      <c r="C1702">
        <v>1</v>
      </c>
      <c r="D1702" t="s">
        <v>4568</v>
      </c>
      <c r="E1702">
        <v>18</v>
      </c>
      <c r="F1702">
        <v>2</v>
      </c>
      <c r="G1702">
        <v>0</v>
      </c>
      <c r="H1702" t="s">
        <v>4567</v>
      </c>
      <c r="I1702">
        <v>58.6</v>
      </c>
      <c r="J1702">
        <v>40.904000000000003</v>
      </c>
      <c r="K1702" t="str">
        <f>"HLA-A"</f>
        <v>HLA-A</v>
      </c>
      <c r="L1702" t="str">
        <f>"HLA-A"</f>
        <v>HLA-A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</row>
    <row r="1703" spans="1:24">
      <c r="A1703">
        <v>847</v>
      </c>
      <c r="B1703" t="s">
        <v>4569</v>
      </c>
      <c r="C1703">
        <v>3</v>
      </c>
      <c r="D1703" t="s">
        <v>4570</v>
      </c>
      <c r="E1703">
        <v>5</v>
      </c>
      <c r="F1703">
        <v>3</v>
      </c>
      <c r="G1703">
        <v>3</v>
      </c>
      <c r="H1703" t="s">
        <v>4571</v>
      </c>
      <c r="I1703">
        <v>19.100000000000001</v>
      </c>
      <c r="J1703">
        <v>38.274000000000001</v>
      </c>
      <c r="K1703" t="str">
        <f>"MAPK3"</f>
        <v>MAPK3</v>
      </c>
      <c r="L1703" t="str">
        <f>"MAPK3"</f>
        <v>MAPK3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</row>
    <row r="1704" spans="1:24">
      <c r="A1704">
        <v>870</v>
      </c>
      <c r="B1704" t="s">
        <v>4572</v>
      </c>
      <c r="C1704">
        <v>2</v>
      </c>
      <c r="D1704" t="s">
        <v>4573</v>
      </c>
      <c r="E1704">
        <v>6</v>
      </c>
      <c r="F1704">
        <v>6</v>
      </c>
      <c r="G1704">
        <v>6</v>
      </c>
      <c r="H1704" t="s">
        <v>4574</v>
      </c>
      <c r="I1704">
        <v>17.100000000000001</v>
      </c>
      <c r="J1704">
        <v>35.204999999999998</v>
      </c>
      <c r="K1704" t="str">
        <f>"CTGF"</f>
        <v>CTGF</v>
      </c>
      <c r="L1704" t="str">
        <f>"CTGF"</f>
        <v>CTGF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>
      <c r="A1705">
        <v>931</v>
      </c>
      <c r="B1705" t="s">
        <v>4575</v>
      </c>
      <c r="C1705">
        <v>1</v>
      </c>
      <c r="D1705" t="s">
        <v>4576</v>
      </c>
      <c r="E1705">
        <v>16</v>
      </c>
      <c r="F1705">
        <v>1</v>
      </c>
      <c r="G1705">
        <v>1</v>
      </c>
      <c r="H1705" t="s">
        <v>4575</v>
      </c>
      <c r="I1705">
        <v>58.1</v>
      </c>
      <c r="J1705">
        <v>28.082000000000001</v>
      </c>
      <c r="K1705" t="str">
        <f>"YWHAB"</f>
        <v>YWHAB</v>
      </c>
      <c r="L1705" t="str">
        <f>"YWHAB"</f>
        <v>YWHAB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2784400</v>
      </c>
    </row>
    <row r="1706" spans="1:24">
      <c r="A1706">
        <v>961</v>
      </c>
      <c r="B1706" t="s">
        <v>4577</v>
      </c>
      <c r="C1706">
        <v>3</v>
      </c>
      <c r="D1706" t="s">
        <v>4578</v>
      </c>
      <c r="E1706">
        <v>8</v>
      </c>
      <c r="F1706">
        <v>8</v>
      </c>
      <c r="G1706">
        <v>8</v>
      </c>
      <c r="H1706" t="s">
        <v>4579</v>
      </c>
      <c r="I1706">
        <v>7.5</v>
      </c>
      <c r="J1706">
        <v>174.76</v>
      </c>
      <c r="K1706" t="str">
        <f>"AGL"</f>
        <v>AGL</v>
      </c>
      <c r="L1706" t="str">
        <f>"AGL"</f>
        <v>AGL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</row>
    <row r="1707" spans="1:24">
      <c r="A1707">
        <v>1011</v>
      </c>
      <c r="B1707" t="s">
        <v>4580</v>
      </c>
      <c r="C1707">
        <v>2</v>
      </c>
      <c r="D1707" t="s">
        <v>4581</v>
      </c>
      <c r="E1707">
        <v>2</v>
      </c>
      <c r="F1707">
        <v>2</v>
      </c>
      <c r="G1707">
        <v>2</v>
      </c>
      <c r="H1707" t="s">
        <v>4582</v>
      </c>
      <c r="I1707">
        <v>13.2</v>
      </c>
      <c r="J1707">
        <v>26.457999999999998</v>
      </c>
      <c r="K1707" t="str">
        <f>"NAA10"</f>
        <v>NAA10</v>
      </c>
      <c r="L1707" t="str">
        <f>"NAA10"</f>
        <v>NAA10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</row>
    <row r="1708" spans="1:24">
      <c r="A1708">
        <v>1097</v>
      </c>
      <c r="B1708" t="s">
        <v>4583</v>
      </c>
      <c r="C1708">
        <v>3</v>
      </c>
      <c r="D1708" t="s">
        <v>4584</v>
      </c>
      <c r="E1708">
        <v>3</v>
      </c>
      <c r="F1708">
        <v>3</v>
      </c>
      <c r="G1708">
        <v>2</v>
      </c>
      <c r="H1708" t="s">
        <v>4585</v>
      </c>
      <c r="I1708">
        <v>5.5</v>
      </c>
      <c r="J1708">
        <v>77.212999999999994</v>
      </c>
      <c r="K1708" t="str">
        <f>"COMP"</f>
        <v>COMP</v>
      </c>
      <c r="L1708" t="str">
        <f>"COMP"</f>
        <v>COMP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</row>
    <row r="1709" spans="1:24">
      <c r="A1709">
        <v>1353</v>
      </c>
      <c r="B1709" t="s">
        <v>4586</v>
      </c>
      <c r="C1709">
        <v>2</v>
      </c>
      <c r="D1709" t="s">
        <v>4587</v>
      </c>
      <c r="E1709">
        <v>3</v>
      </c>
      <c r="F1709">
        <v>3</v>
      </c>
      <c r="G1709">
        <v>3</v>
      </c>
      <c r="H1709" t="s">
        <v>4588</v>
      </c>
      <c r="I1709">
        <v>9.8000000000000007</v>
      </c>
      <c r="J1709">
        <v>56.226999999999997</v>
      </c>
      <c r="K1709" t="str">
        <f>"ALDH6A1"</f>
        <v>ALDH6A1</v>
      </c>
      <c r="L1709" t="str">
        <f>"ALDH6A1"</f>
        <v>ALDH6A1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</row>
    <row r="1710" spans="1:24">
      <c r="A1710">
        <v>1456</v>
      </c>
      <c r="B1710" t="s">
        <v>4589</v>
      </c>
      <c r="C1710">
        <v>4</v>
      </c>
      <c r="D1710" t="s">
        <v>4590</v>
      </c>
      <c r="E1710">
        <v>4</v>
      </c>
      <c r="F1710">
        <v>4</v>
      </c>
      <c r="G1710">
        <v>4</v>
      </c>
      <c r="H1710" t="s">
        <v>4591</v>
      </c>
      <c r="I1710">
        <v>10.3</v>
      </c>
      <c r="J1710">
        <v>50.624000000000002</v>
      </c>
      <c r="K1710" t="str">
        <f>"NAE1"</f>
        <v>NAE1</v>
      </c>
      <c r="L1710" t="str">
        <f>"NAE1"</f>
        <v>NAE1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58235000</v>
      </c>
    </row>
    <row r="1711" spans="1:24">
      <c r="A1711">
        <v>1482</v>
      </c>
      <c r="B1711" t="s">
        <v>4592</v>
      </c>
      <c r="C1711">
        <v>2</v>
      </c>
      <c r="D1711" t="s">
        <v>4593</v>
      </c>
      <c r="E1711">
        <v>8</v>
      </c>
      <c r="F1711">
        <v>8</v>
      </c>
      <c r="G1711">
        <v>8</v>
      </c>
      <c r="H1711" t="s">
        <v>4594</v>
      </c>
      <c r="I1711">
        <v>6.8</v>
      </c>
      <c r="J1711">
        <v>162.63</v>
      </c>
      <c r="K1711" t="str">
        <f>"EIF3A"</f>
        <v>EIF3A</v>
      </c>
      <c r="L1711" t="str">
        <f>"EIF3A"</f>
        <v>EIF3A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</row>
    <row r="1712" spans="1:24">
      <c r="A1712">
        <v>1566</v>
      </c>
      <c r="B1712" t="s">
        <v>4595</v>
      </c>
      <c r="C1712">
        <v>5</v>
      </c>
      <c r="D1712" t="s">
        <v>4596</v>
      </c>
      <c r="E1712">
        <v>5</v>
      </c>
      <c r="F1712">
        <v>5</v>
      </c>
      <c r="G1712">
        <v>5</v>
      </c>
      <c r="H1712" t="s">
        <v>4597</v>
      </c>
      <c r="I1712">
        <v>14.3</v>
      </c>
      <c r="J1712">
        <v>52.698999999999998</v>
      </c>
      <c r="K1712" t="str">
        <f>"TRIP10"</f>
        <v>TRIP10</v>
      </c>
      <c r="L1712" t="str">
        <f>"TRIP10"</f>
        <v>TRIP10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</row>
    <row r="1713" spans="1:24">
      <c r="A1713">
        <v>1597</v>
      </c>
      <c r="B1713" t="s">
        <v>4598</v>
      </c>
      <c r="C1713">
        <v>3</v>
      </c>
      <c r="D1713" t="s">
        <v>4599</v>
      </c>
      <c r="E1713">
        <v>1</v>
      </c>
      <c r="F1713">
        <v>1</v>
      </c>
      <c r="G1713">
        <v>1</v>
      </c>
      <c r="H1713" t="s">
        <v>4600</v>
      </c>
      <c r="I1713">
        <v>11.2</v>
      </c>
      <c r="J1713">
        <v>21.725000000000001</v>
      </c>
      <c r="K1713" t="str">
        <f>"GUK1"</f>
        <v>GUK1</v>
      </c>
      <c r="L1713" t="str">
        <f>"GUK1"</f>
        <v>GUK1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35434000</v>
      </c>
    </row>
    <row r="1714" spans="1:24">
      <c r="A1714">
        <v>1610</v>
      </c>
      <c r="B1714" t="s">
        <v>4601</v>
      </c>
      <c r="C1714">
        <v>1</v>
      </c>
      <c r="D1714" t="s">
        <v>4602</v>
      </c>
      <c r="E1714">
        <v>1</v>
      </c>
      <c r="F1714">
        <v>1</v>
      </c>
      <c r="G1714">
        <v>1</v>
      </c>
      <c r="H1714" t="s">
        <v>4601</v>
      </c>
      <c r="I1714">
        <v>2.2000000000000002</v>
      </c>
      <c r="J1714">
        <v>55.65</v>
      </c>
      <c r="K1714" t="str">
        <f>"ALG11"</f>
        <v>ALG11</v>
      </c>
      <c r="L1714" t="str">
        <f>"ALG11"</f>
        <v>ALG11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8358400</v>
      </c>
    </row>
    <row r="1715" spans="1:24">
      <c r="A1715">
        <v>1626</v>
      </c>
      <c r="B1715" t="s">
        <v>4603</v>
      </c>
      <c r="C1715">
        <v>2</v>
      </c>
      <c r="D1715" t="s">
        <v>4604</v>
      </c>
      <c r="E1715">
        <v>4</v>
      </c>
      <c r="F1715">
        <v>4</v>
      </c>
      <c r="G1715">
        <v>4</v>
      </c>
      <c r="H1715" t="s">
        <v>4605</v>
      </c>
      <c r="I1715">
        <v>13.9</v>
      </c>
      <c r="J1715">
        <v>35.536000000000001</v>
      </c>
      <c r="K1715" t="str">
        <f>"TP53I3"</f>
        <v>TP53I3</v>
      </c>
      <c r="L1715" t="str">
        <f>"TP53I3"</f>
        <v>TP53I3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</row>
    <row r="1716" spans="1:24">
      <c r="A1716">
        <v>1656</v>
      </c>
      <c r="B1716" t="s">
        <v>4606</v>
      </c>
      <c r="C1716">
        <v>1</v>
      </c>
      <c r="D1716" t="s">
        <v>4607</v>
      </c>
      <c r="E1716">
        <v>3</v>
      </c>
      <c r="F1716">
        <v>3</v>
      </c>
      <c r="G1716">
        <v>3</v>
      </c>
      <c r="H1716" t="s">
        <v>4606</v>
      </c>
      <c r="I1716">
        <v>3.5</v>
      </c>
      <c r="J1716">
        <v>110.67</v>
      </c>
      <c r="K1716" t="str">
        <f>"PEAR1"</f>
        <v>PEAR1</v>
      </c>
      <c r="L1716" t="str">
        <f>"PEAR1"</f>
        <v>PEAR1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</row>
    <row r="1717" spans="1:24">
      <c r="A1717">
        <v>1658</v>
      </c>
      <c r="B1717" t="s">
        <v>4608</v>
      </c>
      <c r="C1717">
        <v>4</v>
      </c>
      <c r="D1717" t="s">
        <v>4609</v>
      </c>
      <c r="E1717">
        <v>6</v>
      </c>
      <c r="F1717">
        <v>6</v>
      </c>
      <c r="G1717">
        <v>6</v>
      </c>
      <c r="H1717" t="s">
        <v>4610</v>
      </c>
      <c r="I1717">
        <v>7.2</v>
      </c>
      <c r="J1717">
        <v>147.09</v>
      </c>
      <c r="K1717" t="str">
        <f>"LRRC16A"</f>
        <v>LRRC16A</v>
      </c>
      <c r="L1717" t="str">
        <f>"LRRC16A"</f>
        <v>LRRC16A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</row>
    <row r="1718" spans="1:24">
      <c r="A1718">
        <v>1707</v>
      </c>
      <c r="B1718" t="s">
        <v>4611</v>
      </c>
      <c r="C1718">
        <v>4</v>
      </c>
      <c r="D1718" t="s">
        <v>4612</v>
      </c>
      <c r="E1718">
        <v>7</v>
      </c>
      <c r="F1718">
        <v>6</v>
      </c>
      <c r="G1718">
        <v>6</v>
      </c>
      <c r="H1718" t="s">
        <v>4613</v>
      </c>
      <c r="I1718">
        <v>2.8</v>
      </c>
      <c r="J1718">
        <v>403.08</v>
      </c>
      <c r="K1718" t="str">
        <f>"VPS13C"</f>
        <v>VPS13C</v>
      </c>
      <c r="L1718" t="str">
        <f>"VPS13C"</f>
        <v>VPS13C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53294000</v>
      </c>
      <c r="U1718">
        <v>0</v>
      </c>
      <c r="V1718">
        <v>0</v>
      </c>
      <c r="W1718">
        <v>0</v>
      </c>
      <c r="X1718">
        <v>0</v>
      </c>
    </row>
    <row r="1719" spans="1:24">
      <c r="A1719">
        <v>1783</v>
      </c>
      <c r="B1719" t="s">
        <v>4614</v>
      </c>
      <c r="C1719">
        <v>3</v>
      </c>
      <c r="D1719" t="s">
        <v>4615</v>
      </c>
      <c r="E1719">
        <v>2</v>
      </c>
      <c r="F1719">
        <v>2</v>
      </c>
      <c r="G1719">
        <v>2</v>
      </c>
      <c r="H1719" t="s">
        <v>4616</v>
      </c>
      <c r="I1719">
        <v>3.8</v>
      </c>
      <c r="J1719">
        <v>51.459000000000003</v>
      </c>
      <c r="K1719" t="str">
        <f>"GHDC"</f>
        <v>GHDC</v>
      </c>
      <c r="L1719" t="str">
        <f>"GHDC"</f>
        <v>GHDC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</row>
    <row r="1720" spans="1:24">
      <c r="A1720">
        <v>1809</v>
      </c>
      <c r="B1720" t="s">
        <v>4617</v>
      </c>
      <c r="C1720">
        <v>1</v>
      </c>
      <c r="D1720" t="s">
        <v>4618</v>
      </c>
      <c r="E1720">
        <v>2</v>
      </c>
      <c r="F1720">
        <v>2</v>
      </c>
      <c r="G1720">
        <v>2</v>
      </c>
      <c r="H1720" t="s">
        <v>4617</v>
      </c>
      <c r="I1720">
        <v>6.5</v>
      </c>
      <c r="J1720">
        <v>49.481000000000002</v>
      </c>
      <c r="K1720" t="str">
        <f>"C3orf58"</f>
        <v>C3orf58</v>
      </c>
      <c r="L1720" t="str">
        <f>"C3orf58"</f>
        <v>C3orf58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</row>
    <row r="1721" spans="1:24">
      <c r="A1721">
        <v>1836</v>
      </c>
      <c r="B1721" t="s">
        <v>4619</v>
      </c>
      <c r="C1721">
        <v>11</v>
      </c>
      <c r="D1721" t="s">
        <v>4620</v>
      </c>
      <c r="E1721">
        <v>4</v>
      </c>
      <c r="F1721">
        <v>4</v>
      </c>
      <c r="G1721">
        <v>4</v>
      </c>
      <c r="H1721" t="s">
        <v>4621</v>
      </c>
      <c r="I1721">
        <v>6.3</v>
      </c>
      <c r="J1721">
        <v>108.54</v>
      </c>
      <c r="K1721" t="str">
        <f>"PARD3"</f>
        <v>PARD3</v>
      </c>
      <c r="L1721" t="str">
        <f>"PARD3"</f>
        <v>PARD3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</row>
    <row r="1722" spans="1:24">
      <c r="A1722">
        <v>1858</v>
      </c>
      <c r="B1722" t="s">
        <v>4622</v>
      </c>
      <c r="C1722">
        <v>1</v>
      </c>
      <c r="D1722" t="s">
        <v>4623</v>
      </c>
      <c r="E1722">
        <v>1</v>
      </c>
      <c r="F1722">
        <v>1</v>
      </c>
      <c r="G1722">
        <v>1</v>
      </c>
      <c r="H1722" t="s">
        <v>4622</v>
      </c>
      <c r="I1722">
        <v>5.5</v>
      </c>
      <c r="J1722">
        <v>29.815999999999999</v>
      </c>
      <c r="K1722" t="str">
        <f>"PSMF1"</f>
        <v>PSMF1</v>
      </c>
      <c r="L1722" t="str">
        <f>"PSMF1"</f>
        <v>PSMF1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49286000</v>
      </c>
      <c r="U1722">
        <v>0</v>
      </c>
      <c r="V1722">
        <v>0</v>
      </c>
      <c r="W1722">
        <v>0</v>
      </c>
      <c r="X1722">
        <v>0</v>
      </c>
    </row>
    <row r="1723" spans="1:24">
      <c r="A1723">
        <v>1896</v>
      </c>
      <c r="B1723" t="s">
        <v>4624</v>
      </c>
      <c r="C1723">
        <v>2</v>
      </c>
      <c r="D1723" t="s">
        <v>4625</v>
      </c>
      <c r="E1723">
        <v>1</v>
      </c>
      <c r="F1723">
        <v>1</v>
      </c>
      <c r="G1723">
        <v>1</v>
      </c>
      <c r="H1723" t="s">
        <v>4626</v>
      </c>
      <c r="I1723">
        <v>5.6</v>
      </c>
      <c r="J1723">
        <v>22.047000000000001</v>
      </c>
      <c r="K1723" t="str">
        <f>"SCAMP4"</f>
        <v>SCAMP4</v>
      </c>
      <c r="L1723" t="str">
        <f>"SCAMP4"</f>
        <v>SCAMP4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38212000</v>
      </c>
      <c r="U1723">
        <v>0</v>
      </c>
      <c r="V1723">
        <v>0</v>
      </c>
      <c r="W1723">
        <v>0</v>
      </c>
      <c r="X1723">
        <v>0</v>
      </c>
    </row>
    <row r="1724" spans="1:24">
      <c r="A1724">
        <v>1940</v>
      </c>
      <c r="B1724" t="s">
        <v>4627</v>
      </c>
      <c r="C1724">
        <v>2</v>
      </c>
      <c r="D1724" t="s">
        <v>4628</v>
      </c>
      <c r="E1724">
        <v>2</v>
      </c>
      <c r="F1724">
        <v>2</v>
      </c>
      <c r="G1724">
        <v>2</v>
      </c>
      <c r="H1724" t="s">
        <v>4629</v>
      </c>
      <c r="I1724">
        <v>4.5</v>
      </c>
      <c r="J1724">
        <v>46.290999999999997</v>
      </c>
      <c r="K1724" t="str">
        <f>"GMPPA"</f>
        <v>GMPPA</v>
      </c>
      <c r="L1724" t="str">
        <f>"GMPPA"</f>
        <v>GMPPA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</row>
    <row r="1725" spans="1:24">
      <c r="A1725">
        <v>1966</v>
      </c>
      <c r="B1725" t="s">
        <v>4630</v>
      </c>
      <c r="C1725">
        <v>2</v>
      </c>
      <c r="D1725" t="s">
        <v>4631</v>
      </c>
      <c r="E1725">
        <v>2</v>
      </c>
      <c r="F1725">
        <v>2</v>
      </c>
      <c r="G1725">
        <v>2</v>
      </c>
      <c r="H1725" t="s">
        <v>4632</v>
      </c>
      <c r="I1725">
        <v>6.2</v>
      </c>
      <c r="J1725">
        <v>47.634</v>
      </c>
      <c r="K1725" t="str">
        <f>"PANX1"</f>
        <v>PANX1</v>
      </c>
      <c r="L1725" t="str">
        <f>"PANX1"</f>
        <v>PANX1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</row>
    <row r="1726" spans="1:24">
      <c r="A1726">
        <v>1975</v>
      </c>
      <c r="B1726" t="s">
        <v>4633</v>
      </c>
      <c r="C1726">
        <v>5</v>
      </c>
      <c r="D1726" t="s">
        <v>4634</v>
      </c>
      <c r="E1726">
        <v>4</v>
      </c>
      <c r="F1726">
        <v>4</v>
      </c>
      <c r="G1726">
        <v>4</v>
      </c>
      <c r="H1726" t="s">
        <v>4635</v>
      </c>
      <c r="I1726">
        <v>5.3</v>
      </c>
      <c r="J1726">
        <v>113.29</v>
      </c>
      <c r="K1726" t="str">
        <f>"MMS19"</f>
        <v>MMS19</v>
      </c>
      <c r="L1726" t="str">
        <f>"MMS19"</f>
        <v>MMS19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</row>
    <row r="1727" spans="1:24">
      <c r="A1727">
        <v>1987</v>
      </c>
      <c r="B1727" t="s">
        <v>4636</v>
      </c>
      <c r="C1727">
        <v>3</v>
      </c>
      <c r="D1727" t="s">
        <v>4637</v>
      </c>
      <c r="E1727">
        <v>4</v>
      </c>
      <c r="F1727">
        <v>4</v>
      </c>
      <c r="G1727">
        <v>4</v>
      </c>
      <c r="H1727" t="s">
        <v>4638</v>
      </c>
      <c r="I1727">
        <v>24.3</v>
      </c>
      <c r="J1727">
        <v>28.341000000000001</v>
      </c>
      <c r="K1727" t="str">
        <f>"VAT1"</f>
        <v>VAT1</v>
      </c>
      <c r="L1727" t="str">
        <f>"VAT1"</f>
        <v>VAT1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18961000</v>
      </c>
      <c r="W1727">
        <v>0</v>
      </c>
      <c r="X1727">
        <v>0</v>
      </c>
    </row>
    <row r="1728" spans="1:24">
      <c r="A1728">
        <v>2024</v>
      </c>
      <c r="B1728" t="s">
        <v>4639</v>
      </c>
      <c r="C1728">
        <v>1</v>
      </c>
      <c r="D1728" t="s">
        <v>4640</v>
      </c>
      <c r="E1728">
        <v>3</v>
      </c>
      <c r="F1728">
        <v>3</v>
      </c>
      <c r="G1728">
        <v>3</v>
      </c>
      <c r="H1728" t="s">
        <v>4639</v>
      </c>
      <c r="I1728">
        <v>16.2</v>
      </c>
      <c r="J1728">
        <v>30.748000000000001</v>
      </c>
      <c r="K1728" t="str">
        <f>"CNPY3"</f>
        <v>CNPY3</v>
      </c>
      <c r="L1728" t="str">
        <f>"CNPY3"</f>
        <v>CNPY3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</row>
    <row r="1729" spans="1:24">
      <c r="A1729">
        <v>2045</v>
      </c>
      <c r="B1729" t="s">
        <v>4641</v>
      </c>
      <c r="C1729">
        <v>7</v>
      </c>
      <c r="D1729" t="s">
        <v>4642</v>
      </c>
      <c r="E1729">
        <v>5</v>
      </c>
      <c r="F1729">
        <v>5</v>
      </c>
      <c r="G1729">
        <v>5</v>
      </c>
      <c r="H1729" t="s">
        <v>4643</v>
      </c>
      <c r="I1729">
        <v>6.2</v>
      </c>
      <c r="J1729">
        <v>101.27</v>
      </c>
      <c r="K1729" t="str">
        <f>"NAA15;NAA16"</f>
        <v>NAA15;NAA16</v>
      </c>
      <c r="L1729" t="str">
        <f>"NAA15;NAA16"</f>
        <v>NAA15;NAA16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</row>
    <row r="1730" spans="1:24">
      <c r="A1730">
        <v>2057</v>
      </c>
      <c r="B1730" t="s">
        <v>4644</v>
      </c>
      <c r="C1730">
        <v>5</v>
      </c>
      <c r="D1730" t="s">
        <v>4645</v>
      </c>
      <c r="E1730">
        <v>2</v>
      </c>
      <c r="F1730">
        <v>2</v>
      </c>
      <c r="G1730">
        <v>2</v>
      </c>
      <c r="H1730" t="s">
        <v>4646</v>
      </c>
      <c r="I1730">
        <v>3.5</v>
      </c>
      <c r="J1730">
        <v>77.168000000000006</v>
      </c>
      <c r="K1730" t="str">
        <f>"PPP1R12C"</f>
        <v>PPP1R12C</v>
      </c>
      <c r="L1730" t="str">
        <f>"PPP1R12C"</f>
        <v>PPP1R12C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</row>
    <row r="1731" spans="1:24">
      <c r="A1731">
        <v>2135</v>
      </c>
      <c r="B1731" t="s">
        <v>4647</v>
      </c>
      <c r="C1731">
        <v>2</v>
      </c>
      <c r="D1731" t="s">
        <v>4648</v>
      </c>
      <c r="E1731">
        <v>4</v>
      </c>
      <c r="F1731">
        <v>4</v>
      </c>
      <c r="G1731">
        <v>4</v>
      </c>
      <c r="H1731" t="s">
        <v>4649</v>
      </c>
      <c r="I1731">
        <v>7.7</v>
      </c>
      <c r="J1731">
        <v>88.597999999999999</v>
      </c>
      <c r="K1731" t="str">
        <f>"ABCB6"</f>
        <v>ABCB6</v>
      </c>
      <c r="L1731" t="str">
        <f>"ABCB6"</f>
        <v>ABCB6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</row>
    <row r="1732" spans="1:24">
      <c r="A1732">
        <v>2167</v>
      </c>
      <c r="B1732" t="s">
        <v>4650</v>
      </c>
      <c r="C1732">
        <v>1</v>
      </c>
      <c r="D1732" t="s">
        <v>4651</v>
      </c>
      <c r="E1732">
        <v>2</v>
      </c>
      <c r="F1732">
        <v>2</v>
      </c>
      <c r="G1732">
        <v>2</v>
      </c>
      <c r="H1732" t="s">
        <v>4650</v>
      </c>
      <c r="I1732">
        <v>6</v>
      </c>
      <c r="J1732">
        <v>50.853999999999999</v>
      </c>
      <c r="K1732" t="str">
        <f>"LANCL2"</f>
        <v>LANCL2</v>
      </c>
      <c r="L1732" t="str">
        <f>"LANCL2"</f>
        <v>LANCL2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26393000</v>
      </c>
      <c r="X1732">
        <v>0</v>
      </c>
    </row>
    <row r="1733" spans="1:24">
      <c r="A1733">
        <v>2309</v>
      </c>
      <c r="B1733" t="s">
        <v>4652</v>
      </c>
      <c r="C1733">
        <v>2</v>
      </c>
      <c r="D1733" t="s">
        <v>4653</v>
      </c>
      <c r="E1733">
        <v>7</v>
      </c>
      <c r="F1733">
        <v>7</v>
      </c>
      <c r="G1733">
        <v>7</v>
      </c>
      <c r="H1733" t="s">
        <v>4654</v>
      </c>
      <c r="I1733">
        <v>19.899999999999999</v>
      </c>
      <c r="J1733">
        <v>51.155999999999999</v>
      </c>
      <c r="K1733" t="str">
        <f>"RUVBL2"</f>
        <v>RUVBL2</v>
      </c>
      <c r="L1733" t="str">
        <f>"RUVBL2"</f>
        <v>RUVBL2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48229000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</row>
    <row r="1734" spans="1:24">
      <c r="A1734">
        <v>2310</v>
      </c>
      <c r="B1734" t="s">
        <v>4655</v>
      </c>
      <c r="C1734">
        <v>1</v>
      </c>
      <c r="D1734" t="s">
        <v>4656</v>
      </c>
      <c r="E1734">
        <v>2</v>
      </c>
      <c r="F1734">
        <v>2</v>
      </c>
      <c r="G1734">
        <v>2</v>
      </c>
      <c r="H1734" t="s">
        <v>4655</v>
      </c>
      <c r="I1734">
        <v>6.8</v>
      </c>
      <c r="J1734">
        <v>35.694000000000003</v>
      </c>
      <c r="K1734" t="str">
        <f>"CLEC11A"</f>
        <v>CLEC11A</v>
      </c>
      <c r="L1734" t="str">
        <f>"CLEC11A"</f>
        <v>CLEC11A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</row>
    <row r="1735" spans="1:24">
      <c r="A1735">
        <v>2319</v>
      </c>
      <c r="B1735" t="s">
        <v>4657</v>
      </c>
      <c r="C1735">
        <v>2</v>
      </c>
      <c r="D1735" t="s">
        <v>4658</v>
      </c>
      <c r="E1735">
        <v>5</v>
      </c>
      <c r="F1735">
        <v>1</v>
      </c>
      <c r="G1735">
        <v>1</v>
      </c>
      <c r="H1735" t="s">
        <v>4659</v>
      </c>
      <c r="I1735">
        <v>33.6</v>
      </c>
      <c r="J1735">
        <v>16.916</v>
      </c>
      <c r="K1735" t="str">
        <f>"CFL2"</f>
        <v>CFL2</v>
      </c>
      <c r="L1735" t="str">
        <f>"CFL2"</f>
        <v>CFL2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41037000</v>
      </c>
    </row>
    <row r="1736" spans="1:24">
      <c r="A1736">
        <v>2324</v>
      </c>
      <c r="B1736" t="s">
        <v>4660</v>
      </c>
      <c r="C1736">
        <v>2</v>
      </c>
      <c r="D1736" t="s">
        <v>4661</v>
      </c>
      <c r="E1736">
        <v>2</v>
      </c>
      <c r="F1736">
        <v>2</v>
      </c>
      <c r="G1736">
        <v>2</v>
      </c>
      <c r="H1736" t="s">
        <v>4662</v>
      </c>
      <c r="I1736">
        <v>1</v>
      </c>
      <c r="J1736">
        <v>237.13</v>
      </c>
      <c r="K1736" t="str">
        <f>"PIKFYVE"</f>
        <v>PIKFYVE</v>
      </c>
      <c r="L1736" t="str">
        <f>"PIKFYVE"</f>
        <v>PIKFYVE</v>
      </c>
      <c r="M1736">
        <v>0</v>
      </c>
      <c r="N1736">
        <v>0</v>
      </c>
      <c r="O1736">
        <v>0</v>
      </c>
      <c r="P1736">
        <v>0</v>
      </c>
      <c r="Q1736">
        <v>76546000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</row>
    <row r="1737" spans="1:24">
      <c r="A1737">
        <v>2370</v>
      </c>
      <c r="B1737" t="s">
        <v>4663</v>
      </c>
      <c r="C1737">
        <v>1</v>
      </c>
      <c r="D1737" t="s">
        <v>4664</v>
      </c>
      <c r="E1737">
        <v>5</v>
      </c>
      <c r="F1737">
        <v>5</v>
      </c>
      <c r="G1737">
        <v>5</v>
      </c>
      <c r="H1737" t="s">
        <v>4663</v>
      </c>
      <c r="I1737">
        <v>15.6</v>
      </c>
      <c r="J1737">
        <v>46.816000000000003</v>
      </c>
      <c r="K1737" t="str">
        <f>"SNX5"</f>
        <v>SNX5</v>
      </c>
      <c r="L1737" t="str">
        <f>"SNX5"</f>
        <v>SNX5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</row>
    <row r="1738" spans="1:24">
      <c r="A1738">
        <v>98</v>
      </c>
      <c r="B1738" t="s">
        <v>4665</v>
      </c>
      <c r="C1738">
        <v>2</v>
      </c>
      <c r="D1738" t="s">
        <v>4666</v>
      </c>
      <c r="E1738">
        <v>4</v>
      </c>
      <c r="F1738">
        <v>4</v>
      </c>
      <c r="G1738">
        <v>4</v>
      </c>
      <c r="H1738" t="s">
        <v>4667</v>
      </c>
      <c r="I1738">
        <v>21</v>
      </c>
      <c r="J1738">
        <v>38.286999999999999</v>
      </c>
      <c r="K1738" t="str">
        <f>"SCAMP3"</f>
        <v>SCAMP3</v>
      </c>
      <c r="L1738" t="str">
        <f>"SCAMP3"</f>
        <v>SCAMP3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</row>
    <row r="1739" spans="1:24">
      <c r="A1739">
        <v>131</v>
      </c>
      <c r="B1739" t="s">
        <v>4668</v>
      </c>
      <c r="C1739">
        <v>1</v>
      </c>
      <c r="D1739" t="s">
        <v>4669</v>
      </c>
      <c r="E1739">
        <v>4</v>
      </c>
      <c r="F1739">
        <v>4</v>
      </c>
      <c r="G1739">
        <v>4</v>
      </c>
      <c r="H1739" t="s">
        <v>4668</v>
      </c>
      <c r="I1739">
        <v>20.2</v>
      </c>
      <c r="J1739">
        <v>39.93</v>
      </c>
      <c r="K1739" t="str">
        <f>"EIF3H"</f>
        <v>EIF3H</v>
      </c>
      <c r="L1739" t="str">
        <f>"EIF3H"</f>
        <v>EIF3H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</row>
    <row r="1740" spans="1:24">
      <c r="A1740">
        <v>225</v>
      </c>
      <c r="B1740" t="s">
        <v>4670</v>
      </c>
      <c r="C1740">
        <v>2</v>
      </c>
      <c r="D1740" t="s">
        <v>4671</v>
      </c>
      <c r="E1740">
        <v>2</v>
      </c>
      <c r="F1740">
        <v>2</v>
      </c>
      <c r="G1740">
        <v>2</v>
      </c>
      <c r="H1740" t="s">
        <v>4672</v>
      </c>
      <c r="I1740">
        <v>10.7</v>
      </c>
      <c r="J1740">
        <v>20.213999999999999</v>
      </c>
      <c r="K1740" t="str">
        <f>"TIPRL"</f>
        <v>TIPRL</v>
      </c>
      <c r="L1740" t="str">
        <f>"TIPRL"</f>
        <v>TIPRL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8591500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</row>
    <row r="1741" spans="1:24">
      <c r="A1741">
        <v>267</v>
      </c>
      <c r="B1741" t="s">
        <v>4673</v>
      </c>
      <c r="C1741">
        <v>2</v>
      </c>
      <c r="D1741" t="s">
        <v>4674</v>
      </c>
      <c r="E1741">
        <v>4</v>
      </c>
      <c r="F1741">
        <v>4</v>
      </c>
      <c r="G1741">
        <v>4</v>
      </c>
      <c r="H1741" t="s">
        <v>4675</v>
      </c>
      <c r="I1741">
        <v>19.100000000000001</v>
      </c>
      <c r="J1741">
        <v>32.338999999999999</v>
      </c>
      <c r="K1741" t="str">
        <f>"AHSA1"</f>
        <v>AHSA1</v>
      </c>
      <c r="L1741" t="str">
        <f>"AHSA1"</f>
        <v>AHSA1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</row>
    <row r="1742" spans="1:24">
      <c r="A1742">
        <v>347</v>
      </c>
      <c r="B1742" t="s">
        <v>4676</v>
      </c>
      <c r="C1742">
        <v>1</v>
      </c>
      <c r="D1742" t="s">
        <v>4677</v>
      </c>
      <c r="E1742">
        <v>2</v>
      </c>
      <c r="F1742">
        <v>2</v>
      </c>
      <c r="G1742">
        <v>2</v>
      </c>
      <c r="H1742" t="s">
        <v>4676</v>
      </c>
      <c r="I1742">
        <v>31.2</v>
      </c>
      <c r="J1742">
        <v>11.87</v>
      </c>
      <c r="K1742" t="s">
        <v>2773</v>
      </c>
      <c r="L1742" t="s">
        <v>2773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</row>
    <row r="1743" spans="1:24">
      <c r="A1743">
        <v>355</v>
      </c>
      <c r="B1743" t="s">
        <v>4678</v>
      </c>
      <c r="C1743">
        <v>1</v>
      </c>
      <c r="D1743" t="s">
        <v>4679</v>
      </c>
      <c r="E1743">
        <v>2</v>
      </c>
      <c r="F1743">
        <v>2</v>
      </c>
      <c r="G1743">
        <v>1</v>
      </c>
      <c r="H1743" t="s">
        <v>4678</v>
      </c>
      <c r="I1743">
        <v>24.8</v>
      </c>
      <c r="J1743">
        <v>11.922000000000001</v>
      </c>
      <c r="K1743" t="s">
        <v>4680</v>
      </c>
      <c r="L1743" t="s">
        <v>4680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</row>
    <row r="1744" spans="1:24">
      <c r="A1744">
        <v>357</v>
      </c>
      <c r="B1744" t="s">
        <v>4681</v>
      </c>
      <c r="C1744">
        <v>1</v>
      </c>
      <c r="D1744" t="s">
        <v>4682</v>
      </c>
      <c r="E1744">
        <v>1</v>
      </c>
      <c r="F1744">
        <v>1</v>
      </c>
      <c r="G1744">
        <v>1</v>
      </c>
      <c r="H1744" t="s">
        <v>4681</v>
      </c>
      <c r="I1744">
        <v>8.1</v>
      </c>
      <c r="J1744">
        <v>11.513999999999999</v>
      </c>
      <c r="K1744" t="s">
        <v>4683</v>
      </c>
      <c r="L1744" t="s">
        <v>4683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90971000</v>
      </c>
      <c r="X1744">
        <v>0</v>
      </c>
    </row>
    <row r="1745" spans="1:24">
      <c r="A1745">
        <v>440</v>
      </c>
      <c r="B1745" t="s">
        <v>4684</v>
      </c>
      <c r="C1745">
        <v>1</v>
      </c>
      <c r="D1745" t="s">
        <v>4685</v>
      </c>
      <c r="E1745">
        <v>2</v>
      </c>
      <c r="F1745">
        <v>2</v>
      </c>
      <c r="G1745">
        <v>2</v>
      </c>
      <c r="H1745" t="s">
        <v>4684</v>
      </c>
      <c r="I1745">
        <v>33.700000000000003</v>
      </c>
      <c r="J1745">
        <v>11.138999999999999</v>
      </c>
      <c r="K1745" t="str">
        <f>"CSTB"</f>
        <v>CSTB</v>
      </c>
      <c r="L1745" t="str">
        <f>"CSTB"</f>
        <v>CSTB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</row>
    <row r="1746" spans="1:24">
      <c r="A1746">
        <v>462</v>
      </c>
      <c r="B1746" t="s">
        <v>4686</v>
      </c>
      <c r="C1746">
        <v>1</v>
      </c>
      <c r="D1746" t="s">
        <v>4687</v>
      </c>
      <c r="E1746">
        <v>1</v>
      </c>
      <c r="F1746">
        <v>1</v>
      </c>
      <c r="G1746">
        <v>1</v>
      </c>
      <c r="H1746" t="s">
        <v>4686</v>
      </c>
      <c r="I1746">
        <v>14</v>
      </c>
      <c r="J1746">
        <v>14.069000000000001</v>
      </c>
      <c r="K1746" t="s">
        <v>2773</v>
      </c>
      <c r="L1746" t="s">
        <v>2773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</row>
    <row r="1747" spans="1:24">
      <c r="A1747">
        <v>760</v>
      </c>
      <c r="B1747" t="s">
        <v>4688</v>
      </c>
      <c r="C1747">
        <v>2</v>
      </c>
      <c r="D1747" t="s">
        <v>4689</v>
      </c>
      <c r="E1747">
        <v>4</v>
      </c>
      <c r="F1747">
        <v>1</v>
      </c>
      <c r="G1747">
        <v>1</v>
      </c>
      <c r="H1747" t="s">
        <v>4690</v>
      </c>
      <c r="I1747">
        <v>22.9</v>
      </c>
      <c r="J1747">
        <v>22.178000000000001</v>
      </c>
      <c r="K1747" t="str">
        <f>"RAB5A"</f>
        <v>RAB5A</v>
      </c>
      <c r="L1747" t="str">
        <f>"RAB5A"</f>
        <v>RAB5A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28018000</v>
      </c>
    </row>
    <row r="1748" spans="1:24">
      <c r="A1748">
        <v>766</v>
      </c>
      <c r="B1748" t="s">
        <v>4691</v>
      </c>
      <c r="C1748">
        <v>10</v>
      </c>
      <c r="D1748" t="s">
        <v>4692</v>
      </c>
      <c r="E1748">
        <v>1</v>
      </c>
      <c r="F1748">
        <v>1</v>
      </c>
      <c r="G1748">
        <v>1</v>
      </c>
      <c r="H1748" t="s">
        <v>4693</v>
      </c>
      <c r="I1748">
        <v>3.1</v>
      </c>
      <c r="J1748">
        <v>63.664999999999999</v>
      </c>
      <c r="K1748" t="str">
        <f>"CAST"</f>
        <v>CAST</v>
      </c>
      <c r="L1748" t="str">
        <f>"CAST"</f>
        <v>CAST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27046000</v>
      </c>
    </row>
    <row r="1749" spans="1:24">
      <c r="A1749">
        <v>855</v>
      </c>
      <c r="B1749" t="s">
        <v>4694</v>
      </c>
      <c r="C1749">
        <v>4</v>
      </c>
      <c r="D1749" t="s">
        <v>4695</v>
      </c>
      <c r="E1749">
        <v>6</v>
      </c>
      <c r="F1749">
        <v>6</v>
      </c>
      <c r="G1749">
        <v>6</v>
      </c>
      <c r="H1749" t="s">
        <v>4696</v>
      </c>
      <c r="I1749">
        <v>7.1</v>
      </c>
      <c r="J1749">
        <v>102.38</v>
      </c>
      <c r="K1749" t="str">
        <f>"ITPKB;ITPKA;ITPKC"</f>
        <v>ITPKB;ITPKA;ITPKC</v>
      </c>
      <c r="L1749" t="str">
        <f>"ITPKB;ITPKA;ITPKC"</f>
        <v>ITPKB;ITPKA;ITPKC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>
      <c r="A1750">
        <v>876</v>
      </c>
      <c r="B1750" t="s">
        <v>4697</v>
      </c>
      <c r="C1750">
        <v>3</v>
      </c>
      <c r="D1750" t="s">
        <v>4698</v>
      </c>
      <c r="E1750">
        <v>4</v>
      </c>
      <c r="F1750">
        <v>4</v>
      </c>
      <c r="G1750">
        <v>4</v>
      </c>
      <c r="H1750" t="s">
        <v>4699</v>
      </c>
      <c r="I1750">
        <v>10.5</v>
      </c>
      <c r="J1750">
        <v>56.042000000000002</v>
      </c>
      <c r="K1750" t="str">
        <f>"ALDH4A1"</f>
        <v>ALDH4A1</v>
      </c>
      <c r="L1750" t="str">
        <f>"ALDH4A1"</f>
        <v>ALDH4A1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31073000</v>
      </c>
    </row>
    <row r="1751" spans="1:24">
      <c r="A1751">
        <v>893</v>
      </c>
      <c r="B1751" t="s">
        <v>4700</v>
      </c>
      <c r="C1751">
        <v>2</v>
      </c>
      <c r="D1751" t="s">
        <v>4701</v>
      </c>
      <c r="E1751">
        <v>2</v>
      </c>
      <c r="F1751">
        <v>2</v>
      </c>
      <c r="G1751">
        <v>2</v>
      </c>
      <c r="H1751" t="s">
        <v>4702</v>
      </c>
      <c r="I1751">
        <v>5.5</v>
      </c>
      <c r="J1751">
        <v>48.14</v>
      </c>
      <c r="K1751" t="str">
        <f>"NMT1"</f>
        <v>NMT1</v>
      </c>
      <c r="L1751" t="str">
        <f>"NMT1"</f>
        <v>NMT1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</row>
    <row r="1752" spans="1:24">
      <c r="A1752">
        <v>923</v>
      </c>
      <c r="B1752" t="s">
        <v>4703</v>
      </c>
      <c r="C1752">
        <v>1</v>
      </c>
      <c r="D1752" t="s">
        <v>4704</v>
      </c>
      <c r="E1752">
        <v>1</v>
      </c>
      <c r="F1752">
        <v>1</v>
      </c>
      <c r="G1752">
        <v>1</v>
      </c>
      <c r="H1752" t="s">
        <v>4703</v>
      </c>
      <c r="I1752">
        <v>3.3</v>
      </c>
      <c r="J1752">
        <v>45.16</v>
      </c>
      <c r="K1752" t="str">
        <f>"CASQ1"</f>
        <v>CASQ1</v>
      </c>
      <c r="L1752" t="str">
        <f>"CASQ1"</f>
        <v>CASQ1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697440000</v>
      </c>
    </row>
    <row r="1753" spans="1:24">
      <c r="A1753">
        <v>957</v>
      </c>
      <c r="B1753" t="s">
        <v>4705</v>
      </c>
      <c r="C1753">
        <v>1</v>
      </c>
      <c r="D1753" t="s">
        <v>4706</v>
      </c>
      <c r="E1753">
        <v>5</v>
      </c>
      <c r="F1753">
        <v>2</v>
      </c>
      <c r="G1753">
        <v>2</v>
      </c>
      <c r="H1753" t="s">
        <v>4705</v>
      </c>
      <c r="I1753">
        <v>4.4000000000000004</v>
      </c>
      <c r="J1753">
        <v>129.99</v>
      </c>
      <c r="K1753" t="str">
        <f>"THBS2"</f>
        <v>THBS2</v>
      </c>
      <c r="L1753" t="str">
        <f>"THBS2"</f>
        <v>THBS2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</row>
    <row r="1754" spans="1:24">
      <c r="A1754">
        <v>1000</v>
      </c>
      <c r="B1754" t="s">
        <v>4707</v>
      </c>
      <c r="C1754">
        <v>3</v>
      </c>
      <c r="D1754" t="s">
        <v>4708</v>
      </c>
      <c r="E1754">
        <v>2</v>
      </c>
      <c r="F1754">
        <v>2</v>
      </c>
      <c r="G1754">
        <v>2</v>
      </c>
      <c r="H1754" t="s">
        <v>4709</v>
      </c>
      <c r="I1754">
        <v>9.1</v>
      </c>
      <c r="J1754">
        <v>37.497999999999998</v>
      </c>
      <c r="K1754" t="str">
        <f>"IL6ST"</f>
        <v>IL6ST</v>
      </c>
      <c r="L1754" t="str">
        <f>"IL6ST"</f>
        <v>IL6ST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5690200</v>
      </c>
    </row>
    <row r="1755" spans="1:24">
      <c r="A1755">
        <v>1106</v>
      </c>
      <c r="B1755" t="s">
        <v>4710</v>
      </c>
      <c r="C1755">
        <v>1</v>
      </c>
      <c r="D1755" t="s">
        <v>4711</v>
      </c>
      <c r="E1755">
        <v>2</v>
      </c>
      <c r="F1755">
        <v>2</v>
      </c>
      <c r="G1755">
        <v>2</v>
      </c>
      <c r="H1755" t="s">
        <v>4710</v>
      </c>
      <c r="I1755">
        <v>12.9</v>
      </c>
      <c r="J1755">
        <v>19.300999999999998</v>
      </c>
      <c r="K1755" t="str">
        <f>"CAMP"</f>
        <v>CAMP</v>
      </c>
      <c r="L1755" t="str">
        <f>"CAMP"</f>
        <v>CAMP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</row>
    <row r="1756" spans="1:24">
      <c r="A1756">
        <v>1146</v>
      </c>
      <c r="B1756" t="s">
        <v>4712</v>
      </c>
      <c r="C1756">
        <v>2</v>
      </c>
      <c r="D1756" t="s">
        <v>4713</v>
      </c>
      <c r="E1756">
        <v>5</v>
      </c>
      <c r="F1756">
        <v>5</v>
      </c>
      <c r="G1756">
        <v>5</v>
      </c>
      <c r="H1756" t="s">
        <v>4714</v>
      </c>
      <c r="I1756">
        <v>25.1</v>
      </c>
      <c r="J1756">
        <v>39.594000000000001</v>
      </c>
      <c r="K1756" t="str">
        <f>"HNRNPA3"</f>
        <v>HNRNPA3</v>
      </c>
      <c r="L1756" t="str">
        <f>"HNRNPA3"</f>
        <v>HNRNPA3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78367000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</row>
    <row r="1757" spans="1:24">
      <c r="A1757">
        <v>1168</v>
      </c>
      <c r="B1757" t="s">
        <v>4715</v>
      </c>
      <c r="C1757">
        <v>2</v>
      </c>
      <c r="D1757" t="s">
        <v>4716</v>
      </c>
      <c r="E1757">
        <v>2</v>
      </c>
      <c r="F1757">
        <v>2</v>
      </c>
      <c r="G1757">
        <v>2</v>
      </c>
      <c r="H1757" t="s">
        <v>4717</v>
      </c>
      <c r="I1757">
        <v>10.6</v>
      </c>
      <c r="J1757">
        <v>17.018000000000001</v>
      </c>
      <c r="K1757" t="str">
        <f>"AP2S1"</f>
        <v>AP2S1</v>
      </c>
      <c r="L1757" t="str">
        <f>"AP2S1"</f>
        <v>AP2S1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36500000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</row>
    <row r="1758" spans="1:24">
      <c r="A1758">
        <v>1226</v>
      </c>
      <c r="B1758" t="s">
        <v>4718</v>
      </c>
      <c r="C1758">
        <v>1</v>
      </c>
      <c r="D1758" t="s">
        <v>4719</v>
      </c>
      <c r="E1758">
        <v>2</v>
      </c>
      <c r="F1758">
        <v>2</v>
      </c>
      <c r="G1758">
        <v>2</v>
      </c>
      <c r="H1758" t="s">
        <v>4718</v>
      </c>
      <c r="I1758">
        <v>11.7</v>
      </c>
      <c r="J1758">
        <v>20.312999999999999</v>
      </c>
      <c r="K1758" t="str">
        <f>"SPCS3"</f>
        <v>SPCS3</v>
      </c>
      <c r="L1758" t="str">
        <f>"SPCS3"</f>
        <v>SPCS3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24890000</v>
      </c>
      <c r="W1758">
        <v>0</v>
      </c>
      <c r="X1758">
        <v>0</v>
      </c>
    </row>
    <row r="1759" spans="1:24">
      <c r="A1759">
        <v>1229</v>
      </c>
      <c r="B1759" t="s">
        <v>4720</v>
      </c>
      <c r="C1759">
        <v>2</v>
      </c>
      <c r="D1759" t="s">
        <v>4721</v>
      </c>
      <c r="E1759">
        <v>6</v>
      </c>
      <c r="F1759">
        <v>3</v>
      </c>
      <c r="G1759">
        <v>3</v>
      </c>
      <c r="H1759" t="s">
        <v>4722</v>
      </c>
      <c r="I1759">
        <v>33.5</v>
      </c>
      <c r="J1759">
        <v>23.707000000000001</v>
      </c>
      <c r="K1759" t="str">
        <f>"RAB5B"</f>
        <v>RAB5B</v>
      </c>
      <c r="L1759" t="str">
        <f>"RAB5B"</f>
        <v>RAB5B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</row>
    <row r="1760" spans="1:24">
      <c r="A1760">
        <v>1329</v>
      </c>
      <c r="B1760" t="s">
        <v>4723</v>
      </c>
      <c r="C1760">
        <v>9</v>
      </c>
      <c r="D1760" t="s">
        <v>4724</v>
      </c>
      <c r="E1760">
        <v>4</v>
      </c>
      <c r="F1760">
        <v>4</v>
      </c>
      <c r="G1760">
        <v>4</v>
      </c>
      <c r="H1760" t="s">
        <v>4725</v>
      </c>
      <c r="I1760">
        <v>6.5</v>
      </c>
      <c r="J1760">
        <v>96.959000000000003</v>
      </c>
      <c r="K1760" t="str">
        <f>"ATP2C1"</f>
        <v>ATP2C1</v>
      </c>
      <c r="L1760" t="str">
        <f>"ATP2C1"</f>
        <v>ATP2C1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</row>
    <row r="1761" spans="1:24">
      <c r="A1761">
        <v>1489</v>
      </c>
      <c r="B1761" t="s">
        <v>4726</v>
      </c>
      <c r="C1761">
        <v>1</v>
      </c>
      <c r="D1761" t="s">
        <v>4727</v>
      </c>
      <c r="E1761">
        <v>3</v>
      </c>
      <c r="F1761">
        <v>3</v>
      </c>
      <c r="G1761">
        <v>3</v>
      </c>
      <c r="H1761" t="s">
        <v>4726</v>
      </c>
      <c r="I1761">
        <v>13.3</v>
      </c>
      <c r="J1761">
        <v>32.192999999999998</v>
      </c>
      <c r="K1761" t="str">
        <f>"FHL2"</f>
        <v>FHL2</v>
      </c>
      <c r="L1761" t="str">
        <f>"FHL2"</f>
        <v>FHL2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</row>
    <row r="1762" spans="1:24">
      <c r="A1762">
        <v>1548</v>
      </c>
      <c r="B1762" t="s">
        <v>4728</v>
      </c>
      <c r="C1762">
        <v>2</v>
      </c>
      <c r="D1762" t="s">
        <v>4729</v>
      </c>
      <c r="E1762">
        <v>4</v>
      </c>
      <c r="F1762">
        <v>4</v>
      </c>
      <c r="G1762">
        <v>4</v>
      </c>
      <c r="H1762" t="s">
        <v>4730</v>
      </c>
      <c r="I1762">
        <v>18.899999999999999</v>
      </c>
      <c r="J1762">
        <v>23.024999999999999</v>
      </c>
      <c r="K1762" t="str">
        <f>"RAB35"</f>
        <v>RAB35</v>
      </c>
      <c r="L1762" t="str">
        <f>"RAB35"</f>
        <v>RAB35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</row>
    <row r="1763" spans="1:24">
      <c r="A1763">
        <v>1572</v>
      </c>
      <c r="B1763" t="s">
        <v>4731</v>
      </c>
      <c r="C1763">
        <v>1</v>
      </c>
      <c r="D1763" t="s">
        <v>4732</v>
      </c>
      <c r="E1763">
        <v>1</v>
      </c>
      <c r="F1763">
        <v>1</v>
      </c>
      <c r="G1763">
        <v>1</v>
      </c>
      <c r="H1763" t="s">
        <v>4731</v>
      </c>
      <c r="I1763">
        <v>4.9000000000000004</v>
      </c>
      <c r="J1763">
        <v>34.558999999999997</v>
      </c>
      <c r="K1763" t="str">
        <f>"TOMM34"</f>
        <v>TOMM34</v>
      </c>
      <c r="L1763" t="str">
        <f>"TOMM34"</f>
        <v>TOMM34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</row>
    <row r="1764" spans="1:24">
      <c r="A1764">
        <v>1612</v>
      </c>
      <c r="B1764" t="s">
        <v>4733</v>
      </c>
      <c r="C1764">
        <v>4</v>
      </c>
      <c r="D1764" t="s">
        <v>4734</v>
      </c>
      <c r="E1764">
        <v>2</v>
      </c>
      <c r="F1764">
        <v>2</v>
      </c>
      <c r="G1764">
        <v>2</v>
      </c>
      <c r="H1764" t="s">
        <v>4735</v>
      </c>
      <c r="I1764">
        <v>4.4000000000000004</v>
      </c>
      <c r="J1764">
        <v>82.688000000000002</v>
      </c>
      <c r="K1764" t="str">
        <f>"LRRFIP1"</f>
        <v>LRRFIP1</v>
      </c>
      <c r="L1764" t="str">
        <f>"LRRFIP1"</f>
        <v>LRRFIP1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28519000</v>
      </c>
    </row>
    <row r="1765" spans="1:24">
      <c r="A1765">
        <v>1616</v>
      </c>
      <c r="B1765" t="s">
        <v>4736</v>
      </c>
      <c r="C1765">
        <v>2</v>
      </c>
      <c r="D1765" t="s">
        <v>4737</v>
      </c>
      <c r="E1765">
        <v>3</v>
      </c>
      <c r="F1765">
        <v>3</v>
      </c>
      <c r="G1765">
        <v>3</v>
      </c>
      <c r="H1765" t="s">
        <v>4738</v>
      </c>
      <c r="I1765">
        <v>8.8000000000000007</v>
      </c>
      <c r="J1765">
        <v>37.000999999999998</v>
      </c>
      <c r="K1765" t="str">
        <f>"HSDL1"</f>
        <v>HSDL1</v>
      </c>
      <c r="L1765" t="str">
        <f>"HSDL1"</f>
        <v>HSDL1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</row>
    <row r="1766" spans="1:24">
      <c r="A1766">
        <v>1639</v>
      </c>
      <c r="B1766" t="s">
        <v>4739</v>
      </c>
      <c r="C1766">
        <v>1</v>
      </c>
      <c r="D1766" t="s">
        <v>4740</v>
      </c>
      <c r="E1766">
        <v>2</v>
      </c>
      <c r="F1766">
        <v>2</v>
      </c>
      <c r="G1766">
        <v>2</v>
      </c>
      <c r="H1766" t="s">
        <v>4739</v>
      </c>
      <c r="I1766">
        <v>4.3</v>
      </c>
      <c r="J1766">
        <v>52.786999999999999</v>
      </c>
      <c r="K1766" t="str">
        <f>"TTC38"</f>
        <v>TTC38</v>
      </c>
      <c r="L1766" t="str">
        <f>"TTC38"</f>
        <v>TTC38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5701000</v>
      </c>
    </row>
    <row r="1767" spans="1:24">
      <c r="A1767">
        <v>1664</v>
      </c>
      <c r="B1767" t="s">
        <v>4741</v>
      </c>
      <c r="C1767">
        <v>3</v>
      </c>
      <c r="D1767" t="s">
        <v>4742</v>
      </c>
      <c r="E1767">
        <v>2</v>
      </c>
      <c r="F1767">
        <v>2</v>
      </c>
      <c r="G1767">
        <v>2</v>
      </c>
      <c r="H1767" t="s">
        <v>4743</v>
      </c>
      <c r="I1767">
        <v>3.6</v>
      </c>
      <c r="J1767">
        <v>100.2</v>
      </c>
      <c r="K1767" t="str">
        <f>"DENND2C"</f>
        <v>DENND2C</v>
      </c>
      <c r="L1767" t="str">
        <f>"DENND2C"</f>
        <v>DENND2C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17167000</v>
      </c>
    </row>
    <row r="1768" spans="1:24">
      <c r="A1768">
        <v>1671</v>
      </c>
      <c r="B1768" t="s">
        <v>4744</v>
      </c>
      <c r="C1768">
        <v>1</v>
      </c>
      <c r="D1768" t="s">
        <v>4745</v>
      </c>
      <c r="E1768">
        <v>4</v>
      </c>
      <c r="F1768">
        <v>4</v>
      </c>
      <c r="G1768">
        <v>4</v>
      </c>
      <c r="H1768" t="s">
        <v>4744</v>
      </c>
      <c r="I1768">
        <v>13.5</v>
      </c>
      <c r="J1768">
        <v>35.119</v>
      </c>
      <c r="K1768" t="str">
        <f>"DHRS7B"</f>
        <v>DHRS7B</v>
      </c>
      <c r="L1768" t="str">
        <f>"DHRS7B"</f>
        <v>DHRS7B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</row>
    <row r="1769" spans="1:24">
      <c r="A1769">
        <v>1714</v>
      </c>
      <c r="B1769" t="s">
        <v>4746</v>
      </c>
      <c r="C1769">
        <v>1</v>
      </c>
      <c r="D1769" t="s">
        <v>4747</v>
      </c>
      <c r="E1769">
        <v>3</v>
      </c>
      <c r="F1769">
        <v>3</v>
      </c>
      <c r="G1769">
        <v>3</v>
      </c>
      <c r="H1769" t="s">
        <v>4746</v>
      </c>
      <c r="I1769">
        <v>5.0999999999999996</v>
      </c>
      <c r="J1769">
        <v>98.2</v>
      </c>
      <c r="K1769" t="str">
        <f>"LRRC8D"</f>
        <v>LRRC8D</v>
      </c>
      <c r="L1769" t="str">
        <f>"LRRC8D"</f>
        <v>LRRC8D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</row>
    <row r="1770" spans="1:24">
      <c r="A1770">
        <v>1753</v>
      </c>
      <c r="B1770" t="s">
        <v>4748</v>
      </c>
      <c r="C1770">
        <v>1</v>
      </c>
      <c r="D1770" t="s">
        <v>4749</v>
      </c>
      <c r="E1770">
        <v>1</v>
      </c>
      <c r="F1770">
        <v>1</v>
      </c>
      <c r="G1770">
        <v>1</v>
      </c>
      <c r="H1770" t="s">
        <v>4748</v>
      </c>
      <c r="I1770">
        <v>7.8</v>
      </c>
      <c r="J1770">
        <v>14.852</v>
      </c>
      <c r="K1770" t="str">
        <f>"NDUFA11"</f>
        <v>NDUFA11</v>
      </c>
      <c r="L1770" t="str">
        <f>"NDUFA11"</f>
        <v>NDUFA11</v>
      </c>
      <c r="M1770">
        <v>0</v>
      </c>
      <c r="N1770">
        <v>0</v>
      </c>
      <c r="O1770">
        <v>0</v>
      </c>
      <c r="P1770">
        <v>8095500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</row>
    <row r="1771" spans="1:24">
      <c r="A1771">
        <v>1754</v>
      </c>
      <c r="B1771" t="s">
        <v>4750</v>
      </c>
      <c r="C1771">
        <v>1</v>
      </c>
      <c r="D1771" t="s">
        <v>4751</v>
      </c>
      <c r="E1771">
        <v>5</v>
      </c>
      <c r="F1771">
        <v>5</v>
      </c>
      <c r="G1771">
        <v>5</v>
      </c>
      <c r="H1771" t="s">
        <v>4750</v>
      </c>
      <c r="I1771">
        <v>26.4</v>
      </c>
      <c r="J1771">
        <v>31.641999999999999</v>
      </c>
      <c r="K1771" t="str">
        <f>"STX12"</f>
        <v>STX12</v>
      </c>
      <c r="L1771" t="str">
        <f>"STX12"</f>
        <v>STX12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>
      <c r="A1772">
        <v>1796</v>
      </c>
      <c r="B1772" t="s">
        <v>4752</v>
      </c>
      <c r="C1772">
        <v>1</v>
      </c>
      <c r="D1772" t="s">
        <v>4753</v>
      </c>
      <c r="E1772">
        <v>2</v>
      </c>
      <c r="F1772">
        <v>2</v>
      </c>
      <c r="G1772">
        <v>2</v>
      </c>
      <c r="H1772" t="s">
        <v>4752</v>
      </c>
      <c r="I1772">
        <v>4.2</v>
      </c>
      <c r="J1772">
        <v>54.478000000000002</v>
      </c>
      <c r="K1772" t="str">
        <f>"MLKL"</f>
        <v>MLKL</v>
      </c>
      <c r="L1772" t="str">
        <f>"MLKL"</f>
        <v>MLKL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23321000</v>
      </c>
      <c r="X1772">
        <v>0</v>
      </c>
    </row>
    <row r="1773" spans="1:24">
      <c r="A1773">
        <v>1852</v>
      </c>
      <c r="B1773" t="s">
        <v>4754</v>
      </c>
      <c r="C1773">
        <v>8</v>
      </c>
      <c r="D1773" t="s">
        <v>4755</v>
      </c>
      <c r="E1773">
        <v>4</v>
      </c>
      <c r="F1773">
        <v>4</v>
      </c>
      <c r="G1773">
        <v>4</v>
      </c>
      <c r="H1773" t="s">
        <v>4756</v>
      </c>
      <c r="I1773">
        <v>3.2</v>
      </c>
      <c r="J1773">
        <v>164</v>
      </c>
      <c r="K1773" t="str">
        <f>"MADD"</f>
        <v>MADD</v>
      </c>
      <c r="L1773" t="str">
        <f>"MADD"</f>
        <v>MADD</v>
      </c>
      <c r="M1773">
        <v>0</v>
      </c>
      <c r="N1773">
        <v>180470000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</row>
    <row r="1774" spans="1:24">
      <c r="A1774">
        <v>1890</v>
      </c>
      <c r="B1774" t="s">
        <v>4757</v>
      </c>
      <c r="C1774">
        <v>2</v>
      </c>
      <c r="D1774" t="s">
        <v>4758</v>
      </c>
      <c r="E1774">
        <v>3</v>
      </c>
      <c r="F1774">
        <v>3</v>
      </c>
      <c r="G1774">
        <v>3</v>
      </c>
      <c r="H1774" t="s">
        <v>4759</v>
      </c>
      <c r="I1774">
        <v>4.3</v>
      </c>
      <c r="J1774">
        <v>126.27</v>
      </c>
      <c r="K1774" t="str">
        <f>"USP7"</f>
        <v>USP7</v>
      </c>
      <c r="L1774" t="str">
        <f>"USP7"</f>
        <v>USP7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</row>
    <row r="1775" spans="1:24">
      <c r="A1775">
        <v>1902</v>
      </c>
      <c r="B1775" t="s">
        <v>4760</v>
      </c>
      <c r="C1775">
        <v>2</v>
      </c>
      <c r="D1775" t="s">
        <v>4761</v>
      </c>
      <c r="E1775">
        <v>2</v>
      </c>
      <c r="F1775">
        <v>2</v>
      </c>
      <c r="G1775">
        <v>2</v>
      </c>
      <c r="H1775" t="s">
        <v>4762</v>
      </c>
      <c r="I1775">
        <v>12.2</v>
      </c>
      <c r="J1775">
        <v>16.693000000000001</v>
      </c>
      <c r="K1775" t="str">
        <f>"PPP1R14A"</f>
        <v>PPP1R14A</v>
      </c>
      <c r="L1775" t="str">
        <f>"PPP1R14A"</f>
        <v>PPP1R14A</v>
      </c>
      <c r="M1775">
        <v>0</v>
      </c>
      <c r="N1775">
        <v>0</v>
      </c>
      <c r="O1775">
        <v>2481000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</row>
    <row r="1776" spans="1:24">
      <c r="A1776">
        <v>1956</v>
      </c>
      <c r="B1776" t="s">
        <v>4763</v>
      </c>
      <c r="C1776">
        <v>5</v>
      </c>
      <c r="D1776" t="s">
        <v>4764</v>
      </c>
      <c r="E1776">
        <v>3</v>
      </c>
      <c r="F1776">
        <v>3</v>
      </c>
      <c r="G1776">
        <v>3</v>
      </c>
      <c r="H1776" t="s">
        <v>4765</v>
      </c>
      <c r="I1776">
        <v>10.3</v>
      </c>
      <c r="J1776">
        <v>46.701000000000001</v>
      </c>
      <c r="K1776" t="str">
        <f>"PRRC1"</f>
        <v>PRRC1</v>
      </c>
      <c r="L1776" t="str">
        <f>"PRRC1"</f>
        <v>PRRC1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</row>
    <row r="1777" spans="1:24">
      <c r="A1777">
        <v>1990</v>
      </c>
      <c r="B1777" t="s">
        <v>4766</v>
      </c>
      <c r="C1777">
        <v>2</v>
      </c>
      <c r="D1777" t="s">
        <v>4767</v>
      </c>
      <c r="E1777">
        <v>3</v>
      </c>
      <c r="F1777">
        <v>3</v>
      </c>
      <c r="G1777">
        <v>3</v>
      </c>
      <c r="H1777" t="s">
        <v>4768</v>
      </c>
      <c r="I1777">
        <v>26.2</v>
      </c>
      <c r="J1777">
        <v>17.908999999999999</v>
      </c>
      <c r="K1777" t="str">
        <f>"COPS8"</f>
        <v>COPS8</v>
      </c>
      <c r="L1777" t="str">
        <f>"COPS8"</f>
        <v>COPS8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55344000</v>
      </c>
    </row>
    <row r="1778" spans="1:24">
      <c r="A1778">
        <v>1992</v>
      </c>
      <c r="B1778" t="s">
        <v>4769</v>
      </c>
      <c r="C1778">
        <v>3</v>
      </c>
      <c r="D1778" t="s">
        <v>4770</v>
      </c>
      <c r="E1778">
        <v>7</v>
      </c>
      <c r="F1778">
        <v>7</v>
      </c>
      <c r="G1778">
        <v>7</v>
      </c>
      <c r="H1778" t="s">
        <v>4771</v>
      </c>
      <c r="I1778">
        <v>6</v>
      </c>
      <c r="J1778">
        <v>154.54</v>
      </c>
      <c r="K1778" t="str">
        <f>"MAP3K5;MAP3K15"</f>
        <v>MAP3K5;MAP3K15</v>
      </c>
      <c r="L1778" t="str">
        <f>"MAP3K5;MAP3K15"</f>
        <v>MAP3K5;MAP3K15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</row>
    <row r="1779" spans="1:24">
      <c r="A1779">
        <v>2019</v>
      </c>
      <c r="B1779" t="s">
        <v>4772</v>
      </c>
      <c r="C1779">
        <v>3</v>
      </c>
      <c r="D1779" t="s">
        <v>4773</v>
      </c>
      <c r="E1779">
        <v>1</v>
      </c>
      <c r="F1779">
        <v>1</v>
      </c>
      <c r="G1779">
        <v>1</v>
      </c>
      <c r="H1779" t="s">
        <v>4774</v>
      </c>
      <c r="I1779">
        <v>1.4</v>
      </c>
      <c r="J1779">
        <v>74.507999999999996</v>
      </c>
      <c r="K1779" t="str">
        <f>"NOL10"</f>
        <v>NOL10</v>
      </c>
      <c r="L1779" t="str">
        <f>"NOL10"</f>
        <v>NOL10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240970000</v>
      </c>
      <c r="U1779">
        <v>0</v>
      </c>
      <c r="V1779">
        <v>0</v>
      </c>
      <c r="W1779">
        <v>0</v>
      </c>
      <c r="X1779">
        <v>0</v>
      </c>
    </row>
    <row r="1780" spans="1:24">
      <c r="A1780">
        <v>2029</v>
      </c>
      <c r="B1780" t="s">
        <v>4775</v>
      </c>
      <c r="C1780">
        <v>4</v>
      </c>
      <c r="D1780" t="s">
        <v>4776</v>
      </c>
      <c r="E1780">
        <v>3</v>
      </c>
      <c r="F1780">
        <v>3</v>
      </c>
      <c r="G1780">
        <v>3</v>
      </c>
      <c r="H1780" t="s">
        <v>4777</v>
      </c>
      <c r="I1780">
        <v>5.2</v>
      </c>
      <c r="J1780">
        <v>84.262</v>
      </c>
      <c r="K1780" t="str">
        <f>"TBCD"</f>
        <v>TBCD</v>
      </c>
      <c r="L1780" t="str">
        <f>"TBCD"</f>
        <v>TBCD</v>
      </c>
      <c r="M1780">
        <v>0</v>
      </c>
      <c r="N1780">
        <v>0</v>
      </c>
      <c r="O1780">
        <v>0</v>
      </c>
      <c r="P1780">
        <v>10926000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</row>
    <row r="1781" spans="1:24">
      <c r="A1781">
        <v>2046</v>
      </c>
      <c r="B1781" t="s">
        <v>4778</v>
      </c>
      <c r="C1781">
        <v>2</v>
      </c>
      <c r="D1781" t="s">
        <v>4779</v>
      </c>
      <c r="E1781">
        <v>1</v>
      </c>
      <c r="F1781">
        <v>1</v>
      </c>
      <c r="G1781">
        <v>1</v>
      </c>
      <c r="H1781" t="s">
        <v>4780</v>
      </c>
      <c r="I1781">
        <v>4.5</v>
      </c>
      <c r="J1781">
        <v>22.611000000000001</v>
      </c>
      <c r="K1781" t="str">
        <f>"BCL2L13"</f>
        <v>BCL2L13</v>
      </c>
      <c r="L1781" t="str">
        <f>"BCL2L13"</f>
        <v>BCL2L13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</row>
    <row r="1782" spans="1:24">
      <c r="A1782">
        <v>2059</v>
      </c>
      <c r="B1782" t="s">
        <v>4781</v>
      </c>
      <c r="C1782">
        <v>1</v>
      </c>
      <c r="D1782" t="s">
        <v>4782</v>
      </c>
      <c r="E1782">
        <v>3</v>
      </c>
      <c r="F1782">
        <v>3</v>
      </c>
      <c r="G1782">
        <v>3</v>
      </c>
      <c r="H1782" t="s">
        <v>4781</v>
      </c>
      <c r="I1782">
        <v>5.0999999999999996</v>
      </c>
      <c r="J1782">
        <v>103.13</v>
      </c>
      <c r="K1782" t="str">
        <f>"FAM129A"</f>
        <v>FAM129A</v>
      </c>
      <c r="L1782" t="str">
        <f>"FAM129A"</f>
        <v>FAM129A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>
      <c r="A1783">
        <v>2066</v>
      </c>
      <c r="B1783" t="s">
        <v>4783</v>
      </c>
      <c r="C1783">
        <v>2</v>
      </c>
      <c r="D1783" t="s">
        <v>4784</v>
      </c>
      <c r="E1783">
        <v>2</v>
      </c>
      <c r="F1783">
        <v>2</v>
      </c>
      <c r="G1783">
        <v>2</v>
      </c>
      <c r="H1783" t="s">
        <v>4785</v>
      </c>
      <c r="I1783">
        <v>13.8</v>
      </c>
      <c r="J1783">
        <v>19.291</v>
      </c>
      <c r="K1783" t="str">
        <f>"C20orf27"</f>
        <v>C20orf27</v>
      </c>
      <c r="L1783" t="str">
        <f>"C20orf27"</f>
        <v>C20orf27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</row>
    <row r="1784" spans="1:24">
      <c r="A1784">
        <v>2156</v>
      </c>
      <c r="B1784" t="s">
        <v>4786</v>
      </c>
      <c r="C1784">
        <v>3</v>
      </c>
      <c r="D1784" t="s">
        <v>4787</v>
      </c>
      <c r="E1784">
        <v>3</v>
      </c>
      <c r="F1784">
        <v>2</v>
      </c>
      <c r="G1784">
        <v>2</v>
      </c>
      <c r="H1784" t="s">
        <v>4788</v>
      </c>
      <c r="I1784">
        <v>15.8</v>
      </c>
      <c r="J1784">
        <v>21.558</v>
      </c>
      <c r="K1784" t="str">
        <f>"PRTFDC1"</f>
        <v>PRTFDC1</v>
      </c>
      <c r="L1784" t="str">
        <f>"PRTFDC1"</f>
        <v>PRTFDC1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</row>
    <row r="1785" spans="1:24">
      <c r="A1785">
        <v>2178</v>
      </c>
      <c r="B1785" t="s">
        <v>4789</v>
      </c>
      <c r="C1785">
        <v>2</v>
      </c>
      <c r="D1785" t="s">
        <v>4790</v>
      </c>
      <c r="E1785">
        <v>2</v>
      </c>
      <c r="F1785">
        <v>2</v>
      </c>
      <c r="G1785">
        <v>2</v>
      </c>
      <c r="H1785" t="s">
        <v>4791</v>
      </c>
      <c r="I1785">
        <v>3</v>
      </c>
      <c r="J1785">
        <v>100.28</v>
      </c>
      <c r="K1785" t="str">
        <f>"EXOC1"</f>
        <v>EXOC1</v>
      </c>
      <c r="L1785" t="str">
        <f>"EXOC1"</f>
        <v>EXOC1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</row>
    <row r="1786" spans="1:24">
      <c r="A1786">
        <v>53</v>
      </c>
      <c r="B1786" t="s">
        <v>4792</v>
      </c>
      <c r="C1786">
        <v>1</v>
      </c>
      <c r="D1786" t="s">
        <v>4793</v>
      </c>
      <c r="E1786">
        <v>4</v>
      </c>
      <c r="F1786">
        <v>4</v>
      </c>
      <c r="G1786">
        <v>4</v>
      </c>
      <c r="H1786" t="s">
        <v>4792</v>
      </c>
      <c r="I1786">
        <v>17</v>
      </c>
      <c r="J1786">
        <v>37.636000000000003</v>
      </c>
      <c r="K1786" t="str">
        <f>"AIP"</f>
        <v>AIP</v>
      </c>
      <c r="L1786" t="str">
        <f>"AIP"</f>
        <v>AIP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9583100</v>
      </c>
      <c r="T1786">
        <v>0</v>
      </c>
      <c r="U1786">
        <v>0</v>
      </c>
      <c r="V1786">
        <v>0</v>
      </c>
      <c r="W1786">
        <v>0</v>
      </c>
      <c r="X1786">
        <v>0</v>
      </c>
    </row>
    <row r="1787" spans="1:24">
      <c r="A1787">
        <v>100</v>
      </c>
      <c r="B1787" t="s">
        <v>4794</v>
      </c>
      <c r="C1787">
        <v>1</v>
      </c>
      <c r="D1787" t="s">
        <v>4795</v>
      </c>
      <c r="E1787">
        <v>2</v>
      </c>
      <c r="F1787">
        <v>2</v>
      </c>
      <c r="G1787">
        <v>2</v>
      </c>
      <c r="H1787" t="s">
        <v>4794</v>
      </c>
      <c r="I1787">
        <v>25.7</v>
      </c>
      <c r="J1787">
        <v>16.515999999999998</v>
      </c>
      <c r="K1787" t="str">
        <f>"MGST3"</f>
        <v>MGST3</v>
      </c>
      <c r="L1787" t="str">
        <f>"MGST3"</f>
        <v>MGST3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48037000</v>
      </c>
      <c r="T1787">
        <v>0</v>
      </c>
      <c r="U1787">
        <v>0</v>
      </c>
      <c r="V1787">
        <v>0</v>
      </c>
      <c r="W1787">
        <v>0</v>
      </c>
      <c r="X1787">
        <v>0</v>
      </c>
    </row>
    <row r="1788" spans="1:24">
      <c r="A1788">
        <v>130</v>
      </c>
      <c r="B1788" t="s">
        <v>4796</v>
      </c>
      <c r="C1788">
        <v>3</v>
      </c>
      <c r="D1788" t="s">
        <v>4797</v>
      </c>
      <c r="E1788">
        <v>6</v>
      </c>
      <c r="F1788">
        <v>6</v>
      </c>
      <c r="G1788">
        <v>6</v>
      </c>
      <c r="H1788" t="s">
        <v>4798</v>
      </c>
      <c r="I1788">
        <v>14.6</v>
      </c>
      <c r="J1788">
        <v>58.14</v>
      </c>
      <c r="K1788" t="str">
        <f>"EIF3D"</f>
        <v>EIF3D</v>
      </c>
      <c r="L1788" t="str">
        <f>"EIF3D"</f>
        <v>EIF3D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</row>
    <row r="1789" spans="1:24">
      <c r="A1789">
        <v>189</v>
      </c>
      <c r="B1789" t="s">
        <v>4799</v>
      </c>
      <c r="C1789">
        <v>3</v>
      </c>
      <c r="D1789" t="s">
        <v>4800</v>
      </c>
      <c r="E1789">
        <v>3</v>
      </c>
      <c r="F1789">
        <v>3</v>
      </c>
      <c r="G1789">
        <v>3</v>
      </c>
      <c r="H1789" t="s">
        <v>4801</v>
      </c>
      <c r="I1789">
        <v>6.4</v>
      </c>
      <c r="J1789">
        <v>73.796000000000006</v>
      </c>
      <c r="K1789" t="str">
        <f>"EXOC3"</f>
        <v>EXOC3</v>
      </c>
      <c r="L1789" t="str">
        <f>"EXOC3"</f>
        <v>EXOC3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</row>
    <row r="1790" spans="1:24">
      <c r="A1790">
        <v>212</v>
      </c>
      <c r="B1790" t="s">
        <v>4802</v>
      </c>
      <c r="C1790">
        <v>1</v>
      </c>
      <c r="D1790" t="s">
        <v>4803</v>
      </c>
      <c r="E1790">
        <v>2</v>
      </c>
      <c r="F1790">
        <v>2</v>
      </c>
      <c r="G1790">
        <v>2</v>
      </c>
      <c r="H1790" t="s">
        <v>4802</v>
      </c>
      <c r="I1790">
        <v>19.5</v>
      </c>
      <c r="J1790">
        <v>13.757</v>
      </c>
      <c r="K1790" t="str">
        <f>"ATP6V1G1"</f>
        <v>ATP6V1G1</v>
      </c>
      <c r="L1790" t="str">
        <f>"ATP6V1G1"</f>
        <v>ATP6V1G1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15953000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</row>
    <row r="1791" spans="1:24">
      <c r="A1791">
        <v>231</v>
      </c>
      <c r="B1791" t="s">
        <v>4804</v>
      </c>
      <c r="C1791">
        <v>3</v>
      </c>
      <c r="D1791" t="s">
        <v>4805</v>
      </c>
      <c r="E1791">
        <v>3</v>
      </c>
      <c r="F1791">
        <v>3</v>
      </c>
      <c r="G1791">
        <v>3</v>
      </c>
      <c r="H1791" t="s">
        <v>4806</v>
      </c>
      <c r="I1791">
        <v>15.8</v>
      </c>
      <c r="J1791">
        <v>23.026</v>
      </c>
      <c r="K1791" t="str">
        <f>"EIF3J"</f>
        <v>EIF3J</v>
      </c>
      <c r="L1791" t="str">
        <f>"EIF3J"</f>
        <v>EIF3J</v>
      </c>
      <c r="M1791">
        <v>0</v>
      </c>
      <c r="N1791">
        <v>0</v>
      </c>
      <c r="O1791">
        <v>44115000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</row>
    <row r="1792" spans="1:24">
      <c r="A1792">
        <v>233</v>
      </c>
      <c r="B1792" t="s">
        <v>4807</v>
      </c>
      <c r="C1792">
        <v>1</v>
      </c>
      <c r="D1792" t="s">
        <v>4808</v>
      </c>
      <c r="E1792">
        <v>2</v>
      </c>
      <c r="F1792">
        <v>2</v>
      </c>
      <c r="G1792">
        <v>2</v>
      </c>
      <c r="H1792" t="s">
        <v>4807</v>
      </c>
      <c r="I1792">
        <v>2.4</v>
      </c>
      <c r="J1792">
        <v>87.116</v>
      </c>
      <c r="K1792" t="str">
        <f>"AP1G2"</f>
        <v>AP1G2</v>
      </c>
      <c r="L1792" t="str">
        <f>"AP1G2"</f>
        <v>AP1G2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</row>
    <row r="1793" spans="1:24">
      <c r="A1793">
        <v>258</v>
      </c>
      <c r="B1793" t="s">
        <v>4809</v>
      </c>
      <c r="C1793">
        <v>2</v>
      </c>
      <c r="D1793" t="s">
        <v>4810</v>
      </c>
      <c r="E1793">
        <v>3</v>
      </c>
      <c r="F1793">
        <v>3</v>
      </c>
      <c r="G1793">
        <v>3</v>
      </c>
      <c r="H1793" t="s">
        <v>4811</v>
      </c>
      <c r="I1793">
        <v>35.799999999999997</v>
      </c>
      <c r="J1793">
        <v>14.026</v>
      </c>
      <c r="K1793" t="str">
        <f>"NDUFB4"</f>
        <v>NDUFB4</v>
      </c>
      <c r="L1793" t="str">
        <f>"NDUFB4"</f>
        <v>NDUFB4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</row>
    <row r="1794" spans="1:24">
      <c r="A1794">
        <v>275</v>
      </c>
      <c r="B1794" t="s">
        <v>4812</v>
      </c>
      <c r="C1794">
        <v>3</v>
      </c>
      <c r="D1794" t="s">
        <v>4813</v>
      </c>
      <c r="E1794">
        <v>3</v>
      </c>
      <c r="F1794">
        <v>3</v>
      </c>
      <c r="G1794">
        <v>3</v>
      </c>
      <c r="H1794" t="s">
        <v>4814</v>
      </c>
      <c r="I1794">
        <v>6.4</v>
      </c>
      <c r="J1794">
        <v>67.191999999999993</v>
      </c>
      <c r="K1794" t="str">
        <f>"ASMTL"</f>
        <v>ASMTL</v>
      </c>
      <c r="L1794" t="str">
        <f>"ASMTL"</f>
        <v>ASMTL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>
      <c r="A1795">
        <v>358</v>
      </c>
      <c r="B1795" t="s">
        <v>4815</v>
      </c>
      <c r="C1795">
        <v>1</v>
      </c>
      <c r="D1795" t="s">
        <v>4816</v>
      </c>
      <c r="E1795">
        <v>4</v>
      </c>
      <c r="F1795">
        <v>3</v>
      </c>
      <c r="G1795">
        <v>3</v>
      </c>
      <c r="H1795" t="s">
        <v>4815</v>
      </c>
      <c r="I1795">
        <v>26.1</v>
      </c>
      <c r="J1795">
        <v>11.452999999999999</v>
      </c>
      <c r="K1795" t="s">
        <v>2275</v>
      </c>
      <c r="L1795" t="s">
        <v>2275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</row>
    <row r="1796" spans="1:24">
      <c r="A1796">
        <v>377</v>
      </c>
      <c r="B1796" t="s">
        <v>4817</v>
      </c>
      <c r="C1796">
        <v>1</v>
      </c>
      <c r="D1796" t="s">
        <v>4818</v>
      </c>
      <c r="E1796">
        <v>1</v>
      </c>
      <c r="F1796">
        <v>1</v>
      </c>
      <c r="G1796">
        <v>1</v>
      </c>
      <c r="H1796" t="s">
        <v>4817</v>
      </c>
      <c r="I1796">
        <v>16.5</v>
      </c>
      <c r="J1796">
        <v>12.32</v>
      </c>
      <c r="K1796" t="s">
        <v>890</v>
      </c>
      <c r="L1796" t="s">
        <v>890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2411600000</v>
      </c>
      <c r="X1796">
        <v>0</v>
      </c>
    </row>
    <row r="1797" spans="1:24">
      <c r="A1797">
        <v>446</v>
      </c>
      <c r="B1797" t="s">
        <v>4819</v>
      </c>
      <c r="C1797">
        <v>1</v>
      </c>
      <c r="D1797" t="s">
        <v>4820</v>
      </c>
      <c r="E1797">
        <v>3</v>
      </c>
      <c r="F1797">
        <v>3</v>
      </c>
      <c r="G1797">
        <v>3</v>
      </c>
      <c r="H1797" t="s">
        <v>4819</v>
      </c>
      <c r="I1797">
        <v>10</v>
      </c>
      <c r="J1797">
        <v>49.576999999999998</v>
      </c>
      <c r="K1797" t="str">
        <f>"LCAT"</f>
        <v>LCAT</v>
      </c>
      <c r="L1797" t="str">
        <f>"LCAT"</f>
        <v>LCAT</v>
      </c>
      <c r="M1797">
        <v>0</v>
      </c>
      <c r="N1797">
        <v>0</v>
      </c>
      <c r="O1797">
        <v>0</v>
      </c>
      <c r="P1797">
        <v>0</v>
      </c>
      <c r="Q1797">
        <v>38770000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</row>
    <row r="1798" spans="1:24">
      <c r="A1798">
        <v>562</v>
      </c>
      <c r="B1798" t="s">
        <v>4821</v>
      </c>
      <c r="C1798">
        <v>2</v>
      </c>
      <c r="D1798" t="s">
        <v>4822</v>
      </c>
      <c r="E1798">
        <v>5</v>
      </c>
      <c r="F1798">
        <v>5</v>
      </c>
      <c r="G1798">
        <v>5</v>
      </c>
      <c r="H1798" t="s">
        <v>4823</v>
      </c>
      <c r="I1798">
        <v>5.0999999999999996</v>
      </c>
      <c r="J1798">
        <v>130.9</v>
      </c>
      <c r="K1798" t="str">
        <f>"PTPRC"</f>
        <v>PTPRC</v>
      </c>
      <c r="L1798" t="str">
        <f>"PTPRC"</f>
        <v>PTPRC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17429000</v>
      </c>
      <c r="W1798">
        <v>0</v>
      </c>
      <c r="X1798">
        <v>0</v>
      </c>
    </row>
    <row r="1799" spans="1:24">
      <c r="A1799">
        <v>577</v>
      </c>
      <c r="B1799" t="s">
        <v>4824</v>
      </c>
      <c r="C1799">
        <v>2</v>
      </c>
      <c r="D1799" t="s">
        <v>4825</v>
      </c>
      <c r="E1799">
        <v>3</v>
      </c>
      <c r="F1799">
        <v>3</v>
      </c>
      <c r="G1799">
        <v>3</v>
      </c>
      <c r="H1799" t="s">
        <v>4826</v>
      </c>
      <c r="I1799">
        <v>18.3</v>
      </c>
      <c r="J1799">
        <v>22.408000000000001</v>
      </c>
      <c r="K1799" t="str">
        <f>"QDPR"</f>
        <v>QDPR</v>
      </c>
      <c r="L1799" t="str">
        <f>"QDPR"</f>
        <v>QDPR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</row>
    <row r="1800" spans="1:24">
      <c r="A1800">
        <v>629</v>
      </c>
      <c r="B1800" t="s">
        <v>4827</v>
      </c>
      <c r="C1800">
        <v>3</v>
      </c>
      <c r="D1800" t="s">
        <v>4828</v>
      </c>
      <c r="E1800">
        <v>4</v>
      </c>
      <c r="F1800">
        <v>4</v>
      </c>
      <c r="G1800">
        <v>4</v>
      </c>
      <c r="H1800" t="s">
        <v>4829</v>
      </c>
      <c r="I1800">
        <v>10</v>
      </c>
      <c r="J1800">
        <v>52.220999999999997</v>
      </c>
      <c r="K1800" t="str">
        <f>"UMPS"</f>
        <v>UMPS</v>
      </c>
      <c r="L1800" t="str">
        <f>"UMPS"</f>
        <v>UMPS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</row>
    <row r="1801" spans="1:24">
      <c r="A1801">
        <v>748</v>
      </c>
      <c r="B1801" t="s">
        <v>4830</v>
      </c>
      <c r="C1801">
        <v>1</v>
      </c>
      <c r="D1801" t="s">
        <v>4831</v>
      </c>
      <c r="E1801">
        <v>2</v>
      </c>
      <c r="F1801">
        <v>2</v>
      </c>
      <c r="G1801">
        <v>2</v>
      </c>
      <c r="H1801" t="s">
        <v>4830</v>
      </c>
      <c r="I1801">
        <v>5.7</v>
      </c>
      <c r="J1801">
        <v>54.168999999999997</v>
      </c>
      <c r="K1801" t="str">
        <f>"TRIM21"</f>
        <v>TRIM21</v>
      </c>
      <c r="L1801" t="str">
        <f>"TRIM21"</f>
        <v>TRIM21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>
      <c r="A1802">
        <v>814</v>
      </c>
      <c r="B1802" t="s">
        <v>4832</v>
      </c>
      <c r="C1802">
        <v>1</v>
      </c>
      <c r="D1802" t="s">
        <v>4833</v>
      </c>
      <c r="E1802">
        <v>3</v>
      </c>
      <c r="F1802">
        <v>3</v>
      </c>
      <c r="G1802">
        <v>3</v>
      </c>
      <c r="H1802" t="s">
        <v>4832</v>
      </c>
      <c r="I1802">
        <v>18</v>
      </c>
      <c r="J1802">
        <v>27.806999999999999</v>
      </c>
      <c r="K1802" t="str">
        <f>"PRTN3"</f>
        <v>PRTN3</v>
      </c>
      <c r="L1802" t="str">
        <f>"PRTN3"</f>
        <v>PRTN3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</row>
    <row r="1803" spans="1:24">
      <c r="A1803">
        <v>833</v>
      </c>
      <c r="B1803" t="s">
        <v>4834</v>
      </c>
      <c r="C1803">
        <v>2</v>
      </c>
      <c r="D1803" t="s">
        <v>4835</v>
      </c>
      <c r="E1803">
        <v>1</v>
      </c>
      <c r="F1803">
        <v>1</v>
      </c>
      <c r="G1803">
        <v>1</v>
      </c>
      <c r="H1803" t="s">
        <v>4836</v>
      </c>
      <c r="I1803">
        <v>0.6</v>
      </c>
      <c r="J1803">
        <v>183.16</v>
      </c>
      <c r="K1803" t="str">
        <f>"DNMT1"</f>
        <v>DNMT1</v>
      </c>
      <c r="L1803" t="str">
        <f>"DNMT1"</f>
        <v>DNMT1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107480000</v>
      </c>
    </row>
    <row r="1804" spans="1:24">
      <c r="A1804">
        <v>860</v>
      </c>
      <c r="B1804" t="s">
        <v>4837</v>
      </c>
      <c r="C1804">
        <v>1</v>
      </c>
      <c r="D1804" t="s">
        <v>4838</v>
      </c>
      <c r="E1804">
        <v>3</v>
      </c>
      <c r="F1804">
        <v>3</v>
      </c>
      <c r="G1804">
        <v>3</v>
      </c>
      <c r="H1804" t="s">
        <v>4837</v>
      </c>
      <c r="I1804">
        <v>13</v>
      </c>
      <c r="J1804">
        <v>25.356999999999999</v>
      </c>
      <c r="K1804" t="str">
        <f>"PSMB6"</f>
        <v>PSMB6</v>
      </c>
      <c r="L1804" t="str">
        <f>"PSMB6"</f>
        <v>PSMB6</v>
      </c>
      <c r="M1804">
        <v>0</v>
      </c>
      <c r="N1804">
        <v>0</v>
      </c>
      <c r="O1804">
        <v>24930000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</row>
    <row r="1805" spans="1:24">
      <c r="A1805">
        <v>1039</v>
      </c>
      <c r="B1805" t="s">
        <v>4839</v>
      </c>
      <c r="C1805">
        <v>1</v>
      </c>
      <c r="D1805" t="s">
        <v>4840</v>
      </c>
      <c r="E1805">
        <v>2</v>
      </c>
      <c r="F1805">
        <v>2</v>
      </c>
      <c r="G1805">
        <v>2</v>
      </c>
      <c r="H1805" t="s">
        <v>4839</v>
      </c>
      <c r="I1805">
        <v>5.7</v>
      </c>
      <c r="J1805">
        <v>55.52</v>
      </c>
      <c r="K1805" t="str">
        <f>"NAMPT"</f>
        <v>NAMPT</v>
      </c>
      <c r="L1805" t="str">
        <f>"NAMPT"</f>
        <v>NAMPT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49527000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</row>
    <row r="1806" spans="1:24">
      <c r="A1806">
        <v>1046</v>
      </c>
      <c r="B1806" t="s">
        <v>4841</v>
      </c>
      <c r="C1806">
        <v>2</v>
      </c>
      <c r="D1806" t="s">
        <v>4842</v>
      </c>
      <c r="E1806">
        <v>2</v>
      </c>
      <c r="F1806">
        <v>2</v>
      </c>
      <c r="G1806">
        <v>2</v>
      </c>
      <c r="H1806" t="s">
        <v>4843</v>
      </c>
      <c r="I1806">
        <v>10.8</v>
      </c>
      <c r="J1806">
        <v>22.905000000000001</v>
      </c>
      <c r="K1806" t="str">
        <f>"CRK"</f>
        <v>CRK</v>
      </c>
      <c r="L1806" t="str">
        <f>"CRK"</f>
        <v>CRK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28548000</v>
      </c>
      <c r="X1806">
        <v>0</v>
      </c>
    </row>
    <row r="1807" spans="1:24">
      <c r="A1807">
        <v>1068</v>
      </c>
      <c r="B1807" t="s">
        <v>4844</v>
      </c>
      <c r="C1807">
        <v>1</v>
      </c>
      <c r="D1807" t="s">
        <v>4845</v>
      </c>
      <c r="E1807">
        <v>2</v>
      </c>
      <c r="F1807">
        <v>2</v>
      </c>
      <c r="G1807">
        <v>2</v>
      </c>
      <c r="H1807" t="s">
        <v>4844</v>
      </c>
      <c r="I1807">
        <v>3.6</v>
      </c>
      <c r="J1807">
        <v>72.765000000000001</v>
      </c>
      <c r="K1807" t="str">
        <f>"GCLC"</f>
        <v>GCLC</v>
      </c>
      <c r="L1807" t="str">
        <f>"GCLC"</f>
        <v>GCLC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</row>
    <row r="1808" spans="1:24">
      <c r="A1808">
        <v>1130</v>
      </c>
      <c r="B1808" t="s">
        <v>4846</v>
      </c>
      <c r="C1808">
        <v>2</v>
      </c>
      <c r="D1808" t="s">
        <v>4847</v>
      </c>
      <c r="E1808">
        <v>3</v>
      </c>
      <c r="F1808">
        <v>3</v>
      </c>
      <c r="G1808">
        <v>3</v>
      </c>
      <c r="H1808" t="s">
        <v>4848</v>
      </c>
      <c r="I1808">
        <v>10.5</v>
      </c>
      <c r="J1808">
        <v>41.468000000000004</v>
      </c>
      <c r="K1808" t="str">
        <f>"IDH3G"</f>
        <v>IDH3G</v>
      </c>
      <c r="L1808" t="str">
        <f>"IDH3G"</f>
        <v>IDH3G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14262000</v>
      </c>
      <c r="X1808">
        <v>0</v>
      </c>
    </row>
    <row r="1809" spans="1:24">
      <c r="A1809">
        <v>1252</v>
      </c>
      <c r="B1809" t="s">
        <v>4849</v>
      </c>
      <c r="C1809">
        <v>2</v>
      </c>
      <c r="D1809" t="s">
        <v>4850</v>
      </c>
      <c r="E1809">
        <v>3</v>
      </c>
      <c r="F1809">
        <v>3</v>
      </c>
      <c r="G1809">
        <v>2</v>
      </c>
      <c r="H1809" t="s">
        <v>4851</v>
      </c>
      <c r="I1809">
        <v>18</v>
      </c>
      <c r="J1809">
        <v>16.010999999999999</v>
      </c>
      <c r="K1809" t="str">
        <f>"AP1S1"</f>
        <v>AP1S1</v>
      </c>
      <c r="L1809" t="str">
        <f>"AP1S1"</f>
        <v>AP1S1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</row>
    <row r="1810" spans="1:24">
      <c r="A1810">
        <v>1261</v>
      </c>
      <c r="B1810" t="s">
        <v>4852</v>
      </c>
      <c r="C1810">
        <v>1</v>
      </c>
      <c r="D1810" t="s">
        <v>4853</v>
      </c>
      <c r="E1810">
        <v>1</v>
      </c>
      <c r="F1810">
        <v>1</v>
      </c>
      <c r="G1810">
        <v>1</v>
      </c>
      <c r="H1810" t="s">
        <v>4852</v>
      </c>
      <c r="I1810">
        <v>6.8</v>
      </c>
      <c r="J1810">
        <v>16.445</v>
      </c>
      <c r="K1810" t="str">
        <f>"RPS16"</f>
        <v>RPS16</v>
      </c>
      <c r="L1810" t="str">
        <f>"RPS16"</f>
        <v>RPS16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13087000</v>
      </c>
      <c r="V1810">
        <v>0</v>
      </c>
      <c r="W1810">
        <v>0</v>
      </c>
      <c r="X1810">
        <v>0</v>
      </c>
    </row>
    <row r="1811" spans="1:24">
      <c r="A1811">
        <v>1334</v>
      </c>
      <c r="B1811" t="s">
        <v>4854</v>
      </c>
      <c r="C1811">
        <v>2</v>
      </c>
      <c r="D1811" t="s">
        <v>4855</v>
      </c>
      <c r="E1811">
        <v>3</v>
      </c>
      <c r="F1811">
        <v>3</v>
      </c>
      <c r="G1811">
        <v>3</v>
      </c>
      <c r="H1811" t="s">
        <v>4856</v>
      </c>
      <c r="I1811">
        <v>3.5</v>
      </c>
      <c r="J1811">
        <v>137.99</v>
      </c>
      <c r="K1811" t="str">
        <f>"HDLBP"</f>
        <v>HDLBP</v>
      </c>
      <c r="L1811" t="str">
        <f>"HDLBP"</f>
        <v>HDLBP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</row>
    <row r="1812" spans="1:24">
      <c r="A1812">
        <v>1384</v>
      </c>
      <c r="B1812" t="s">
        <v>4857</v>
      </c>
      <c r="C1812">
        <v>1</v>
      </c>
      <c r="D1812" t="s">
        <v>4858</v>
      </c>
      <c r="E1812">
        <v>1</v>
      </c>
      <c r="F1812">
        <v>1</v>
      </c>
      <c r="G1812">
        <v>1</v>
      </c>
      <c r="H1812" t="s">
        <v>4857</v>
      </c>
      <c r="I1812">
        <v>0.9</v>
      </c>
      <c r="J1812">
        <v>109.24</v>
      </c>
      <c r="K1812" t="str">
        <f>"ENPEP"</f>
        <v>ENPEP</v>
      </c>
      <c r="L1812" t="str">
        <f>"ENPEP"</f>
        <v>ENPEP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</row>
    <row r="1813" spans="1:24">
      <c r="A1813">
        <v>1399</v>
      </c>
      <c r="B1813" t="s">
        <v>4859</v>
      </c>
      <c r="C1813">
        <v>1</v>
      </c>
      <c r="D1813" t="s">
        <v>4860</v>
      </c>
      <c r="E1813">
        <v>3</v>
      </c>
      <c r="F1813">
        <v>3</v>
      </c>
      <c r="G1813">
        <v>3</v>
      </c>
      <c r="H1813" t="s">
        <v>4859</v>
      </c>
      <c r="I1813">
        <v>3.6</v>
      </c>
      <c r="J1813">
        <v>629.09</v>
      </c>
      <c r="K1813" t="str">
        <f>"AHNAK"</f>
        <v>AHNAK</v>
      </c>
      <c r="L1813" t="str">
        <f>"AHNAK"</f>
        <v>AHNAK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29676000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</row>
    <row r="1814" spans="1:24">
      <c r="A1814">
        <v>1403</v>
      </c>
      <c r="B1814" t="s">
        <v>4861</v>
      </c>
      <c r="C1814">
        <v>2</v>
      </c>
      <c r="D1814" t="s">
        <v>4862</v>
      </c>
      <c r="E1814">
        <v>4</v>
      </c>
      <c r="F1814">
        <v>4</v>
      </c>
      <c r="G1814">
        <v>4</v>
      </c>
      <c r="H1814" t="s">
        <v>4863</v>
      </c>
      <c r="I1814">
        <v>9.5</v>
      </c>
      <c r="J1814">
        <v>64.731999999999999</v>
      </c>
      <c r="K1814" t="str">
        <f>"GALNT2"</f>
        <v>GALNT2</v>
      </c>
      <c r="L1814" t="str">
        <f>"GALNT2"</f>
        <v>GALNT2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25714000</v>
      </c>
    </row>
    <row r="1815" spans="1:24">
      <c r="A1815">
        <v>1560</v>
      </c>
      <c r="B1815" t="s">
        <v>4864</v>
      </c>
      <c r="C1815">
        <v>2</v>
      </c>
      <c r="D1815" t="s">
        <v>4865</v>
      </c>
      <c r="E1815">
        <v>1</v>
      </c>
      <c r="F1815">
        <v>1</v>
      </c>
      <c r="G1815">
        <v>1</v>
      </c>
      <c r="H1815" t="s">
        <v>4866</v>
      </c>
      <c r="I1815">
        <v>1</v>
      </c>
      <c r="J1815">
        <v>142.94999999999999</v>
      </c>
      <c r="K1815" t="str">
        <f>"STIL"</f>
        <v>STIL</v>
      </c>
      <c r="L1815" t="str">
        <f>"STIL"</f>
        <v>STIL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24420000</v>
      </c>
      <c r="X1815">
        <v>0</v>
      </c>
    </row>
    <row r="1816" spans="1:24">
      <c r="A1816">
        <v>1590</v>
      </c>
      <c r="B1816" t="s">
        <v>4867</v>
      </c>
      <c r="C1816">
        <v>2</v>
      </c>
      <c r="D1816" t="s">
        <v>4868</v>
      </c>
      <c r="E1816">
        <v>2</v>
      </c>
      <c r="F1816">
        <v>2</v>
      </c>
      <c r="G1816">
        <v>2</v>
      </c>
      <c r="H1816" t="s">
        <v>4869</v>
      </c>
      <c r="I1816">
        <v>7.3</v>
      </c>
      <c r="J1816">
        <v>28.565000000000001</v>
      </c>
      <c r="K1816" t="str">
        <f>"SYPL1"</f>
        <v>SYPL1</v>
      </c>
      <c r="L1816" t="str">
        <f>"SYPL1"</f>
        <v>SYPL1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22976000</v>
      </c>
    </row>
    <row r="1817" spans="1:24">
      <c r="A1817">
        <v>1617</v>
      </c>
      <c r="B1817" t="s">
        <v>4870</v>
      </c>
      <c r="C1817">
        <v>6</v>
      </c>
      <c r="D1817" t="s">
        <v>4871</v>
      </c>
      <c r="E1817">
        <v>3</v>
      </c>
      <c r="F1817">
        <v>3</v>
      </c>
      <c r="G1817">
        <v>3</v>
      </c>
      <c r="H1817" t="s">
        <v>4872</v>
      </c>
      <c r="I1817">
        <v>4.8</v>
      </c>
      <c r="J1817">
        <v>79.548000000000002</v>
      </c>
      <c r="K1817" t="str">
        <f>"RABL6"</f>
        <v>RABL6</v>
      </c>
      <c r="L1817" t="str">
        <f>"RABL6"</f>
        <v>RABL6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>
      <c r="A1818">
        <v>1633</v>
      </c>
      <c r="B1818" t="s">
        <v>4873</v>
      </c>
      <c r="C1818">
        <v>1</v>
      </c>
      <c r="D1818" t="s">
        <v>4874</v>
      </c>
      <c r="E1818">
        <v>6</v>
      </c>
      <c r="F1818">
        <v>6</v>
      </c>
      <c r="G1818">
        <v>6</v>
      </c>
      <c r="H1818" t="s">
        <v>4873</v>
      </c>
      <c r="I1818">
        <v>4.4000000000000004</v>
      </c>
      <c r="J1818">
        <v>237.67</v>
      </c>
      <c r="K1818" t="str">
        <f>"DOCK11"</f>
        <v>DOCK11</v>
      </c>
      <c r="L1818" t="str">
        <f>"DOCK11"</f>
        <v>DOCK11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</row>
    <row r="1819" spans="1:24">
      <c r="A1819">
        <v>1638</v>
      </c>
      <c r="B1819" t="s">
        <v>4875</v>
      </c>
      <c r="C1819">
        <v>3</v>
      </c>
      <c r="D1819" t="s">
        <v>4876</v>
      </c>
      <c r="E1819">
        <v>1</v>
      </c>
      <c r="F1819">
        <v>1</v>
      </c>
      <c r="G1819">
        <v>1</v>
      </c>
      <c r="H1819" t="s">
        <v>4877</v>
      </c>
      <c r="I1819">
        <v>6.7</v>
      </c>
      <c r="J1819">
        <v>24.402999999999999</v>
      </c>
      <c r="K1819" t="str">
        <f>"EOGT"</f>
        <v>EOGT</v>
      </c>
      <c r="L1819" t="str">
        <f>"EOGT"</f>
        <v>EOGT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</row>
    <row r="1820" spans="1:24">
      <c r="A1820">
        <v>1649</v>
      </c>
      <c r="B1820" t="s">
        <v>4878</v>
      </c>
      <c r="C1820">
        <v>4</v>
      </c>
      <c r="D1820" t="s">
        <v>4879</v>
      </c>
      <c r="E1820">
        <v>2</v>
      </c>
      <c r="F1820">
        <v>2</v>
      </c>
      <c r="G1820">
        <v>2</v>
      </c>
      <c r="H1820" t="s">
        <v>4880</v>
      </c>
      <c r="I1820">
        <v>2.2000000000000002</v>
      </c>
      <c r="J1820">
        <v>121.83</v>
      </c>
      <c r="K1820" t="str">
        <f>"SH3PXD2A;SH3PXD2B"</f>
        <v>SH3PXD2A;SH3PXD2B</v>
      </c>
      <c r="L1820" t="str">
        <f>"SH3PXD2A;SH3PXD2B"</f>
        <v>SH3PXD2A;SH3PXD2B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>
      <c r="A1821">
        <v>1662</v>
      </c>
      <c r="B1821" t="s">
        <v>4881</v>
      </c>
      <c r="C1821">
        <v>3</v>
      </c>
      <c r="D1821" t="s">
        <v>4882</v>
      </c>
      <c r="E1821">
        <v>2</v>
      </c>
      <c r="F1821">
        <v>2</v>
      </c>
      <c r="G1821">
        <v>2</v>
      </c>
      <c r="H1821" t="s">
        <v>4883</v>
      </c>
      <c r="I1821">
        <v>4.5</v>
      </c>
      <c r="J1821">
        <v>54.470999999999997</v>
      </c>
      <c r="K1821" t="str">
        <f>"STEAP3"</f>
        <v>STEAP3</v>
      </c>
      <c r="L1821" t="str">
        <f>"STEAP3"</f>
        <v>STEAP3</v>
      </c>
      <c r="M1821">
        <v>0</v>
      </c>
      <c r="N1821">
        <v>0</v>
      </c>
      <c r="O1821">
        <v>0</v>
      </c>
      <c r="P1821">
        <v>84101000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</row>
    <row r="1822" spans="1:24">
      <c r="A1822">
        <v>1683</v>
      </c>
      <c r="B1822" t="s">
        <v>4884</v>
      </c>
      <c r="C1822">
        <v>1</v>
      </c>
      <c r="D1822" t="s">
        <v>4885</v>
      </c>
      <c r="E1822">
        <v>2</v>
      </c>
      <c r="F1822">
        <v>2</v>
      </c>
      <c r="G1822">
        <v>2</v>
      </c>
      <c r="H1822" t="s">
        <v>4884</v>
      </c>
      <c r="I1822">
        <v>21.7</v>
      </c>
      <c r="J1822">
        <v>20.555</v>
      </c>
      <c r="K1822" t="str">
        <f>"TNFAIP8L2"</f>
        <v>TNFAIP8L2</v>
      </c>
      <c r="L1822" t="str">
        <f>"TNFAIP8L2"</f>
        <v>TNFAIP8L2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14555000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</row>
    <row r="1823" spans="1:24">
      <c r="A1823">
        <v>1723</v>
      </c>
      <c r="B1823" t="s">
        <v>4886</v>
      </c>
      <c r="C1823">
        <v>1</v>
      </c>
      <c r="D1823" t="s">
        <v>4887</v>
      </c>
      <c r="E1823">
        <v>1</v>
      </c>
      <c r="F1823">
        <v>1</v>
      </c>
      <c r="G1823">
        <v>1</v>
      </c>
      <c r="H1823" t="s">
        <v>4886</v>
      </c>
      <c r="I1823">
        <v>1.3</v>
      </c>
      <c r="J1823">
        <v>86.572999999999993</v>
      </c>
      <c r="K1823" t="str">
        <f>"FASTKD5"</f>
        <v>FASTKD5</v>
      </c>
      <c r="L1823" t="str">
        <f>"FASTKD5"</f>
        <v>FASTKD5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11226000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</row>
    <row r="1824" spans="1:24">
      <c r="A1824">
        <v>1730</v>
      </c>
      <c r="B1824" t="s">
        <v>4888</v>
      </c>
      <c r="C1824">
        <v>1</v>
      </c>
      <c r="D1824" t="s">
        <v>4889</v>
      </c>
      <c r="E1824">
        <v>3</v>
      </c>
      <c r="F1824">
        <v>3</v>
      </c>
      <c r="G1824">
        <v>3</v>
      </c>
      <c r="H1824" t="s">
        <v>4888</v>
      </c>
      <c r="I1824">
        <v>2.2999999999999998</v>
      </c>
      <c r="J1824">
        <v>155.22999999999999</v>
      </c>
      <c r="K1824" t="str">
        <f>"DHX29"</f>
        <v>DHX29</v>
      </c>
      <c r="L1824" t="str">
        <f>"DHX29"</f>
        <v>DHX29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</row>
    <row r="1825" spans="1:24">
      <c r="A1825">
        <v>1737</v>
      </c>
      <c r="B1825" t="s">
        <v>4890</v>
      </c>
      <c r="C1825">
        <v>3</v>
      </c>
      <c r="D1825" t="s">
        <v>4891</v>
      </c>
      <c r="E1825">
        <v>4</v>
      </c>
      <c r="F1825">
        <v>4</v>
      </c>
      <c r="G1825">
        <v>4</v>
      </c>
      <c r="H1825" t="s">
        <v>4892</v>
      </c>
      <c r="I1825">
        <v>15.2</v>
      </c>
      <c r="J1825">
        <v>46.277000000000001</v>
      </c>
      <c r="K1825" t="str">
        <f>"ACOT1;ACOT2"</f>
        <v>ACOT1;ACOT2</v>
      </c>
      <c r="L1825" t="str">
        <f>"ACOT1;ACOT2"</f>
        <v>ACOT1;ACOT2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22141000</v>
      </c>
      <c r="T1825">
        <v>0</v>
      </c>
      <c r="U1825">
        <v>0</v>
      </c>
      <c r="V1825">
        <v>0</v>
      </c>
      <c r="W1825">
        <v>0</v>
      </c>
      <c r="X1825">
        <v>0</v>
      </c>
    </row>
    <row r="1826" spans="1:24">
      <c r="A1826">
        <v>1826</v>
      </c>
      <c r="B1826" t="s">
        <v>4893</v>
      </c>
      <c r="C1826">
        <v>2</v>
      </c>
      <c r="D1826" t="s">
        <v>4894</v>
      </c>
      <c r="E1826">
        <v>2</v>
      </c>
      <c r="F1826">
        <v>2</v>
      </c>
      <c r="G1826">
        <v>2</v>
      </c>
      <c r="H1826" t="s">
        <v>4895</v>
      </c>
      <c r="I1826">
        <v>12.9</v>
      </c>
      <c r="J1826">
        <v>23.382000000000001</v>
      </c>
      <c r="K1826" t="str">
        <f>"NT5C"</f>
        <v>NT5C</v>
      </c>
      <c r="L1826" t="str">
        <f>"NT5C"</f>
        <v>NT5C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22786000</v>
      </c>
    </row>
    <row r="1827" spans="1:24">
      <c r="A1827">
        <v>1861</v>
      </c>
      <c r="B1827" t="s">
        <v>4896</v>
      </c>
      <c r="C1827">
        <v>3</v>
      </c>
      <c r="D1827" t="s">
        <v>4897</v>
      </c>
      <c r="E1827">
        <v>5</v>
      </c>
      <c r="F1827">
        <v>5</v>
      </c>
      <c r="G1827">
        <v>5</v>
      </c>
      <c r="H1827" t="s">
        <v>4898</v>
      </c>
      <c r="I1827">
        <v>7.7</v>
      </c>
      <c r="J1827">
        <v>83.828999999999994</v>
      </c>
      <c r="K1827" t="str">
        <f>"ELMO1"</f>
        <v>ELMO1</v>
      </c>
      <c r="L1827" t="str">
        <f>"ELMO1"</f>
        <v>ELMO1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</row>
    <row r="1828" spans="1:24">
      <c r="A1828">
        <v>1868</v>
      </c>
      <c r="B1828" t="s">
        <v>4899</v>
      </c>
      <c r="C1828">
        <v>2</v>
      </c>
      <c r="D1828" t="s">
        <v>4900</v>
      </c>
      <c r="E1828">
        <v>4</v>
      </c>
      <c r="F1828">
        <v>4</v>
      </c>
      <c r="G1828">
        <v>4</v>
      </c>
      <c r="H1828" t="s">
        <v>4901</v>
      </c>
      <c r="I1828">
        <v>5.6</v>
      </c>
      <c r="J1828">
        <v>123.11</v>
      </c>
      <c r="K1828" t="str">
        <f>"ANKS1A"</f>
        <v>ANKS1A</v>
      </c>
      <c r="L1828" t="str">
        <f>"ANKS1A"</f>
        <v>ANKS1A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</row>
    <row r="1829" spans="1:24">
      <c r="A1829">
        <v>1869</v>
      </c>
      <c r="B1829" t="s">
        <v>4902</v>
      </c>
      <c r="C1829">
        <v>1</v>
      </c>
      <c r="D1829" t="s">
        <v>4903</v>
      </c>
      <c r="E1829">
        <v>2</v>
      </c>
      <c r="F1829">
        <v>2</v>
      </c>
      <c r="G1829">
        <v>2</v>
      </c>
      <c r="H1829" t="s">
        <v>4902</v>
      </c>
      <c r="I1829">
        <v>19.2</v>
      </c>
      <c r="J1829">
        <v>7.6184000000000003</v>
      </c>
      <c r="K1829" t="str">
        <f>"NRGN"</f>
        <v>NRGN</v>
      </c>
      <c r="L1829" t="str">
        <f>"NRGN"</f>
        <v>NRGN</v>
      </c>
      <c r="M1829">
        <v>0</v>
      </c>
      <c r="N1829">
        <v>0</v>
      </c>
      <c r="O1829">
        <v>0</v>
      </c>
      <c r="P1829">
        <v>16348000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</row>
    <row r="1830" spans="1:24">
      <c r="A1830">
        <v>1870</v>
      </c>
      <c r="B1830" t="s">
        <v>4904</v>
      </c>
      <c r="C1830">
        <v>1</v>
      </c>
      <c r="D1830" t="s">
        <v>4905</v>
      </c>
      <c r="E1830">
        <v>4</v>
      </c>
      <c r="F1830">
        <v>4</v>
      </c>
      <c r="G1830">
        <v>4</v>
      </c>
      <c r="H1830" t="s">
        <v>4904</v>
      </c>
      <c r="I1830">
        <v>8.8000000000000007</v>
      </c>
      <c r="J1830">
        <v>65.070999999999998</v>
      </c>
      <c r="K1830" t="str">
        <f>"RABGGTA"</f>
        <v>RABGGTA</v>
      </c>
      <c r="L1830" t="str">
        <f>"RABGGTA"</f>
        <v>RABGGTA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</row>
    <row r="1831" spans="1:24">
      <c r="A1831">
        <v>1876</v>
      </c>
      <c r="B1831" t="s">
        <v>4906</v>
      </c>
      <c r="C1831">
        <v>1</v>
      </c>
      <c r="D1831" t="s">
        <v>4907</v>
      </c>
      <c r="E1831">
        <v>4</v>
      </c>
      <c r="F1831">
        <v>4</v>
      </c>
      <c r="G1831">
        <v>4</v>
      </c>
      <c r="H1831" t="s">
        <v>4906</v>
      </c>
      <c r="I1831">
        <v>15.4</v>
      </c>
      <c r="J1831">
        <v>35.963999999999999</v>
      </c>
      <c r="K1831" t="str">
        <f>"GGH"</f>
        <v>GGH</v>
      </c>
      <c r="L1831" t="str">
        <f>"GGH"</f>
        <v>GGH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54562000</v>
      </c>
      <c r="V1831">
        <v>0</v>
      </c>
      <c r="W1831">
        <v>0</v>
      </c>
      <c r="X1831">
        <v>0</v>
      </c>
    </row>
    <row r="1832" spans="1:24">
      <c r="A1832">
        <v>1877</v>
      </c>
      <c r="B1832" t="s">
        <v>4908</v>
      </c>
      <c r="C1832">
        <v>5</v>
      </c>
      <c r="D1832" t="s">
        <v>4909</v>
      </c>
      <c r="E1832">
        <v>4</v>
      </c>
      <c r="F1832">
        <v>4</v>
      </c>
      <c r="G1832">
        <v>3</v>
      </c>
      <c r="H1832" t="s">
        <v>4910</v>
      </c>
      <c r="I1832">
        <v>4</v>
      </c>
      <c r="J1832">
        <v>133.19</v>
      </c>
      <c r="K1832" t="str">
        <f>"INPP5D;CLNK"</f>
        <v>INPP5D;CLNK</v>
      </c>
      <c r="L1832" t="str">
        <f>"INPP5D;CLNK"</f>
        <v>INPP5D;CLNK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</row>
    <row r="1833" spans="1:24">
      <c r="A1833">
        <v>1935</v>
      </c>
      <c r="B1833" t="s">
        <v>4911</v>
      </c>
      <c r="C1833">
        <v>1</v>
      </c>
      <c r="D1833" t="s">
        <v>4912</v>
      </c>
      <c r="E1833">
        <v>1</v>
      </c>
      <c r="F1833">
        <v>1</v>
      </c>
      <c r="G1833">
        <v>1</v>
      </c>
      <c r="H1833" t="s">
        <v>4911</v>
      </c>
      <c r="I1833">
        <v>4.3</v>
      </c>
      <c r="J1833">
        <v>32.962000000000003</v>
      </c>
      <c r="K1833" t="str">
        <f>"ZC3HAV1L"</f>
        <v>ZC3HAV1L</v>
      </c>
      <c r="L1833" t="str">
        <f>"ZC3HAV1L"</f>
        <v>ZC3HAV1L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</row>
    <row r="1834" spans="1:24">
      <c r="A1834">
        <v>1948</v>
      </c>
      <c r="B1834" t="s">
        <v>4913</v>
      </c>
      <c r="C1834">
        <v>2</v>
      </c>
      <c r="D1834" t="s">
        <v>4914</v>
      </c>
      <c r="E1834">
        <v>2</v>
      </c>
      <c r="F1834">
        <v>2</v>
      </c>
      <c r="G1834">
        <v>2</v>
      </c>
      <c r="H1834" t="s">
        <v>4915</v>
      </c>
      <c r="I1834">
        <v>3.4</v>
      </c>
      <c r="J1834">
        <v>63.404000000000003</v>
      </c>
      <c r="K1834" t="str">
        <f>"TMEM87B"</f>
        <v>TMEM87B</v>
      </c>
      <c r="L1834" t="str">
        <f>"TMEM87B"</f>
        <v>TMEM87B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</row>
    <row r="1835" spans="1:24">
      <c r="A1835">
        <v>1957</v>
      </c>
      <c r="B1835" t="s">
        <v>4916</v>
      </c>
      <c r="C1835">
        <v>2</v>
      </c>
      <c r="D1835" t="s">
        <v>4917</v>
      </c>
      <c r="E1835">
        <v>3</v>
      </c>
      <c r="F1835">
        <v>3</v>
      </c>
      <c r="G1835">
        <v>3</v>
      </c>
      <c r="H1835" t="s">
        <v>4918</v>
      </c>
      <c r="I1835">
        <v>12.9</v>
      </c>
      <c r="J1835">
        <v>32.520000000000003</v>
      </c>
      <c r="K1835" t="str">
        <f>"FGD4"</f>
        <v>FGD4</v>
      </c>
      <c r="L1835" t="str">
        <f>"FGD4"</f>
        <v>FGD4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</row>
    <row r="1836" spans="1:24">
      <c r="A1836">
        <v>2056</v>
      </c>
      <c r="B1836" t="s">
        <v>4919</v>
      </c>
      <c r="C1836">
        <v>1</v>
      </c>
      <c r="D1836" t="s">
        <v>4920</v>
      </c>
      <c r="E1836">
        <v>4</v>
      </c>
      <c r="F1836">
        <v>4</v>
      </c>
      <c r="G1836">
        <v>4</v>
      </c>
      <c r="H1836" t="s">
        <v>4919</v>
      </c>
      <c r="I1836">
        <v>3.5</v>
      </c>
      <c r="J1836">
        <v>136.68</v>
      </c>
      <c r="K1836" t="str">
        <f>"WDR11"</f>
        <v>WDR11</v>
      </c>
      <c r="L1836" t="str">
        <f>"WDR11"</f>
        <v>WDR11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</row>
    <row r="1837" spans="1:24">
      <c r="A1837">
        <v>2113</v>
      </c>
      <c r="B1837" t="s">
        <v>4921</v>
      </c>
      <c r="C1837">
        <v>1</v>
      </c>
      <c r="D1837" t="s">
        <v>4922</v>
      </c>
      <c r="E1837">
        <v>4</v>
      </c>
      <c r="F1837">
        <v>4</v>
      </c>
      <c r="G1837">
        <v>4</v>
      </c>
      <c r="H1837" t="s">
        <v>4921</v>
      </c>
      <c r="I1837">
        <v>21.7</v>
      </c>
      <c r="J1837">
        <v>27.797000000000001</v>
      </c>
      <c r="K1837" t="str">
        <f>"PLEKHF2"</f>
        <v>PLEKHF2</v>
      </c>
      <c r="L1837" t="str">
        <f>"PLEKHF2"</f>
        <v>PLEKHF2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</row>
    <row r="1838" spans="1:24">
      <c r="A1838">
        <v>2149</v>
      </c>
      <c r="B1838" t="s">
        <v>4923</v>
      </c>
      <c r="C1838">
        <v>3</v>
      </c>
      <c r="D1838" t="s">
        <v>4924</v>
      </c>
      <c r="E1838">
        <v>3</v>
      </c>
      <c r="F1838">
        <v>3</v>
      </c>
      <c r="G1838">
        <v>3</v>
      </c>
      <c r="H1838" t="s">
        <v>4925</v>
      </c>
      <c r="I1838">
        <v>18.3</v>
      </c>
      <c r="J1838">
        <v>21.231999999999999</v>
      </c>
      <c r="K1838" t="str">
        <f>"DIABLO"</f>
        <v>DIABLO</v>
      </c>
      <c r="L1838" t="str">
        <f>"DIABLO"</f>
        <v>DIABLO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</row>
    <row r="1839" spans="1:24">
      <c r="A1839">
        <v>2198</v>
      </c>
      <c r="B1839" t="s">
        <v>4926</v>
      </c>
      <c r="C1839">
        <v>3</v>
      </c>
      <c r="D1839" t="s">
        <v>4927</v>
      </c>
      <c r="E1839">
        <v>2</v>
      </c>
      <c r="F1839">
        <v>2</v>
      </c>
      <c r="G1839">
        <v>2</v>
      </c>
      <c r="H1839" t="s">
        <v>4928</v>
      </c>
      <c r="I1839">
        <v>4.5</v>
      </c>
      <c r="J1839">
        <v>58.076000000000001</v>
      </c>
      <c r="K1839" t="str">
        <f>"PSD3"</f>
        <v>PSD3</v>
      </c>
      <c r="L1839" t="str">
        <f>"PSD3"</f>
        <v>PSD3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36692000</v>
      </c>
      <c r="W1839">
        <v>0</v>
      </c>
      <c r="X1839">
        <v>0</v>
      </c>
    </row>
    <row r="1840" spans="1:24">
      <c r="A1840">
        <v>2220</v>
      </c>
      <c r="B1840" t="s">
        <v>4929</v>
      </c>
      <c r="C1840">
        <v>1</v>
      </c>
      <c r="D1840" t="s">
        <v>4930</v>
      </c>
      <c r="E1840">
        <v>5</v>
      </c>
      <c r="F1840">
        <v>5</v>
      </c>
      <c r="G1840">
        <v>5</v>
      </c>
      <c r="H1840" t="s">
        <v>4929</v>
      </c>
      <c r="I1840">
        <v>10</v>
      </c>
      <c r="J1840">
        <v>62.542999999999999</v>
      </c>
      <c r="K1840" t="str">
        <f>"SLAIN2"</f>
        <v>SLAIN2</v>
      </c>
      <c r="L1840" t="str">
        <f>"SLAIN2"</f>
        <v>SLAIN2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>
      <c r="A1841">
        <v>2252</v>
      </c>
      <c r="B1841" t="s">
        <v>4931</v>
      </c>
      <c r="C1841">
        <v>2</v>
      </c>
      <c r="D1841" t="s">
        <v>4932</v>
      </c>
      <c r="E1841">
        <v>3</v>
      </c>
      <c r="F1841">
        <v>3</v>
      </c>
      <c r="G1841">
        <v>3</v>
      </c>
      <c r="H1841" t="s">
        <v>4933</v>
      </c>
      <c r="I1841">
        <v>15.8</v>
      </c>
      <c r="J1841">
        <v>28.32</v>
      </c>
      <c r="K1841" t="str">
        <f>"BCAP29"</f>
        <v>BCAP29</v>
      </c>
      <c r="L1841" t="str">
        <f>"BCAP29"</f>
        <v>BCAP29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</row>
    <row r="1842" spans="1:24">
      <c r="A1842">
        <v>2289</v>
      </c>
      <c r="B1842" t="s">
        <v>4934</v>
      </c>
      <c r="C1842">
        <v>6</v>
      </c>
      <c r="D1842" t="s">
        <v>4935</v>
      </c>
      <c r="E1842">
        <v>4</v>
      </c>
      <c r="F1842">
        <v>4</v>
      </c>
      <c r="G1842">
        <v>4</v>
      </c>
      <c r="H1842" t="s">
        <v>4936</v>
      </c>
      <c r="I1842">
        <v>9.8000000000000007</v>
      </c>
      <c r="J1842">
        <v>59.219000000000001</v>
      </c>
      <c r="K1842" t="str">
        <f>"UBQLN1;UBQLN4;UBQLN2"</f>
        <v>UBQLN1;UBQLN4;UBQLN2</v>
      </c>
      <c r="L1842" t="str">
        <f>"UBQLN1;UBQLN4;UBQLN2"</f>
        <v>UBQLN1;UBQLN4;UBQLN2</v>
      </c>
      <c r="M1842">
        <v>0</v>
      </c>
      <c r="N1842">
        <v>12301000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</row>
    <row r="1843" spans="1:24">
      <c r="A1843">
        <v>48</v>
      </c>
      <c r="B1843" t="s">
        <v>4937</v>
      </c>
      <c r="C1843">
        <v>5</v>
      </c>
      <c r="D1843" t="s">
        <v>4938</v>
      </c>
      <c r="E1843">
        <v>1</v>
      </c>
      <c r="F1843">
        <v>1</v>
      </c>
      <c r="G1843">
        <v>1</v>
      </c>
      <c r="H1843" t="s">
        <v>4939</v>
      </c>
      <c r="I1843">
        <v>3.7</v>
      </c>
      <c r="J1843">
        <v>30.488</v>
      </c>
      <c r="K1843" t="str">
        <f>"DDX39A;DDX39B"</f>
        <v>DDX39A;DDX39B</v>
      </c>
      <c r="L1843" t="str">
        <f>"DDX39A;DDX39B"</f>
        <v>DDX39A;DDX39B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12005000</v>
      </c>
      <c r="V1843">
        <v>0</v>
      </c>
      <c r="W1843">
        <v>0</v>
      </c>
      <c r="X1843">
        <v>0</v>
      </c>
    </row>
    <row r="1844" spans="1:24">
      <c r="A1844">
        <v>77</v>
      </c>
      <c r="B1844" t="s">
        <v>4940</v>
      </c>
      <c r="C1844">
        <v>1</v>
      </c>
      <c r="D1844" t="s">
        <v>4941</v>
      </c>
      <c r="E1844">
        <v>2</v>
      </c>
      <c r="F1844">
        <v>2</v>
      </c>
      <c r="G1844">
        <v>2</v>
      </c>
      <c r="H1844" t="s">
        <v>4940</v>
      </c>
      <c r="I1844">
        <v>10.199999999999999</v>
      </c>
      <c r="J1844">
        <v>29.48</v>
      </c>
      <c r="K1844" t="str">
        <f>"RNASET2"</f>
        <v>RNASET2</v>
      </c>
      <c r="L1844" t="str">
        <f>"RNASET2"</f>
        <v>RNASET2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</row>
    <row r="1845" spans="1:24">
      <c r="A1845">
        <v>122</v>
      </c>
      <c r="B1845" t="s">
        <v>4942</v>
      </c>
      <c r="C1845">
        <v>2</v>
      </c>
      <c r="D1845" t="s">
        <v>4943</v>
      </c>
      <c r="E1845">
        <v>4</v>
      </c>
      <c r="F1845">
        <v>4</v>
      </c>
      <c r="G1845">
        <v>3</v>
      </c>
      <c r="H1845" t="s">
        <v>4944</v>
      </c>
      <c r="I1845">
        <v>17</v>
      </c>
      <c r="J1845">
        <v>29.937000000000001</v>
      </c>
      <c r="K1845" t="str">
        <f>"CTDSPL"</f>
        <v>CTDSPL</v>
      </c>
      <c r="L1845" t="str">
        <f>"CTDSPL"</f>
        <v>CTDSPL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40338000</v>
      </c>
    </row>
    <row r="1846" spans="1:24">
      <c r="A1846">
        <v>125</v>
      </c>
      <c r="B1846" t="s">
        <v>4945</v>
      </c>
      <c r="C1846">
        <v>3</v>
      </c>
      <c r="D1846" t="s">
        <v>4946</v>
      </c>
      <c r="E1846">
        <v>2</v>
      </c>
      <c r="F1846">
        <v>2</v>
      </c>
      <c r="G1846">
        <v>2</v>
      </c>
      <c r="H1846" t="s">
        <v>4947</v>
      </c>
      <c r="I1846">
        <v>14.5</v>
      </c>
      <c r="J1846">
        <v>17.97</v>
      </c>
      <c r="K1846" t="str">
        <f>"SURF4"</f>
        <v>SURF4</v>
      </c>
      <c r="L1846" t="str">
        <f>"SURF4"</f>
        <v>SURF4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</row>
    <row r="1847" spans="1:24">
      <c r="A1847">
        <v>157</v>
      </c>
      <c r="B1847" t="s">
        <v>4948</v>
      </c>
      <c r="C1847">
        <v>2</v>
      </c>
      <c r="D1847" t="s">
        <v>4949</v>
      </c>
      <c r="E1847">
        <v>3</v>
      </c>
      <c r="F1847">
        <v>3</v>
      </c>
      <c r="G1847">
        <v>3</v>
      </c>
      <c r="H1847" t="s">
        <v>4950</v>
      </c>
      <c r="I1847">
        <v>18.3</v>
      </c>
      <c r="J1847">
        <v>20.274000000000001</v>
      </c>
      <c r="K1847" t="str">
        <f>"TRAPPC3"</f>
        <v>TRAPPC3</v>
      </c>
      <c r="L1847" t="str">
        <f>"TRAPPC3"</f>
        <v>TRAPPC3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>
      <c r="A1848">
        <v>206</v>
      </c>
      <c r="B1848" t="s">
        <v>4951</v>
      </c>
      <c r="C1848">
        <v>4</v>
      </c>
      <c r="D1848" t="s">
        <v>4952</v>
      </c>
      <c r="E1848">
        <v>2</v>
      </c>
      <c r="F1848">
        <v>2</v>
      </c>
      <c r="G1848">
        <v>2</v>
      </c>
      <c r="H1848" t="s">
        <v>4953</v>
      </c>
      <c r="I1848">
        <v>22.3</v>
      </c>
      <c r="J1848">
        <v>10.504</v>
      </c>
      <c r="K1848" t="str">
        <f>"GGCT"</f>
        <v>GGCT</v>
      </c>
      <c r="L1848" t="str">
        <f>"GGCT"</f>
        <v>GGCT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12504000</v>
      </c>
      <c r="V1848">
        <v>0</v>
      </c>
      <c r="W1848">
        <v>0</v>
      </c>
      <c r="X1848">
        <v>0</v>
      </c>
    </row>
    <row r="1849" spans="1:24">
      <c r="A1849">
        <v>257</v>
      </c>
      <c r="B1849" t="s">
        <v>4954</v>
      </c>
      <c r="C1849">
        <v>1</v>
      </c>
      <c r="D1849" t="s">
        <v>4955</v>
      </c>
      <c r="E1849">
        <v>3</v>
      </c>
      <c r="F1849">
        <v>3</v>
      </c>
      <c r="G1849">
        <v>3</v>
      </c>
      <c r="H1849" t="s">
        <v>4954</v>
      </c>
      <c r="I1849">
        <v>11.3</v>
      </c>
      <c r="J1849">
        <v>34.113999999999997</v>
      </c>
      <c r="K1849" t="str">
        <f>"ZFPL1"</f>
        <v>ZFPL1</v>
      </c>
      <c r="L1849" t="str">
        <f>"ZFPL1"</f>
        <v>ZFPL1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</row>
    <row r="1850" spans="1:24">
      <c r="A1850">
        <v>271</v>
      </c>
      <c r="B1850" t="s">
        <v>4956</v>
      </c>
      <c r="C1850">
        <v>1</v>
      </c>
      <c r="D1850" t="s">
        <v>4957</v>
      </c>
      <c r="E1850">
        <v>2</v>
      </c>
      <c r="F1850">
        <v>2</v>
      </c>
      <c r="G1850">
        <v>2</v>
      </c>
      <c r="H1850" t="s">
        <v>4956</v>
      </c>
      <c r="I1850">
        <v>6.4</v>
      </c>
      <c r="J1850">
        <v>57.011000000000003</v>
      </c>
      <c r="K1850" t="str">
        <f>"VNN1"</f>
        <v>VNN1</v>
      </c>
      <c r="L1850" t="str">
        <f>"VNN1"</f>
        <v>VNN1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</row>
    <row r="1851" spans="1:24">
      <c r="A1851">
        <v>288</v>
      </c>
      <c r="B1851" t="s">
        <v>4958</v>
      </c>
      <c r="C1851">
        <v>1</v>
      </c>
      <c r="D1851" t="s">
        <v>4959</v>
      </c>
      <c r="E1851">
        <v>2</v>
      </c>
      <c r="F1851">
        <v>2</v>
      </c>
      <c r="G1851">
        <v>2</v>
      </c>
      <c r="H1851" t="s">
        <v>4958</v>
      </c>
      <c r="I1851">
        <v>10.5</v>
      </c>
      <c r="J1851">
        <v>19.206</v>
      </c>
      <c r="K1851" t="str">
        <f>"TXNDC12"</f>
        <v>TXNDC12</v>
      </c>
      <c r="L1851" t="str">
        <f>"TXNDC12"</f>
        <v>TXNDC12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</row>
    <row r="1852" spans="1:24">
      <c r="A1852">
        <v>430</v>
      </c>
      <c r="B1852" t="s">
        <v>4960</v>
      </c>
      <c r="C1852">
        <v>1</v>
      </c>
      <c r="D1852" t="s">
        <v>4961</v>
      </c>
      <c r="E1852">
        <v>3</v>
      </c>
      <c r="F1852">
        <v>3</v>
      </c>
      <c r="G1852">
        <v>3</v>
      </c>
      <c r="H1852" t="s">
        <v>4960</v>
      </c>
      <c r="I1852">
        <v>28</v>
      </c>
      <c r="J1852">
        <v>20.018999999999998</v>
      </c>
      <c r="K1852" t="str">
        <f>"FTL"</f>
        <v>FTL</v>
      </c>
      <c r="L1852" t="str">
        <f>"FTL"</f>
        <v>FTL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</row>
    <row r="1853" spans="1:24">
      <c r="A1853">
        <v>486</v>
      </c>
      <c r="B1853" t="s">
        <v>4962</v>
      </c>
      <c r="C1853">
        <v>3</v>
      </c>
      <c r="D1853" t="s">
        <v>4963</v>
      </c>
      <c r="E1853">
        <v>2</v>
      </c>
      <c r="F1853">
        <v>2</v>
      </c>
      <c r="G1853">
        <v>2</v>
      </c>
      <c r="H1853" t="s">
        <v>4964</v>
      </c>
      <c r="I1853">
        <v>8.1999999999999993</v>
      </c>
      <c r="J1853">
        <v>27.434999999999999</v>
      </c>
      <c r="K1853" t="str">
        <f>"RPLP0;RPLP0P6"</f>
        <v>RPLP0;RPLP0P6</v>
      </c>
      <c r="L1853" t="str">
        <f>"RPLP0;RPLP0P6"</f>
        <v>RPLP0;RPLP0P6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20932000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</row>
    <row r="1854" spans="1:24">
      <c r="A1854">
        <v>548</v>
      </c>
      <c r="B1854" t="s">
        <v>4965</v>
      </c>
      <c r="C1854">
        <v>7</v>
      </c>
      <c r="D1854" t="s">
        <v>4966</v>
      </c>
      <c r="E1854">
        <v>4</v>
      </c>
      <c r="F1854">
        <v>4</v>
      </c>
      <c r="G1854">
        <v>4</v>
      </c>
      <c r="H1854" t="s">
        <v>4967</v>
      </c>
      <c r="I1854">
        <v>12.1</v>
      </c>
      <c r="J1854">
        <v>48.512999999999998</v>
      </c>
      <c r="K1854" t="str">
        <f>"CD55"</f>
        <v>CD55</v>
      </c>
      <c r="L1854" t="str">
        <f>"CD55"</f>
        <v>CD55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</row>
    <row r="1855" spans="1:24">
      <c r="A1855">
        <v>555</v>
      </c>
      <c r="B1855" t="s">
        <v>4968</v>
      </c>
      <c r="C1855">
        <v>1</v>
      </c>
      <c r="D1855" t="s">
        <v>4969</v>
      </c>
      <c r="E1855">
        <v>3</v>
      </c>
      <c r="F1855">
        <v>3</v>
      </c>
      <c r="G1855">
        <v>3</v>
      </c>
      <c r="H1855" t="s">
        <v>4968</v>
      </c>
      <c r="I1855">
        <v>13.7</v>
      </c>
      <c r="J1855">
        <v>28.837</v>
      </c>
      <c r="K1855" t="str">
        <f>"CTSG"</f>
        <v>CTSG</v>
      </c>
      <c r="L1855" t="str">
        <f>"CTSG"</f>
        <v>CTSG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</row>
    <row r="1856" spans="1:24">
      <c r="A1856">
        <v>631</v>
      </c>
      <c r="B1856" t="s">
        <v>4970</v>
      </c>
      <c r="C1856">
        <v>1</v>
      </c>
      <c r="D1856" t="s">
        <v>4971</v>
      </c>
      <c r="E1856">
        <v>3</v>
      </c>
      <c r="F1856">
        <v>3</v>
      </c>
      <c r="G1856">
        <v>3</v>
      </c>
      <c r="H1856" t="s">
        <v>4970</v>
      </c>
      <c r="I1856">
        <v>8.5</v>
      </c>
      <c r="J1856">
        <v>53.485999999999997</v>
      </c>
      <c r="K1856" t="str">
        <f>"DBT"</f>
        <v>DBT</v>
      </c>
      <c r="L1856" t="str">
        <f>"DBT"</f>
        <v>DBT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</row>
    <row r="1857" spans="1:24">
      <c r="A1857">
        <v>684</v>
      </c>
      <c r="B1857" t="s">
        <v>4972</v>
      </c>
      <c r="C1857">
        <v>1</v>
      </c>
      <c r="D1857" t="s">
        <v>4973</v>
      </c>
      <c r="E1857">
        <v>1</v>
      </c>
      <c r="F1857">
        <v>1</v>
      </c>
      <c r="G1857">
        <v>1</v>
      </c>
      <c r="H1857" t="s">
        <v>4972</v>
      </c>
      <c r="I1857">
        <v>15.7</v>
      </c>
      <c r="J1857">
        <v>9.3958999999999993</v>
      </c>
      <c r="K1857" t="str">
        <f>"COX7A2"</f>
        <v>COX7A2</v>
      </c>
      <c r="L1857" t="str">
        <f>"COX7A2"</f>
        <v>COX7A2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</row>
    <row r="1858" spans="1:24">
      <c r="A1858">
        <v>702</v>
      </c>
      <c r="B1858" t="s">
        <v>4974</v>
      </c>
      <c r="C1858">
        <v>1</v>
      </c>
      <c r="D1858" t="s">
        <v>4975</v>
      </c>
      <c r="E1858">
        <v>2</v>
      </c>
      <c r="F1858">
        <v>2</v>
      </c>
      <c r="G1858">
        <v>2</v>
      </c>
      <c r="H1858" t="s">
        <v>4974</v>
      </c>
      <c r="I1858">
        <v>8.3000000000000007</v>
      </c>
      <c r="J1858">
        <v>26.181999999999999</v>
      </c>
      <c r="K1858" t="str">
        <f>"UCHL3"</f>
        <v>UCHL3</v>
      </c>
      <c r="L1858" t="str">
        <f>"UCHL3"</f>
        <v>UCHL3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8987100</v>
      </c>
      <c r="T1858">
        <v>0</v>
      </c>
      <c r="U1858">
        <v>0</v>
      </c>
      <c r="V1858">
        <v>0</v>
      </c>
      <c r="W1858">
        <v>0</v>
      </c>
      <c r="X1858">
        <v>0</v>
      </c>
    </row>
    <row r="1859" spans="1:24">
      <c r="A1859">
        <v>723</v>
      </c>
      <c r="B1859" t="s">
        <v>4976</v>
      </c>
      <c r="C1859">
        <v>1</v>
      </c>
      <c r="D1859" t="s">
        <v>4977</v>
      </c>
      <c r="E1859">
        <v>1</v>
      </c>
      <c r="F1859">
        <v>1</v>
      </c>
      <c r="G1859">
        <v>1</v>
      </c>
      <c r="H1859" t="s">
        <v>4976</v>
      </c>
      <c r="I1859">
        <v>4.5999999999999996</v>
      </c>
      <c r="J1859">
        <v>46.564</v>
      </c>
      <c r="K1859" t="str">
        <f>"NAGA"</f>
        <v>NAGA</v>
      </c>
      <c r="L1859" t="str">
        <f>"NAGA"</f>
        <v>NAGA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93142000</v>
      </c>
    </row>
    <row r="1860" spans="1:24">
      <c r="A1860">
        <v>729</v>
      </c>
      <c r="B1860" t="s">
        <v>4978</v>
      </c>
      <c r="C1860">
        <v>2</v>
      </c>
      <c r="D1860" t="s">
        <v>4979</v>
      </c>
      <c r="E1860">
        <v>5</v>
      </c>
      <c r="F1860">
        <v>5</v>
      </c>
      <c r="G1860">
        <v>5</v>
      </c>
      <c r="H1860" t="s">
        <v>4980</v>
      </c>
      <c r="I1860">
        <v>9.4</v>
      </c>
      <c r="J1860">
        <v>79.994</v>
      </c>
      <c r="K1860" t="str">
        <f>"CAPN2"</f>
        <v>CAPN2</v>
      </c>
      <c r="L1860" t="str">
        <f>"CAPN2"</f>
        <v>CAPN2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</row>
    <row r="1861" spans="1:24">
      <c r="A1861">
        <v>747</v>
      </c>
      <c r="B1861" t="s">
        <v>4981</v>
      </c>
      <c r="C1861">
        <v>1</v>
      </c>
      <c r="D1861" t="s">
        <v>4982</v>
      </c>
      <c r="E1861">
        <v>3</v>
      </c>
      <c r="F1861">
        <v>3</v>
      </c>
      <c r="G1861">
        <v>3</v>
      </c>
      <c r="H1861" t="s">
        <v>4981</v>
      </c>
      <c r="I1861">
        <v>17.3</v>
      </c>
      <c r="J1861">
        <v>27.390999999999998</v>
      </c>
      <c r="K1861" t="str">
        <f>"NDUFV2"</f>
        <v>NDUFV2</v>
      </c>
      <c r="L1861" t="str">
        <f>"NDUFV2"</f>
        <v>NDUFV2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</row>
    <row r="1862" spans="1:24">
      <c r="A1862">
        <v>758</v>
      </c>
      <c r="B1862" t="s">
        <v>4983</v>
      </c>
      <c r="C1862">
        <v>1</v>
      </c>
      <c r="D1862" t="s">
        <v>4984</v>
      </c>
      <c r="E1862">
        <v>3</v>
      </c>
      <c r="F1862">
        <v>3</v>
      </c>
      <c r="G1862">
        <v>3</v>
      </c>
      <c r="H1862" t="s">
        <v>4983</v>
      </c>
      <c r="I1862">
        <v>11.2</v>
      </c>
      <c r="J1862">
        <v>26.885000000000002</v>
      </c>
      <c r="K1862" t="str">
        <f>"AZU1"</f>
        <v>AZU1</v>
      </c>
      <c r="L1862" t="str">
        <f>"AZU1"</f>
        <v>AZU1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>
      <c r="A1863">
        <v>806</v>
      </c>
      <c r="B1863" t="s">
        <v>4985</v>
      </c>
      <c r="C1863">
        <v>8</v>
      </c>
      <c r="D1863" t="s">
        <v>4986</v>
      </c>
      <c r="E1863">
        <v>2</v>
      </c>
      <c r="F1863">
        <v>2</v>
      </c>
      <c r="G1863">
        <v>2</v>
      </c>
      <c r="H1863" t="s">
        <v>4987</v>
      </c>
      <c r="I1863">
        <v>1</v>
      </c>
      <c r="J1863">
        <v>214.5</v>
      </c>
      <c r="K1863" t="str">
        <f>"PTPRB;PTPRO"</f>
        <v>PTPRB;PTPRO</v>
      </c>
      <c r="L1863" t="str">
        <f>"PTPRB;PTPRO"</f>
        <v>PTPRB;PTPRO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36236000</v>
      </c>
    </row>
    <row r="1864" spans="1:24">
      <c r="A1864">
        <v>824</v>
      </c>
      <c r="B1864" t="s">
        <v>4988</v>
      </c>
      <c r="C1864">
        <v>1</v>
      </c>
      <c r="D1864" t="s">
        <v>4989</v>
      </c>
      <c r="E1864">
        <v>4</v>
      </c>
      <c r="F1864">
        <v>4</v>
      </c>
      <c r="G1864">
        <v>4</v>
      </c>
      <c r="H1864" t="s">
        <v>4988</v>
      </c>
      <c r="I1864">
        <v>35.6</v>
      </c>
      <c r="J1864">
        <v>14.515000000000001</v>
      </c>
      <c r="K1864" t="str">
        <f>"RPS12"</f>
        <v>RPS12</v>
      </c>
      <c r="L1864" t="str">
        <f>"RPS12"</f>
        <v>RPS12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41783000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</row>
    <row r="1865" spans="1:24">
      <c r="A1865">
        <v>851</v>
      </c>
      <c r="B1865" t="s">
        <v>4990</v>
      </c>
      <c r="C1865">
        <v>3</v>
      </c>
      <c r="D1865" t="s">
        <v>4991</v>
      </c>
      <c r="E1865">
        <v>1</v>
      </c>
      <c r="F1865">
        <v>1</v>
      </c>
      <c r="G1865">
        <v>1</v>
      </c>
      <c r="H1865" t="s">
        <v>4992</v>
      </c>
      <c r="I1865">
        <v>2</v>
      </c>
      <c r="J1865">
        <v>102.9</v>
      </c>
      <c r="K1865" t="str">
        <f>"MAP4"</f>
        <v>MAP4</v>
      </c>
      <c r="L1865" t="str">
        <f>"MAP4"</f>
        <v>MAP4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20697000</v>
      </c>
    </row>
    <row r="1866" spans="1:24">
      <c r="A1866">
        <v>857</v>
      </c>
      <c r="B1866" t="s">
        <v>4993</v>
      </c>
      <c r="C1866">
        <v>2</v>
      </c>
      <c r="D1866" t="s">
        <v>4994</v>
      </c>
      <c r="E1866">
        <v>1</v>
      </c>
      <c r="F1866">
        <v>1</v>
      </c>
      <c r="G1866">
        <v>1</v>
      </c>
      <c r="H1866" t="s">
        <v>4995</v>
      </c>
      <c r="I1866">
        <v>5.7</v>
      </c>
      <c r="J1866">
        <v>22.327999999999999</v>
      </c>
      <c r="K1866" t="str">
        <f>"PSMB9"</f>
        <v>PSMB9</v>
      </c>
      <c r="L1866" t="str">
        <f>"PSMB9"</f>
        <v>PSMB9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</row>
    <row r="1867" spans="1:24">
      <c r="A1867">
        <v>912</v>
      </c>
      <c r="B1867" t="s">
        <v>4996</v>
      </c>
      <c r="C1867">
        <v>1</v>
      </c>
      <c r="D1867" t="s">
        <v>4997</v>
      </c>
      <c r="E1867">
        <v>1</v>
      </c>
      <c r="F1867">
        <v>1</v>
      </c>
      <c r="G1867">
        <v>1</v>
      </c>
      <c r="H1867" t="s">
        <v>4996</v>
      </c>
      <c r="I1867">
        <v>3.5</v>
      </c>
      <c r="J1867">
        <v>50.097000000000001</v>
      </c>
      <c r="K1867" t="str">
        <f>"ADSS"</f>
        <v>ADSS</v>
      </c>
      <c r="L1867" t="str">
        <f>"ADSS"</f>
        <v>ADSS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>
      <c r="A1868">
        <v>924</v>
      </c>
      <c r="B1868" t="s">
        <v>4998</v>
      </c>
      <c r="C1868">
        <v>2</v>
      </c>
      <c r="D1868" t="s">
        <v>4999</v>
      </c>
      <c r="E1868">
        <v>3</v>
      </c>
      <c r="F1868">
        <v>3</v>
      </c>
      <c r="G1868">
        <v>3</v>
      </c>
      <c r="H1868" t="s">
        <v>5000</v>
      </c>
      <c r="I1868">
        <v>10.3</v>
      </c>
      <c r="J1868">
        <v>44.868000000000002</v>
      </c>
      <c r="K1868" t="str">
        <f>"DNAJA1"</f>
        <v>DNAJA1</v>
      </c>
      <c r="L1868" t="str">
        <f>"DNAJA1"</f>
        <v>DNAJA1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</row>
    <row r="1869" spans="1:24">
      <c r="A1869">
        <v>998</v>
      </c>
      <c r="B1869" t="s">
        <v>5001</v>
      </c>
      <c r="C1869">
        <v>1</v>
      </c>
      <c r="D1869" t="s">
        <v>5002</v>
      </c>
      <c r="E1869">
        <v>3</v>
      </c>
      <c r="F1869">
        <v>3</v>
      </c>
      <c r="G1869">
        <v>3</v>
      </c>
      <c r="H1869" t="s">
        <v>5001</v>
      </c>
      <c r="I1869">
        <v>17.2</v>
      </c>
      <c r="J1869">
        <v>16.059999999999999</v>
      </c>
      <c r="K1869" t="str">
        <f>"RPS19"</f>
        <v>RPS19</v>
      </c>
      <c r="L1869" t="str">
        <f>"RPS19"</f>
        <v>RPS19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</row>
    <row r="1870" spans="1:24">
      <c r="A1870">
        <v>1003</v>
      </c>
      <c r="B1870" t="s">
        <v>5003</v>
      </c>
      <c r="C1870">
        <v>1</v>
      </c>
      <c r="D1870" t="s">
        <v>5004</v>
      </c>
      <c r="E1870">
        <v>2</v>
      </c>
      <c r="F1870">
        <v>2</v>
      </c>
      <c r="G1870">
        <v>2</v>
      </c>
      <c r="H1870" t="s">
        <v>5003</v>
      </c>
      <c r="I1870">
        <v>9.9</v>
      </c>
      <c r="J1870">
        <v>28.936</v>
      </c>
      <c r="K1870" t="str">
        <f>"PSMB10"</f>
        <v>PSMB10</v>
      </c>
      <c r="L1870" t="str">
        <f>"PSMB10"</f>
        <v>PSMB10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>
      <c r="A1871">
        <v>1054</v>
      </c>
      <c r="B1871" t="s">
        <v>5005</v>
      </c>
      <c r="C1871">
        <v>3</v>
      </c>
      <c r="D1871" t="s">
        <v>5006</v>
      </c>
      <c r="E1871">
        <v>5</v>
      </c>
      <c r="F1871">
        <v>5</v>
      </c>
      <c r="G1871">
        <v>5</v>
      </c>
      <c r="H1871" t="s">
        <v>5007</v>
      </c>
      <c r="I1871">
        <v>19.5</v>
      </c>
      <c r="J1871">
        <v>37.478000000000002</v>
      </c>
      <c r="K1871" t="str">
        <f>"GYG1"</f>
        <v>GYG1</v>
      </c>
      <c r="L1871" t="str">
        <f>"GYG1"</f>
        <v>GYG1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</row>
    <row r="1872" spans="1:24">
      <c r="A1872">
        <v>1067</v>
      </c>
      <c r="B1872" t="s">
        <v>5008</v>
      </c>
      <c r="C1872">
        <v>3</v>
      </c>
      <c r="D1872" t="s">
        <v>5009</v>
      </c>
      <c r="E1872">
        <v>4</v>
      </c>
      <c r="F1872">
        <v>4</v>
      </c>
      <c r="G1872">
        <v>4</v>
      </c>
      <c r="H1872" t="s">
        <v>5010</v>
      </c>
      <c r="I1872">
        <v>7.8</v>
      </c>
      <c r="J1872">
        <v>74.216999999999999</v>
      </c>
      <c r="K1872" t="str">
        <f>"LSS"</f>
        <v>LSS</v>
      </c>
      <c r="L1872" t="str">
        <f>"LSS"</f>
        <v>LSS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</row>
    <row r="1873" spans="1:24">
      <c r="A1873">
        <v>1085</v>
      </c>
      <c r="B1873" t="s">
        <v>5011</v>
      </c>
      <c r="C1873">
        <v>2</v>
      </c>
      <c r="D1873" t="s">
        <v>5012</v>
      </c>
      <c r="E1873">
        <v>2</v>
      </c>
      <c r="F1873">
        <v>2</v>
      </c>
      <c r="G1873">
        <v>2</v>
      </c>
      <c r="H1873" t="s">
        <v>5013</v>
      </c>
      <c r="I1873">
        <v>6.4</v>
      </c>
      <c r="J1873">
        <v>36.491999999999997</v>
      </c>
      <c r="K1873" t="str">
        <f>"FNTA"</f>
        <v>FNTA</v>
      </c>
      <c r="L1873" t="str">
        <f>"FNTA"</f>
        <v>FNTA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</row>
    <row r="1874" spans="1:24">
      <c r="A1874">
        <v>1120</v>
      </c>
      <c r="B1874" t="s">
        <v>5014</v>
      </c>
      <c r="C1874">
        <v>1</v>
      </c>
      <c r="D1874" t="s">
        <v>5015</v>
      </c>
      <c r="E1874">
        <v>2</v>
      </c>
      <c r="F1874">
        <v>2</v>
      </c>
      <c r="G1874">
        <v>2</v>
      </c>
      <c r="H1874" t="s">
        <v>5014</v>
      </c>
      <c r="I1874">
        <v>15.6</v>
      </c>
      <c r="J1874">
        <v>16.829000000000001</v>
      </c>
      <c r="K1874" t="str">
        <f>"NUDT2"</f>
        <v>NUDT2</v>
      </c>
      <c r="L1874" t="str">
        <f>"NUDT2"</f>
        <v>NUDT2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</row>
    <row r="1875" spans="1:24">
      <c r="A1875">
        <v>1160</v>
      </c>
      <c r="B1875" t="s">
        <v>5016</v>
      </c>
      <c r="C1875">
        <v>1</v>
      </c>
      <c r="D1875" t="s">
        <v>5017</v>
      </c>
      <c r="E1875">
        <v>3</v>
      </c>
      <c r="F1875">
        <v>3</v>
      </c>
      <c r="G1875">
        <v>3</v>
      </c>
      <c r="H1875" t="s">
        <v>5016</v>
      </c>
      <c r="I1875">
        <v>7</v>
      </c>
      <c r="J1875">
        <v>56.878</v>
      </c>
      <c r="K1875" t="str">
        <f>"PPP5C"</f>
        <v>PPP5C</v>
      </c>
      <c r="L1875" t="str">
        <f>"PPP5C"</f>
        <v>PPP5C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</row>
    <row r="1876" spans="1:24">
      <c r="A1876">
        <v>1200</v>
      </c>
      <c r="B1876" t="s">
        <v>5018</v>
      </c>
      <c r="C1876">
        <v>5</v>
      </c>
      <c r="D1876" t="s">
        <v>5019</v>
      </c>
      <c r="E1876">
        <v>1</v>
      </c>
      <c r="F1876">
        <v>1</v>
      </c>
      <c r="G1876">
        <v>1</v>
      </c>
      <c r="H1876" t="s">
        <v>5020</v>
      </c>
      <c r="I1876">
        <v>16.899999999999999</v>
      </c>
      <c r="J1876">
        <v>8.1111000000000004</v>
      </c>
      <c r="K1876" t="str">
        <f>"SUMO2;SUMO4;SUMO3"</f>
        <v>SUMO2;SUMO4;SUMO3</v>
      </c>
      <c r="L1876" t="str">
        <f>"SUMO2;SUMO4;SUMO3"</f>
        <v>SUMO2;SUMO4;SUMO3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40882000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</row>
    <row r="1877" spans="1:24">
      <c r="A1877">
        <v>1368</v>
      </c>
      <c r="B1877" t="s">
        <v>5021</v>
      </c>
      <c r="C1877">
        <v>1</v>
      </c>
      <c r="D1877" t="s">
        <v>5022</v>
      </c>
      <c r="E1877">
        <v>3</v>
      </c>
      <c r="F1877">
        <v>3</v>
      </c>
      <c r="G1877">
        <v>3</v>
      </c>
      <c r="H1877" t="s">
        <v>5021</v>
      </c>
      <c r="I1877">
        <v>6.9</v>
      </c>
      <c r="J1877">
        <v>57.152000000000001</v>
      </c>
      <c r="K1877" t="str">
        <f>"ACVR1"</f>
        <v>ACVR1</v>
      </c>
      <c r="L1877" t="str">
        <f>"ACVR1"</f>
        <v>ACVR1</v>
      </c>
      <c r="M1877">
        <v>0</v>
      </c>
      <c r="N1877">
        <v>0</v>
      </c>
      <c r="O1877">
        <v>26082000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>
      <c r="A1878">
        <v>1406</v>
      </c>
      <c r="B1878" t="s">
        <v>5023</v>
      </c>
      <c r="C1878">
        <v>2</v>
      </c>
      <c r="D1878" t="s">
        <v>5024</v>
      </c>
      <c r="E1878">
        <v>4</v>
      </c>
      <c r="F1878">
        <v>4</v>
      </c>
      <c r="G1878">
        <v>4</v>
      </c>
      <c r="H1878" t="s">
        <v>5025</v>
      </c>
      <c r="I1878">
        <v>12.6</v>
      </c>
      <c r="J1878">
        <v>58.252000000000002</v>
      </c>
      <c r="K1878" t="str">
        <f>"PMPCA"</f>
        <v>PMPCA</v>
      </c>
      <c r="L1878" t="str">
        <f>"PMPCA"</f>
        <v>PMPCA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>
      <c r="A1879">
        <v>1413</v>
      </c>
      <c r="B1879" t="s">
        <v>5026</v>
      </c>
      <c r="C1879">
        <v>2</v>
      </c>
      <c r="D1879" t="s">
        <v>5027</v>
      </c>
      <c r="E1879">
        <v>4</v>
      </c>
      <c r="F1879">
        <v>4</v>
      </c>
      <c r="G1879">
        <v>4</v>
      </c>
      <c r="H1879" t="s">
        <v>5028</v>
      </c>
      <c r="I1879">
        <v>11.8</v>
      </c>
      <c r="J1879">
        <v>56.212000000000003</v>
      </c>
      <c r="K1879" t="str">
        <f>"LRMP"</f>
        <v>LRMP</v>
      </c>
      <c r="L1879" t="str">
        <f>"LRMP"</f>
        <v>LRMP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</row>
    <row r="1880" spans="1:24">
      <c r="A1880">
        <v>1430</v>
      </c>
      <c r="B1880" t="s">
        <v>5029</v>
      </c>
      <c r="C1880">
        <v>1</v>
      </c>
      <c r="D1880" t="s">
        <v>5030</v>
      </c>
      <c r="E1880">
        <v>2</v>
      </c>
      <c r="F1880">
        <v>2</v>
      </c>
      <c r="G1880">
        <v>2</v>
      </c>
      <c r="H1880" t="s">
        <v>5029</v>
      </c>
      <c r="I1880">
        <v>6.9</v>
      </c>
      <c r="J1880">
        <v>35.347999999999999</v>
      </c>
      <c r="K1880" t="str">
        <f>"AIMP2"</f>
        <v>AIMP2</v>
      </c>
      <c r="L1880" t="str">
        <f>"AIMP2"</f>
        <v>AIMP2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</row>
    <row r="1881" spans="1:24">
      <c r="A1881">
        <v>1441</v>
      </c>
      <c r="B1881" t="s">
        <v>5031</v>
      </c>
      <c r="C1881">
        <v>2</v>
      </c>
      <c r="D1881" t="s">
        <v>5032</v>
      </c>
      <c r="E1881">
        <v>3</v>
      </c>
      <c r="F1881">
        <v>3</v>
      </c>
      <c r="G1881">
        <v>3</v>
      </c>
      <c r="H1881" t="s">
        <v>5033</v>
      </c>
      <c r="I1881">
        <v>9.8000000000000007</v>
      </c>
      <c r="J1881">
        <v>46.404000000000003</v>
      </c>
      <c r="K1881" t="str">
        <f>"CTBP1"</f>
        <v>CTBP1</v>
      </c>
      <c r="L1881" t="str">
        <f>"CTBP1"</f>
        <v>CTBP1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</row>
    <row r="1882" spans="1:24">
      <c r="A1882">
        <v>1462</v>
      </c>
      <c r="B1882" t="s">
        <v>5034</v>
      </c>
      <c r="C1882">
        <v>3</v>
      </c>
      <c r="D1882" t="s">
        <v>5035</v>
      </c>
      <c r="E1882">
        <v>4</v>
      </c>
      <c r="F1882">
        <v>4</v>
      </c>
      <c r="G1882">
        <v>4</v>
      </c>
      <c r="H1882" t="s">
        <v>5036</v>
      </c>
      <c r="I1882">
        <v>6.4</v>
      </c>
      <c r="J1882">
        <v>81.091999999999999</v>
      </c>
      <c r="K1882" t="str">
        <f>"CUL3"</f>
        <v>CUL3</v>
      </c>
      <c r="L1882" t="str">
        <f>"CUL3"</f>
        <v>CUL3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24549000</v>
      </c>
    </row>
    <row r="1883" spans="1:24">
      <c r="A1883">
        <v>1507</v>
      </c>
      <c r="B1883" t="s">
        <v>5037</v>
      </c>
      <c r="C1883">
        <v>1</v>
      </c>
      <c r="D1883" t="s">
        <v>5038</v>
      </c>
      <c r="E1883">
        <v>2</v>
      </c>
      <c r="F1883">
        <v>2</v>
      </c>
      <c r="G1883">
        <v>2</v>
      </c>
      <c r="H1883" t="s">
        <v>5037</v>
      </c>
      <c r="I1883">
        <v>6.6</v>
      </c>
      <c r="J1883">
        <v>47.819000000000003</v>
      </c>
      <c r="K1883" t="str">
        <f>"INPP5A"</f>
        <v>INPP5A</v>
      </c>
      <c r="L1883" t="str">
        <f>"INPP5A"</f>
        <v>INPP5A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>
      <c r="A1884">
        <v>1510</v>
      </c>
      <c r="B1884" t="s">
        <v>5039</v>
      </c>
      <c r="C1884">
        <v>4</v>
      </c>
      <c r="D1884" t="s">
        <v>5040</v>
      </c>
      <c r="E1884">
        <v>1</v>
      </c>
      <c r="F1884">
        <v>1</v>
      </c>
      <c r="G1884">
        <v>1</v>
      </c>
      <c r="H1884" t="s">
        <v>5041</v>
      </c>
      <c r="I1884">
        <v>14.3</v>
      </c>
      <c r="J1884">
        <v>16.73</v>
      </c>
      <c r="K1884" t="str">
        <f>"IRF3"</f>
        <v>IRF3</v>
      </c>
      <c r="L1884" t="str">
        <f>"IRF3"</f>
        <v>IRF3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25490000</v>
      </c>
      <c r="W1884">
        <v>0</v>
      </c>
      <c r="X1884">
        <v>0</v>
      </c>
    </row>
    <row r="1885" spans="1:24">
      <c r="A1885">
        <v>1518</v>
      </c>
      <c r="B1885" t="s">
        <v>5042</v>
      </c>
      <c r="C1885">
        <v>3</v>
      </c>
      <c r="D1885" t="s">
        <v>5043</v>
      </c>
      <c r="E1885">
        <v>49</v>
      </c>
      <c r="F1885">
        <v>1</v>
      </c>
      <c r="G1885">
        <v>1</v>
      </c>
      <c r="H1885" t="s">
        <v>5044</v>
      </c>
      <c r="I1885">
        <v>40.700000000000003</v>
      </c>
      <c r="J1885">
        <v>147.22999999999999</v>
      </c>
      <c r="K1885" t="str">
        <f>"LTBP1;LTBP3"</f>
        <v>LTBP1;LTBP3</v>
      </c>
      <c r="L1885" t="str">
        <f>"LTBP1;LTBP3"</f>
        <v>LTBP1;LTBP3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194260000</v>
      </c>
    </row>
    <row r="1886" spans="1:24">
      <c r="A1886">
        <v>1625</v>
      </c>
      <c r="B1886" t="s">
        <v>5045</v>
      </c>
      <c r="C1886">
        <v>3</v>
      </c>
      <c r="D1886" t="s">
        <v>5046</v>
      </c>
      <c r="E1886">
        <v>2</v>
      </c>
      <c r="F1886">
        <v>2</v>
      </c>
      <c r="G1886">
        <v>2</v>
      </c>
      <c r="H1886" t="s">
        <v>5047</v>
      </c>
      <c r="I1886">
        <v>4.5999999999999996</v>
      </c>
      <c r="J1886">
        <v>92.736999999999995</v>
      </c>
      <c r="K1886" t="str">
        <f>"GRIPAP1"</f>
        <v>GRIPAP1</v>
      </c>
      <c r="L1886" t="str">
        <f>"GRIPAP1"</f>
        <v>GRIPAP1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</row>
    <row r="1887" spans="1:24">
      <c r="A1887">
        <v>1660</v>
      </c>
      <c r="B1887" t="s">
        <v>5048</v>
      </c>
      <c r="C1887">
        <v>3</v>
      </c>
      <c r="D1887" t="s">
        <v>5049</v>
      </c>
      <c r="E1887">
        <v>3</v>
      </c>
      <c r="F1887">
        <v>3</v>
      </c>
      <c r="G1887">
        <v>3</v>
      </c>
      <c r="H1887" t="s">
        <v>5050</v>
      </c>
      <c r="I1887">
        <v>0.8</v>
      </c>
      <c r="J1887">
        <v>591.4</v>
      </c>
      <c r="K1887" t="str">
        <f>"RNF213"</f>
        <v>RNF213</v>
      </c>
      <c r="L1887" t="str">
        <f>"RNF213"</f>
        <v>RNF213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</row>
    <row r="1888" spans="1:24">
      <c r="A1888">
        <v>1706</v>
      </c>
      <c r="B1888" t="s">
        <v>5051</v>
      </c>
      <c r="C1888">
        <v>2</v>
      </c>
      <c r="D1888" t="s">
        <v>5052</v>
      </c>
      <c r="E1888">
        <v>2</v>
      </c>
      <c r="F1888">
        <v>2</v>
      </c>
      <c r="G1888">
        <v>2</v>
      </c>
      <c r="H1888" t="s">
        <v>5053</v>
      </c>
      <c r="I1888">
        <v>2.6</v>
      </c>
      <c r="J1888">
        <v>58.164999999999999</v>
      </c>
      <c r="K1888" t="str">
        <f>"CYP4V2"</f>
        <v>CYP4V2</v>
      </c>
      <c r="L1888" t="str">
        <f>"CYP4V2"</f>
        <v>CYP4V2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</row>
    <row r="1889" spans="1:24">
      <c r="A1889">
        <v>1775</v>
      </c>
      <c r="B1889" t="s">
        <v>5054</v>
      </c>
      <c r="C1889">
        <v>1</v>
      </c>
      <c r="D1889" t="s">
        <v>5055</v>
      </c>
      <c r="E1889">
        <v>2</v>
      </c>
      <c r="F1889">
        <v>2</v>
      </c>
      <c r="G1889">
        <v>2</v>
      </c>
      <c r="H1889" t="s">
        <v>5054</v>
      </c>
      <c r="I1889">
        <v>6.9</v>
      </c>
      <c r="J1889">
        <v>49.665999999999997</v>
      </c>
      <c r="K1889" t="str">
        <f>"MICU2"</f>
        <v>MICU2</v>
      </c>
      <c r="L1889" t="str">
        <f>"MICU2"</f>
        <v>MICU2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</row>
    <row r="1890" spans="1:24">
      <c r="A1890">
        <v>1840</v>
      </c>
      <c r="B1890" t="s">
        <v>5056</v>
      </c>
      <c r="C1890">
        <v>3</v>
      </c>
      <c r="D1890" t="s">
        <v>5057</v>
      </c>
      <c r="E1890">
        <v>2</v>
      </c>
      <c r="F1890">
        <v>2</v>
      </c>
      <c r="G1890">
        <v>2</v>
      </c>
      <c r="H1890" t="s">
        <v>5058</v>
      </c>
      <c r="I1890">
        <v>5.7</v>
      </c>
      <c r="J1890">
        <v>37.697000000000003</v>
      </c>
      <c r="K1890" t="str">
        <f>"SMAP2"</f>
        <v>SMAP2</v>
      </c>
      <c r="L1890" t="str">
        <f>"SMAP2"</f>
        <v>SMAP2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</row>
    <row r="1891" spans="1:24">
      <c r="A1891">
        <v>1874</v>
      </c>
      <c r="B1891" t="s">
        <v>5059</v>
      </c>
      <c r="C1891">
        <v>2</v>
      </c>
      <c r="D1891" t="s">
        <v>5060</v>
      </c>
      <c r="E1891">
        <v>3</v>
      </c>
      <c r="F1891">
        <v>1</v>
      </c>
      <c r="G1891">
        <v>1</v>
      </c>
      <c r="H1891" t="s">
        <v>5061</v>
      </c>
      <c r="I1891">
        <v>8.1999999999999993</v>
      </c>
      <c r="J1891">
        <v>44.970999999999997</v>
      </c>
      <c r="K1891" t="str">
        <f>"STAM"</f>
        <v>STAM</v>
      </c>
      <c r="L1891" t="str">
        <f>"STAM"</f>
        <v>STAM</v>
      </c>
      <c r="M1891">
        <v>0</v>
      </c>
      <c r="N1891">
        <v>0</v>
      </c>
      <c r="O1891">
        <v>21782000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>
      <c r="A1892">
        <v>1879</v>
      </c>
      <c r="B1892" t="s">
        <v>5062</v>
      </c>
      <c r="C1892">
        <v>4</v>
      </c>
      <c r="D1892" t="s">
        <v>5063</v>
      </c>
      <c r="E1892">
        <v>2</v>
      </c>
      <c r="F1892">
        <v>2</v>
      </c>
      <c r="G1892">
        <v>2</v>
      </c>
      <c r="H1892" t="s">
        <v>5064</v>
      </c>
      <c r="I1892">
        <v>3.9</v>
      </c>
      <c r="J1892">
        <v>102.43</v>
      </c>
      <c r="K1892" t="str">
        <f>"ARHGEF1"</f>
        <v>ARHGEF1</v>
      </c>
      <c r="L1892" t="str">
        <f>"ARHGEF1"</f>
        <v>ARHGEF1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51361000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</row>
    <row r="1893" spans="1:24">
      <c r="A1893">
        <v>1958</v>
      </c>
      <c r="B1893" t="s">
        <v>5065</v>
      </c>
      <c r="C1893">
        <v>2</v>
      </c>
      <c r="D1893" t="s">
        <v>5066</v>
      </c>
      <c r="E1893">
        <v>5</v>
      </c>
      <c r="F1893">
        <v>5</v>
      </c>
      <c r="G1893">
        <v>5</v>
      </c>
      <c r="H1893" t="s">
        <v>5067</v>
      </c>
      <c r="I1893">
        <v>6.6</v>
      </c>
      <c r="J1893">
        <v>105.29</v>
      </c>
      <c r="K1893" t="str">
        <f>"FAM65C"</f>
        <v>FAM65C</v>
      </c>
      <c r="L1893" t="str">
        <f>"FAM65C"</f>
        <v>FAM65C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</row>
    <row r="1894" spans="1:24">
      <c r="A1894">
        <v>1980</v>
      </c>
      <c r="B1894" t="s">
        <v>5068</v>
      </c>
      <c r="C1894">
        <v>1</v>
      </c>
      <c r="D1894" t="s">
        <v>5069</v>
      </c>
      <c r="E1894">
        <v>1</v>
      </c>
      <c r="F1894">
        <v>1</v>
      </c>
      <c r="G1894">
        <v>1</v>
      </c>
      <c r="H1894" t="s">
        <v>5068</v>
      </c>
      <c r="I1894">
        <v>3</v>
      </c>
      <c r="J1894">
        <v>45.860999999999997</v>
      </c>
      <c r="K1894" t="str">
        <f>"SEC62"</f>
        <v>SEC62</v>
      </c>
      <c r="L1894" t="str">
        <f>"SEC62"</f>
        <v>SEC62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</row>
    <row r="1895" spans="1:24">
      <c r="A1895">
        <v>2011</v>
      </c>
      <c r="B1895" t="s">
        <v>5070</v>
      </c>
      <c r="C1895">
        <v>1</v>
      </c>
      <c r="D1895" t="s">
        <v>5071</v>
      </c>
      <c r="E1895">
        <v>2</v>
      </c>
      <c r="F1895">
        <v>2</v>
      </c>
      <c r="G1895">
        <v>2</v>
      </c>
      <c r="H1895" t="s">
        <v>5070</v>
      </c>
      <c r="I1895">
        <v>1.9</v>
      </c>
      <c r="J1895">
        <v>121.05</v>
      </c>
      <c r="K1895" t="str">
        <f>"ANKRD32"</f>
        <v>ANKRD32</v>
      </c>
      <c r="L1895" t="str">
        <f>"SLF1"</f>
        <v>SLF1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207210000</v>
      </c>
      <c r="V1895">
        <v>0</v>
      </c>
      <c r="W1895">
        <v>0</v>
      </c>
      <c r="X1895">
        <v>0</v>
      </c>
    </row>
    <row r="1896" spans="1:24">
      <c r="A1896">
        <v>2021</v>
      </c>
      <c r="B1896" t="s">
        <v>5072</v>
      </c>
      <c r="C1896">
        <v>2</v>
      </c>
      <c r="D1896" t="s">
        <v>5073</v>
      </c>
      <c r="E1896">
        <v>2</v>
      </c>
      <c r="F1896">
        <v>2</v>
      </c>
      <c r="G1896">
        <v>2</v>
      </c>
      <c r="H1896" t="s">
        <v>5074</v>
      </c>
      <c r="I1896">
        <v>2.7</v>
      </c>
      <c r="J1896">
        <v>102.53</v>
      </c>
      <c r="K1896" t="str">
        <f>"TUBGCP2"</f>
        <v>TUBGCP2</v>
      </c>
      <c r="L1896" t="str">
        <f>"TUBGCP2"</f>
        <v>TUBGCP2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>
      <c r="A1897">
        <v>2040</v>
      </c>
      <c r="B1897" t="s">
        <v>5075</v>
      </c>
      <c r="C1897">
        <v>3</v>
      </c>
      <c r="D1897" t="s">
        <v>5076</v>
      </c>
      <c r="E1897">
        <v>2</v>
      </c>
      <c r="F1897">
        <v>2</v>
      </c>
      <c r="G1897">
        <v>2</v>
      </c>
      <c r="H1897" t="s">
        <v>5077</v>
      </c>
      <c r="I1897">
        <v>5.8</v>
      </c>
      <c r="J1897">
        <v>41.677</v>
      </c>
      <c r="K1897" t="str">
        <f>"CHID1"</f>
        <v>CHID1</v>
      </c>
      <c r="L1897" t="str">
        <f>"CHID1"</f>
        <v>CHID1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</row>
    <row r="1898" spans="1:24">
      <c r="A1898">
        <v>2069</v>
      </c>
      <c r="B1898" t="s">
        <v>5078</v>
      </c>
      <c r="C1898">
        <v>3</v>
      </c>
      <c r="D1898" t="s">
        <v>5079</v>
      </c>
      <c r="E1898">
        <v>2</v>
      </c>
      <c r="F1898">
        <v>2</v>
      </c>
      <c r="G1898">
        <v>2</v>
      </c>
      <c r="H1898" t="s">
        <v>5080</v>
      </c>
      <c r="I1898">
        <v>8.6</v>
      </c>
      <c r="J1898">
        <v>38.982999999999997</v>
      </c>
      <c r="K1898" t="str">
        <f>"NIF3L1"</f>
        <v>NIF3L1</v>
      </c>
      <c r="L1898" t="str">
        <f>"NIF3L1"</f>
        <v>NIF3L1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32543000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>
      <c r="A1899">
        <v>2094</v>
      </c>
      <c r="B1899" t="s">
        <v>5081</v>
      </c>
      <c r="C1899">
        <v>1</v>
      </c>
      <c r="D1899" t="s">
        <v>5082</v>
      </c>
      <c r="E1899">
        <v>2</v>
      </c>
      <c r="F1899">
        <v>2</v>
      </c>
      <c r="G1899">
        <v>2</v>
      </c>
      <c r="H1899" t="s">
        <v>5081</v>
      </c>
      <c r="I1899">
        <v>4.5</v>
      </c>
      <c r="J1899">
        <v>60.593000000000004</v>
      </c>
      <c r="K1899" t="str">
        <f>"ACBD3"</f>
        <v>ACBD3</v>
      </c>
      <c r="L1899" t="str">
        <f>"ACBD3"</f>
        <v>ACBD3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</row>
    <row r="1900" spans="1:24">
      <c r="A1900">
        <v>2161</v>
      </c>
      <c r="B1900" t="s">
        <v>5083</v>
      </c>
      <c r="C1900">
        <v>1</v>
      </c>
      <c r="D1900" t="s">
        <v>5084</v>
      </c>
      <c r="E1900">
        <v>1</v>
      </c>
      <c r="F1900">
        <v>1</v>
      </c>
      <c r="G1900">
        <v>1</v>
      </c>
      <c r="H1900" t="s">
        <v>5083</v>
      </c>
      <c r="I1900">
        <v>5.8</v>
      </c>
      <c r="J1900">
        <v>21.097000000000001</v>
      </c>
      <c r="K1900" t="str">
        <f>"HEBP1"</f>
        <v>HEBP1</v>
      </c>
      <c r="L1900" t="str">
        <f>"HEBP1"</f>
        <v>HEBP1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3271000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</row>
    <row r="1901" spans="1:24">
      <c r="A1901">
        <v>2191</v>
      </c>
      <c r="B1901" t="s">
        <v>5085</v>
      </c>
      <c r="C1901">
        <v>4</v>
      </c>
      <c r="D1901" t="s">
        <v>5086</v>
      </c>
      <c r="E1901">
        <v>2</v>
      </c>
      <c r="F1901">
        <v>2</v>
      </c>
      <c r="G1901">
        <v>2</v>
      </c>
      <c r="H1901" t="s">
        <v>5087</v>
      </c>
      <c r="I1901">
        <v>8.1999999999999993</v>
      </c>
      <c r="J1901">
        <v>27.626000000000001</v>
      </c>
      <c r="K1901" t="str">
        <f>"OCIAD1"</f>
        <v>OCIAD1</v>
      </c>
      <c r="L1901" t="str">
        <f>"OCIAD1"</f>
        <v>OCIAD1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22536000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</row>
    <row r="1902" spans="1:24">
      <c r="A1902">
        <v>2192</v>
      </c>
      <c r="B1902" t="s">
        <v>5088</v>
      </c>
      <c r="C1902">
        <v>1</v>
      </c>
      <c r="D1902" t="s">
        <v>5089</v>
      </c>
      <c r="E1902">
        <v>4</v>
      </c>
      <c r="F1902">
        <v>4</v>
      </c>
      <c r="G1902">
        <v>4</v>
      </c>
      <c r="H1902" t="s">
        <v>5088</v>
      </c>
      <c r="I1902">
        <v>18.899999999999999</v>
      </c>
      <c r="J1902">
        <v>26.152000000000001</v>
      </c>
      <c r="K1902" t="str">
        <f>"CHCHD3"</f>
        <v>CHCHD3</v>
      </c>
      <c r="L1902" t="str">
        <f>"CHCHD3"</f>
        <v>CHCHD3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9882900</v>
      </c>
      <c r="W1902">
        <v>0</v>
      </c>
      <c r="X1902">
        <v>0</v>
      </c>
    </row>
    <row r="1903" spans="1:24">
      <c r="A1903">
        <v>2221</v>
      </c>
      <c r="B1903" t="s">
        <v>5090</v>
      </c>
      <c r="C1903">
        <v>3</v>
      </c>
      <c r="D1903" t="s">
        <v>5091</v>
      </c>
      <c r="E1903">
        <v>11</v>
      </c>
      <c r="F1903">
        <v>3</v>
      </c>
      <c r="G1903">
        <v>3</v>
      </c>
      <c r="H1903" t="s">
        <v>5092</v>
      </c>
      <c r="I1903">
        <v>23.8</v>
      </c>
      <c r="J1903">
        <v>46.527999999999999</v>
      </c>
      <c r="K1903" t="str">
        <f>"STK26"</f>
        <v>STK26</v>
      </c>
      <c r="L1903" t="str">
        <f>"STK26"</f>
        <v>STK26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</row>
    <row r="1904" spans="1:24">
      <c r="A1904">
        <v>2229</v>
      </c>
      <c r="B1904" t="s">
        <v>5093</v>
      </c>
      <c r="C1904">
        <v>2</v>
      </c>
      <c r="D1904" t="s">
        <v>5094</v>
      </c>
      <c r="E1904">
        <v>2</v>
      </c>
      <c r="F1904">
        <v>2</v>
      </c>
      <c r="G1904">
        <v>2</v>
      </c>
      <c r="H1904" t="s">
        <v>5095</v>
      </c>
      <c r="I1904">
        <v>2</v>
      </c>
      <c r="J1904">
        <v>114.36</v>
      </c>
      <c r="K1904" t="str">
        <f>"HDAC6"</f>
        <v>HDAC6</v>
      </c>
      <c r="L1904" t="str">
        <f>"HDAC6"</f>
        <v>HDAC6</v>
      </c>
      <c r="M1904">
        <v>0</v>
      </c>
      <c r="N1904">
        <v>41074000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</row>
    <row r="1905" spans="1:24">
      <c r="A1905">
        <v>2234</v>
      </c>
      <c r="B1905" t="s">
        <v>5096</v>
      </c>
      <c r="C1905">
        <v>1</v>
      </c>
      <c r="D1905" t="s">
        <v>5097</v>
      </c>
      <c r="E1905">
        <v>2</v>
      </c>
      <c r="F1905">
        <v>2</v>
      </c>
      <c r="G1905">
        <v>2</v>
      </c>
      <c r="H1905" t="s">
        <v>5096</v>
      </c>
      <c r="I1905">
        <v>4.5</v>
      </c>
      <c r="J1905">
        <v>50.18</v>
      </c>
      <c r="K1905" t="str">
        <f>"FBLN5"</f>
        <v>FBLN5</v>
      </c>
      <c r="L1905" t="str">
        <f>"FBLN5"</f>
        <v>FBLN5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101880000</v>
      </c>
      <c r="T1905">
        <v>0</v>
      </c>
      <c r="U1905">
        <v>0</v>
      </c>
      <c r="V1905">
        <v>0</v>
      </c>
      <c r="W1905">
        <v>0</v>
      </c>
      <c r="X1905">
        <v>0</v>
      </c>
    </row>
    <row r="1906" spans="1:24">
      <c r="A1906">
        <v>2241</v>
      </c>
      <c r="B1906" t="s">
        <v>5098</v>
      </c>
      <c r="C1906">
        <v>1</v>
      </c>
      <c r="D1906" t="s">
        <v>5099</v>
      </c>
      <c r="E1906">
        <v>1</v>
      </c>
      <c r="F1906">
        <v>1</v>
      </c>
      <c r="G1906">
        <v>1</v>
      </c>
      <c r="H1906" t="s">
        <v>5098</v>
      </c>
      <c r="I1906">
        <v>6.6</v>
      </c>
      <c r="J1906">
        <v>18.82</v>
      </c>
      <c r="K1906" t="str">
        <f>"CGGBP1"</f>
        <v>CGGBP1</v>
      </c>
      <c r="L1906" t="str">
        <f>"CGGBP1"</f>
        <v>CGGBP1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26897000</v>
      </c>
      <c r="W1906">
        <v>0</v>
      </c>
      <c r="X1906">
        <v>0</v>
      </c>
    </row>
    <row r="1907" spans="1:24">
      <c r="A1907">
        <v>2266</v>
      </c>
      <c r="B1907" t="s">
        <v>5100</v>
      </c>
      <c r="C1907">
        <v>2</v>
      </c>
      <c r="D1907" t="s">
        <v>5101</v>
      </c>
      <c r="E1907">
        <v>4</v>
      </c>
      <c r="F1907">
        <v>4</v>
      </c>
      <c r="G1907">
        <v>2</v>
      </c>
      <c r="H1907" t="s">
        <v>5102</v>
      </c>
      <c r="I1907">
        <v>6.2</v>
      </c>
      <c r="J1907">
        <v>74.174999999999997</v>
      </c>
      <c r="K1907" t="str">
        <f>"SLC25A13"</f>
        <v>SLC25A13</v>
      </c>
      <c r="L1907" t="str">
        <f>"SLC25A13"</f>
        <v>SLC25A13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</row>
    <row r="1908" spans="1:24">
      <c r="A1908">
        <v>2305</v>
      </c>
      <c r="B1908" t="s">
        <v>5103</v>
      </c>
      <c r="C1908">
        <v>2</v>
      </c>
      <c r="D1908" t="s">
        <v>5104</v>
      </c>
      <c r="E1908">
        <v>3</v>
      </c>
      <c r="F1908">
        <v>3</v>
      </c>
      <c r="G1908">
        <v>3</v>
      </c>
      <c r="H1908" t="s">
        <v>5105</v>
      </c>
      <c r="I1908">
        <v>5.4</v>
      </c>
      <c r="J1908">
        <v>59.743000000000002</v>
      </c>
      <c r="K1908" t="str">
        <f>"SHOC2"</f>
        <v>SHOC2</v>
      </c>
      <c r="L1908" t="str">
        <f>"SHOC2"</f>
        <v>SHOC2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>
      <c r="A1909">
        <v>2321</v>
      </c>
      <c r="B1909" t="s">
        <v>5106</v>
      </c>
      <c r="C1909">
        <v>2</v>
      </c>
      <c r="D1909" t="s">
        <v>5107</v>
      </c>
      <c r="E1909">
        <v>1</v>
      </c>
      <c r="F1909">
        <v>1</v>
      </c>
      <c r="G1909">
        <v>1</v>
      </c>
      <c r="H1909" t="s">
        <v>5108</v>
      </c>
      <c r="I1909">
        <v>8.1</v>
      </c>
      <c r="J1909">
        <v>18.283000000000001</v>
      </c>
      <c r="K1909" t="str">
        <f>"ITM2B"</f>
        <v>ITM2B</v>
      </c>
      <c r="L1909" t="str">
        <f>"ITM2B"</f>
        <v>ITM2B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</row>
    <row r="1910" spans="1:24">
      <c r="A1910">
        <v>2326</v>
      </c>
      <c r="B1910" t="s">
        <v>5109</v>
      </c>
      <c r="C1910">
        <v>2</v>
      </c>
      <c r="D1910" t="s">
        <v>5110</v>
      </c>
      <c r="E1910">
        <v>1</v>
      </c>
      <c r="F1910">
        <v>1</v>
      </c>
      <c r="G1910">
        <v>1</v>
      </c>
      <c r="H1910" t="s">
        <v>5111</v>
      </c>
      <c r="I1910">
        <v>1.1000000000000001</v>
      </c>
      <c r="J1910">
        <v>153.03</v>
      </c>
      <c r="K1910" t="str">
        <f>"TRAPPC8"</f>
        <v>TRAPPC8</v>
      </c>
      <c r="L1910" t="str">
        <f>"TRAPPC8"</f>
        <v>TRAPPC8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23385000</v>
      </c>
    </row>
    <row r="1911" spans="1:24">
      <c r="A1911">
        <v>2357</v>
      </c>
      <c r="B1911" t="s">
        <v>5112</v>
      </c>
      <c r="C1911">
        <v>1</v>
      </c>
      <c r="D1911" t="s">
        <v>5113</v>
      </c>
      <c r="E1911">
        <v>5</v>
      </c>
      <c r="F1911">
        <v>5</v>
      </c>
      <c r="G1911">
        <v>5</v>
      </c>
      <c r="H1911" t="s">
        <v>5112</v>
      </c>
      <c r="I1911">
        <v>10.199999999999999</v>
      </c>
      <c r="J1911">
        <v>59.573</v>
      </c>
      <c r="K1911" t="str">
        <f>"TRAF6"</f>
        <v>TRAF6</v>
      </c>
      <c r="L1911" t="str">
        <f>"TRAF6"</f>
        <v>TRAF6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</row>
    <row r="1912" spans="1:24">
      <c r="A1912">
        <v>2359</v>
      </c>
      <c r="B1912" t="s">
        <v>5114</v>
      </c>
      <c r="C1912">
        <v>4</v>
      </c>
      <c r="D1912" t="s">
        <v>5115</v>
      </c>
      <c r="E1912">
        <v>6</v>
      </c>
      <c r="F1912">
        <v>6</v>
      </c>
      <c r="G1912">
        <v>6</v>
      </c>
      <c r="H1912" t="s">
        <v>5116</v>
      </c>
      <c r="I1912">
        <v>8.1999999999999993</v>
      </c>
      <c r="J1912">
        <v>88.582999999999998</v>
      </c>
      <c r="K1912" t="str">
        <f>"AFG3L2;ANK2"</f>
        <v>AFG3L2;ANK2</v>
      </c>
      <c r="L1912" t="str">
        <f>"AFG3L2;ANK2"</f>
        <v>AFG3L2;ANK2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</row>
    <row r="1913" spans="1:24">
      <c r="A1913">
        <v>11</v>
      </c>
      <c r="B1913" t="s">
        <v>5117</v>
      </c>
      <c r="C1913">
        <v>3</v>
      </c>
      <c r="D1913" t="s">
        <v>5118</v>
      </c>
      <c r="E1913">
        <v>2</v>
      </c>
      <c r="F1913">
        <v>2</v>
      </c>
      <c r="G1913">
        <v>2</v>
      </c>
      <c r="H1913" t="s">
        <v>5119</v>
      </c>
      <c r="I1913">
        <v>2.6</v>
      </c>
      <c r="J1913">
        <v>82.278000000000006</v>
      </c>
      <c r="K1913" t="str">
        <f>"MYO1G"</f>
        <v>MYO1G</v>
      </c>
      <c r="L1913" t="str">
        <f>"MYO1G"</f>
        <v>MYO1G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14896000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</row>
    <row r="1914" spans="1:24">
      <c r="A1914">
        <v>12</v>
      </c>
      <c r="B1914" t="s">
        <v>5120</v>
      </c>
      <c r="C1914">
        <v>1</v>
      </c>
      <c r="D1914" t="s">
        <v>5121</v>
      </c>
      <c r="E1914">
        <v>1</v>
      </c>
      <c r="F1914">
        <v>1</v>
      </c>
      <c r="G1914">
        <v>1</v>
      </c>
      <c r="H1914" t="s">
        <v>5120</v>
      </c>
      <c r="I1914">
        <v>15.4</v>
      </c>
      <c r="J1914">
        <v>8.7490000000000006</v>
      </c>
      <c r="K1914" t="str">
        <f>"SMIM1"</f>
        <v>SMIM1</v>
      </c>
      <c r="L1914" t="str">
        <f>"SMIM1"</f>
        <v>SMIM1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</row>
    <row r="1915" spans="1:24">
      <c r="A1915">
        <v>74</v>
      </c>
      <c r="B1915" t="s">
        <v>5122</v>
      </c>
      <c r="C1915">
        <v>1</v>
      </c>
      <c r="D1915" t="s">
        <v>5123</v>
      </c>
      <c r="E1915">
        <v>2</v>
      </c>
      <c r="F1915">
        <v>2</v>
      </c>
      <c r="G1915">
        <v>2</v>
      </c>
      <c r="H1915" t="s">
        <v>5122</v>
      </c>
      <c r="I1915">
        <v>10.6</v>
      </c>
      <c r="J1915">
        <v>23.146999999999998</v>
      </c>
      <c r="K1915" t="str">
        <f>"CLDN5"</f>
        <v>CLDN5</v>
      </c>
      <c r="L1915" t="str">
        <f>"CLDN5"</f>
        <v>CLDN5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17774000</v>
      </c>
      <c r="W1915">
        <v>0</v>
      </c>
      <c r="X1915">
        <v>0</v>
      </c>
    </row>
    <row r="1916" spans="1:24">
      <c r="A1916">
        <v>80</v>
      </c>
      <c r="B1916" t="s">
        <v>5124</v>
      </c>
      <c r="C1916">
        <v>2</v>
      </c>
      <c r="D1916" t="s">
        <v>5125</v>
      </c>
      <c r="E1916">
        <v>1</v>
      </c>
      <c r="F1916">
        <v>1</v>
      </c>
      <c r="G1916">
        <v>1</v>
      </c>
      <c r="H1916" t="s">
        <v>5126</v>
      </c>
      <c r="I1916">
        <v>1.2</v>
      </c>
      <c r="J1916">
        <v>113.61</v>
      </c>
      <c r="K1916" t="str">
        <f>"MAN2B1"</f>
        <v>MAN2B1</v>
      </c>
      <c r="L1916" t="str">
        <f>"MAN2B1"</f>
        <v>MAN2B1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10097000</v>
      </c>
    </row>
    <row r="1917" spans="1:24">
      <c r="A1917">
        <v>81</v>
      </c>
      <c r="B1917" t="s">
        <v>5127</v>
      </c>
      <c r="C1917">
        <v>2</v>
      </c>
      <c r="D1917" t="s">
        <v>5128</v>
      </c>
      <c r="E1917">
        <v>1</v>
      </c>
      <c r="F1917">
        <v>1</v>
      </c>
      <c r="G1917">
        <v>1</v>
      </c>
      <c r="H1917" t="s">
        <v>5129</v>
      </c>
      <c r="I1917">
        <v>1.4</v>
      </c>
      <c r="J1917">
        <v>76.180000000000007</v>
      </c>
      <c r="K1917" t="str">
        <f>"C2CD2L"</f>
        <v>C2CD2L</v>
      </c>
      <c r="L1917" t="str">
        <f>"C2CD2L"</f>
        <v>C2CD2L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</row>
    <row r="1918" spans="1:24">
      <c r="A1918">
        <v>86</v>
      </c>
      <c r="B1918" t="s">
        <v>5130</v>
      </c>
      <c r="C1918">
        <v>6</v>
      </c>
      <c r="D1918" t="s">
        <v>5131</v>
      </c>
      <c r="E1918">
        <v>2</v>
      </c>
      <c r="F1918">
        <v>2</v>
      </c>
      <c r="G1918">
        <v>2</v>
      </c>
      <c r="H1918" t="s">
        <v>5132</v>
      </c>
      <c r="I1918">
        <v>4</v>
      </c>
      <c r="J1918">
        <v>81.12</v>
      </c>
      <c r="K1918" t="str">
        <f>"ABLIM1"</f>
        <v>ABLIM1</v>
      </c>
      <c r="L1918" t="str">
        <f>"ABLIM1"</f>
        <v>ABLIM1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38739000</v>
      </c>
      <c r="T1918">
        <v>0</v>
      </c>
      <c r="U1918">
        <v>0</v>
      </c>
      <c r="V1918">
        <v>0</v>
      </c>
      <c r="W1918">
        <v>0</v>
      </c>
      <c r="X1918">
        <v>0</v>
      </c>
    </row>
    <row r="1919" spans="1:24">
      <c r="A1919">
        <v>87</v>
      </c>
      <c r="B1919" t="s">
        <v>5133</v>
      </c>
      <c r="C1919">
        <v>2</v>
      </c>
      <c r="D1919" t="s">
        <v>5134</v>
      </c>
      <c r="E1919">
        <v>2</v>
      </c>
      <c r="F1919">
        <v>2</v>
      </c>
      <c r="G1919">
        <v>2</v>
      </c>
      <c r="H1919" t="s">
        <v>5135</v>
      </c>
      <c r="I1919">
        <v>7.8</v>
      </c>
      <c r="J1919">
        <v>37.808</v>
      </c>
      <c r="K1919" t="str">
        <f>"TOR1A"</f>
        <v>TOR1A</v>
      </c>
      <c r="L1919" t="str">
        <f>"TOR1A"</f>
        <v>TOR1A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9666900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</row>
    <row r="1920" spans="1:24">
      <c r="A1920">
        <v>113</v>
      </c>
      <c r="B1920" t="s">
        <v>5136</v>
      </c>
      <c r="C1920">
        <v>1</v>
      </c>
      <c r="D1920" t="s">
        <v>5137</v>
      </c>
      <c r="E1920">
        <v>1</v>
      </c>
      <c r="F1920">
        <v>1</v>
      </c>
      <c r="G1920">
        <v>1</v>
      </c>
      <c r="H1920" t="s">
        <v>5136</v>
      </c>
      <c r="I1920">
        <v>1.2</v>
      </c>
      <c r="J1920">
        <v>84.638999999999996</v>
      </c>
      <c r="K1920" t="str">
        <f>"CHUK"</f>
        <v>CHUK</v>
      </c>
      <c r="L1920" t="str">
        <f>"CHUK"</f>
        <v>CHUK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</row>
    <row r="1921" spans="1:24">
      <c r="A1921">
        <v>127</v>
      </c>
      <c r="B1921" t="s">
        <v>5138</v>
      </c>
      <c r="C1921">
        <v>1</v>
      </c>
      <c r="D1921" t="s">
        <v>5139</v>
      </c>
      <c r="E1921">
        <v>1</v>
      </c>
      <c r="F1921">
        <v>1</v>
      </c>
      <c r="G1921">
        <v>1</v>
      </c>
      <c r="H1921" t="s">
        <v>5138</v>
      </c>
      <c r="I1921">
        <v>3.7</v>
      </c>
      <c r="J1921">
        <v>28.082000000000001</v>
      </c>
      <c r="K1921" t="str">
        <f>"PMM2"</f>
        <v>PMM2</v>
      </c>
      <c r="L1921" t="str">
        <f>"PMM2"</f>
        <v>PMM2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14035000</v>
      </c>
    </row>
    <row r="1922" spans="1:24">
      <c r="A1922">
        <v>166</v>
      </c>
      <c r="B1922" t="s">
        <v>5140</v>
      </c>
      <c r="C1922">
        <v>10</v>
      </c>
      <c r="D1922" t="s">
        <v>5141</v>
      </c>
      <c r="E1922">
        <v>2</v>
      </c>
      <c r="F1922">
        <v>2</v>
      </c>
      <c r="G1922">
        <v>2</v>
      </c>
      <c r="H1922" t="s">
        <v>5142</v>
      </c>
      <c r="I1922">
        <v>25.7</v>
      </c>
      <c r="J1922">
        <v>12.404</v>
      </c>
      <c r="K1922" t="str">
        <f>"ENSA;ARPP19"</f>
        <v>ENSA;ARPP19</v>
      </c>
      <c r="L1922" t="str">
        <f>"ENSA;ARPP19"</f>
        <v>ENSA;ARPP19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3364700</v>
      </c>
    </row>
    <row r="1923" spans="1:24">
      <c r="A1923">
        <v>171</v>
      </c>
      <c r="B1923" t="s">
        <v>5143</v>
      </c>
      <c r="C1923">
        <v>2</v>
      </c>
      <c r="D1923" t="s">
        <v>5144</v>
      </c>
      <c r="E1923">
        <v>2</v>
      </c>
      <c r="F1923">
        <v>2</v>
      </c>
      <c r="G1923">
        <v>2</v>
      </c>
      <c r="H1923" t="s">
        <v>5145</v>
      </c>
      <c r="I1923">
        <v>7.6</v>
      </c>
      <c r="J1923">
        <v>41.887</v>
      </c>
      <c r="K1923" t="str">
        <f>"IDH3B"</f>
        <v>IDH3B</v>
      </c>
      <c r="L1923" t="str">
        <f>"IDH3B"</f>
        <v>IDH3B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8981700</v>
      </c>
    </row>
    <row r="1924" spans="1:24">
      <c r="A1924">
        <v>203</v>
      </c>
      <c r="B1924" t="s">
        <v>5146</v>
      </c>
      <c r="C1924">
        <v>3</v>
      </c>
      <c r="D1924" t="s">
        <v>5147</v>
      </c>
      <c r="E1924">
        <v>5</v>
      </c>
      <c r="F1924">
        <v>5</v>
      </c>
      <c r="G1924">
        <v>5</v>
      </c>
      <c r="H1924" t="s">
        <v>5148</v>
      </c>
      <c r="I1924">
        <v>14.3</v>
      </c>
      <c r="J1924">
        <v>52.451000000000001</v>
      </c>
      <c r="K1924" t="str">
        <f>"RAB11FIP3"</f>
        <v>RAB11FIP3</v>
      </c>
      <c r="L1924" t="str">
        <f>"RAB11FIP3"</f>
        <v>RAB11FIP3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</row>
    <row r="1925" spans="1:24">
      <c r="A1925">
        <v>204</v>
      </c>
      <c r="B1925" t="s">
        <v>5149</v>
      </c>
      <c r="C1925">
        <v>1</v>
      </c>
      <c r="D1925" t="s">
        <v>5150</v>
      </c>
      <c r="E1925">
        <v>4</v>
      </c>
      <c r="F1925">
        <v>4</v>
      </c>
      <c r="G1925">
        <v>4</v>
      </c>
      <c r="H1925" t="s">
        <v>5149</v>
      </c>
      <c r="I1925">
        <v>1.9</v>
      </c>
      <c r="J1925">
        <v>254.41</v>
      </c>
      <c r="K1925" t="str">
        <f>"DNAJC13"</f>
        <v>DNAJC13</v>
      </c>
      <c r="L1925" t="str">
        <f>"DNAJC13"</f>
        <v>DNAJC13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</row>
    <row r="1926" spans="1:24">
      <c r="A1926">
        <v>205</v>
      </c>
      <c r="B1926" t="s">
        <v>5151</v>
      </c>
      <c r="C1926">
        <v>6</v>
      </c>
      <c r="D1926" t="s">
        <v>5152</v>
      </c>
      <c r="E1926">
        <v>2</v>
      </c>
      <c r="F1926">
        <v>2</v>
      </c>
      <c r="G1926">
        <v>2</v>
      </c>
      <c r="H1926" t="s">
        <v>5153</v>
      </c>
      <c r="I1926">
        <v>9.1999999999999993</v>
      </c>
      <c r="J1926">
        <v>36.087000000000003</v>
      </c>
      <c r="K1926" t="str">
        <f>"DNAJB6;DNAJB3;DNAJB7"</f>
        <v>DNAJB6;DNAJB3;DNAJB7</v>
      </c>
      <c r="L1926" t="str">
        <f>"DNAJB6;DNAJB3;DNAJB7"</f>
        <v>DNAJB6;DNAJB3;DNAJB7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</row>
    <row r="1927" spans="1:24">
      <c r="A1927">
        <v>219</v>
      </c>
      <c r="B1927" t="s">
        <v>5154</v>
      </c>
      <c r="C1927">
        <v>4</v>
      </c>
      <c r="D1927" t="s">
        <v>5155</v>
      </c>
      <c r="E1927">
        <v>2</v>
      </c>
      <c r="F1927">
        <v>2</v>
      </c>
      <c r="G1927">
        <v>2</v>
      </c>
      <c r="H1927" t="s">
        <v>5156</v>
      </c>
      <c r="I1927">
        <v>6.4</v>
      </c>
      <c r="J1927">
        <v>38.924999999999997</v>
      </c>
      <c r="K1927" t="str">
        <f>"ERLIN1;ERLIN2"</f>
        <v>ERLIN1;ERLIN2</v>
      </c>
      <c r="L1927" t="str">
        <f>"ERLIN1;ERLIN2"</f>
        <v>ERLIN1;ERLIN2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9283500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</row>
    <row r="1928" spans="1:24">
      <c r="A1928">
        <v>260</v>
      </c>
      <c r="B1928" t="s">
        <v>5157</v>
      </c>
      <c r="C1928">
        <v>2</v>
      </c>
      <c r="D1928" t="s">
        <v>5158</v>
      </c>
      <c r="E1928">
        <v>1</v>
      </c>
      <c r="F1928">
        <v>1</v>
      </c>
      <c r="G1928">
        <v>1</v>
      </c>
      <c r="H1928" t="s">
        <v>5159</v>
      </c>
      <c r="I1928">
        <v>4.9000000000000004</v>
      </c>
      <c r="J1928">
        <v>35.61</v>
      </c>
      <c r="K1928" t="str">
        <f>"SNX4"</f>
        <v>SNX4</v>
      </c>
      <c r="L1928" t="str">
        <f>"SNX4"</f>
        <v>SNX4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</row>
    <row r="1929" spans="1:24">
      <c r="A1929">
        <v>291</v>
      </c>
      <c r="B1929" t="s">
        <v>5160</v>
      </c>
      <c r="C1929">
        <v>2</v>
      </c>
      <c r="D1929" t="s">
        <v>5161</v>
      </c>
      <c r="E1929">
        <v>2</v>
      </c>
      <c r="F1929">
        <v>2</v>
      </c>
      <c r="G1929">
        <v>2</v>
      </c>
      <c r="H1929" t="s">
        <v>5162</v>
      </c>
      <c r="I1929">
        <v>8.6</v>
      </c>
      <c r="J1929">
        <v>26.724</v>
      </c>
      <c r="K1929" t="str">
        <f>"PEX11B"</f>
        <v>PEX11B</v>
      </c>
      <c r="L1929" t="str">
        <f>"PEX11B"</f>
        <v>PEX11B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</row>
    <row r="1930" spans="1:24">
      <c r="A1930">
        <v>449</v>
      </c>
      <c r="B1930" t="s">
        <v>5163</v>
      </c>
      <c r="C1930">
        <v>1</v>
      </c>
      <c r="D1930" t="s">
        <v>5164</v>
      </c>
      <c r="E1930">
        <v>2</v>
      </c>
      <c r="F1930">
        <v>1</v>
      </c>
      <c r="G1930">
        <v>1</v>
      </c>
      <c r="H1930" t="s">
        <v>5163</v>
      </c>
      <c r="I1930">
        <v>19.399999999999999</v>
      </c>
      <c r="J1930">
        <v>14.275</v>
      </c>
      <c r="K1930" t="s">
        <v>4680</v>
      </c>
      <c r="L1930" t="s">
        <v>4680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20200000</v>
      </c>
    </row>
    <row r="1931" spans="1:24">
      <c r="A1931">
        <v>625</v>
      </c>
      <c r="B1931" t="s">
        <v>5165</v>
      </c>
      <c r="C1931">
        <v>2</v>
      </c>
      <c r="D1931" t="s">
        <v>5166</v>
      </c>
      <c r="E1931">
        <v>1</v>
      </c>
      <c r="F1931">
        <v>1</v>
      </c>
      <c r="G1931">
        <v>1</v>
      </c>
      <c r="H1931" t="s">
        <v>5167</v>
      </c>
      <c r="I1931">
        <v>4.4000000000000004</v>
      </c>
      <c r="J1931">
        <v>18.417000000000002</v>
      </c>
      <c r="K1931" t="str">
        <f>"ACP2"</f>
        <v>ACP2</v>
      </c>
      <c r="L1931" t="str">
        <f>"ACP2"</f>
        <v>ACP2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12434000</v>
      </c>
    </row>
    <row r="1932" spans="1:24">
      <c r="A1932">
        <v>650</v>
      </c>
      <c r="B1932" t="s">
        <v>5168</v>
      </c>
      <c r="C1932">
        <v>1</v>
      </c>
      <c r="D1932" t="s">
        <v>5169</v>
      </c>
      <c r="E1932">
        <v>2</v>
      </c>
      <c r="F1932">
        <v>2</v>
      </c>
      <c r="G1932">
        <v>2</v>
      </c>
      <c r="H1932" t="s">
        <v>5168</v>
      </c>
      <c r="I1932">
        <v>5.8</v>
      </c>
      <c r="J1932">
        <v>55.804000000000002</v>
      </c>
      <c r="K1932" t="str">
        <f>"IMPDH2"</f>
        <v>IMPDH2</v>
      </c>
      <c r="L1932" t="str">
        <f>"IMPDH2"</f>
        <v>IMPDH2</v>
      </c>
      <c r="M1932">
        <v>0</v>
      </c>
      <c r="N1932">
        <v>0</v>
      </c>
      <c r="O1932">
        <v>46938000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</row>
    <row r="1933" spans="1:24">
      <c r="A1933">
        <v>657</v>
      </c>
      <c r="B1933" t="s">
        <v>5170</v>
      </c>
      <c r="C1933">
        <v>2</v>
      </c>
      <c r="D1933" t="s">
        <v>5171</v>
      </c>
      <c r="E1933">
        <v>2</v>
      </c>
      <c r="F1933">
        <v>2</v>
      </c>
      <c r="G1933">
        <v>2</v>
      </c>
      <c r="H1933" t="s">
        <v>5172</v>
      </c>
      <c r="I1933">
        <v>3.5</v>
      </c>
      <c r="J1933">
        <v>65.147999999999996</v>
      </c>
      <c r="K1933" t="str">
        <f>"XRCC6"</f>
        <v>XRCC6</v>
      </c>
      <c r="L1933" t="str">
        <f>"XRCC6"</f>
        <v>XRCC6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12303000</v>
      </c>
      <c r="V1933">
        <v>0</v>
      </c>
      <c r="W1933">
        <v>0</v>
      </c>
      <c r="X1933">
        <v>0</v>
      </c>
    </row>
    <row r="1934" spans="1:24">
      <c r="A1934">
        <v>708</v>
      </c>
      <c r="B1934" t="s">
        <v>5173</v>
      </c>
      <c r="C1934">
        <v>1</v>
      </c>
      <c r="D1934" t="s">
        <v>5174</v>
      </c>
      <c r="E1934">
        <v>3</v>
      </c>
      <c r="F1934">
        <v>3</v>
      </c>
      <c r="G1934">
        <v>3</v>
      </c>
      <c r="H1934" t="s">
        <v>5173</v>
      </c>
      <c r="I1934">
        <v>16</v>
      </c>
      <c r="J1934">
        <v>25.917999999999999</v>
      </c>
      <c r="K1934" t="str">
        <f>"NQO2"</f>
        <v>NQO2</v>
      </c>
      <c r="L1934" t="str">
        <f>"NQO2"</f>
        <v>NQO2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10981000</v>
      </c>
      <c r="W1934">
        <v>0</v>
      </c>
      <c r="X1934">
        <v>0</v>
      </c>
    </row>
    <row r="1935" spans="1:24">
      <c r="A1935">
        <v>895</v>
      </c>
      <c r="B1935" t="s">
        <v>5175</v>
      </c>
      <c r="C1935">
        <v>1</v>
      </c>
      <c r="D1935" t="s">
        <v>5176</v>
      </c>
      <c r="E1935">
        <v>24</v>
      </c>
      <c r="F1935">
        <v>1</v>
      </c>
      <c r="G1935">
        <v>0</v>
      </c>
      <c r="H1935" t="s">
        <v>5175</v>
      </c>
      <c r="I1935">
        <v>61.4</v>
      </c>
      <c r="J1935">
        <v>40.731999999999999</v>
      </c>
      <c r="K1935" t="str">
        <f>"HLA-A"</f>
        <v>HLA-A</v>
      </c>
      <c r="L1935" t="str">
        <f>"HLA-A"</f>
        <v>HLA-A</v>
      </c>
      <c r="M1935">
        <v>0</v>
      </c>
      <c r="N1935">
        <v>249180000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</row>
    <row r="1936" spans="1:24">
      <c r="A1936">
        <v>897</v>
      </c>
      <c r="B1936" t="s">
        <v>5177</v>
      </c>
      <c r="C1936">
        <v>1</v>
      </c>
      <c r="D1936" t="s">
        <v>5178</v>
      </c>
      <c r="E1936">
        <v>18</v>
      </c>
      <c r="F1936">
        <v>1</v>
      </c>
      <c r="G1936">
        <v>0</v>
      </c>
      <c r="H1936" t="s">
        <v>5177</v>
      </c>
      <c r="I1936">
        <v>51.8</v>
      </c>
      <c r="J1936">
        <v>41.031999999999996</v>
      </c>
      <c r="K1936" t="str">
        <f>"HLA-A"</f>
        <v>HLA-A</v>
      </c>
      <c r="L1936" t="str">
        <f>"HLA-A"</f>
        <v>HLA-A</v>
      </c>
      <c r="M1936">
        <v>0</v>
      </c>
      <c r="N1936">
        <v>0</v>
      </c>
      <c r="O1936">
        <v>0</v>
      </c>
      <c r="P1936">
        <v>57285000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>
      <c r="A1937">
        <v>900</v>
      </c>
      <c r="B1937" t="s">
        <v>5179</v>
      </c>
      <c r="C1937">
        <v>2</v>
      </c>
      <c r="D1937" t="s">
        <v>5180</v>
      </c>
      <c r="E1937">
        <v>19</v>
      </c>
      <c r="F1937">
        <v>3</v>
      </c>
      <c r="G1937">
        <v>0</v>
      </c>
      <c r="H1937" t="s">
        <v>5181</v>
      </c>
      <c r="I1937">
        <v>47.5</v>
      </c>
      <c r="J1937">
        <v>40.357999999999997</v>
      </c>
      <c r="K1937" t="str">
        <f>"HLA-B;HLA-G"</f>
        <v>HLA-B;HLA-G</v>
      </c>
      <c r="L1937" t="str">
        <f>"HLA-B;HLA-G"</f>
        <v>HLA-B;HLA-G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</row>
    <row r="1938" spans="1:24">
      <c r="A1938">
        <v>904</v>
      </c>
      <c r="B1938" t="s">
        <v>5182</v>
      </c>
      <c r="C1938">
        <v>1</v>
      </c>
      <c r="D1938" t="s">
        <v>5183</v>
      </c>
      <c r="E1938">
        <v>17</v>
      </c>
      <c r="F1938">
        <v>2</v>
      </c>
      <c r="G1938">
        <v>0</v>
      </c>
      <c r="H1938" t="s">
        <v>5182</v>
      </c>
      <c r="I1938">
        <v>52.5</v>
      </c>
      <c r="J1938">
        <v>40.539000000000001</v>
      </c>
      <c r="K1938" t="str">
        <f>"HLA-B"</f>
        <v>HLA-B</v>
      </c>
      <c r="L1938" t="str">
        <f>"HLA-B"</f>
        <v>HLA-B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22313000</v>
      </c>
      <c r="V1938">
        <v>0</v>
      </c>
      <c r="W1938">
        <v>0</v>
      </c>
      <c r="X1938">
        <v>0</v>
      </c>
    </row>
    <row r="1939" spans="1:24">
      <c r="A1939">
        <v>939</v>
      </c>
      <c r="B1939" t="s">
        <v>5184</v>
      </c>
      <c r="C1939">
        <v>2</v>
      </c>
      <c r="D1939" t="s">
        <v>5185</v>
      </c>
      <c r="E1939">
        <v>4</v>
      </c>
      <c r="F1939">
        <v>4</v>
      </c>
      <c r="G1939">
        <v>4</v>
      </c>
      <c r="H1939" t="s">
        <v>5186</v>
      </c>
      <c r="I1939">
        <v>19.100000000000001</v>
      </c>
      <c r="J1939">
        <v>20.015999999999998</v>
      </c>
      <c r="K1939" t="str">
        <f>"DCTD"</f>
        <v>DCTD</v>
      </c>
      <c r="L1939" t="str">
        <f>"DCTD"</f>
        <v>DCTD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</row>
    <row r="1940" spans="1:24">
      <c r="A1940">
        <v>940</v>
      </c>
      <c r="B1940" t="s">
        <v>5187</v>
      </c>
      <c r="C1940">
        <v>2</v>
      </c>
      <c r="D1940" t="s">
        <v>5188</v>
      </c>
      <c r="E1940">
        <v>2</v>
      </c>
      <c r="F1940">
        <v>2</v>
      </c>
      <c r="G1940">
        <v>2</v>
      </c>
      <c r="H1940" t="s">
        <v>5189</v>
      </c>
      <c r="I1940">
        <v>7.1</v>
      </c>
      <c r="J1940">
        <v>40.497</v>
      </c>
      <c r="K1940" t="str">
        <f>"HPD"</f>
        <v>HPD</v>
      </c>
      <c r="L1940" t="str">
        <f>"HPD"</f>
        <v>HPD</v>
      </c>
      <c r="M1940">
        <v>0</v>
      </c>
      <c r="N1940">
        <v>0</v>
      </c>
      <c r="O1940">
        <v>27506000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</row>
    <row r="1941" spans="1:24">
      <c r="A1941">
        <v>944</v>
      </c>
      <c r="B1941" t="s">
        <v>5190</v>
      </c>
      <c r="C1941">
        <v>1</v>
      </c>
      <c r="D1941" t="s">
        <v>5191</v>
      </c>
      <c r="E1941">
        <v>1</v>
      </c>
      <c r="F1941">
        <v>1</v>
      </c>
      <c r="G1941">
        <v>1</v>
      </c>
      <c r="H1941" t="s">
        <v>5190</v>
      </c>
      <c r="I1941">
        <v>8.8000000000000007</v>
      </c>
      <c r="J1941">
        <v>16.84</v>
      </c>
      <c r="K1941" t="str">
        <f>"RNASE4"</f>
        <v>RNASE4</v>
      </c>
      <c r="L1941" t="str">
        <f>"RNASE4"</f>
        <v>RNASE4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7583400</v>
      </c>
    </row>
    <row r="1942" spans="1:24">
      <c r="A1942">
        <v>951</v>
      </c>
      <c r="B1942" t="s">
        <v>5192</v>
      </c>
      <c r="C1942">
        <v>2</v>
      </c>
      <c r="D1942" t="s">
        <v>5193</v>
      </c>
      <c r="E1942">
        <v>4</v>
      </c>
      <c r="F1942">
        <v>4</v>
      </c>
      <c r="G1942">
        <v>4</v>
      </c>
      <c r="H1942" t="s">
        <v>5194</v>
      </c>
      <c r="I1942">
        <v>14.9</v>
      </c>
      <c r="J1942">
        <v>46.655000000000001</v>
      </c>
      <c r="K1942" t="str">
        <f>"MPI"</f>
        <v>MPI</v>
      </c>
      <c r="L1942" t="str">
        <f>"MPI"</f>
        <v>MPI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>
      <c r="A1943">
        <v>958</v>
      </c>
      <c r="B1943" t="s">
        <v>5195</v>
      </c>
      <c r="C1943">
        <v>1</v>
      </c>
      <c r="D1943" t="s">
        <v>5196</v>
      </c>
      <c r="E1943">
        <v>2</v>
      </c>
      <c r="F1943">
        <v>2</v>
      </c>
      <c r="G1943">
        <v>2</v>
      </c>
      <c r="H1943" t="s">
        <v>5195</v>
      </c>
      <c r="I1943">
        <v>3.2</v>
      </c>
      <c r="J1943">
        <v>72.668999999999997</v>
      </c>
      <c r="K1943" t="str">
        <f>"IDUA"</f>
        <v>IDUA</v>
      </c>
      <c r="L1943" t="str">
        <f>"IDUA"</f>
        <v>IDUA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</row>
    <row r="1944" spans="1:24">
      <c r="A1944">
        <v>979</v>
      </c>
      <c r="B1944" t="s">
        <v>5197</v>
      </c>
      <c r="C1944">
        <v>1</v>
      </c>
      <c r="D1944" t="s">
        <v>5198</v>
      </c>
      <c r="E1944">
        <v>1</v>
      </c>
      <c r="F1944">
        <v>1</v>
      </c>
      <c r="G1944">
        <v>1</v>
      </c>
      <c r="H1944" t="s">
        <v>5197</v>
      </c>
      <c r="I1944">
        <v>3.7</v>
      </c>
      <c r="J1944">
        <v>47.697000000000003</v>
      </c>
      <c r="K1944" t="str">
        <f>"RPL4"</f>
        <v>RPL4</v>
      </c>
      <c r="L1944" t="str">
        <f>"RPL4"</f>
        <v>RPL4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15102000</v>
      </c>
      <c r="V1944">
        <v>0</v>
      </c>
      <c r="W1944">
        <v>0</v>
      </c>
      <c r="X1944">
        <v>0</v>
      </c>
    </row>
    <row r="1945" spans="1:24">
      <c r="A1945">
        <v>995</v>
      </c>
      <c r="B1945" t="s">
        <v>5199</v>
      </c>
      <c r="C1945">
        <v>2</v>
      </c>
      <c r="D1945" t="s">
        <v>5200</v>
      </c>
      <c r="E1945">
        <v>2</v>
      </c>
      <c r="F1945">
        <v>2</v>
      </c>
      <c r="G1945">
        <v>2</v>
      </c>
      <c r="H1945" t="s">
        <v>5201</v>
      </c>
      <c r="I1945">
        <v>12</v>
      </c>
      <c r="J1945">
        <v>39.110999999999997</v>
      </c>
      <c r="K1945" t="str">
        <f>"LIPA"</f>
        <v>LIPA</v>
      </c>
      <c r="L1945" t="str">
        <f>"LIPA"</f>
        <v>LIPA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</row>
    <row r="1946" spans="1:24">
      <c r="A1946">
        <v>1004</v>
      </c>
      <c r="B1946" t="s">
        <v>5202</v>
      </c>
      <c r="C1946">
        <v>2</v>
      </c>
      <c r="D1946" t="s">
        <v>5203</v>
      </c>
      <c r="E1946">
        <v>4</v>
      </c>
      <c r="F1946">
        <v>4</v>
      </c>
      <c r="G1946">
        <v>4</v>
      </c>
      <c r="H1946" t="s">
        <v>5204</v>
      </c>
      <c r="I1946">
        <v>31.1</v>
      </c>
      <c r="J1946">
        <v>18.565000000000001</v>
      </c>
      <c r="K1946" t="str">
        <f>"ARL1"</f>
        <v>ARL1</v>
      </c>
      <c r="L1946" t="str">
        <f>"ARL1"</f>
        <v>ARL1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</row>
    <row r="1947" spans="1:24">
      <c r="A1947">
        <v>1023</v>
      </c>
      <c r="B1947" t="s">
        <v>5205</v>
      </c>
      <c r="C1947">
        <v>1</v>
      </c>
      <c r="D1947" t="s">
        <v>5206</v>
      </c>
      <c r="E1947">
        <v>3</v>
      </c>
      <c r="F1947">
        <v>3</v>
      </c>
      <c r="G1947">
        <v>3</v>
      </c>
      <c r="H1947" t="s">
        <v>5205</v>
      </c>
      <c r="I1947">
        <v>1.8</v>
      </c>
      <c r="J1947">
        <v>231.32</v>
      </c>
      <c r="K1947" t="str">
        <f>"PI4KA"</f>
        <v>PI4KA</v>
      </c>
      <c r="L1947" t="str">
        <f>"PI4KA"</f>
        <v>PI4KA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13365000</v>
      </c>
      <c r="W1947">
        <v>0</v>
      </c>
      <c r="X1947">
        <v>0</v>
      </c>
    </row>
    <row r="1948" spans="1:24">
      <c r="A1948">
        <v>1030</v>
      </c>
      <c r="B1948" t="s">
        <v>5207</v>
      </c>
      <c r="C1948">
        <v>2</v>
      </c>
      <c r="D1948" t="s">
        <v>5208</v>
      </c>
      <c r="E1948">
        <v>2</v>
      </c>
      <c r="F1948">
        <v>2</v>
      </c>
      <c r="G1948">
        <v>2</v>
      </c>
      <c r="H1948" t="s">
        <v>5209</v>
      </c>
      <c r="I1948">
        <v>3.2</v>
      </c>
      <c r="J1948">
        <v>74.596000000000004</v>
      </c>
      <c r="K1948" t="str">
        <f>"MTHFR"</f>
        <v>MTHFR</v>
      </c>
      <c r="L1948" t="str">
        <f>"MTHFR"</f>
        <v>MTHFR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</row>
    <row r="1949" spans="1:24">
      <c r="A1949">
        <v>1131</v>
      </c>
      <c r="B1949" t="s">
        <v>5210</v>
      </c>
      <c r="C1949">
        <v>2</v>
      </c>
      <c r="D1949" t="s">
        <v>5211</v>
      </c>
      <c r="E1949">
        <v>4</v>
      </c>
      <c r="F1949">
        <v>4</v>
      </c>
      <c r="G1949">
        <v>4</v>
      </c>
      <c r="H1949" t="s">
        <v>5212</v>
      </c>
      <c r="I1949">
        <v>14</v>
      </c>
      <c r="J1949">
        <v>42.271999999999998</v>
      </c>
      <c r="K1949" t="str">
        <f>"GALK1"</f>
        <v>GALK1</v>
      </c>
      <c r="L1949" t="str">
        <f>"GALK1"</f>
        <v>GALK1</v>
      </c>
      <c r="M1949">
        <v>0</v>
      </c>
      <c r="N1949">
        <v>37273000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</row>
    <row r="1950" spans="1:24">
      <c r="A1950">
        <v>1159</v>
      </c>
      <c r="B1950" t="s">
        <v>5213</v>
      </c>
      <c r="C1950">
        <v>1</v>
      </c>
      <c r="D1950" t="s">
        <v>5214</v>
      </c>
      <c r="E1950">
        <v>4</v>
      </c>
      <c r="F1950">
        <v>4</v>
      </c>
      <c r="G1950">
        <v>4</v>
      </c>
      <c r="H1950" t="s">
        <v>5213</v>
      </c>
      <c r="I1950">
        <v>13.8</v>
      </c>
      <c r="J1950">
        <v>34.012</v>
      </c>
      <c r="K1950" t="str">
        <f>"SLC25A1"</f>
        <v>SLC25A1</v>
      </c>
      <c r="L1950" t="str">
        <f>"SLC25A1"</f>
        <v>SLC25A1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</row>
    <row r="1951" spans="1:24">
      <c r="A1951">
        <v>1185</v>
      </c>
      <c r="B1951" t="s">
        <v>5215</v>
      </c>
      <c r="C1951">
        <v>3</v>
      </c>
      <c r="D1951" t="s">
        <v>5216</v>
      </c>
      <c r="E1951">
        <v>1</v>
      </c>
      <c r="F1951">
        <v>1</v>
      </c>
      <c r="G1951">
        <v>1</v>
      </c>
      <c r="H1951" t="s">
        <v>5217</v>
      </c>
      <c r="I1951">
        <v>3.8</v>
      </c>
      <c r="J1951">
        <v>44.134999999999998</v>
      </c>
      <c r="K1951" t="str">
        <f>"PLTP"</f>
        <v>PLTP</v>
      </c>
      <c r="L1951" t="str">
        <f>"PLTP"</f>
        <v>PLTP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</row>
    <row r="1952" spans="1:24">
      <c r="A1952">
        <v>1211</v>
      </c>
      <c r="B1952" t="s">
        <v>5218</v>
      </c>
      <c r="C1952">
        <v>3</v>
      </c>
      <c r="D1952" t="s">
        <v>5219</v>
      </c>
      <c r="E1952">
        <v>4</v>
      </c>
      <c r="F1952">
        <v>4</v>
      </c>
      <c r="G1952">
        <v>4</v>
      </c>
      <c r="H1952" t="s">
        <v>5220</v>
      </c>
      <c r="I1952">
        <v>6.8</v>
      </c>
      <c r="J1952">
        <v>83.165999999999997</v>
      </c>
      <c r="K1952" t="str">
        <f>"LOXL3"</f>
        <v>LOXL3</v>
      </c>
      <c r="L1952" t="str">
        <f>"LOXL3"</f>
        <v>LOXL3</v>
      </c>
      <c r="M1952">
        <v>0</v>
      </c>
      <c r="N1952">
        <v>0</v>
      </c>
      <c r="O1952">
        <v>12673000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</row>
    <row r="1953" spans="1:24">
      <c r="A1953">
        <v>1232</v>
      </c>
      <c r="B1953" t="s">
        <v>5221</v>
      </c>
      <c r="C1953">
        <v>1</v>
      </c>
      <c r="D1953" t="s">
        <v>5222</v>
      </c>
      <c r="E1953">
        <v>5</v>
      </c>
      <c r="F1953">
        <v>5</v>
      </c>
      <c r="G1953">
        <v>5</v>
      </c>
      <c r="H1953" t="s">
        <v>5221</v>
      </c>
      <c r="I1953">
        <v>31.7</v>
      </c>
      <c r="J1953">
        <v>20.9</v>
      </c>
      <c r="K1953" t="str">
        <f>"UBE2M"</f>
        <v>UBE2M</v>
      </c>
      <c r="L1953" t="str">
        <f>"UBE2M"</f>
        <v>UBE2M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</row>
    <row r="1954" spans="1:24">
      <c r="A1954">
        <v>1318</v>
      </c>
      <c r="B1954" t="s">
        <v>5223</v>
      </c>
      <c r="C1954">
        <v>2</v>
      </c>
      <c r="D1954" t="s">
        <v>5224</v>
      </c>
      <c r="E1954">
        <v>2</v>
      </c>
      <c r="F1954">
        <v>2</v>
      </c>
      <c r="G1954">
        <v>2</v>
      </c>
      <c r="H1954" t="s">
        <v>5225</v>
      </c>
      <c r="I1954">
        <v>9.1</v>
      </c>
      <c r="J1954">
        <v>31.545999999999999</v>
      </c>
      <c r="K1954" t="str">
        <f>"IFI35"</f>
        <v>IFI35</v>
      </c>
      <c r="L1954" t="str">
        <f>"IFI35"</f>
        <v>IFI35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</row>
    <row r="1955" spans="1:24">
      <c r="A1955">
        <v>1341</v>
      </c>
      <c r="B1955" t="s">
        <v>5226</v>
      </c>
      <c r="C1955">
        <v>2</v>
      </c>
      <c r="D1955" t="s">
        <v>5227</v>
      </c>
      <c r="E1955">
        <v>3</v>
      </c>
      <c r="F1955">
        <v>3</v>
      </c>
      <c r="G1955">
        <v>3</v>
      </c>
      <c r="H1955" t="s">
        <v>5228</v>
      </c>
      <c r="I1955">
        <v>14.6</v>
      </c>
      <c r="J1955">
        <v>38.323999999999998</v>
      </c>
      <c r="K1955" t="str">
        <f>"SORD"</f>
        <v>SORD</v>
      </c>
      <c r="L1955" t="str">
        <f>"SORD"</f>
        <v>SORD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35928000</v>
      </c>
      <c r="V1955">
        <v>0</v>
      </c>
      <c r="W1955">
        <v>0</v>
      </c>
      <c r="X1955">
        <v>0</v>
      </c>
    </row>
    <row r="1956" spans="1:24">
      <c r="A1956">
        <v>1362</v>
      </c>
      <c r="B1956" t="s">
        <v>5229</v>
      </c>
      <c r="C1956">
        <v>4</v>
      </c>
      <c r="D1956" t="s">
        <v>5230</v>
      </c>
      <c r="E1956">
        <v>1</v>
      </c>
      <c r="F1956">
        <v>1</v>
      </c>
      <c r="G1956">
        <v>1</v>
      </c>
      <c r="H1956" t="s">
        <v>5231</v>
      </c>
      <c r="I1956">
        <v>2.4</v>
      </c>
      <c r="J1956">
        <v>58.805999999999997</v>
      </c>
      <c r="K1956" t="str">
        <f>"RELA"</f>
        <v>RELA</v>
      </c>
      <c r="L1956" t="str">
        <f>"RELA"</f>
        <v>RELA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13721000</v>
      </c>
      <c r="W1956">
        <v>0</v>
      </c>
      <c r="X1956">
        <v>0</v>
      </c>
    </row>
    <row r="1957" spans="1:24">
      <c r="A1957">
        <v>1390</v>
      </c>
      <c r="B1957" t="s">
        <v>5232</v>
      </c>
      <c r="C1957">
        <v>1</v>
      </c>
      <c r="D1957" t="s">
        <v>5233</v>
      </c>
      <c r="E1957">
        <v>3</v>
      </c>
      <c r="F1957">
        <v>3</v>
      </c>
      <c r="G1957">
        <v>3</v>
      </c>
      <c r="H1957" t="s">
        <v>5232</v>
      </c>
      <c r="I1957">
        <v>2.7</v>
      </c>
      <c r="J1957">
        <v>140.96</v>
      </c>
      <c r="K1957" t="str">
        <f>"DHX9"</f>
        <v>DHX9</v>
      </c>
      <c r="L1957" t="str">
        <f>"DHX9"</f>
        <v>DHX9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51522000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</row>
    <row r="1958" spans="1:24">
      <c r="A1958">
        <v>1415</v>
      </c>
      <c r="B1958" t="s">
        <v>5234</v>
      </c>
      <c r="C1958">
        <v>2</v>
      </c>
      <c r="D1958" t="s">
        <v>5235</v>
      </c>
      <c r="E1958">
        <v>3</v>
      </c>
      <c r="F1958">
        <v>3</v>
      </c>
      <c r="G1958">
        <v>3</v>
      </c>
      <c r="H1958" t="s">
        <v>5236</v>
      </c>
      <c r="I1958">
        <v>5.8</v>
      </c>
      <c r="J1958">
        <v>74.266999999999996</v>
      </c>
      <c r="K1958" t="str">
        <f>"TRAP1"</f>
        <v>TRAP1</v>
      </c>
      <c r="L1958" t="str">
        <f>"TRAP1"</f>
        <v>TRAP1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</row>
    <row r="1959" spans="1:24">
      <c r="A1959">
        <v>1459</v>
      </c>
      <c r="B1959" t="s">
        <v>5237</v>
      </c>
      <c r="C1959">
        <v>3</v>
      </c>
      <c r="D1959" t="s">
        <v>5238</v>
      </c>
      <c r="E1959">
        <v>6</v>
      </c>
      <c r="F1959">
        <v>4</v>
      </c>
      <c r="G1959">
        <v>4</v>
      </c>
      <c r="H1959" t="s">
        <v>5239</v>
      </c>
      <c r="I1959">
        <v>13.6</v>
      </c>
      <c r="J1959">
        <v>51.811999999999998</v>
      </c>
      <c r="K1959" t="str">
        <f>"SNX1"</f>
        <v>SNX1</v>
      </c>
      <c r="L1959" t="str">
        <f>"SNX1"</f>
        <v>SNX1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>
      <c r="A1960">
        <v>1465</v>
      </c>
      <c r="B1960" t="s">
        <v>5240</v>
      </c>
      <c r="C1960">
        <v>2</v>
      </c>
      <c r="D1960" t="s">
        <v>5241</v>
      </c>
      <c r="E1960">
        <v>4</v>
      </c>
      <c r="F1960">
        <v>4</v>
      </c>
      <c r="G1960">
        <v>4</v>
      </c>
      <c r="H1960" t="s">
        <v>5242</v>
      </c>
      <c r="I1960">
        <v>9.8000000000000007</v>
      </c>
      <c r="J1960">
        <v>80.701999999999998</v>
      </c>
      <c r="K1960" t="str">
        <f>"MOGS"</f>
        <v>MOGS</v>
      </c>
      <c r="L1960" t="str">
        <f>"MOGS"</f>
        <v>MOGS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</row>
    <row r="1961" spans="1:24">
      <c r="A1961">
        <v>1486</v>
      </c>
      <c r="B1961" t="s">
        <v>5243</v>
      </c>
      <c r="C1961">
        <v>5</v>
      </c>
      <c r="D1961" t="s">
        <v>5244</v>
      </c>
      <c r="E1961">
        <v>3</v>
      </c>
      <c r="F1961">
        <v>3</v>
      </c>
      <c r="G1961">
        <v>3</v>
      </c>
      <c r="H1961" t="s">
        <v>5245</v>
      </c>
      <c r="I1961">
        <v>6.7</v>
      </c>
      <c r="J1961">
        <v>78.783000000000001</v>
      </c>
      <c r="K1961" t="str">
        <f>"SCARF1"</f>
        <v>SCARF1</v>
      </c>
      <c r="L1961" t="str">
        <f>"SCARF1"</f>
        <v>SCARF1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54468000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</row>
    <row r="1962" spans="1:24">
      <c r="A1962">
        <v>1515</v>
      </c>
      <c r="B1962" t="s">
        <v>5246</v>
      </c>
      <c r="C1962">
        <v>1</v>
      </c>
      <c r="D1962" t="s">
        <v>5247</v>
      </c>
      <c r="E1962">
        <v>2</v>
      </c>
      <c r="F1962">
        <v>2</v>
      </c>
      <c r="G1962">
        <v>2</v>
      </c>
      <c r="H1962" t="s">
        <v>5246</v>
      </c>
      <c r="I1962">
        <v>5.5</v>
      </c>
      <c r="J1962">
        <v>70.701999999999998</v>
      </c>
      <c r="K1962" t="str">
        <f>"LBR"</f>
        <v>LBR</v>
      </c>
      <c r="L1962" t="str">
        <f>"LBR"</f>
        <v>LBR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8250800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</row>
    <row r="1963" spans="1:24">
      <c r="A1963">
        <v>1529</v>
      </c>
      <c r="B1963" t="s">
        <v>5248</v>
      </c>
      <c r="C1963">
        <v>2</v>
      </c>
      <c r="D1963" t="s">
        <v>5249</v>
      </c>
      <c r="E1963">
        <v>4</v>
      </c>
      <c r="F1963">
        <v>4</v>
      </c>
      <c r="G1963">
        <v>4</v>
      </c>
      <c r="H1963" t="s">
        <v>5250</v>
      </c>
      <c r="I1963">
        <v>10.1</v>
      </c>
      <c r="J1963">
        <v>49.997999999999998</v>
      </c>
      <c r="K1963" t="str">
        <f>"SNX17"</f>
        <v>SNX17</v>
      </c>
      <c r="L1963" t="str">
        <f>"SNX17"</f>
        <v>SNX17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</row>
    <row r="1964" spans="1:24">
      <c r="A1964">
        <v>1556</v>
      </c>
      <c r="B1964" t="s">
        <v>5251</v>
      </c>
      <c r="C1964">
        <v>2</v>
      </c>
      <c r="D1964" t="s">
        <v>5252</v>
      </c>
      <c r="E1964">
        <v>5</v>
      </c>
      <c r="F1964">
        <v>5</v>
      </c>
      <c r="G1964">
        <v>5</v>
      </c>
      <c r="H1964" t="s">
        <v>5253</v>
      </c>
      <c r="I1964">
        <v>11.7</v>
      </c>
      <c r="J1964">
        <v>57.454999999999998</v>
      </c>
      <c r="K1964" t="str">
        <f>"ANGPT1"</f>
        <v>ANGPT1</v>
      </c>
      <c r="L1964" t="str">
        <f>"ANGPT1"</f>
        <v>ANGPT1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</row>
    <row r="1965" spans="1:24">
      <c r="A1965">
        <v>1562</v>
      </c>
      <c r="B1965" t="s">
        <v>5254</v>
      </c>
      <c r="C1965">
        <v>2</v>
      </c>
      <c r="D1965" t="s">
        <v>5255</v>
      </c>
      <c r="E1965">
        <v>1</v>
      </c>
      <c r="F1965">
        <v>1</v>
      </c>
      <c r="G1965">
        <v>1</v>
      </c>
      <c r="H1965" t="s">
        <v>5256</v>
      </c>
      <c r="I1965">
        <v>4.7</v>
      </c>
      <c r="J1965">
        <v>30.227</v>
      </c>
      <c r="K1965" t="str">
        <f>"FCN2"</f>
        <v>FCN2</v>
      </c>
      <c r="L1965" t="str">
        <f>"FCN2"</f>
        <v>FCN2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45941000</v>
      </c>
      <c r="U1965">
        <v>0</v>
      </c>
      <c r="V1965">
        <v>0</v>
      </c>
      <c r="W1965">
        <v>0</v>
      </c>
      <c r="X1965">
        <v>0</v>
      </c>
    </row>
    <row r="1966" spans="1:24">
      <c r="A1966">
        <v>1568</v>
      </c>
      <c r="B1966" t="s">
        <v>5257</v>
      </c>
      <c r="C1966">
        <v>2</v>
      </c>
      <c r="D1966" t="s">
        <v>5258</v>
      </c>
      <c r="E1966">
        <v>1</v>
      </c>
      <c r="F1966">
        <v>1</v>
      </c>
      <c r="G1966">
        <v>1</v>
      </c>
      <c r="H1966" t="s">
        <v>5259</v>
      </c>
      <c r="I1966">
        <v>4.3</v>
      </c>
      <c r="J1966">
        <v>36.091000000000001</v>
      </c>
      <c r="K1966" t="str">
        <f>"ELAVL1"</f>
        <v>ELAVL1</v>
      </c>
      <c r="L1966" t="str">
        <f>"ELAVL1"</f>
        <v>ELAVL1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42628000</v>
      </c>
      <c r="V1966">
        <v>0</v>
      </c>
      <c r="W1966">
        <v>0</v>
      </c>
      <c r="X1966">
        <v>0</v>
      </c>
    </row>
    <row r="1967" spans="1:24">
      <c r="A1967">
        <v>1651</v>
      </c>
      <c r="B1967" t="s">
        <v>5260</v>
      </c>
      <c r="C1967">
        <v>7</v>
      </c>
      <c r="D1967" t="s">
        <v>5261</v>
      </c>
      <c r="E1967">
        <v>2</v>
      </c>
      <c r="F1967">
        <v>2</v>
      </c>
      <c r="G1967">
        <v>2</v>
      </c>
      <c r="H1967" t="s">
        <v>5262</v>
      </c>
      <c r="I1967">
        <v>3.8</v>
      </c>
      <c r="J1967">
        <v>66.765000000000001</v>
      </c>
      <c r="K1967" t="str">
        <f>"TTC39B"</f>
        <v>TTC39B</v>
      </c>
      <c r="L1967" t="str">
        <f>"TTC39B"</f>
        <v>TTC39B</v>
      </c>
      <c r="M1967">
        <v>0</v>
      </c>
      <c r="N1967">
        <v>0</v>
      </c>
      <c r="O1967">
        <v>7144300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</row>
    <row r="1968" spans="1:24">
      <c r="A1968">
        <v>1746</v>
      </c>
      <c r="B1968" t="s">
        <v>5263</v>
      </c>
      <c r="C1968">
        <v>3</v>
      </c>
      <c r="D1968" t="s">
        <v>5264</v>
      </c>
      <c r="E1968">
        <v>3</v>
      </c>
      <c r="F1968">
        <v>3</v>
      </c>
      <c r="G1968">
        <v>3</v>
      </c>
      <c r="H1968" t="s">
        <v>5265</v>
      </c>
      <c r="I1968">
        <v>4.9000000000000004</v>
      </c>
      <c r="J1968">
        <v>83.125</v>
      </c>
      <c r="K1968" t="str">
        <f>"HOOK3;HOOK1"</f>
        <v>HOOK3;HOOK1</v>
      </c>
      <c r="L1968" t="str">
        <f>"HOOK3;HOOK1"</f>
        <v>HOOK3;HOOK1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20629000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</row>
    <row r="1969" spans="1:24">
      <c r="A1969">
        <v>1759</v>
      </c>
      <c r="B1969" t="s">
        <v>5266</v>
      </c>
      <c r="C1969">
        <v>1</v>
      </c>
      <c r="D1969" t="s">
        <v>5267</v>
      </c>
      <c r="E1969">
        <v>1</v>
      </c>
      <c r="F1969">
        <v>1</v>
      </c>
      <c r="G1969">
        <v>1</v>
      </c>
      <c r="H1969" t="s">
        <v>5266</v>
      </c>
      <c r="I1969">
        <v>3.9</v>
      </c>
      <c r="J1969">
        <v>24.687000000000001</v>
      </c>
      <c r="K1969" t="str">
        <f>"WFDC3"</f>
        <v>WFDC3</v>
      </c>
      <c r="L1969" t="str">
        <f>"WFDC3"</f>
        <v>WFDC3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>
      <c r="A1970">
        <v>1766</v>
      </c>
      <c r="B1970" t="s">
        <v>5268</v>
      </c>
      <c r="C1970">
        <v>1</v>
      </c>
      <c r="D1970" t="s">
        <v>5269</v>
      </c>
      <c r="E1970">
        <v>3</v>
      </c>
      <c r="F1970">
        <v>3</v>
      </c>
      <c r="G1970">
        <v>3</v>
      </c>
      <c r="H1970" t="s">
        <v>5268</v>
      </c>
      <c r="I1970">
        <v>8.5</v>
      </c>
      <c r="J1970">
        <v>46.323</v>
      </c>
      <c r="K1970" t="str">
        <f>"WDFY1"</f>
        <v>WDFY1</v>
      </c>
      <c r="L1970" t="str">
        <f>"WDFY1"</f>
        <v>WDFY1</v>
      </c>
      <c r="M1970">
        <v>0</v>
      </c>
      <c r="N1970">
        <v>0</v>
      </c>
      <c r="O1970">
        <v>33505000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</row>
    <row r="1971" spans="1:24">
      <c r="A1971">
        <v>1772</v>
      </c>
      <c r="B1971" t="s">
        <v>5270</v>
      </c>
      <c r="C1971">
        <v>1</v>
      </c>
      <c r="D1971" t="s">
        <v>5271</v>
      </c>
      <c r="E1971">
        <v>3</v>
      </c>
      <c r="F1971">
        <v>3</v>
      </c>
      <c r="G1971">
        <v>3</v>
      </c>
      <c r="H1971" t="s">
        <v>5270</v>
      </c>
      <c r="I1971">
        <v>4.4000000000000004</v>
      </c>
      <c r="J1971">
        <v>81.798000000000002</v>
      </c>
      <c r="K1971" t="str">
        <f>"EXOC8"</f>
        <v>EXOC8</v>
      </c>
      <c r="L1971" t="str">
        <f>"EXOC8"</f>
        <v>EXOC8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</row>
    <row r="1972" spans="1:24">
      <c r="A1972">
        <v>1779</v>
      </c>
      <c r="B1972" t="s">
        <v>5272</v>
      </c>
      <c r="C1972">
        <v>2</v>
      </c>
      <c r="D1972" t="s">
        <v>5273</v>
      </c>
      <c r="E1972">
        <v>2</v>
      </c>
      <c r="F1972">
        <v>2</v>
      </c>
      <c r="G1972">
        <v>2</v>
      </c>
      <c r="H1972" t="s">
        <v>5274</v>
      </c>
      <c r="I1972">
        <v>11.9</v>
      </c>
      <c r="J1972">
        <v>19.835000000000001</v>
      </c>
      <c r="K1972" t="str">
        <f>"VKORC1L1"</f>
        <v>VKORC1L1</v>
      </c>
      <c r="L1972" t="str">
        <f>"VKORC1L1"</f>
        <v>VKORC1L1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</row>
    <row r="1973" spans="1:24">
      <c r="A1973">
        <v>1789</v>
      </c>
      <c r="B1973" t="s">
        <v>5275</v>
      </c>
      <c r="C1973">
        <v>2</v>
      </c>
      <c r="D1973" t="s">
        <v>5276</v>
      </c>
      <c r="E1973">
        <v>3</v>
      </c>
      <c r="F1973">
        <v>3</v>
      </c>
      <c r="G1973">
        <v>3</v>
      </c>
      <c r="H1973" t="s">
        <v>5277</v>
      </c>
      <c r="I1973">
        <v>4.7</v>
      </c>
      <c r="J1973">
        <v>80.724000000000004</v>
      </c>
      <c r="K1973" t="str">
        <f>"AFAP1"</f>
        <v>AFAP1</v>
      </c>
      <c r="L1973" t="str">
        <f>"AFAP1"</f>
        <v>AFAP1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65561000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</row>
    <row r="1974" spans="1:24">
      <c r="A1974">
        <v>1819</v>
      </c>
      <c r="B1974" t="s">
        <v>5278</v>
      </c>
      <c r="C1974">
        <v>2</v>
      </c>
      <c r="D1974" t="s">
        <v>5279</v>
      </c>
      <c r="E1974">
        <v>2</v>
      </c>
      <c r="F1974">
        <v>2</v>
      </c>
      <c r="G1974">
        <v>2</v>
      </c>
      <c r="H1974" t="s">
        <v>5280</v>
      </c>
      <c r="I1974">
        <v>5.9</v>
      </c>
      <c r="J1974">
        <v>33.478999999999999</v>
      </c>
      <c r="K1974" t="str">
        <f>"GDAP1"</f>
        <v>GDAP1</v>
      </c>
      <c r="L1974" t="str">
        <f>"GDAP1"</f>
        <v>GDAP1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</row>
    <row r="1975" spans="1:24">
      <c r="A1975">
        <v>1860</v>
      </c>
      <c r="B1975" t="s">
        <v>5281</v>
      </c>
      <c r="C1975">
        <v>1</v>
      </c>
      <c r="D1975" t="s">
        <v>5282</v>
      </c>
      <c r="E1975">
        <v>4</v>
      </c>
      <c r="F1975">
        <v>4</v>
      </c>
      <c r="G1975">
        <v>4</v>
      </c>
      <c r="H1975" t="s">
        <v>5281</v>
      </c>
      <c r="I1975">
        <v>6.9</v>
      </c>
      <c r="J1975">
        <v>74.518000000000001</v>
      </c>
      <c r="K1975" t="str">
        <f>"TM9SF4"</f>
        <v>TM9SF4</v>
      </c>
      <c r="L1975" t="str">
        <f>"TM9SF4"</f>
        <v>TM9SF4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>
      <c r="A1976">
        <v>1862</v>
      </c>
      <c r="B1976" t="s">
        <v>5283</v>
      </c>
      <c r="C1976">
        <v>1</v>
      </c>
      <c r="D1976" t="s">
        <v>5284</v>
      </c>
      <c r="E1976">
        <v>3</v>
      </c>
      <c r="F1976">
        <v>3</v>
      </c>
      <c r="G1976">
        <v>3</v>
      </c>
      <c r="H1976" t="s">
        <v>5283</v>
      </c>
      <c r="I1976">
        <v>17.100000000000001</v>
      </c>
      <c r="J1976">
        <v>21.731999999999999</v>
      </c>
      <c r="K1976" t="str">
        <f>"AP3S1"</f>
        <v>AP3S1</v>
      </c>
      <c r="L1976" t="str">
        <f>"AP3S1"</f>
        <v>AP3S1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>
      <c r="A1977">
        <v>1865</v>
      </c>
      <c r="B1977" t="s">
        <v>5285</v>
      </c>
      <c r="C1977">
        <v>2</v>
      </c>
      <c r="D1977" t="s">
        <v>5286</v>
      </c>
      <c r="E1977">
        <v>3</v>
      </c>
      <c r="F1977">
        <v>3</v>
      </c>
      <c r="G1977">
        <v>3</v>
      </c>
      <c r="H1977" t="s">
        <v>5287</v>
      </c>
      <c r="I1977">
        <v>5.5</v>
      </c>
      <c r="J1977">
        <v>89.003</v>
      </c>
      <c r="K1977" t="str">
        <f>"TBC1D5"</f>
        <v>TBC1D5</v>
      </c>
      <c r="L1977" t="str">
        <f>"TBC1D5"</f>
        <v>TBC1D5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</row>
    <row r="1978" spans="1:24">
      <c r="A1978">
        <v>1888</v>
      </c>
      <c r="B1978" t="s">
        <v>5288</v>
      </c>
      <c r="C1978">
        <v>3</v>
      </c>
      <c r="D1978" t="s">
        <v>5289</v>
      </c>
      <c r="E1978">
        <v>2</v>
      </c>
      <c r="F1978">
        <v>2</v>
      </c>
      <c r="G1978">
        <v>2</v>
      </c>
      <c r="H1978" t="s">
        <v>5290</v>
      </c>
      <c r="I1978">
        <v>2.4</v>
      </c>
      <c r="J1978">
        <v>108.24</v>
      </c>
      <c r="K1978" t="str">
        <f>"ARHGEF2"</f>
        <v>ARHGEF2</v>
      </c>
      <c r="L1978" t="str">
        <f>"ARHGEF2"</f>
        <v>ARHGEF2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12554000</v>
      </c>
      <c r="W1978">
        <v>0</v>
      </c>
      <c r="X1978">
        <v>0</v>
      </c>
    </row>
    <row r="1979" spans="1:24">
      <c r="A1979">
        <v>1918</v>
      </c>
      <c r="B1979" t="s">
        <v>5291</v>
      </c>
      <c r="C1979">
        <v>2</v>
      </c>
      <c r="D1979" t="s">
        <v>5292</v>
      </c>
      <c r="E1979">
        <v>1</v>
      </c>
      <c r="F1979">
        <v>1</v>
      </c>
      <c r="G1979">
        <v>1</v>
      </c>
      <c r="H1979" t="s">
        <v>5293</v>
      </c>
      <c r="I1979">
        <v>1.1000000000000001</v>
      </c>
      <c r="J1979">
        <v>91.375</v>
      </c>
      <c r="K1979" t="str">
        <f>"EVI5L"</f>
        <v>EVI5L</v>
      </c>
      <c r="L1979" t="str">
        <f>"EVI5L"</f>
        <v>EVI5L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4897400</v>
      </c>
      <c r="U1979">
        <v>0</v>
      </c>
      <c r="V1979">
        <v>0</v>
      </c>
      <c r="W1979">
        <v>0</v>
      </c>
      <c r="X1979">
        <v>0</v>
      </c>
    </row>
    <row r="1980" spans="1:24">
      <c r="A1980">
        <v>1920</v>
      </c>
      <c r="B1980" t="s">
        <v>5294</v>
      </c>
      <c r="C1980">
        <v>1</v>
      </c>
      <c r="D1980" t="s">
        <v>5295</v>
      </c>
      <c r="E1980">
        <v>1</v>
      </c>
      <c r="F1980">
        <v>1</v>
      </c>
      <c r="G1980">
        <v>1</v>
      </c>
      <c r="H1980" t="s">
        <v>5294</v>
      </c>
      <c r="I1980">
        <v>2.7</v>
      </c>
      <c r="J1980">
        <v>52.622999999999998</v>
      </c>
      <c r="K1980" t="str">
        <f>"FAF2"</f>
        <v>FAF2</v>
      </c>
      <c r="L1980" t="str">
        <f>"FAF2"</f>
        <v>FAF2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</row>
    <row r="1981" spans="1:24">
      <c r="A1981">
        <v>1991</v>
      </c>
      <c r="B1981" t="s">
        <v>5296</v>
      </c>
      <c r="C1981">
        <v>1</v>
      </c>
      <c r="D1981" t="s">
        <v>5297</v>
      </c>
      <c r="E1981">
        <v>1</v>
      </c>
      <c r="F1981">
        <v>1</v>
      </c>
      <c r="G1981">
        <v>1</v>
      </c>
      <c r="H1981" t="s">
        <v>5296</v>
      </c>
      <c r="I1981">
        <v>5.6</v>
      </c>
      <c r="J1981">
        <v>22.456</v>
      </c>
      <c r="K1981" t="str">
        <f>"CHP1"</f>
        <v>CHP1</v>
      </c>
      <c r="L1981" t="str">
        <f>"CHP1"</f>
        <v>CHP1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</row>
    <row r="1982" spans="1:24">
      <c r="A1982">
        <v>2009</v>
      </c>
      <c r="B1982" t="s">
        <v>5298</v>
      </c>
      <c r="C1982">
        <v>2</v>
      </c>
      <c r="D1982" t="s">
        <v>5299</v>
      </c>
      <c r="E1982">
        <v>2</v>
      </c>
      <c r="F1982">
        <v>2</v>
      </c>
      <c r="G1982">
        <v>2</v>
      </c>
      <c r="H1982" t="s">
        <v>5300</v>
      </c>
      <c r="I1982">
        <v>5</v>
      </c>
      <c r="J1982">
        <v>46.45</v>
      </c>
      <c r="K1982" t="str">
        <f>"C7orf25"</f>
        <v>C7orf25</v>
      </c>
      <c r="L1982" t="str">
        <f>"C7orf25"</f>
        <v>C7orf25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</row>
    <row r="1983" spans="1:24">
      <c r="A1983">
        <v>2044</v>
      </c>
      <c r="B1983" t="s">
        <v>5301</v>
      </c>
      <c r="C1983">
        <v>1</v>
      </c>
      <c r="D1983" t="s">
        <v>5302</v>
      </c>
      <c r="E1983">
        <v>1</v>
      </c>
      <c r="F1983">
        <v>1</v>
      </c>
      <c r="G1983">
        <v>1</v>
      </c>
      <c r="H1983" t="s">
        <v>5301</v>
      </c>
      <c r="I1983">
        <v>3</v>
      </c>
      <c r="J1983">
        <v>38.697000000000003</v>
      </c>
      <c r="K1983" t="str">
        <f>"SUCNR1"</f>
        <v>SUCNR1</v>
      </c>
      <c r="L1983" t="str">
        <f>"SUCNR1"</f>
        <v>SUCNR1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</row>
    <row r="1984" spans="1:24">
      <c r="A1984">
        <v>2047</v>
      </c>
      <c r="B1984" t="s">
        <v>5303</v>
      </c>
      <c r="C1984">
        <v>1</v>
      </c>
      <c r="D1984" t="s">
        <v>5304</v>
      </c>
      <c r="E1984">
        <v>3</v>
      </c>
      <c r="F1984">
        <v>2</v>
      </c>
      <c r="G1984">
        <v>2</v>
      </c>
      <c r="H1984" t="s">
        <v>5303</v>
      </c>
      <c r="I1984">
        <v>6</v>
      </c>
      <c r="J1984">
        <v>64.418999999999997</v>
      </c>
      <c r="K1984" t="str">
        <f>"CFHR5"</f>
        <v>CFHR5</v>
      </c>
      <c r="L1984" t="str">
        <f>"CFHR5"</f>
        <v>CFHR5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</row>
    <row r="1985" spans="1:24">
      <c r="A1985">
        <v>2085</v>
      </c>
      <c r="B1985" t="s">
        <v>5305</v>
      </c>
      <c r="C1985">
        <v>3</v>
      </c>
      <c r="D1985" t="s">
        <v>5306</v>
      </c>
      <c r="E1985">
        <v>2</v>
      </c>
      <c r="F1985">
        <v>2</v>
      </c>
      <c r="G1985">
        <v>2</v>
      </c>
      <c r="H1985" t="s">
        <v>5307</v>
      </c>
      <c r="I1985">
        <v>6.8</v>
      </c>
      <c r="J1985">
        <v>42.953000000000003</v>
      </c>
      <c r="K1985" t="str">
        <f>"CARD9"</f>
        <v>CARD9</v>
      </c>
      <c r="L1985" t="str">
        <f>"CARD9"</f>
        <v>CARD9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18593000</v>
      </c>
      <c r="W1985">
        <v>0</v>
      </c>
      <c r="X1985">
        <v>0</v>
      </c>
    </row>
    <row r="1986" spans="1:24">
      <c r="A1986">
        <v>2100</v>
      </c>
      <c r="B1986" t="s">
        <v>5308</v>
      </c>
      <c r="C1986">
        <v>1</v>
      </c>
      <c r="D1986" t="s">
        <v>5309</v>
      </c>
      <c r="E1986">
        <v>2</v>
      </c>
      <c r="F1986">
        <v>2</v>
      </c>
      <c r="G1986">
        <v>2</v>
      </c>
      <c r="H1986" t="s">
        <v>5308</v>
      </c>
      <c r="I1986">
        <v>3.3</v>
      </c>
      <c r="J1986">
        <v>73.91</v>
      </c>
      <c r="K1986" t="str">
        <f>"DEF6"</f>
        <v>DEF6</v>
      </c>
      <c r="L1986" t="str">
        <f>"DEF6"</f>
        <v>DEF6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</row>
    <row r="1987" spans="1:24">
      <c r="A1987">
        <v>2101</v>
      </c>
      <c r="B1987" t="s">
        <v>5310</v>
      </c>
      <c r="C1987">
        <v>1</v>
      </c>
      <c r="D1987" t="s">
        <v>5311</v>
      </c>
      <c r="E1987">
        <v>2</v>
      </c>
      <c r="F1987">
        <v>2</v>
      </c>
      <c r="G1987">
        <v>2</v>
      </c>
      <c r="H1987" t="s">
        <v>5310</v>
      </c>
      <c r="I1987">
        <v>16.899999999999999</v>
      </c>
      <c r="J1987">
        <v>17.218</v>
      </c>
      <c r="K1987" t="str">
        <f>"GLIPR2"</f>
        <v>GLIPR2</v>
      </c>
      <c r="L1987" t="str">
        <f>"GLIPR2"</f>
        <v>GLIPR2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14952000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>
      <c r="A1988">
        <v>2160</v>
      </c>
      <c r="B1988" t="s">
        <v>5312</v>
      </c>
      <c r="C1988">
        <v>2</v>
      </c>
      <c r="D1988" t="s">
        <v>5313</v>
      </c>
      <c r="E1988">
        <v>1</v>
      </c>
      <c r="F1988">
        <v>1</v>
      </c>
      <c r="G1988">
        <v>1</v>
      </c>
      <c r="H1988" t="s">
        <v>5314</v>
      </c>
      <c r="I1988">
        <v>8.1</v>
      </c>
      <c r="J1988">
        <v>16.829000000000001</v>
      </c>
      <c r="K1988" t="str">
        <f>"OSTC"</f>
        <v>OSTC</v>
      </c>
      <c r="L1988" t="str">
        <f>"OSTC"</f>
        <v>OSTC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57830000</v>
      </c>
      <c r="U1988">
        <v>0</v>
      </c>
      <c r="V1988">
        <v>0</v>
      </c>
      <c r="W1988">
        <v>0</v>
      </c>
      <c r="X1988">
        <v>0</v>
      </c>
    </row>
    <row r="1989" spans="1:24">
      <c r="A1989">
        <v>2184</v>
      </c>
      <c r="B1989" t="s">
        <v>5315</v>
      </c>
      <c r="C1989">
        <v>3</v>
      </c>
      <c r="D1989" t="s">
        <v>5316</v>
      </c>
      <c r="E1989">
        <v>2</v>
      </c>
      <c r="F1989">
        <v>2</v>
      </c>
      <c r="G1989">
        <v>2</v>
      </c>
      <c r="H1989" t="s">
        <v>5317</v>
      </c>
      <c r="I1989">
        <v>10.7</v>
      </c>
      <c r="J1989">
        <v>24.977</v>
      </c>
      <c r="K1989" t="str">
        <f>"FGFR1OP2"</f>
        <v>FGFR1OP2</v>
      </c>
      <c r="L1989" t="str">
        <f>"FGFR1OP2"</f>
        <v>FGFR1OP2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</row>
    <row r="1990" spans="1:24">
      <c r="A1990">
        <v>2185</v>
      </c>
      <c r="B1990" t="s">
        <v>5318</v>
      </c>
      <c r="C1990">
        <v>4</v>
      </c>
      <c r="D1990" t="s">
        <v>5319</v>
      </c>
      <c r="E1990">
        <v>2</v>
      </c>
      <c r="F1990">
        <v>2</v>
      </c>
      <c r="G1990">
        <v>2</v>
      </c>
      <c r="H1990" t="s">
        <v>5320</v>
      </c>
      <c r="I1990">
        <v>12.5</v>
      </c>
      <c r="J1990">
        <v>28.338000000000001</v>
      </c>
      <c r="K1990" t="str">
        <f>"NECAP2"</f>
        <v>NECAP2</v>
      </c>
      <c r="L1990" t="str">
        <f>"NECAP2"</f>
        <v>NECAP2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14882000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</row>
    <row r="1991" spans="1:24">
      <c r="A1991">
        <v>2206</v>
      </c>
      <c r="B1991" t="s">
        <v>5321</v>
      </c>
      <c r="C1991">
        <v>2</v>
      </c>
      <c r="D1991" t="s">
        <v>5322</v>
      </c>
      <c r="E1991">
        <v>1</v>
      </c>
      <c r="F1991">
        <v>1</v>
      </c>
      <c r="G1991">
        <v>1</v>
      </c>
      <c r="H1991" t="s">
        <v>5323</v>
      </c>
      <c r="I1991">
        <v>3.5</v>
      </c>
      <c r="J1991">
        <v>39.918999999999997</v>
      </c>
      <c r="K1991" t="str">
        <f>"MTCH1"</f>
        <v>MTCH1</v>
      </c>
      <c r="L1991" t="str">
        <f>"MTCH1"</f>
        <v>MTCH1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</row>
    <row r="1992" spans="1:24">
      <c r="A1992">
        <v>2217</v>
      </c>
      <c r="B1992" t="s">
        <v>5324</v>
      </c>
      <c r="C1992">
        <v>4</v>
      </c>
      <c r="D1992" t="s">
        <v>5325</v>
      </c>
      <c r="E1992">
        <v>4</v>
      </c>
      <c r="F1992">
        <v>4</v>
      </c>
      <c r="G1992">
        <v>4</v>
      </c>
      <c r="H1992" t="s">
        <v>5326</v>
      </c>
      <c r="I1992">
        <v>7.6</v>
      </c>
      <c r="J1992">
        <v>70.977999999999994</v>
      </c>
      <c r="K1992" t="str">
        <f>"CALCOCO1"</f>
        <v>CALCOCO1</v>
      </c>
      <c r="L1992" t="str">
        <f>"CALCOCO1"</f>
        <v>CALCOCO1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19342000</v>
      </c>
      <c r="W1992">
        <v>0</v>
      </c>
      <c r="X1992">
        <v>0</v>
      </c>
    </row>
    <row r="1993" spans="1:24">
      <c r="A1993">
        <v>2223</v>
      </c>
      <c r="B1993" t="s">
        <v>5327</v>
      </c>
      <c r="C1993">
        <v>3</v>
      </c>
      <c r="D1993" t="s">
        <v>5328</v>
      </c>
      <c r="E1993">
        <v>4</v>
      </c>
      <c r="F1993">
        <v>4</v>
      </c>
      <c r="G1993">
        <v>4</v>
      </c>
      <c r="H1993" t="s">
        <v>5329</v>
      </c>
      <c r="I1993">
        <v>4.4000000000000004</v>
      </c>
      <c r="J1993">
        <v>128.04</v>
      </c>
      <c r="K1993" t="str">
        <f>"LARS"</f>
        <v>LARS</v>
      </c>
      <c r="L1993" t="str">
        <f>"LARS"</f>
        <v>LARS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</row>
    <row r="1994" spans="1:24">
      <c r="A1994">
        <v>2273</v>
      </c>
      <c r="B1994" t="s">
        <v>5330</v>
      </c>
      <c r="C1994">
        <v>2</v>
      </c>
      <c r="D1994" t="s">
        <v>5331</v>
      </c>
      <c r="E1994">
        <v>4</v>
      </c>
      <c r="F1994">
        <v>4</v>
      </c>
      <c r="G1994">
        <v>4</v>
      </c>
      <c r="H1994" t="s">
        <v>5332</v>
      </c>
      <c r="I1994">
        <v>15.7</v>
      </c>
      <c r="J1994">
        <v>31.782</v>
      </c>
      <c r="K1994" t="str">
        <f>"PITPNC1"</f>
        <v>PITPNC1</v>
      </c>
      <c r="L1994" t="str">
        <f>"PITPNC1"</f>
        <v>PITPNC1</v>
      </c>
      <c r="M1994">
        <v>0</v>
      </c>
      <c r="N1994">
        <v>18406000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</row>
    <row r="1995" spans="1:24">
      <c r="A1995">
        <v>2286</v>
      </c>
      <c r="B1995" t="s">
        <v>5333</v>
      </c>
      <c r="C1995">
        <v>2</v>
      </c>
      <c r="D1995" t="s">
        <v>5334</v>
      </c>
      <c r="E1995">
        <v>4</v>
      </c>
      <c r="F1995">
        <v>4</v>
      </c>
      <c r="G1995">
        <v>4</v>
      </c>
      <c r="H1995" t="s">
        <v>5335</v>
      </c>
      <c r="I1995">
        <v>4</v>
      </c>
      <c r="J1995">
        <v>206.84</v>
      </c>
      <c r="K1995" t="str">
        <f>"PLXNB3"</f>
        <v>PLXNB3</v>
      </c>
      <c r="L1995" t="str">
        <f>"PLXNB3"</f>
        <v>PLXNB3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</row>
    <row r="1996" spans="1:24">
      <c r="A1996">
        <v>2308</v>
      </c>
      <c r="B1996" t="s">
        <v>5336</v>
      </c>
      <c r="C1996">
        <v>6</v>
      </c>
      <c r="D1996" t="s">
        <v>5337</v>
      </c>
      <c r="E1996">
        <v>2</v>
      </c>
      <c r="F1996">
        <v>2</v>
      </c>
      <c r="G1996">
        <v>2</v>
      </c>
      <c r="H1996" t="s">
        <v>5338</v>
      </c>
      <c r="I1996">
        <v>3.2</v>
      </c>
      <c r="J1996">
        <v>93.186000000000007</v>
      </c>
      <c r="K1996" t="str">
        <f>"TRPC6;TRPC7"</f>
        <v>TRPC6;TRPC7</v>
      </c>
      <c r="L1996" t="str">
        <f>"TRPC6;TRPC7"</f>
        <v>TRPC6;TRPC7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13855000</v>
      </c>
    </row>
    <row r="1997" spans="1:24">
      <c r="A1997">
        <v>2323</v>
      </c>
      <c r="B1997" t="s">
        <v>5339</v>
      </c>
      <c r="C1997">
        <v>1</v>
      </c>
      <c r="D1997" t="s">
        <v>5340</v>
      </c>
      <c r="E1997">
        <v>3</v>
      </c>
      <c r="F1997">
        <v>3</v>
      </c>
      <c r="G1997">
        <v>3</v>
      </c>
      <c r="H1997" t="s">
        <v>5339</v>
      </c>
      <c r="I1997">
        <v>25.8</v>
      </c>
      <c r="J1997">
        <v>20.652000000000001</v>
      </c>
      <c r="K1997" t="str">
        <f>"CNPY2"</f>
        <v>CNPY2</v>
      </c>
      <c r="L1997" t="str">
        <f>"CNPY2"</f>
        <v>CNPY2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</row>
    <row r="1998" spans="1:24">
      <c r="A1998">
        <v>2325</v>
      </c>
      <c r="B1998" t="s">
        <v>5341</v>
      </c>
      <c r="C1998">
        <v>4</v>
      </c>
      <c r="D1998" t="s">
        <v>5342</v>
      </c>
      <c r="E1998">
        <v>7</v>
      </c>
      <c r="F1998">
        <v>6</v>
      </c>
      <c r="G1998">
        <v>6</v>
      </c>
      <c r="H1998" t="s">
        <v>5343</v>
      </c>
      <c r="I1998">
        <v>12.5</v>
      </c>
      <c r="J1998">
        <v>96.513000000000005</v>
      </c>
      <c r="K1998" t="str">
        <f>"EPB41L3"</f>
        <v>EPB41L3</v>
      </c>
      <c r="L1998" t="str">
        <f>"EPB41L3"</f>
        <v>EPB41L3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</row>
    <row r="1999" spans="1:24">
      <c r="A1999">
        <v>2353</v>
      </c>
      <c r="B1999" t="s">
        <v>5344</v>
      </c>
      <c r="C1999">
        <v>3</v>
      </c>
      <c r="D1999" t="s">
        <v>5345</v>
      </c>
      <c r="E1999">
        <v>3</v>
      </c>
      <c r="F1999">
        <v>3</v>
      </c>
      <c r="G1999">
        <v>3</v>
      </c>
      <c r="H1999" t="s">
        <v>5346</v>
      </c>
      <c r="I1999">
        <v>0.8</v>
      </c>
      <c r="J1999">
        <v>438.02</v>
      </c>
      <c r="K1999" t="str">
        <f>"HECTD4"</f>
        <v>HECTD4</v>
      </c>
      <c r="L1999" t="str">
        <f>"HECTD4"</f>
        <v>HECTD4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14513000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</row>
    <row r="2000" spans="1:24">
      <c r="A2000">
        <v>2392</v>
      </c>
      <c r="B2000" t="s">
        <v>5347</v>
      </c>
      <c r="C2000">
        <v>2</v>
      </c>
      <c r="D2000" t="s">
        <v>5348</v>
      </c>
      <c r="E2000">
        <v>5</v>
      </c>
      <c r="F2000">
        <v>5</v>
      </c>
      <c r="G2000">
        <v>5</v>
      </c>
      <c r="H2000" t="s">
        <v>5349</v>
      </c>
      <c r="I2000">
        <v>8</v>
      </c>
      <c r="J2000">
        <v>102.19</v>
      </c>
      <c r="K2000" t="str">
        <f>"SEC23IP"</f>
        <v>SEC23IP</v>
      </c>
      <c r="L2000" t="str">
        <f>"SEC23IP"</f>
        <v>SEC23IP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</row>
    <row r="2001" spans="1:24">
      <c r="A2001">
        <v>3</v>
      </c>
      <c r="B2001" t="s">
        <v>5350</v>
      </c>
      <c r="C2001">
        <v>1</v>
      </c>
      <c r="D2001" t="s">
        <v>5351</v>
      </c>
      <c r="E2001">
        <v>5</v>
      </c>
      <c r="F2001">
        <v>5</v>
      </c>
      <c r="G2001">
        <v>5</v>
      </c>
      <c r="H2001" t="s">
        <v>5350</v>
      </c>
      <c r="I2001">
        <v>7.4</v>
      </c>
      <c r="J2001">
        <v>89.373999999999995</v>
      </c>
      <c r="K2001" t="str">
        <f>"ARHGAP10"</f>
        <v>ARHGAP10</v>
      </c>
      <c r="L2001" t="str">
        <f>"ARHGAP10"</f>
        <v>ARHGAP10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</row>
    <row r="2002" spans="1:24">
      <c r="A2002">
        <v>82</v>
      </c>
      <c r="B2002" t="s">
        <v>5352</v>
      </c>
      <c r="C2002">
        <v>2</v>
      </c>
      <c r="D2002" t="s">
        <v>5353</v>
      </c>
      <c r="E2002">
        <v>1</v>
      </c>
      <c r="F2002">
        <v>1</v>
      </c>
      <c r="G2002">
        <v>1</v>
      </c>
      <c r="H2002" t="s">
        <v>5354</v>
      </c>
      <c r="I2002">
        <v>9.8000000000000007</v>
      </c>
      <c r="J2002">
        <v>19.033999999999999</v>
      </c>
      <c r="K2002" t="str">
        <f>"TRAFD1"</f>
        <v>TRAFD1</v>
      </c>
      <c r="L2002" t="str">
        <f>"TRAFD1"</f>
        <v>TRAFD1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</row>
    <row r="2003" spans="1:24">
      <c r="A2003">
        <v>91</v>
      </c>
      <c r="B2003" t="s">
        <v>5355</v>
      </c>
      <c r="C2003">
        <v>5</v>
      </c>
      <c r="D2003" t="s">
        <v>5356</v>
      </c>
      <c r="E2003">
        <v>2</v>
      </c>
      <c r="F2003">
        <v>2</v>
      </c>
      <c r="G2003">
        <v>2</v>
      </c>
      <c r="H2003" t="s">
        <v>5357</v>
      </c>
      <c r="I2003">
        <v>4.3</v>
      </c>
      <c r="J2003">
        <v>53.579000000000001</v>
      </c>
      <c r="K2003" t="str">
        <f>"PRMT5"</f>
        <v>PRMT5</v>
      </c>
      <c r="L2003" t="str">
        <f>"PRMT5"</f>
        <v>PRMT5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</row>
    <row r="2004" spans="1:24">
      <c r="A2004">
        <v>129</v>
      </c>
      <c r="B2004" t="s">
        <v>5358</v>
      </c>
      <c r="C2004">
        <v>2</v>
      </c>
      <c r="D2004" t="s">
        <v>5359</v>
      </c>
      <c r="E2004">
        <v>3</v>
      </c>
      <c r="F2004">
        <v>2</v>
      </c>
      <c r="G2004">
        <v>2</v>
      </c>
      <c r="H2004" t="s">
        <v>5360</v>
      </c>
      <c r="I2004">
        <v>2.5</v>
      </c>
      <c r="J2004">
        <v>138.6</v>
      </c>
      <c r="K2004" t="str">
        <f>"INPPL1"</f>
        <v>INPPL1</v>
      </c>
      <c r="L2004" t="str">
        <f>"INPPL1"</f>
        <v>INPPL1</v>
      </c>
      <c r="M2004">
        <v>0</v>
      </c>
      <c r="N2004">
        <v>0</v>
      </c>
      <c r="O2004">
        <v>12538000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</row>
    <row r="2005" spans="1:24">
      <c r="A2005">
        <v>137</v>
      </c>
      <c r="B2005" t="s">
        <v>5361</v>
      </c>
      <c r="C2005">
        <v>1</v>
      </c>
      <c r="D2005" t="s">
        <v>5362</v>
      </c>
      <c r="E2005">
        <v>1</v>
      </c>
      <c r="F2005">
        <v>1</v>
      </c>
      <c r="G2005">
        <v>1</v>
      </c>
      <c r="H2005" t="s">
        <v>5361</v>
      </c>
      <c r="I2005">
        <v>6.4</v>
      </c>
      <c r="J2005">
        <v>23.318000000000001</v>
      </c>
      <c r="K2005" t="str">
        <f>"CLDN3"</f>
        <v>CLDN3</v>
      </c>
      <c r="L2005" t="str">
        <f>"CLDN3"</f>
        <v>CLDN3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</row>
    <row r="2006" spans="1:24">
      <c r="A2006">
        <v>156</v>
      </c>
      <c r="B2006" t="s">
        <v>5363</v>
      </c>
      <c r="C2006">
        <v>1</v>
      </c>
      <c r="D2006" t="s">
        <v>5364</v>
      </c>
      <c r="E2006">
        <v>3</v>
      </c>
      <c r="F2006">
        <v>3</v>
      </c>
      <c r="G2006">
        <v>3</v>
      </c>
      <c r="H2006" t="s">
        <v>5363</v>
      </c>
      <c r="I2006">
        <v>8</v>
      </c>
      <c r="J2006">
        <v>51.354999999999997</v>
      </c>
      <c r="K2006" t="str">
        <f>"TIMM44"</f>
        <v>TIMM44</v>
      </c>
      <c r="L2006" t="str">
        <f>"TIMM44"</f>
        <v>TIMM44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>
      <c r="A2007">
        <v>176</v>
      </c>
      <c r="B2007" t="s">
        <v>5365</v>
      </c>
      <c r="C2007">
        <v>1</v>
      </c>
      <c r="D2007" t="s">
        <v>5366</v>
      </c>
      <c r="E2007">
        <v>2</v>
      </c>
      <c r="F2007">
        <v>2</v>
      </c>
      <c r="G2007">
        <v>2</v>
      </c>
      <c r="H2007" t="s">
        <v>5365</v>
      </c>
      <c r="I2007">
        <v>17.899999999999999</v>
      </c>
      <c r="J2007">
        <v>12.516999999999999</v>
      </c>
      <c r="K2007" t="str">
        <f>"NDUFS5"</f>
        <v>NDUFS5</v>
      </c>
      <c r="L2007" t="str">
        <f>"NDUFS5"</f>
        <v>NDUFS5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>
      <c r="A2008">
        <v>248</v>
      </c>
      <c r="B2008" t="s">
        <v>5367</v>
      </c>
      <c r="C2008">
        <v>3</v>
      </c>
      <c r="D2008" t="s">
        <v>5368</v>
      </c>
      <c r="E2008">
        <v>2</v>
      </c>
      <c r="F2008">
        <v>2</v>
      </c>
      <c r="G2008">
        <v>2</v>
      </c>
      <c r="H2008" t="s">
        <v>5369</v>
      </c>
      <c r="I2008">
        <v>5.5</v>
      </c>
      <c r="J2008">
        <v>57.582999999999998</v>
      </c>
      <c r="K2008" t="str">
        <f>"UFL1"</f>
        <v>UFL1</v>
      </c>
      <c r="L2008" t="str">
        <f>"UFL1"</f>
        <v>UFL1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15898000</v>
      </c>
      <c r="V2008">
        <v>0</v>
      </c>
      <c r="W2008">
        <v>0</v>
      </c>
      <c r="X2008">
        <v>0</v>
      </c>
    </row>
    <row r="2009" spans="1:24">
      <c r="A2009">
        <v>269</v>
      </c>
      <c r="B2009" t="s">
        <v>5370</v>
      </c>
      <c r="C2009">
        <v>2</v>
      </c>
      <c r="D2009" t="s">
        <v>5371</v>
      </c>
      <c r="E2009">
        <v>1</v>
      </c>
      <c r="F2009">
        <v>1</v>
      </c>
      <c r="G2009">
        <v>1</v>
      </c>
      <c r="H2009" t="s">
        <v>5372</v>
      </c>
      <c r="I2009">
        <v>5.2</v>
      </c>
      <c r="J2009">
        <v>30.288</v>
      </c>
      <c r="K2009" t="str">
        <f>"PSMG1"</f>
        <v>PSMG1</v>
      </c>
      <c r="L2009" t="str">
        <f>"PSMG1"</f>
        <v>PSMG1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584980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</row>
    <row r="2010" spans="1:24">
      <c r="A2010">
        <v>273</v>
      </c>
      <c r="B2010" t="s">
        <v>5373</v>
      </c>
      <c r="C2010">
        <v>1</v>
      </c>
      <c r="D2010" t="s">
        <v>5374</v>
      </c>
      <c r="E2010">
        <v>3</v>
      </c>
      <c r="F2010">
        <v>2</v>
      </c>
      <c r="G2010">
        <v>2</v>
      </c>
      <c r="H2010" t="s">
        <v>5373</v>
      </c>
      <c r="I2010">
        <v>6.5</v>
      </c>
      <c r="J2010">
        <v>80.418999999999997</v>
      </c>
      <c r="K2010" t="str">
        <f>"ACSL3"</f>
        <v>ACSL3</v>
      </c>
      <c r="L2010" t="str">
        <f>"ACSL3"</f>
        <v>ACSL3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11727000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</row>
    <row r="2011" spans="1:24">
      <c r="A2011">
        <v>339</v>
      </c>
      <c r="B2011" t="s">
        <v>5375</v>
      </c>
      <c r="C2011">
        <v>1</v>
      </c>
      <c r="D2011" t="s">
        <v>5376</v>
      </c>
      <c r="E2011">
        <v>2</v>
      </c>
      <c r="F2011">
        <v>2</v>
      </c>
      <c r="G2011">
        <v>2</v>
      </c>
      <c r="H2011" t="s">
        <v>5375</v>
      </c>
      <c r="I2011">
        <v>26.5</v>
      </c>
      <c r="J2011">
        <v>12.73</v>
      </c>
      <c r="K2011" t="str">
        <f>"IGKV1D-16"</f>
        <v>IGKV1D-16</v>
      </c>
      <c r="L2011" t="str">
        <f>"IGKV1D-16"</f>
        <v>IGKV1D-16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</row>
    <row r="2012" spans="1:24">
      <c r="A2012">
        <v>341</v>
      </c>
      <c r="B2012" t="s">
        <v>5377</v>
      </c>
      <c r="C2012">
        <v>1</v>
      </c>
      <c r="D2012" t="s">
        <v>5378</v>
      </c>
      <c r="E2012">
        <v>2</v>
      </c>
      <c r="F2012">
        <v>2</v>
      </c>
      <c r="G2012">
        <v>2</v>
      </c>
      <c r="H2012" t="s">
        <v>5377</v>
      </c>
      <c r="I2012">
        <v>19.399999999999999</v>
      </c>
      <c r="J2012">
        <v>12.125999999999999</v>
      </c>
      <c r="K2012" t="s">
        <v>1648</v>
      </c>
      <c r="L2012" t="s">
        <v>1648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53349000</v>
      </c>
    </row>
    <row r="2013" spans="1:24">
      <c r="A2013">
        <v>390</v>
      </c>
      <c r="B2013" t="s">
        <v>5379</v>
      </c>
      <c r="C2013">
        <v>1</v>
      </c>
      <c r="D2013" t="s">
        <v>5380</v>
      </c>
      <c r="E2013">
        <v>17</v>
      </c>
      <c r="F2013">
        <v>1</v>
      </c>
      <c r="G2013">
        <v>1</v>
      </c>
      <c r="H2013" t="s">
        <v>5379</v>
      </c>
      <c r="I2013">
        <v>50.8</v>
      </c>
      <c r="J2013">
        <v>40.46</v>
      </c>
      <c r="K2013" t="str">
        <f>"HLA-B"</f>
        <v>HLA-B</v>
      </c>
      <c r="L2013" t="str">
        <f>"HLA-B"</f>
        <v>HLA-B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</row>
    <row r="2014" spans="1:24">
      <c r="A2014">
        <v>391</v>
      </c>
      <c r="B2014" t="s">
        <v>5381</v>
      </c>
      <c r="C2014">
        <v>1</v>
      </c>
      <c r="D2014" t="s">
        <v>5382</v>
      </c>
      <c r="E2014">
        <v>22</v>
      </c>
      <c r="F2014">
        <v>3</v>
      </c>
      <c r="G2014">
        <v>3</v>
      </c>
      <c r="H2014" t="s">
        <v>5381</v>
      </c>
      <c r="I2014">
        <v>58.9</v>
      </c>
      <c r="J2014">
        <v>40.908000000000001</v>
      </c>
      <c r="K2014" t="str">
        <f>"HLA-A"</f>
        <v>HLA-A</v>
      </c>
      <c r="L2014" t="str">
        <f>"HLA-A"</f>
        <v>HLA-A</v>
      </c>
      <c r="M2014">
        <v>0</v>
      </c>
      <c r="N2014">
        <v>232180000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</row>
    <row r="2015" spans="1:24">
      <c r="A2015">
        <v>393</v>
      </c>
      <c r="B2015" t="s">
        <v>5383</v>
      </c>
      <c r="C2015">
        <v>2</v>
      </c>
      <c r="D2015" t="s">
        <v>5384</v>
      </c>
      <c r="E2015">
        <v>1</v>
      </c>
      <c r="F2015">
        <v>1</v>
      </c>
      <c r="G2015">
        <v>1</v>
      </c>
      <c r="H2015" t="s">
        <v>5385</v>
      </c>
      <c r="I2015">
        <v>4.7</v>
      </c>
      <c r="J2015">
        <v>28.606999999999999</v>
      </c>
      <c r="K2015" t="str">
        <f>"HLA-DRA;HLA-DQA2"</f>
        <v>HLA-DRA;HLA-DQA2</v>
      </c>
      <c r="L2015" t="str">
        <f>"HLA-DRA;HLA-DQA2"</f>
        <v>HLA-DRA;HLA-DQA2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16241000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</row>
    <row r="2016" spans="1:24">
      <c r="A2016">
        <v>407</v>
      </c>
      <c r="B2016" t="s">
        <v>5386</v>
      </c>
      <c r="C2016">
        <v>2</v>
      </c>
      <c r="D2016" t="s">
        <v>5387</v>
      </c>
      <c r="E2016">
        <v>1</v>
      </c>
      <c r="F2016">
        <v>1</v>
      </c>
      <c r="G2016">
        <v>1</v>
      </c>
      <c r="H2016" t="s">
        <v>5388</v>
      </c>
      <c r="I2016">
        <v>9.6</v>
      </c>
      <c r="J2016">
        <v>21.521999999999998</v>
      </c>
      <c r="K2016" t="str">
        <f>"MBP"</f>
        <v>MBP</v>
      </c>
      <c r="L2016" t="str">
        <f>"MBP"</f>
        <v>MBP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24846000</v>
      </c>
      <c r="W2016">
        <v>0</v>
      </c>
      <c r="X2016">
        <v>0</v>
      </c>
    </row>
    <row r="2017" spans="1:24">
      <c r="A2017">
        <v>504</v>
      </c>
      <c r="B2017" t="s">
        <v>5389</v>
      </c>
      <c r="C2017">
        <v>2</v>
      </c>
      <c r="D2017" t="s">
        <v>5390</v>
      </c>
      <c r="E2017">
        <v>3</v>
      </c>
      <c r="F2017">
        <v>3</v>
      </c>
      <c r="G2017">
        <v>3</v>
      </c>
      <c r="H2017" t="s">
        <v>5391</v>
      </c>
      <c r="I2017">
        <v>21.8</v>
      </c>
      <c r="J2017">
        <v>12.074</v>
      </c>
      <c r="K2017" t="str">
        <f>"PTMA"</f>
        <v>PTMA</v>
      </c>
      <c r="L2017" t="str">
        <f>"PTMA"</f>
        <v>PTMA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</row>
    <row r="2018" spans="1:24">
      <c r="A2018">
        <v>554</v>
      </c>
      <c r="B2018" t="s">
        <v>5392</v>
      </c>
      <c r="C2018">
        <v>1</v>
      </c>
      <c r="D2018" t="s">
        <v>5393</v>
      </c>
      <c r="E2018">
        <v>3</v>
      </c>
      <c r="F2018">
        <v>3</v>
      </c>
      <c r="G2018">
        <v>3</v>
      </c>
      <c r="H2018" t="s">
        <v>5392</v>
      </c>
      <c r="I2018">
        <v>14.6</v>
      </c>
      <c r="J2018">
        <v>25.850999999999999</v>
      </c>
      <c r="K2018" t="str">
        <f>"SOD3"</f>
        <v>SOD3</v>
      </c>
      <c r="L2018" t="str">
        <f>"SOD3"</f>
        <v>SOD3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>
      <c r="A2019">
        <v>607</v>
      </c>
      <c r="B2019" t="s">
        <v>5394</v>
      </c>
      <c r="C2019">
        <v>1</v>
      </c>
      <c r="D2019" t="s">
        <v>5395</v>
      </c>
      <c r="E2019">
        <v>2</v>
      </c>
      <c r="F2019">
        <v>2</v>
      </c>
      <c r="G2019">
        <v>2</v>
      </c>
      <c r="H2019" t="s">
        <v>5394</v>
      </c>
      <c r="I2019">
        <v>10.1</v>
      </c>
      <c r="J2019">
        <v>17.652000000000001</v>
      </c>
      <c r="K2019" t="str">
        <f>"SRGN"</f>
        <v>SRGN</v>
      </c>
      <c r="L2019" t="str">
        <f>"SRGN"</f>
        <v>SRGN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>
      <c r="A2020">
        <v>691</v>
      </c>
      <c r="B2020" t="s">
        <v>5396</v>
      </c>
      <c r="C2020">
        <v>2</v>
      </c>
      <c r="D2020" t="s">
        <v>5397</v>
      </c>
      <c r="E2020">
        <v>4</v>
      </c>
      <c r="F2020">
        <v>4</v>
      </c>
      <c r="G2020">
        <v>4</v>
      </c>
      <c r="H2020" t="s">
        <v>5398</v>
      </c>
      <c r="I2020">
        <v>5.0999999999999996</v>
      </c>
      <c r="J2020">
        <v>117.97</v>
      </c>
      <c r="K2020" t="str">
        <f>"IDE"</f>
        <v>IDE</v>
      </c>
      <c r="L2020" t="str">
        <f>"IDE"</f>
        <v>IDE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>
      <c r="A2021">
        <v>710</v>
      </c>
      <c r="B2021" t="s">
        <v>5399</v>
      </c>
      <c r="C2021">
        <v>1</v>
      </c>
      <c r="D2021" t="s">
        <v>5400</v>
      </c>
      <c r="E2021">
        <v>2</v>
      </c>
      <c r="F2021">
        <v>2</v>
      </c>
      <c r="G2021">
        <v>2</v>
      </c>
      <c r="H2021" t="s">
        <v>5399</v>
      </c>
      <c r="I2021">
        <v>4.5</v>
      </c>
      <c r="J2021">
        <v>40.320999999999998</v>
      </c>
      <c r="K2021" t="str">
        <f>"SPN"</f>
        <v>SPN</v>
      </c>
      <c r="L2021" t="str">
        <f>"SPN"</f>
        <v>SPN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15007000</v>
      </c>
      <c r="W2021">
        <v>0</v>
      </c>
      <c r="X2021">
        <v>0</v>
      </c>
    </row>
    <row r="2022" spans="1:24">
      <c r="A2022">
        <v>795</v>
      </c>
      <c r="B2022" t="s">
        <v>5401</v>
      </c>
      <c r="C2022">
        <v>2</v>
      </c>
      <c r="D2022" t="s">
        <v>5402</v>
      </c>
      <c r="E2022">
        <v>3</v>
      </c>
      <c r="F2022">
        <v>3</v>
      </c>
      <c r="G2022">
        <v>3</v>
      </c>
      <c r="H2022" t="s">
        <v>5403</v>
      </c>
      <c r="I2022">
        <v>7.8</v>
      </c>
      <c r="J2022">
        <v>44.743000000000002</v>
      </c>
      <c r="K2022" t="str">
        <f>"PROZ"</f>
        <v>PROZ</v>
      </c>
      <c r="L2022" t="str">
        <f>"PROZ"</f>
        <v>PROZ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</row>
    <row r="2023" spans="1:24">
      <c r="A2023">
        <v>902</v>
      </c>
      <c r="B2023" t="s">
        <v>5404</v>
      </c>
      <c r="C2023">
        <v>1</v>
      </c>
      <c r="D2023" t="s">
        <v>5405</v>
      </c>
      <c r="E2023">
        <v>16</v>
      </c>
      <c r="F2023">
        <v>2</v>
      </c>
      <c r="G2023">
        <v>1</v>
      </c>
      <c r="H2023" t="s">
        <v>5404</v>
      </c>
      <c r="I2023">
        <v>53.9</v>
      </c>
      <c r="J2023">
        <v>40.274000000000001</v>
      </c>
      <c r="K2023" t="str">
        <f t="shared" ref="K2023:L2025" si="0">"HLA-B"</f>
        <v>HLA-B</v>
      </c>
      <c r="L2023" t="str">
        <f t="shared" si="0"/>
        <v>HLA-B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</row>
    <row r="2024" spans="1:24">
      <c r="A2024">
        <v>903</v>
      </c>
      <c r="B2024" t="s">
        <v>5406</v>
      </c>
      <c r="C2024">
        <v>1</v>
      </c>
      <c r="D2024" t="s">
        <v>5407</v>
      </c>
      <c r="E2024">
        <v>19</v>
      </c>
      <c r="F2024">
        <v>1</v>
      </c>
      <c r="G2024">
        <v>0</v>
      </c>
      <c r="H2024" t="s">
        <v>5406</v>
      </c>
      <c r="I2024">
        <v>50.6</v>
      </c>
      <c r="J2024">
        <v>40.328000000000003</v>
      </c>
      <c r="K2024" t="str">
        <f t="shared" si="0"/>
        <v>HLA-B</v>
      </c>
      <c r="L2024" t="str">
        <f t="shared" si="0"/>
        <v>HLA-B</v>
      </c>
      <c r="M2024">
        <v>0</v>
      </c>
      <c r="N2024">
        <v>0</v>
      </c>
      <c r="O2024">
        <v>0</v>
      </c>
      <c r="P2024">
        <v>0</v>
      </c>
      <c r="Q2024">
        <v>3362500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</row>
    <row r="2025" spans="1:24">
      <c r="A2025">
        <v>906</v>
      </c>
      <c r="B2025" t="s">
        <v>5408</v>
      </c>
      <c r="C2025">
        <v>1</v>
      </c>
      <c r="D2025" t="s">
        <v>5409</v>
      </c>
      <c r="E2025">
        <v>16</v>
      </c>
      <c r="F2025">
        <v>2</v>
      </c>
      <c r="G2025">
        <v>0</v>
      </c>
      <c r="H2025" t="s">
        <v>5408</v>
      </c>
      <c r="I2025">
        <v>40.299999999999997</v>
      </c>
      <c r="J2025">
        <v>40.481000000000002</v>
      </c>
      <c r="K2025" t="str">
        <f t="shared" si="0"/>
        <v>HLA-B</v>
      </c>
      <c r="L2025" t="str">
        <f t="shared" si="0"/>
        <v>HLA-B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</row>
    <row r="2026" spans="1:24">
      <c r="A2026">
        <v>953</v>
      </c>
      <c r="B2026" t="s">
        <v>5410</v>
      </c>
      <c r="C2026">
        <v>3</v>
      </c>
      <c r="D2026" t="s">
        <v>5411</v>
      </c>
      <c r="E2026">
        <v>3</v>
      </c>
      <c r="F2026">
        <v>3</v>
      </c>
      <c r="G2026">
        <v>3</v>
      </c>
      <c r="H2026" t="s">
        <v>5412</v>
      </c>
      <c r="I2026">
        <v>18.100000000000001</v>
      </c>
      <c r="J2026">
        <v>40.529000000000003</v>
      </c>
      <c r="K2026" t="str">
        <f>"PTPN7"</f>
        <v>PTPN7</v>
      </c>
      <c r="L2026" t="str">
        <f>"PTPN7"</f>
        <v>PTPN7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</row>
    <row r="2027" spans="1:24">
      <c r="A2027">
        <v>980</v>
      </c>
      <c r="B2027" t="s">
        <v>5413</v>
      </c>
      <c r="C2027">
        <v>3</v>
      </c>
      <c r="D2027" t="s">
        <v>5414</v>
      </c>
      <c r="E2027">
        <v>4</v>
      </c>
      <c r="F2027">
        <v>4</v>
      </c>
      <c r="G2027">
        <v>4</v>
      </c>
      <c r="H2027" t="s">
        <v>5415</v>
      </c>
      <c r="I2027">
        <v>8.6999999999999993</v>
      </c>
      <c r="J2027">
        <v>85.64</v>
      </c>
      <c r="K2027" t="str">
        <f>"LONP1"</f>
        <v>LONP1</v>
      </c>
      <c r="L2027" t="str">
        <f>"LONP1"</f>
        <v>LONP1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</row>
    <row r="2028" spans="1:24">
      <c r="A2028">
        <v>994</v>
      </c>
      <c r="B2028" t="s">
        <v>5416</v>
      </c>
      <c r="C2028">
        <v>3</v>
      </c>
      <c r="D2028" t="s">
        <v>5417</v>
      </c>
      <c r="E2028">
        <v>2</v>
      </c>
      <c r="F2028">
        <v>2</v>
      </c>
      <c r="G2028">
        <v>2</v>
      </c>
      <c r="H2028" t="s">
        <v>5418</v>
      </c>
      <c r="I2028">
        <v>6.3</v>
      </c>
      <c r="J2028">
        <v>40.845999999999997</v>
      </c>
      <c r="K2028" t="str">
        <f>"RBMX;RBMXL1"</f>
        <v>RBMX;RBMXL1</v>
      </c>
      <c r="L2028" t="str">
        <f>"RBMX;RBMXL1"</f>
        <v>RBMX;RBMXL1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</row>
    <row r="2029" spans="1:24">
      <c r="A2029">
        <v>1014</v>
      </c>
      <c r="B2029" t="s">
        <v>5419</v>
      </c>
      <c r="C2029">
        <v>1</v>
      </c>
      <c r="D2029" t="s">
        <v>5420</v>
      </c>
      <c r="E2029">
        <v>2</v>
      </c>
      <c r="F2029">
        <v>2</v>
      </c>
      <c r="G2029">
        <v>2</v>
      </c>
      <c r="H2029" t="s">
        <v>5419</v>
      </c>
      <c r="I2029">
        <v>1.4</v>
      </c>
      <c r="J2029">
        <v>144.5</v>
      </c>
      <c r="K2029" t="str">
        <f>"IARS"</f>
        <v>IARS</v>
      </c>
      <c r="L2029" t="str">
        <f>"IARS"</f>
        <v>IARS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</row>
    <row r="2030" spans="1:24">
      <c r="A2030">
        <v>1071</v>
      </c>
      <c r="B2030" t="s">
        <v>5421</v>
      </c>
      <c r="C2030">
        <v>2</v>
      </c>
      <c r="D2030" t="s">
        <v>5422</v>
      </c>
      <c r="E2030">
        <v>3</v>
      </c>
      <c r="F2030">
        <v>3</v>
      </c>
      <c r="G2030">
        <v>3</v>
      </c>
      <c r="H2030" t="s">
        <v>5423</v>
      </c>
      <c r="I2030">
        <v>3.3</v>
      </c>
      <c r="J2030">
        <v>142.19</v>
      </c>
      <c r="K2030" t="str">
        <f>"TRAPPC10"</f>
        <v>TRAPPC10</v>
      </c>
      <c r="L2030" t="str">
        <f>"TRAPPC10"</f>
        <v>TRAPPC10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11125000</v>
      </c>
      <c r="V2030">
        <v>0</v>
      </c>
      <c r="W2030">
        <v>0</v>
      </c>
      <c r="X2030">
        <v>0</v>
      </c>
    </row>
    <row r="2031" spans="1:24">
      <c r="A2031">
        <v>1114</v>
      </c>
      <c r="B2031" t="s">
        <v>5424</v>
      </c>
      <c r="C2031">
        <v>3</v>
      </c>
      <c r="D2031" t="s">
        <v>5425</v>
      </c>
      <c r="E2031">
        <v>2</v>
      </c>
      <c r="F2031">
        <v>2</v>
      </c>
      <c r="G2031">
        <v>2</v>
      </c>
      <c r="H2031" t="s">
        <v>5426</v>
      </c>
      <c r="I2031">
        <v>6.6</v>
      </c>
      <c r="J2031">
        <v>44.942999999999998</v>
      </c>
      <c r="K2031" t="str">
        <f>"GATM"</f>
        <v>GATM</v>
      </c>
      <c r="L2031" t="str">
        <f>"GATM"</f>
        <v>GATM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12046000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</row>
    <row r="2032" spans="1:24">
      <c r="A2032">
        <v>1142</v>
      </c>
      <c r="B2032" t="s">
        <v>5427</v>
      </c>
      <c r="C2032">
        <v>6</v>
      </c>
      <c r="D2032" t="s">
        <v>5428</v>
      </c>
      <c r="E2032">
        <v>3</v>
      </c>
      <c r="F2032">
        <v>3</v>
      </c>
      <c r="G2032">
        <v>3</v>
      </c>
      <c r="H2032" t="s">
        <v>5429</v>
      </c>
      <c r="I2032">
        <v>3.8</v>
      </c>
      <c r="J2032">
        <v>105.12</v>
      </c>
      <c r="K2032" t="str">
        <f>"AFF2"</f>
        <v>AFF2</v>
      </c>
      <c r="L2032" t="str">
        <f>"AFF2"</f>
        <v>AFF2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92799000</v>
      </c>
      <c r="X2032">
        <v>0</v>
      </c>
    </row>
    <row r="2033" spans="1:24">
      <c r="A2033">
        <v>1154</v>
      </c>
      <c r="B2033" t="s">
        <v>5430</v>
      </c>
      <c r="C2033">
        <v>1</v>
      </c>
      <c r="D2033" t="s">
        <v>5431</v>
      </c>
      <c r="E2033">
        <v>3</v>
      </c>
      <c r="F2033">
        <v>1</v>
      </c>
      <c r="G2033">
        <v>1</v>
      </c>
      <c r="H2033" t="s">
        <v>5430</v>
      </c>
      <c r="I2033">
        <v>10.6</v>
      </c>
      <c r="J2033">
        <v>45.670999999999999</v>
      </c>
      <c r="K2033" t="str">
        <f>"HNRNPF"</f>
        <v>HNRNPF</v>
      </c>
      <c r="L2033" t="str">
        <f>"HNRNPF"</f>
        <v>HNRNPF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35077000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</row>
    <row r="2034" spans="1:24">
      <c r="A2034">
        <v>1193</v>
      </c>
      <c r="B2034" t="s">
        <v>5432</v>
      </c>
      <c r="C2034">
        <v>4</v>
      </c>
      <c r="D2034" t="s">
        <v>5433</v>
      </c>
      <c r="E2034">
        <v>2</v>
      </c>
      <c r="F2034">
        <v>2</v>
      </c>
      <c r="G2034">
        <v>2</v>
      </c>
      <c r="H2034" t="s">
        <v>5434</v>
      </c>
      <c r="I2034">
        <v>7.6</v>
      </c>
      <c r="J2034">
        <v>31.614000000000001</v>
      </c>
      <c r="K2034" t="str">
        <f>"CASP7"</f>
        <v>CASP7</v>
      </c>
      <c r="L2034" t="str">
        <f>"CASP7"</f>
        <v>CASP7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5570900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</row>
    <row r="2035" spans="1:24">
      <c r="A2035">
        <v>1194</v>
      </c>
      <c r="B2035" t="s">
        <v>5435</v>
      </c>
      <c r="C2035">
        <v>4</v>
      </c>
      <c r="D2035" t="s">
        <v>5436</v>
      </c>
      <c r="E2035">
        <v>1</v>
      </c>
      <c r="F2035">
        <v>1</v>
      </c>
      <c r="G2035">
        <v>1</v>
      </c>
      <c r="H2035" t="s">
        <v>5437</v>
      </c>
      <c r="I2035">
        <v>12.3</v>
      </c>
      <c r="J2035">
        <v>17.396999999999998</v>
      </c>
      <c r="K2035" t="str">
        <f>"CASP9"</f>
        <v>CASP9</v>
      </c>
      <c r="L2035" t="str">
        <f>"CASP9"</f>
        <v>CASP9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>
      <c r="A2036">
        <v>1290</v>
      </c>
      <c r="B2036" t="s">
        <v>5438</v>
      </c>
      <c r="C2036">
        <v>1</v>
      </c>
      <c r="D2036" t="s">
        <v>5439</v>
      </c>
      <c r="E2036">
        <v>2</v>
      </c>
      <c r="F2036">
        <v>2</v>
      </c>
      <c r="G2036">
        <v>2</v>
      </c>
      <c r="H2036" t="s">
        <v>5438</v>
      </c>
      <c r="I2036">
        <v>8.8000000000000007</v>
      </c>
      <c r="J2036">
        <v>35.076000000000001</v>
      </c>
      <c r="K2036" t="str">
        <f>"GNB2L1"</f>
        <v>GNB2L1</v>
      </c>
      <c r="L2036" t="str">
        <f>"RACK1"</f>
        <v>RACK1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</row>
    <row r="2037" spans="1:24">
      <c r="A2037">
        <v>1323</v>
      </c>
      <c r="B2037" t="s">
        <v>5440</v>
      </c>
      <c r="C2037">
        <v>1</v>
      </c>
      <c r="D2037" t="s">
        <v>5441</v>
      </c>
      <c r="E2037">
        <v>5</v>
      </c>
      <c r="F2037">
        <v>2</v>
      </c>
      <c r="G2037">
        <v>2</v>
      </c>
      <c r="H2037" t="s">
        <v>5440</v>
      </c>
      <c r="I2037">
        <v>39.4</v>
      </c>
      <c r="J2037">
        <v>12.06</v>
      </c>
      <c r="K2037" t="s">
        <v>866</v>
      </c>
      <c r="L2037" t="s">
        <v>866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177990000</v>
      </c>
      <c r="U2037">
        <v>0</v>
      </c>
      <c r="V2037">
        <v>0</v>
      </c>
      <c r="W2037">
        <v>0</v>
      </c>
      <c r="X2037">
        <v>0</v>
      </c>
    </row>
    <row r="2038" spans="1:24">
      <c r="A2038">
        <v>1332</v>
      </c>
      <c r="B2038" t="s">
        <v>5442</v>
      </c>
      <c r="C2038">
        <v>2</v>
      </c>
      <c r="D2038" t="s">
        <v>5443</v>
      </c>
      <c r="E2038">
        <v>3</v>
      </c>
      <c r="F2038">
        <v>3</v>
      </c>
      <c r="G2038">
        <v>3</v>
      </c>
      <c r="H2038" t="s">
        <v>5444</v>
      </c>
      <c r="I2038">
        <v>13.8</v>
      </c>
      <c r="J2038">
        <v>29.096</v>
      </c>
      <c r="K2038" t="str">
        <f>"TFAM"</f>
        <v>TFAM</v>
      </c>
      <c r="L2038" t="str">
        <f>"TFAM"</f>
        <v>TFAM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12914000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</row>
    <row r="2039" spans="1:24">
      <c r="A2039">
        <v>1349</v>
      </c>
      <c r="B2039" t="s">
        <v>5445</v>
      </c>
      <c r="C2039">
        <v>1</v>
      </c>
      <c r="D2039" t="s">
        <v>5446</v>
      </c>
      <c r="E2039">
        <v>2</v>
      </c>
      <c r="F2039">
        <v>2</v>
      </c>
      <c r="G2039">
        <v>2</v>
      </c>
      <c r="H2039" t="s">
        <v>5445</v>
      </c>
      <c r="I2039">
        <v>1.2</v>
      </c>
      <c r="J2039">
        <v>80.734999999999999</v>
      </c>
      <c r="K2039" t="str">
        <f>"AKAP17A"</f>
        <v>AKAP17A</v>
      </c>
      <c r="L2039" t="str">
        <f>"AKAP17A"</f>
        <v>AKAP17A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179300000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</row>
    <row r="2040" spans="1:24">
      <c r="A2040">
        <v>1355</v>
      </c>
      <c r="B2040" t="s">
        <v>5447</v>
      </c>
      <c r="C2040">
        <v>1</v>
      </c>
      <c r="D2040" t="s">
        <v>5448</v>
      </c>
      <c r="E2040">
        <v>4</v>
      </c>
      <c r="F2040">
        <v>4</v>
      </c>
      <c r="G2040">
        <v>4</v>
      </c>
      <c r="H2040" t="s">
        <v>5447</v>
      </c>
      <c r="I2040">
        <v>13.1</v>
      </c>
      <c r="J2040">
        <v>51.804000000000002</v>
      </c>
      <c r="K2040" t="str">
        <f>"FKBP4"</f>
        <v>FKBP4</v>
      </c>
      <c r="L2040" t="str">
        <f>"FKBP4"</f>
        <v>FKBP4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</row>
    <row r="2041" spans="1:24">
      <c r="A2041">
        <v>1386</v>
      </c>
      <c r="B2041" t="s">
        <v>5449</v>
      </c>
      <c r="C2041">
        <v>3</v>
      </c>
      <c r="D2041" t="s">
        <v>5450</v>
      </c>
      <c r="E2041">
        <v>2</v>
      </c>
      <c r="F2041">
        <v>2</v>
      </c>
      <c r="G2041">
        <v>2</v>
      </c>
      <c r="H2041" t="s">
        <v>5451</v>
      </c>
      <c r="I2041">
        <v>11.2</v>
      </c>
      <c r="J2041">
        <v>18.893999999999998</v>
      </c>
      <c r="K2041" t="str">
        <f>"BCL2L1"</f>
        <v>BCL2L1</v>
      </c>
      <c r="L2041" t="str">
        <f>"BCL2L1"</f>
        <v>BCL2L1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19972000</v>
      </c>
      <c r="V2041">
        <v>0</v>
      </c>
      <c r="W2041">
        <v>0</v>
      </c>
      <c r="X2041">
        <v>0</v>
      </c>
    </row>
    <row r="2042" spans="1:24">
      <c r="A2042">
        <v>1425</v>
      </c>
      <c r="B2042" t="s">
        <v>5452</v>
      </c>
      <c r="C2042">
        <v>1</v>
      </c>
      <c r="D2042" t="s">
        <v>5453</v>
      </c>
      <c r="E2042">
        <v>1</v>
      </c>
      <c r="F2042">
        <v>1</v>
      </c>
      <c r="G2042">
        <v>1</v>
      </c>
      <c r="H2042" t="s">
        <v>5452</v>
      </c>
      <c r="I2042">
        <v>5.7</v>
      </c>
      <c r="J2042">
        <v>24.337</v>
      </c>
      <c r="K2042" t="str">
        <f>"SPP2"</f>
        <v>SPP2</v>
      </c>
      <c r="L2042" t="str">
        <f>"SPP2"</f>
        <v>SPP2</v>
      </c>
      <c r="M2042">
        <v>0</v>
      </c>
      <c r="N2042">
        <v>0</v>
      </c>
      <c r="O2042">
        <v>21097000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>
      <c r="A2043">
        <v>1450</v>
      </c>
      <c r="B2043" t="s">
        <v>5454</v>
      </c>
      <c r="C2043">
        <v>2</v>
      </c>
      <c r="D2043" t="s">
        <v>5455</v>
      </c>
      <c r="E2043">
        <v>1</v>
      </c>
      <c r="F2043">
        <v>1</v>
      </c>
      <c r="G2043">
        <v>1</v>
      </c>
      <c r="H2043" t="s">
        <v>5456</v>
      </c>
      <c r="I2043">
        <v>5.0999999999999996</v>
      </c>
      <c r="J2043">
        <v>38.628999999999998</v>
      </c>
      <c r="K2043" t="str">
        <f>"SQSTM1"</f>
        <v>SQSTM1</v>
      </c>
      <c r="L2043" t="str">
        <f>"SQSTM1"</f>
        <v>SQSTM1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24247000</v>
      </c>
    </row>
    <row r="2044" spans="1:24">
      <c r="A2044">
        <v>1477</v>
      </c>
      <c r="B2044" t="s">
        <v>5457</v>
      </c>
      <c r="C2044">
        <v>1</v>
      </c>
      <c r="D2044" t="s">
        <v>5458</v>
      </c>
      <c r="E2044">
        <v>2</v>
      </c>
      <c r="F2044">
        <v>2</v>
      </c>
      <c r="G2044">
        <v>2</v>
      </c>
      <c r="H2044" t="s">
        <v>5457</v>
      </c>
      <c r="I2044">
        <v>9.3000000000000007</v>
      </c>
      <c r="J2044">
        <v>26.591999999999999</v>
      </c>
      <c r="K2044" t="str">
        <f>"RAB33A"</f>
        <v>RAB33A</v>
      </c>
      <c r="L2044" t="str">
        <f>"RAB33A"</f>
        <v>RAB33A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</row>
    <row r="2045" spans="1:24">
      <c r="A2045">
        <v>1492</v>
      </c>
      <c r="B2045" t="s">
        <v>5459</v>
      </c>
      <c r="C2045">
        <v>2</v>
      </c>
      <c r="D2045" t="s">
        <v>5460</v>
      </c>
      <c r="E2045">
        <v>3</v>
      </c>
      <c r="F2045">
        <v>3</v>
      </c>
      <c r="G2045">
        <v>3</v>
      </c>
      <c r="H2045" t="s">
        <v>5461</v>
      </c>
      <c r="I2045">
        <v>13.1</v>
      </c>
      <c r="J2045">
        <v>24.617000000000001</v>
      </c>
      <c r="K2045" t="str">
        <f>"EIF2B1"</f>
        <v>EIF2B1</v>
      </c>
      <c r="L2045" t="str">
        <f>"EIF2B1"</f>
        <v>EIF2B1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</row>
    <row r="2046" spans="1:24">
      <c r="A2046">
        <v>1534</v>
      </c>
      <c r="B2046" t="s">
        <v>5462</v>
      </c>
      <c r="C2046">
        <v>1</v>
      </c>
      <c r="D2046" t="s">
        <v>5463</v>
      </c>
      <c r="E2046">
        <v>2</v>
      </c>
      <c r="F2046">
        <v>2</v>
      </c>
      <c r="G2046">
        <v>2</v>
      </c>
      <c r="H2046" t="s">
        <v>5462</v>
      </c>
      <c r="I2046">
        <v>3</v>
      </c>
      <c r="J2046">
        <v>88.028000000000006</v>
      </c>
      <c r="K2046" t="str">
        <f>"ACAP2"</f>
        <v>ACAP2</v>
      </c>
      <c r="L2046" t="str">
        <f>"ACAP2"</f>
        <v>ACAP2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</row>
    <row r="2047" spans="1:24">
      <c r="A2047">
        <v>1602</v>
      </c>
      <c r="B2047" t="s">
        <v>5464</v>
      </c>
      <c r="C2047">
        <v>4</v>
      </c>
      <c r="D2047" t="s">
        <v>5465</v>
      </c>
      <c r="E2047">
        <v>3</v>
      </c>
      <c r="F2047">
        <v>3</v>
      </c>
      <c r="G2047">
        <v>3</v>
      </c>
      <c r="H2047" t="s">
        <v>5466</v>
      </c>
      <c r="I2047">
        <v>5</v>
      </c>
      <c r="J2047">
        <v>70.728999999999999</v>
      </c>
      <c r="K2047" t="str">
        <f>"PCK2;PCK1"</f>
        <v>PCK2;PCK1</v>
      </c>
      <c r="L2047" t="str">
        <f>"PCK2;PCK1"</f>
        <v>PCK2;PCK1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6143000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</row>
    <row r="2048" spans="1:24">
      <c r="A2048">
        <v>1637</v>
      </c>
      <c r="B2048" t="s">
        <v>5467</v>
      </c>
      <c r="C2048">
        <v>2</v>
      </c>
      <c r="D2048" t="s">
        <v>5468</v>
      </c>
      <c r="E2048">
        <v>2</v>
      </c>
      <c r="F2048">
        <v>2</v>
      </c>
      <c r="G2048">
        <v>2</v>
      </c>
      <c r="H2048" t="s">
        <v>5469</v>
      </c>
      <c r="I2048">
        <v>13.4</v>
      </c>
      <c r="J2048">
        <v>48.201000000000001</v>
      </c>
      <c r="K2048" t="str">
        <f>"WIPI1"</f>
        <v>WIPI1</v>
      </c>
      <c r="L2048" t="str">
        <f>"WIPI1"</f>
        <v>WIPI1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52731000</v>
      </c>
    </row>
    <row r="2049" spans="1:24">
      <c r="A2049">
        <v>1685</v>
      </c>
      <c r="B2049" t="s">
        <v>5470</v>
      </c>
      <c r="C2049">
        <v>1</v>
      </c>
      <c r="D2049" t="s">
        <v>5471</v>
      </c>
      <c r="E2049">
        <v>2</v>
      </c>
      <c r="F2049">
        <v>2</v>
      </c>
      <c r="G2049">
        <v>2</v>
      </c>
      <c r="H2049" t="s">
        <v>5470</v>
      </c>
      <c r="I2049">
        <v>4</v>
      </c>
      <c r="J2049">
        <v>70.441000000000003</v>
      </c>
      <c r="K2049" t="str">
        <f>"PGM2L1"</f>
        <v>PGM2L1</v>
      </c>
      <c r="L2049" t="str">
        <f>"PGM2L1"</f>
        <v>PGM2L1</v>
      </c>
      <c r="M2049">
        <v>0</v>
      </c>
      <c r="N2049">
        <v>0</v>
      </c>
      <c r="O2049">
        <v>14778000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</row>
    <row r="2050" spans="1:24">
      <c r="A2050">
        <v>1686</v>
      </c>
      <c r="B2050" t="s">
        <v>5472</v>
      </c>
      <c r="C2050">
        <v>1</v>
      </c>
      <c r="D2050" t="s">
        <v>5473</v>
      </c>
      <c r="E2050">
        <v>3</v>
      </c>
      <c r="F2050">
        <v>3</v>
      </c>
      <c r="G2050">
        <v>3</v>
      </c>
      <c r="H2050" t="s">
        <v>5472</v>
      </c>
      <c r="I2050">
        <v>2.4</v>
      </c>
      <c r="J2050">
        <v>175.48</v>
      </c>
      <c r="K2050" t="str">
        <f>"TTC37"</f>
        <v>TTC37</v>
      </c>
      <c r="L2050" t="str">
        <f>"TTC37"</f>
        <v>TTC37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7175500</v>
      </c>
      <c r="V2050">
        <v>0</v>
      </c>
      <c r="W2050">
        <v>0</v>
      </c>
      <c r="X2050">
        <v>0</v>
      </c>
    </row>
    <row r="2051" spans="1:24">
      <c r="A2051">
        <v>1760</v>
      </c>
      <c r="B2051" t="s">
        <v>5474</v>
      </c>
      <c r="C2051">
        <v>2</v>
      </c>
      <c r="D2051" t="s">
        <v>5475</v>
      </c>
      <c r="E2051">
        <v>1</v>
      </c>
      <c r="F2051">
        <v>1</v>
      </c>
      <c r="G2051">
        <v>1</v>
      </c>
      <c r="H2051" t="s">
        <v>5476</v>
      </c>
      <c r="I2051">
        <v>1.7</v>
      </c>
      <c r="J2051">
        <v>124.9</v>
      </c>
      <c r="K2051" t="str">
        <f>"ERC1"</f>
        <v>ERC1</v>
      </c>
      <c r="L2051" t="str">
        <f>"ERC1"</f>
        <v>ERC1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</row>
    <row r="2052" spans="1:24">
      <c r="A2052">
        <v>1762</v>
      </c>
      <c r="B2052" t="s">
        <v>5477</v>
      </c>
      <c r="C2052">
        <v>1</v>
      </c>
      <c r="D2052" t="s">
        <v>5478</v>
      </c>
      <c r="E2052">
        <v>1</v>
      </c>
      <c r="F2052">
        <v>1</v>
      </c>
      <c r="G2052">
        <v>1</v>
      </c>
      <c r="H2052" t="s">
        <v>5477</v>
      </c>
      <c r="I2052">
        <v>4.8</v>
      </c>
      <c r="J2052">
        <v>20.783000000000001</v>
      </c>
      <c r="K2052" t="str">
        <f>"TRAPPC5"</f>
        <v>TRAPPC5</v>
      </c>
      <c r="L2052" t="str">
        <f>"TRAPPC5"</f>
        <v>TRAPPC5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6568600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</row>
    <row r="2053" spans="1:24">
      <c r="A2053">
        <v>1777</v>
      </c>
      <c r="B2053" t="s">
        <v>5479</v>
      </c>
      <c r="C2053">
        <v>2</v>
      </c>
      <c r="D2053" t="s">
        <v>5480</v>
      </c>
      <c r="E2053">
        <v>2</v>
      </c>
      <c r="F2053">
        <v>2</v>
      </c>
      <c r="G2053">
        <v>2</v>
      </c>
      <c r="H2053" t="s">
        <v>5481</v>
      </c>
      <c r="I2053">
        <v>10.3</v>
      </c>
      <c r="J2053">
        <v>45.055</v>
      </c>
      <c r="K2053" t="str">
        <f>"SAMD14"</f>
        <v>SAMD14</v>
      </c>
      <c r="L2053" t="str">
        <f>"SAMD14"</f>
        <v>SAMD14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>
      <c r="A2054">
        <v>1785</v>
      </c>
      <c r="B2054" t="s">
        <v>5482</v>
      </c>
      <c r="C2054">
        <v>1</v>
      </c>
      <c r="D2054" t="s">
        <v>5483</v>
      </c>
      <c r="E2054">
        <v>4</v>
      </c>
      <c r="F2054">
        <v>4</v>
      </c>
      <c r="G2054">
        <v>3</v>
      </c>
      <c r="H2054" t="s">
        <v>5482</v>
      </c>
      <c r="I2054">
        <v>3.5</v>
      </c>
      <c r="J2054">
        <v>161.85</v>
      </c>
      <c r="K2054" t="str">
        <f>"EHBP1L1"</f>
        <v>EHBP1L1</v>
      </c>
      <c r="L2054" t="str">
        <f>"EHBP1L1"</f>
        <v>EHBP1L1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>
      <c r="A2055">
        <v>1798</v>
      </c>
      <c r="B2055" t="s">
        <v>5484</v>
      </c>
      <c r="C2055">
        <v>5</v>
      </c>
      <c r="D2055" t="s">
        <v>5485</v>
      </c>
      <c r="E2055">
        <v>3</v>
      </c>
      <c r="F2055">
        <v>3</v>
      </c>
      <c r="G2055">
        <v>3</v>
      </c>
      <c r="H2055" t="s">
        <v>5486</v>
      </c>
      <c r="I2055">
        <v>14.3</v>
      </c>
      <c r="J2055">
        <v>33.843000000000004</v>
      </c>
      <c r="K2055" t="str">
        <f>"SUMF2"</f>
        <v>SUMF2</v>
      </c>
      <c r="L2055" t="str">
        <f>"SUMF2"</f>
        <v>SUMF2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</row>
    <row r="2056" spans="1:24">
      <c r="A2056">
        <v>1800</v>
      </c>
      <c r="B2056" t="s">
        <v>5487</v>
      </c>
      <c r="C2056">
        <v>1</v>
      </c>
      <c r="D2056" t="s">
        <v>5488</v>
      </c>
      <c r="E2056">
        <v>3</v>
      </c>
      <c r="F2056">
        <v>3</v>
      </c>
      <c r="G2056">
        <v>3</v>
      </c>
      <c r="H2056" t="s">
        <v>5487</v>
      </c>
      <c r="I2056">
        <v>8.6999999999999993</v>
      </c>
      <c r="J2056">
        <v>32.935000000000002</v>
      </c>
      <c r="K2056" t="str">
        <f>"HSD17B11"</f>
        <v>HSD17B11</v>
      </c>
      <c r="L2056" t="str">
        <f>"HSD17B11"</f>
        <v>HSD17B11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</row>
    <row r="2057" spans="1:24">
      <c r="A2057">
        <v>1808</v>
      </c>
      <c r="B2057" t="s">
        <v>5489</v>
      </c>
      <c r="C2057">
        <v>1</v>
      </c>
      <c r="D2057" t="s">
        <v>5490</v>
      </c>
      <c r="E2057">
        <v>1</v>
      </c>
      <c r="F2057">
        <v>1</v>
      </c>
      <c r="G2057">
        <v>1</v>
      </c>
      <c r="H2057" t="s">
        <v>5489</v>
      </c>
      <c r="I2057">
        <v>6.9</v>
      </c>
      <c r="J2057">
        <v>24.268999999999998</v>
      </c>
      <c r="K2057" t="str">
        <f>"MAPK1IP1L"</f>
        <v>MAPK1IP1L</v>
      </c>
      <c r="L2057" t="str">
        <f>"MAPK1IP1L"</f>
        <v>MAPK1IP1L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</row>
    <row r="2058" spans="1:24">
      <c r="A2058">
        <v>1820</v>
      </c>
      <c r="B2058" t="s">
        <v>5491</v>
      </c>
      <c r="C2058">
        <v>2</v>
      </c>
      <c r="D2058" t="s">
        <v>5492</v>
      </c>
      <c r="E2058">
        <v>2</v>
      </c>
      <c r="F2058">
        <v>2</v>
      </c>
      <c r="G2058">
        <v>2</v>
      </c>
      <c r="H2058" t="s">
        <v>5493</v>
      </c>
      <c r="I2058">
        <v>17.100000000000001</v>
      </c>
      <c r="J2058">
        <v>20.239000000000001</v>
      </c>
      <c r="K2058" t="str">
        <f>"ABHD4"</f>
        <v>ABHD4</v>
      </c>
      <c r="L2058" t="str">
        <f>"ABHD4"</f>
        <v>ABHD4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13291000</v>
      </c>
    </row>
    <row r="2059" spans="1:24">
      <c r="A2059">
        <v>1885</v>
      </c>
      <c r="B2059" t="s">
        <v>5494</v>
      </c>
      <c r="C2059">
        <v>6</v>
      </c>
      <c r="D2059" t="s">
        <v>5495</v>
      </c>
      <c r="E2059">
        <v>1</v>
      </c>
      <c r="F2059">
        <v>1</v>
      </c>
      <c r="G2059">
        <v>1</v>
      </c>
      <c r="H2059" t="s">
        <v>5496</v>
      </c>
      <c r="I2059">
        <v>1.8</v>
      </c>
      <c r="J2059">
        <v>102.51</v>
      </c>
      <c r="K2059" t="str">
        <f>"PRG4"</f>
        <v>PRG4</v>
      </c>
      <c r="L2059" t="str">
        <f>"PRG4"</f>
        <v>PRG4</v>
      </c>
      <c r="M2059">
        <v>14968000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</row>
    <row r="2060" spans="1:24">
      <c r="A2060">
        <v>1904</v>
      </c>
      <c r="B2060" t="s">
        <v>5497</v>
      </c>
      <c r="C2060">
        <v>2</v>
      </c>
      <c r="D2060" t="s">
        <v>5498</v>
      </c>
      <c r="E2060">
        <v>3</v>
      </c>
      <c r="F2060">
        <v>3</v>
      </c>
      <c r="G2060">
        <v>3</v>
      </c>
      <c r="H2060" t="s">
        <v>5499</v>
      </c>
      <c r="I2060">
        <v>4</v>
      </c>
      <c r="J2060">
        <v>55.317</v>
      </c>
      <c r="K2060" t="str">
        <f>"CCDC47"</f>
        <v>CCDC47</v>
      </c>
      <c r="L2060" t="str">
        <f>"CCDC47"</f>
        <v>CCDC47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</row>
    <row r="2061" spans="1:24">
      <c r="A2061">
        <v>1913</v>
      </c>
      <c r="B2061" t="s">
        <v>5500</v>
      </c>
      <c r="C2061">
        <v>2</v>
      </c>
      <c r="D2061" t="s">
        <v>5501</v>
      </c>
      <c r="E2061">
        <v>1</v>
      </c>
      <c r="F2061">
        <v>1</v>
      </c>
      <c r="G2061">
        <v>1</v>
      </c>
      <c r="H2061" t="s">
        <v>5502</v>
      </c>
      <c r="I2061">
        <v>5.3</v>
      </c>
      <c r="J2061">
        <v>21.521000000000001</v>
      </c>
      <c r="K2061" t="str">
        <f>"TESC"</f>
        <v>TESC</v>
      </c>
      <c r="L2061" t="str">
        <f>"TESC"</f>
        <v>TESC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13159000</v>
      </c>
      <c r="V2061">
        <v>0</v>
      </c>
      <c r="W2061">
        <v>0</v>
      </c>
      <c r="X2061">
        <v>0</v>
      </c>
    </row>
    <row r="2062" spans="1:24">
      <c r="A2062">
        <v>1950</v>
      </c>
      <c r="B2062" t="s">
        <v>5503</v>
      </c>
      <c r="C2062">
        <v>2</v>
      </c>
      <c r="D2062" t="s">
        <v>5504</v>
      </c>
      <c r="E2062">
        <v>2</v>
      </c>
      <c r="F2062">
        <v>2</v>
      </c>
      <c r="G2062">
        <v>2</v>
      </c>
      <c r="H2062" t="s">
        <v>5505</v>
      </c>
      <c r="I2062">
        <v>5.6</v>
      </c>
      <c r="J2062">
        <v>36.085000000000001</v>
      </c>
      <c r="K2062" t="str">
        <f>"PBK"</f>
        <v>PBK</v>
      </c>
      <c r="L2062" t="str">
        <f>"PBK"</f>
        <v>PBK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36356000</v>
      </c>
      <c r="X2062">
        <v>0</v>
      </c>
    </row>
    <row r="2063" spans="1:24">
      <c r="A2063">
        <v>1951</v>
      </c>
      <c r="B2063" t="s">
        <v>5506</v>
      </c>
      <c r="C2063">
        <v>6</v>
      </c>
      <c r="D2063" t="s">
        <v>5507</v>
      </c>
      <c r="E2063">
        <v>2</v>
      </c>
      <c r="F2063">
        <v>2</v>
      </c>
      <c r="G2063">
        <v>2</v>
      </c>
      <c r="H2063" t="s">
        <v>5508</v>
      </c>
      <c r="I2063">
        <v>3.5</v>
      </c>
      <c r="J2063">
        <v>69.236999999999995</v>
      </c>
      <c r="K2063" t="str">
        <f>"SCYL1"</f>
        <v>SCYL1</v>
      </c>
      <c r="L2063" t="str">
        <f>"SCYL1"</f>
        <v>SCYL1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</row>
    <row r="2064" spans="1:24">
      <c r="A2064">
        <v>1961</v>
      </c>
      <c r="B2064" t="s">
        <v>5509</v>
      </c>
      <c r="C2064">
        <v>1</v>
      </c>
      <c r="D2064" t="s">
        <v>5510</v>
      </c>
      <c r="E2064">
        <v>3</v>
      </c>
      <c r="F2064">
        <v>3</v>
      </c>
      <c r="G2064">
        <v>3</v>
      </c>
      <c r="H2064" t="s">
        <v>5509</v>
      </c>
      <c r="I2064">
        <v>4.2</v>
      </c>
      <c r="J2064">
        <v>115.96</v>
      </c>
      <c r="K2064" t="str">
        <f>"IPO9"</f>
        <v>IPO9</v>
      </c>
      <c r="L2064" t="str">
        <f>"IPO9"</f>
        <v>IPO9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</row>
    <row r="2065" spans="1:24">
      <c r="A2065">
        <v>1965</v>
      </c>
      <c r="B2065" t="s">
        <v>5511</v>
      </c>
      <c r="C2065">
        <v>2</v>
      </c>
      <c r="D2065" t="s">
        <v>5512</v>
      </c>
      <c r="E2065">
        <v>1</v>
      </c>
      <c r="F2065">
        <v>1</v>
      </c>
      <c r="G2065">
        <v>1</v>
      </c>
      <c r="H2065" t="s">
        <v>5513</v>
      </c>
      <c r="I2065">
        <v>6.9</v>
      </c>
      <c r="J2065">
        <v>31.308</v>
      </c>
      <c r="K2065" t="str">
        <f>"TSPAN32"</f>
        <v>TSPAN32</v>
      </c>
      <c r="L2065" t="str">
        <f>"TSPAN32"</f>
        <v>TSPAN32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</row>
    <row r="2066" spans="1:24">
      <c r="A2066">
        <v>1972</v>
      </c>
      <c r="B2066" t="s">
        <v>5514</v>
      </c>
      <c r="C2066">
        <v>1</v>
      </c>
      <c r="D2066" t="s">
        <v>5515</v>
      </c>
      <c r="E2066">
        <v>1</v>
      </c>
      <c r="F2066">
        <v>1</v>
      </c>
      <c r="G2066">
        <v>1</v>
      </c>
      <c r="H2066" t="s">
        <v>5514</v>
      </c>
      <c r="I2066">
        <v>12.3</v>
      </c>
      <c r="J2066">
        <v>20.995999999999999</v>
      </c>
      <c r="K2066" t="str">
        <f>"GPX7"</f>
        <v>GPX7</v>
      </c>
      <c r="L2066" t="str">
        <f>"GPX7"</f>
        <v>GPX7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49771000</v>
      </c>
    </row>
    <row r="2067" spans="1:24">
      <c r="A2067">
        <v>1988</v>
      </c>
      <c r="B2067" t="s">
        <v>5516</v>
      </c>
      <c r="C2067">
        <v>1</v>
      </c>
      <c r="D2067" t="s">
        <v>5517</v>
      </c>
      <c r="E2067">
        <v>3</v>
      </c>
      <c r="F2067">
        <v>3</v>
      </c>
      <c r="G2067">
        <v>3</v>
      </c>
      <c r="H2067" t="s">
        <v>5516</v>
      </c>
      <c r="I2067">
        <v>13.4</v>
      </c>
      <c r="J2067">
        <v>33.526000000000003</v>
      </c>
      <c r="K2067" t="str">
        <f>"TTC1"</f>
        <v>TTC1</v>
      </c>
      <c r="L2067" t="str">
        <f>"TTC1"</f>
        <v>TTC1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</row>
    <row r="2068" spans="1:24">
      <c r="A2068">
        <v>2068</v>
      </c>
      <c r="B2068" t="s">
        <v>5518</v>
      </c>
      <c r="C2068">
        <v>1</v>
      </c>
      <c r="D2068" t="s">
        <v>5519</v>
      </c>
      <c r="E2068">
        <v>2</v>
      </c>
      <c r="F2068">
        <v>2</v>
      </c>
      <c r="G2068">
        <v>2</v>
      </c>
      <c r="H2068" t="s">
        <v>5518</v>
      </c>
      <c r="I2068">
        <v>7.9</v>
      </c>
      <c r="J2068">
        <v>33.58</v>
      </c>
      <c r="K2068" t="str">
        <f>"WDR61"</f>
        <v>WDR61</v>
      </c>
      <c r="L2068" t="str">
        <f>"WDR61"</f>
        <v>WDR61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>
      <c r="A2069">
        <v>2072</v>
      </c>
      <c r="B2069" t="s">
        <v>5520</v>
      </c>
      <c r="C2069">
        <v>3</v>
      </c>
      <c r="D2069" t="s">
        <v>5521</v>
      </c>
      <c r="E2069">
        <v>2</v>
      </c>
      <c r="F2069">
        <v>2</v>
      </c>
      <c r="G2069">
        <v>2</v>
      </c>
      <c r="H2069" t="s">
        <v>5522</v>
      </c>
      <c r="I2069">
        <v>8.1999999999999993</v>
      </c>
      <c r="J2069">
        <v>42.006</v>
      </c>
      <c r="K2069" t="str">
        <f>"PAIP1"</f>
        <v>PAIP1</v>
      </c>
      <c r="L2069" t="str">
        <f>"PAIP1"</f>
        <v>PAIP1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</row>
    <row r="2070" spans="1:24">
      <c r="A2070">
        <v>2079</v>
      </c>
      <c r="B2070" t="s">
        <v>5523</v>
      </c>
      <c r="C2070">
        <v>3</v>
      </c>
      <c r="D2070" t="s">
        <v>5524</v>
      </c>
      <c r="E2070">
        <v>3</v>
      </c>
      <c r="F2070">
        <v>3</v>
      </c>
      <c r="G2070">
        <v>3</v>
      </c>
      <c r="H2070" t="s">
        <v>5525</v>
      </c>
      <c r="I2070">
        <v>15.5</v>
      </c>
      <c r="J2070">
        <v>25.498000000000001</v>
      </c>
      <c r="K2070" t="str">
        <f>"RBM38;RBM24"</f>
        <v>RBM38;RBM24</v>
      </c>
      <c r="L2070" t="str">
        <f>"RBM38;RBM24"</f>
        <v>RBM38;RBM24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</row>
    <row r="2071" spans="1:24">
      <c r="A2071">
        <v>2080</v>
      </c>
      <c r="B2071" t="s">
        <v>5526</v>
      </c>
      <c r="C2071">
        <v>2</v>
      </c>
      <c r="D2071" t="s">
        <v>5527</v>
      </c>
      <c r="E2071">
        <v>2</v>
      </c>
      <c r="F2071">
        <v>2</v>
      </c>
      <c r="G2071">
        <v>2</v>
      </c>
      <c r="H2071" t="s">
        <v>5528</v>
      </c>
      <c r="I2071">
        <v>2.5</v>
      </c>
      <c r="J2071">
        <v>96.766000000000005</v>
      </c>
      <c r="K2071" t="str">
        <f>"XYLT2"</f>
        <v>XYLT2</v>
      </c>
      <c r="L2071" t="str">
        <f>"XYLT2"</f>
        <v>XYLT2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</row>
    <row r="2072" spans="1:24">
      <c r="A2072">
        <v>2109</v>
      </c>
      <c r="B2072" t="s">
        <v>5529</v>
      </c>
      <c r="C2072">
        <v>1</v>
      </c>
      <c r="D2072" t="s">
        <v>5530</v>
      </c>
      <c r="E2072">
        <v>2</v>
      </c>
      <c r="F2072">
        <v>2</v>
      </c>
      <c r="G2072">
        <v>2</v>
      </c>
      <c r="H2072" t="s">
        <v>5529</v>
      </c>
      <c r="I2072">
        <v>5.3</v>
      </c>
      <c r="J2072">
        <v>41.942999999999998</v>
      </c>
      <c r="K2072" t="str">
        <f>"PTGES2"</f>
        <v>PTGES2</v>
      </c>
      <c r="L2072" t="str">
        <f>"PTGES2"</f>
        <v>PTGES2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14629000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</row>
    <row r="2073" spans="1:24">
      <c r="A2073">
        <v>2116</v>
      </c>
      <c r="B2073" t="s">
        <v>5531</v>
      </c>
      <c r="C2073">
        <v>1</v>
      </c>
      <c r="D2073" t="s">
        <v>5532</v>
      </c>
      <c r="E2073">
        <v>4</v>
      </c>
      <c r="F2073">
        <v>4</v>
      </c>
      <c r="G2073">
        <v>4</v>
      </c>
      <c r="H2073" t="s">
        <v>5531</v>
      </c>
      <c r="I2073">
        <v>14.3</v>
      </c>
      <c r="J2073">
        <v>35.619</v>
      </c>
      <c r="K2073" t="str">
        <f>"SFXN1"</f>
        <v>SFXN1</v>
      </c>
      <c r="L2073" t="str">
        <f>"SFXN1"</f>
        <v>SFXN1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</row>
    <row r="2074" spans="1:24">
      <c r="A2074">
        <v>2130</v>
      </c>
      <c r="B2074" t="s">
        <v>5533</v>
      </c>
      <c r="C2074">
        <v>1</v>
      </c>
      <c r="D2074" t="s">
        <v>5534</v>
      </c>
      <c r="E2074">
        <v>1</v>
      </c>
      <c r="F2074">
        <v>1</v>
      </c>
      <c r="G2074">
        <v>1</v>
      </c>
      <c r="H2074" t="s">
        <v>5533</v>
      </c>
      <c r="I2074">
        <v>9</v>
      </c>
      <c r="J2074">
        <v>23.597999999999999</v>
      </c>
      <c r="K2074" t="str">
        <f>"SDF2L1"</f>
        <v>SDF2L1</v>
      </c>
      <c r="L2074" t="str">
        <f>"SDF2L1"</f>
        <v>SDF2L1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67920000</v>
      </c>
      <c r="V2074">
        <v>0</v>
      </c>
      <c r="W2074">
        <v>0</v>
      </c>
      <c r="X2074">
        <v>0</v>
      </c>
    </row>
    <row r="2075" spans="1:24">
      <c r="A2075">
        <v>2148</v>
      </c>
      <c r="B2075" t="s">
        <v>5535</v>
      </c>
      <c r="C2075">
        <v>2</v>
      </c>
      <c r="D2075" t="s">
        <v>5536</v>
      </c>
      <c r="E2075">
        <v>2</v>
      </c>
      <c r="F2075">
        <v>2</v>
      </c>
      <c r="G2075">
        <v>2</v>
      </c>
      <c r="H2075" t="s">
        <v>5537</v>
      </c>
      <c r="I2075">
        <v>4.4000000000000004</v>
      </c>
      <c r="J2075">
        <v>78.578999999999994</v>
      </c>
      <c r="K2075" t="str">
        <f>"ACSS2"</f>
        <v>ACSS2</v>
      </c>
      <c r="L2075" t="str">
        <f>"ACSS2"</f>
        <v>ACSS2</v>
      </c>
      <c r="M2075">
        <v>0</v>
      </c>
      <c r="N2075">
        <v>13238000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</row>
    <row r="2076" spans="1:24">
      <c r="A2076">
        <v>2157</v>
      </c>
      <c r="B2076" t="s">
        <v>5538</v>
      </c>
      <c r="C2076">
        <v>1</v>
      </c>
      <c r="D2076" t="s">
        <v>5539</v>
      </c>
      <c r="E2076">
        <v>2</v>
      </c>
      <c r="F2076">
        <v>2</v>
      </c>
      <c r="G2076">
        <v>2</v>
      </c>
      <c r="H2076" t="s">
        <v>5538</v>
      </c>
      <c r="I2076">
        <v>3</v>
      </c>
      <c r="J2076">
        <v>79.147000000000006</v>
      </c>
      <c r="K2076" t="str">
        <f>"ABCB10"</f>
        <v>ABCB10</v>
      </c>
      <c r="L2076" t="str">
        <f>"ABCB10"</f>
        <v>ABCB10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1767100000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>
      <c r="A2077">
        <v>2169</v>
      </c>
      <c r="B2077" t="s">
        <v>5540</v>
      </c>
      <c r="C2077">
        <v>2</v>
      </c>
      <c r="D2077" t="s">
        <v>5541</v>
      </c>
      <c r="E2077">
        <v>2</v>
      </c>
      <c r="F2077">
        <v>2</v>
      </c>
      <c r="G2077">
        <v>2</v>
      </c>
      <c r="H2077" t="s">
        <v>5542</v>
      </c>
      <c r="I2077">
        <v>7.7</v>
      </c>
      <c r="J2077">
        <v>35.466999999999999</v>
      </c>
      <c r="K2077" t="str">
        <f>"ATG3"</f>
        <v>ATG3</v>
      </c>
      <c r="L2077" t="str">
        <f>"ATG3"</f>
        <v>ATG3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</row>
    <row r="2078" spans="1:24">
      <c r="A2078">
        <v>2228</v>
      </c>
      <c r="B2078" t="s">
        <v>5543</v>
      </c>
      <c r="C2078">
        <v>1</v>
      </c>
      <c r="D2078" t="s">
        <v>5544</v>
      </c>
      <c r="E2078">
        <v>2</v>
      </c>
      <c r="F2078">
        <v>2</v>
      </c>
      <c r="G2078">
        <v>2</v>
      </c>
      <c r="H2078" t="s">
        <v>5543</v>
      </c>
      <c r="I2078">
        <v>3.6</v>
      </c>
      <c r="J2078">
        <v>54.488999999999997</v>
      </c>
      <c r="K2078" t="str">
        <f>"DHCR7"</f>
        <v>DHCR7</v>
      </c>
      <c r="L2078" t="str">
        <f>"DHCR7"</f>
        <v>DHCR7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</row>
    <row r="2079" spans="1:24">
      <c r="A2079">
        <v>2247</v>
      </c>
      <c r="B2079" t="s">
        <v>5545</v>
      </c>
      <c r="C2079">
        <v>1</v>
      </c>
      <c r="D2079" t="s">
        <v>5546</v>
      </c>
      <c r="E2079">
        <v>2</v>
      </c>
      <c r="F2079">
        <v>2</v>
      </c>
      <c r="G2079">
        <v>2</v>
      </c>
      <c r="H2079" t="s">
        <v>5545</v>
      </c>
      <c r="I2079">
        <v>5.2</v>
      </c>
      <c r="J2079">
        <v>83.641000000000005</v>
      </c>
      <c r="K2079" t="str">
        <f>"TBK1"</f>
        <v>TBK1</v>
      </c>
      <c r="L2079" t="str">
        <f>"TBK1"</f>
        <v>TBK1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</row>
    <row r="2080" spans="1:24">
      <c r="A2080">
        <v>2249</v>
      </c>
      <c r="B2080" t="s">
        <v>5547</v>
      </c>
      <c r="C2080">
        <v>2</v>
      </c>
      <c r="D2080" t="s">
        <v>5548</v>
      </c>
      <c r="E2080">
        <v>3</v>
      </c>
      <c r="F2080">
        <v>3</v>
      </c>
      <c r="G2080">
        <v>3</v>
      </c>
      <c r="H2080" t="s">
        <v>5549</v>
      </c>
      <c r="I2080">
        <v>7.1</v>
      </c>
      <c r="J2080">
        <v>56.639000000000003</v>
      </c>
      <c r="K2080" t="str">
        <f>"PCYOX1"</f>
        <v>PCYOX1</v>
      </c>
      <c r="L2080" t="str">
        <f>"PCYOX1"</f>
        <v>PCYOX1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</row>
    <row r="2081" spans="1:24">
      <c r="A2081">
        <v>2257</v>
      </c>
      <c r="B2081" t="s">
        <v>5550</v>
      </c>
      <c r="C2081">
        <v>2</v>
      </c>
      <c r="D2081" t="s">
        <v>5551</v>
      </c>
      <c r="E2081">
        <v>2</v>
      </c>
      <c r="F2081">
        <v>2</v>
      </c>
      <c r="G2081">
        <v>2</v>
      </c>
      <c r="H2081" t="s">
        <v>5552</v>
      </c>
      <c r="I2081">
        <v>33.299999999999997</v>
      </c>
      <c r="J2081">
        <v>7.1730999999999998</v>
      </c>
      <c r="K2081" t="str">
        <f>"NDUFA12"</f>
        <v>NDUFA12</v>
      </c>
      <c r="L2081" t="str">
        <f>"NDUFA12"</f>
        <v>NDUFA12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</row>
    <row r="2082" spans="1:24">
      <c r="A2082">
        <v>2258</v>
      </c>
      <c r="B2082" t="s">
        <v>5553</v>
      </c>
      <c r="C2082">
        <v>2</v>
      </c>
      <c r="D2082" t="s">
        <v>5554</v>
      </c>
      <c r="E2082">
        <v>3</v>
      </c>
      <c r="F2082">
        <v>3</v>
      </c>
      <c r="G2082">
        <v>3</v>
      </c>
      <c r="H2082" t="s">
        <v>5555</v>
      </c>
      <c r="I2082">
        <v>9.6999999999999993</v>
      </c>
      <c r="J2082">
        <v>54.151000000000003</v>
      </c>
      <c r="K2082" t="str">
        <f>"ATP6V1H"</f>
        <v>ATP6V1H</v>
      </c>
      <c r="L2082" t="str">
        <f>"ATP6V1H"</f>
        <v>ATP6V1H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</row>
    <row r="2083" spans="1:24">
      <c r="A2083">
        <v>2301</v>
      </c>
      <c r="B2083" t="s">
        <v>5556</v>
      </c>
      <c r="C2083">
        <v>1</v>
      </c>
      <c r="D2083" t="s">
        <v>5557</v>
      </c>
      <c r="E2083">
        <v>2</v>
      </c>
      <c r="F2083">
        <v>2</v>
      </c>
      <c r="G2083">
        <v>2</v>
      </c>
      <c r="H2083" t="s">
        <v>5556</v>
      </c>
      <c r="I2083">
        <v>2.2000000000000002</v>
      </c>
      <c r="J2083">
        <v>96.722999999999999</v>
      </c>
      <c r="K2083" t="str">
        <f>"PPP6R1"</f>
        <v>PPP6R1</v>
      </c>
      <c r="L2083" t="str">
        <f>"PPP6R1"</f>
        <v>PPP6R1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10431000</v>
      </c>
    </row>
    <row r="2084" spans="1:24">
      <c r="A2084">
        <v>2384</v>
      </c>
      <c r="B2084" t="s">
        <v>5558</v>
      </c>
      <c r="C2084">
        <v>1</v>
      </c>
      <c r="D2084" t="s">
        <v>5559</v>
      </c>
      <c r="E2084">
        <v>3</v>
      </c>
      <c r="F2084">
        <v>3</v>
      </c>
      <c r="G2084">
        <v>3</v>
      </c>
      <c r="H2084" t="s">
        <v>5558</v>
      </c>
      <c r="I2084">
        <v>12.1</v>
      </c>
      <c r="J2084">
        <v>34.188000000000002</v>
      </c>
      <c r="K2084" t="str">
        <f>"TEX264"</f>
        <v>TEX264</v>
      </c>
      <c r="L2084" t="str">
        <f>"TEX264"</f>
        <v>TEX264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>
      <c r="A2085">
        <v>2386</v>
      </c>
      <c r="B2085" t="s">
        <v>5560</v>
      </c>
      <c r="C2085">
        <v>6</v>
      </c>
      <c r="D2085" t="s">
        <v>5561</v>
      </c>
      <c r="E2085">
        <v>2</v>
      </c>
      <c r="F2085">
        <v>2</v>
      </c>
      <c r="G2085">
        <v>2</v>
      </c>
      <c r="H2085" t="s">
        <v>5562</v>
      </c>
      <c r="I2085">
        <v>4.5</v>
      </c>
      <c r="J2085">
        <v>54.720999999999997</v>
      </c>
      <c r="K2085" t="str">
        <f>"IGF2BP2"</f>
        <v>IGF2BP2</v>
      </c>
      <c r="L2085" t="str">
        <f>"IGF2BP2"</f>
        <v>IGF2BP2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17317000</v>
      </c>
    </row>
    <row r="2086" spans="1:24">
      <c r="A2086">
        <v>2391</v>
      </c>
      <c r="B2086" t="s">
        <v>5563</v>
      </c>
      <c r="C2086">
        <v>1</v>
      </c>
      <c r="D2086" t="s">
        <v>5564</v>
      </c>
      <c r="E2086">
        <v>3</v>
      </c>
      <c r="F2086">
        <v>3</v>
      </c>
      <c r="G2086">
        <v>3</v>
      </c>
      <c r="H2086" t="s">
        <v>5563</v>
      </c>
      <c r="I2086">
        <v>7.1</v>
      </c>
      <c r="J2086">
        <v>51.640999999999998</v>
      </c>
      <c r="K2086" t="str">
        <f>"ENPP4"</f>
        <v>ENPP4</v>
      </c>
      <c r="L2086" t="str">
        <f>"ENPP4"</f>
        <v>ENPP4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</row>
    <row r="2087" spans="1:24">
      <c r="A2087">
        <v>2</v>
      </c>
      <c r="B2087" t="s">
        <v>5565</v>
      </c>
      <c r="C2087">
        <v>1</v>
      </c>
      <c r="D2087" t="s">
        <v>5566</v>
      </c>
      <c r="E2087">
        <v>5</v>
      </c>
      <c r="F2087">
        <v>1</v>
      </c>
      <c r="G2087">
        <v>1</v>
      </c>
      <c r="H2087" t="s">
        <v>5565</v>
      </c>
      <c r="I2087">
        <v>49.1</v>
      </c>
      <c r="J2087">
        <v>11.303000000000001</v>
      </c>
      <c r="K2087" t="str">
        <f>"IGLC7"</f>
        <v>IGLC7</v>
      </c>
      <c r="L2087" t="str">
        <f>"IGLC7"</f>
        <v>IGLC7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</row>
    <row r="2088" spans="1:24">
      <c r="A2088">
        <v>54</v>
      </c>
      <c r="B2088" t="s">
        <v>5567</v>
      </c>
      <c r="C2088">
        <v>1</v>
      </c>
      <c r="D2088" t="s">
        <v>5568</v>
      </c>
      <c r="E2088">
        <v>1</v>
      </c>
      <c r="F2088">
        <v>1</v>
      </c>
      <c r="G2088">
        <v>1</v>
      </c>
      <c r="H2088" t="s">
        <v>5567</v>
      </c>
      <c r="I2088">
        <v>1.8</v>
      </c>
      <c r="J2088">
        <v>72.453000000000003</v>
      </c>
      <c r="K2088" t="str">
        <f>"GTPBP1"</f>
        <v>GTPBP1</v>
      </c>
      <c r="L2088" t="str">
        <f>"GTPBP1"</f>
        <v>GTPBP1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12611000</v>
      </c>
      <c r="V2088">
        <v>0</v>
      </c>
      <c r="W2088">
        <v>0</v>
      </c>
      <c r="X2088">
        <v>0</v>
      </c>
    </row>
    <row r="2089" spans="1:24">
      <c r="A2089">
        <v>90</v>
      </c>
      <c r="B2089" t="s">
        <v>5569</v>
      </c>
      <c r="C2089">
        <v>2</v>
      </c>
      <c r="D2089" t="s">
        <v>5570</v>
      </c>
      <c r="E2089">
        <v>1</v>
      </c>
      <c r="F2089">
        <v>1</v>
      </c>
      <c r="G2089">
        <v>1</v>
      </c>
      <c r="H2089" t="s">
        <v>5571</v>
      </c>
      <c r="I2089">
        <v>7.7</v>
      </c>
      <c r="J2089">
        <v>18.623999999999999</v>
      </c>
      <c r="K2089" t="str">
        <f>"CDIPT"</f>
        <v>CDIPT</v>
      </c>
      <c r="L2089" t="str">
        <f>"CDIPT"</f>
        <v>CDIPT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3501800</v>
      </c>
    </row>
    <row r="2090" spans="1:24">
      <c r="A2090">
        <v>101</v>
      </c>
      <c r="B2090" t="s">
        <v>5572</v>
      </c>
      <c r="C2090">
        <v>3</v>
      </c>
      <c r="D2090" t="s">
        <v>5573</v>
      </c>
      <c r="E2090">
        <v>2</v>
      </c>
      <c r="F2090">
        <v>2</v>
      </c>
      <c r="G2090">
        <v>2</v>
      </c>
      <c r="H2090" t="s">
        <v>5574</v>
      </c>
      <c r="I2090">
        <v>2.4</v>
      </c>
      <c r="J2090">
        <v>79.507999999999996</v>
      </c>
      <c r="K2090" t="str">
        <f>"IKBKB"</f>
        <v>IKBKB</v>
      </c>
      <c r="L2090" t="str">
        <f>"IKBKB"</f>
        <v>IKBKB</v>
      </c>
      <c r="M2090">
        <v>0</v>
      </c>
      <c r="N2090">
        <v>6330000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</row>
    <row r="2091" spans="1:24">
      <c r="A2091">
        <v>106</v>
      </c>
      <c r="B2091" t="s">
        <v>5575</v>
      </c>
      <c r="C2091">
        <v>2</v>
      </c>
      <c r="D2091" t="s">
        <v>5576</v>
      </c>
      <c r="E2091">
        <v>2</v>
      </c>
      <c r="F2091">
        <v>2</v>
      </c>
      <c r="G2091">
        <v>2</v>
      </c>
      <c r="H2091" t="s">
        <v>5577</v>
      </c>
      <c r="I2091">
        <v>2.1</v>
      </c>
      <c r="J2091">
        <v>134.46</v>
      </c>
      <c r="K2091" t="str">
        <f>"GAK"</f>
        <v>GAK</v>
      </c>
      <c r="L2091" t="str">
        <f>"GAK"</f>
        <v>GAK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</row>
    <row r="2092" spans="1:24">
      <c r="A2092">
        <v>112</v>
      </c>
      <c r="B2092" t="s">
        <v>5578</v>
      </c>
      <c r="C2092">
        <v>4</v>
      </c>
      <c r="D2092" t="s">
        <v>5579</v>
      </c>
      <c r="E2092">
        <v>3</v>
      </c>
      <c r="F2092">
        <v>3</v>
      </c>
      <c r="G2092">
        <v>3</v>
      </c>
      <c r="H2092" t="s">
        <v>5580</v>
      </c>
      <c r="I2092">
        <v>5.3</v>
      </c>
      <c r="J2092">
        <v>96.16</v>
      </c>
      <c r="K2092" t="str">
        <f>"ANKRD28"</f>
        <v>ANKRD28</v>
      </c>
      <c r="L2092" t="str">
        <f>"ANKRD28"</f>
        <v>ANKRD28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</row>
    <row r="2093" spans="1:24">
      <c r="A2093">
        <v>146</v>
      </c>
      <c r="B2093" t="s">
        <v>5581</v>
      </c>
      <c r="C2093">
        <v>4</v>
      </c>
      <c r="D2093" t="s">
        <v>5582</v>
      </c>
      <c r="E2093">
        <v>2</v>
      </c>
      <c r="F2093">
        <v>2</v>
      </c>
      <c r="G2093">
        <v>2</v>
      </c>
      <c r="H2093" t="s">
        <v>5583</v>
      </c>
      <c r="I2093">
        <v>5.3</v>
      </c>
      <c r="J2093">
        <v>53.738999999999997</v>
      </c>
      <c r="K2093" t="str">
        <f>"MAP3K7"</f>
        <v>MAP3K7</v>
      </c>
      <c r="L2093" t="str">
        <f>"MAP3K7"</f>
        <v>MAP3K7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</row>
    <row r="2094" spans="1:24">
      <c r="A2094">
        <v>151</v>
      </c>
      <c r="B2094" t="s">
        <v>5584</v>
      </c>
      <c r="C2094">
        <v>4</v>
      </c>
      <c r="D2094" t="s">
        <v>5585</v>
      </c>
      <c r="E2094">
        <v>1</v>
      </c>
      <c r="F2094">
        <v>1</v>
      </c>
      <c r="G2094">
        <v>1</v>
      </c>
      <c r="H2094" t="s">
        <v>5586</v>
      </c>
      <c r="I2094">
        <v>5.3</v>
      </c>
      <c r="J2094">
        <v>38.493000000000002</v>
      </c>
      <c r="K2094" t="str">
        <f>"HTRA2"</f>
        <v>HTRA2</v>
      </c>
      <c r="L2094" t="str">
        <f>"HTRA2"</f>
        <v>HTRA2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</row>
    <row r="2095" spans="1:24">
      <c r="A2095">
        <v>165</v>
      </c>
      <c r="B2095" t="s">
        <v>5587</v>
      </c>
      <c r="C2095">
        <v>1</v>
      </c>
      <c r="D2095" t="s">
        <v>5588</v>
      </c>
      <c r="E2095">
        <v>1</v>
      </c>
      <c r="F2095">
        <v>1</v>
      </c>
      <c r="G2095">
        <v>1</v>
      </c>
      <c r="H2095" t="s">
        <v>5587</v>
      </c>
      <c r="I2095">
        <v>4.3</v>
      </c>
      <c r="J2095">
        <v>29.175999999999998</v>
      </c>
      <c r="K2095" t="str">
        <f>"STX6"</f>
        <v>STX6</v>
      </c>
      <c r="L2095" t="str">
        <f>"STX6"</f>
        <v>STX6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</row>
    <row r="2096" spans="1:24">
      <c r="A2096">
        <v>197</v>
      </c>
      <c r="B2096" t="s">
        <v>5589</v>
      </c>
      <c r="C2096">
        <v>1</v>
      </c>
      <c r="D2096" t="s">
        <v>5590</v>
      </c>
      <c r="E2096">
        <v>1</v>
      </c>
      <c r="F2096">
        <v>1</v>
      </c>
      <c r="G2096">
        <v>1</v>
      </c>
      <c r="H2096" t="s">
        <v>5589</v>
      </c>
      <c r="I2096">
        <v>3.5</v>
      </c>
      <c r="J2096">
        <v>70.754999999999995</v>
      </c>
      <c r="K2096" t="str">
        <f>"CCDC22"</f>
        <v>CCDC22</v>
      </c>
      <c r="L2096" t="str">
        <f>"CCDC22"</f>
        <v>CCDC22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>
      <c r="A2097">
        <v>215</v>
      </c>
      <c r="B2097" t="s">
        <v>5591</v>
      </c>
      <c r="C2097">
        <v>9</v>
      </c>
      <c r="D2097" t="s">
        <v>5592</v>
      </c>
      <c r="E2097">
        <v>14</v>
      </c>
      <c r="F2097">
        <v>1</v>
      </c>
      <c r="G2097">
        <v>1</v>
      </c>
      <c r="H2097" t="s">
        <v>5593</v>
      </c>
      <c r="I2097">
        <v>4.2</v>
      </c>
      <c r="J2097">
        <v>271.41000000000003</v>
      </c>
      <c r="K2097" t="str">
        <f>"FLNB"</f>
        <v>FLNB</v>
      </c>
      <c r="L2097" t="str">
        <f>"FLNB"</f>
        <v>FLNB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</row>
    <row r="2098" spans="1:24">
      <c r="A2098">
        <v>251</v>
      </c>
      <c r="B2098" t="s">
        <v>5594</v>
      </c>
      <c r="C2098">
        <v>1</v>
      </c>
      <c r="D2098" t="s">
        <v>5595</v>
      </c>
      <c r="E2098">
        <v>1</v>
      </c>
      <c r="F2098">
        <v>1</v>
      </c>
      <c r="G2098">
        <v>1</v>
      </c>
      <c r="H2098" t="s">
        <v>5594</v>
      </c>
      <c r="I2098">
        <v>0.4</v>
      </c>
      <c r="J2098">
        <v>339.59</v>
      </c>
      <c r="K2098" t="str">
        <f>"FRYL"</f>
        <v>FRYL</v>
      </c>
      <c r="L2098" t="str">
        <f>"FRYL"</f>
        <v>FRYL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</row>
    <row r="2099" spans="1:24">
      <c r="A2099">
        <v>270</v>
      </c>
      <c r="B2099" t="s">
        <v>5596</v>
      </c>
      <c r="C2099">
        <v>3</v>
      </c>
      <c r="D2099" t="s">
        <v>5597</v>
      </c>
      <c r="E2099">
        <v>2</v>
      </c>
      <c r="F2099">
        <v>2</v>
      </c>
      <c r="G2099">
        <v>2</v>
      </c>
      <c r="H2099" t="s">
        <v>5598</v>
      </c>
      <c r="I2099">
        <v>1.1000000000000001</v>
      </c>
      <c r="J2099">
        <v>133.63</v>
      </c>
      <c r="K2099" t="str">
        <f>"SEC24B"</f>
        <v>SEC24B</v>
      </c>
      <c r="L2099" t="str">
        <f>"SEC24B"</f>
        <v>SEC24B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</row>
    <row r="2100" spans="1:24">
      <c r="A2100">
        <v>327</v>
      </c>
      <c r="B2100" t="s">
        <v>5599</v>
      </c>
      <c r="C2100">
        <v>1</v>
      </c>
      <c r="D2100" t="s">
        <v>5600</v>
      </c>
      <c r="E2100">
        <v>2</v>
      </c>
      <c r="F2100">
        <v>2</v>
      </c>
      <c r="G2100">
        <v>2</v>
      </c>
      <c r="H2100" t="s">
        <v>5599</v>
      </c>
      <c r="I2100">
        <v>35.700000000000003</v>
      </c>
      <c r="J2100">
        <v>11.006</v>
      </c>
      <c r="K2100" t="str">
        <f>"CSTA"</f>
        <v>CSTA</v>
      </c>
      <c r="L2100" t="str">
        <f>"CSTA"</f>
        <v>CSTA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35588000</v>
      </c>
    </row>
    <row r="2101" spans="1:24">
      <c r="A2101">
        <v>370</v>
      </c>
      <c r="B2101" t="s">
        <v>5601</v>
      </c>
      <c r="C2101">
        <v>1</v>
      </c>
      <c r="D2101" t="s">
        <v>5602</v>
      </c>
      <c r="E2101">
        <v>2</v>
      </c>
      <c r="F2101">
        <v>1</v>
      </c>
      <c r="G2101">
        <v>1</v>
      </c>
      <c r="H2101" t="s">
        <v>5601</v>
      </c>
      <c r="I2101">
        <v>21.3</v>
      </c>
      <c r="J2101">
        <v>12.622</v>
      </c>
      <c r="K2101" t="s">
        <v>3712</v>
      </c>
      <c r="L2101" t="s">
        <v>3712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41364000</v>
      </c>
      <c r="V2101">
        <v>0</v>
      </c>
      <c r="W2101">
        <v>0</v>
      </c>
      <c r="X2101">
        <v>0</v>
      </c>
    </row>
    <row r="2102" spans="1:24">
      <c r="A2102">
        <v>434</v>
      </c>
      <c r="B2102" t="s">
        <v>5603</v>
      </c>
      <c r="C2102">
        <v>1</v>
      </c>
      <c r="D2102" t="s">
        <v>5604</v>
      </c>
      <c r="E2102">
        <v>2</v>
      </c>
      <c r="F2102">
        <v>2</v>
      </c>
      <c r="G2102">
        <v>2</v>
      </c>
      <c r="H2102" t="s">
        <v>5603</v>
      </c>
      <c r="I2102">
        <v>4.0999999999999996</v>
      </c>
      <c r="J2102">
        <v>54.006</v>
      </c>
      <c r="K2102" t="str">
        <f>"MMP1"</f>
        <v>MMP1</v>
      </c>
      <c r="L2102" t="str">
        <f>"MMP1"</f>
        <v>MMP1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</row>
    <row r="2103" spans="1:24">
      <c r="A2103">
        <v>471</v>
      </c>
      <c r="B2103" t="s">
        <v>5605</v>
      </c>
      <c r="C2103">
        <v>3</v>
      </c>
      <c r="D2103" t="s">
        <v>5606</v>
      </c>
      <c r="E2103">
        <v>4</v>
      </c>
      <c r="F2103">
        <v>1</v>
      </c>
      <c r="G2103">
        <v>1</v>
      </c>
      <c r="H2103" t="s">
        <v>5607</v>
      </c>
      <c r="I2103">
        <v>43.1</v>
      </c>
      <c r="J2103">
        <v>14.105</v>
      </c>
      <c r="K2103" t="str">
        <f>"HIST1H2AC;HIST3H2A;HIST1H2AB"</f>
        <v>HIST1H2AC;HIST3H2A;HIST1H2AB</v>
      </c>
      <c r="L2103" t="str">
        <f>"HIST1H2AC;HIST3H2A;HIST1H2AB"</f>
        <v>HIST1H2AC;HIST3H2A;HIST1H2AB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33224000</v>
      </c>
      <c r="V2103">
        <v>0</v>
      </c>
      <c r="W2103">
        <v>0</v>
      </c>
      <c r="X2103">
        <v>0</v>
      </c>
    </row>
    <row r="2104" spans="1:24">
      <c r="A2104">
        <v>484</v>
      </c>
      <c r="B2104" t="s">
        <v>5608</v>
      </c>
      <c r="C2104">
        <v>3</v>
      </c>
      <c r="D2104" t="s">
        <v>5609</v>
      </c>
      <c r="E2104">
        <v>2</v>
      </c>
      <c r="F2104">
        <v>2</v>
      </c>
      <c r="G2104">
        <v>2</v>
      </c>
      <c r="H2104" t="s">
        <v>5610</v>
      </c>
      <c r="I2104">
        <v>3.4</v>
      </c>
      <c r="J2104">
        <v>75.001000000000005</v>
      </c>
      <c r="K2104" t="str">
        <f>"PCCA"</f>
        <v>PCCA</v>
      </c>
      <c r="L2104" t="str">
        <f>"PCCA"</f>
        <v>PCCA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3188100</v>
      </c>
    </row>
    <row r="2105" spans="1:24">
      <c r="A2105">
        <v>499</v>
      </c>
      <c r="B2105" t="s">
        <v>5611</v>
      </c>
      <c r="C2105">
        <v>1</v>
      </c>
      <c r="D2105" t="s">
        <v>5612</v>
      </c>
      <c r="E2105">
        <v>1</v>
      </c>
      <c r="F2105">
        <v>1</v>
      </c>
      <c r="G2105">
        <v>1</v>
      </c>
      <c r="H2105" t="s">
        <v>5611</v>
      </c>
      <c r="I2105">
        <v>11.7</v>
      </c>
      <c r="J2105">
        <v>14.07</v>
      </c>
      <c r="K2105" t="s">
        <v>476</v>
      </c>
      <c r="L2105" t="s">
        <v>476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</row>
    <row r="2106" spans="1:24">
      <c r="A2106">
        <v>524</v>
      </c>
      <c r="B2106" t="s">
        <v>5613</v>
      </c>
      <c r="C2106">
        <v>2</v>
      </c>
      <c r="D2106" t="s">
        <v>5614</v>
      </c>
      <c r="E2106">
        <v>1</v>
      </c>
      <c r="F2106">
        <v>1</v>
      </c>
      <c r="G2106">
        <v>1</v>
      </c>
      <c r="H2106" t="s">
        <v>5615</v>
      </c>
      <c r="I2106">
        <v>2.1</v>
      </c>
      <c r="J2106">
        <v>86.662000000000006</v>
      </c>
      <c r="K2106" t="str">
        <f>"FES"</f>
        <v>FES</v>
      </c>
      <c r="L2106" t="str">
        <f>"FES"</f>
        <v>FES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>
      <c r="A2107">
        <v>536</v>
      </c>
      <c r="B2107" t="s">
        <v>5616</v>
      </c>
      <c r="C2107">
        <v>1</v>
      </c>
      <c r="D2107" t="s">
        <v>5617</v>
      </c>
      <c r="E2107">
        <v>1</v>
      </c>
      <c r="F2107">
        <v>1</v>
      </c>
      <c r="G2107">
        <v>1</v>
      </c>
      <c r="H2107" t="s">
        <v>5616</v>
      </c>
      <c r="I2107">
        <v>7.3</v>
      </c>
      <c r="J2107">
        <v>30.004999999999999</v>
      </c>
      <c r="K2107" t="str">
        <f>"BPGM"</f>
        <v>BPGM</v>
      </c>
      <c r="L2107" t="str">
        <f>"BPGM"</f>
        <v>BPGM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29404000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</row>
    <row r="2108" spans="1:24">
      <c r="A2108">
        <v>553</v>
      </c>
      <c r="B2108" t="s">
        <v>5618</v>
      </c>
      <c r="C2108">
        <v>1</v>
      </c>
      <c r="D2108" t="s">
        <v>5619</v>
      </c>
      <c r="E2108">
        <v>1</v>
      </c>
      <c r="F2108">
        <v>1</v>
      </c>
      <c r="G2108">
        <v>1</v>
      </c>
      <c r="H2108" t="s">
        <v>5618</v>
      </c>
      <c r="I2108">
        <v>5.6</v>
      </c>
      <c r="J2108">
        <v>28.518000000000001</v>
      </c>
      <c r="K2108" t="str">
        <f>"ELANE"</f>
        <v>ELANE</v>
      </c>
      <c r="L2108" t="str">
        <f>"ELANE"</f>
        <v>ELANE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>
      <c r="A2109">
        <v>567</v>
      </c>
      <c r="B2109" t="s">
        <v>5620</v>
      </c>
      <c r="C2109">
        <v>1</v>
      </c>
      <c r="D2109" t="s">
        <v>5621</v>
      </c>
      <c r="E2109">
        <v>8</v>
      </c>
      <c r="F2109">
        <v>2</v>
      </c>
      <c r="G2109">
        <v>2</v>
      </c>
      <c r="H2109" t="s">
        <v>5620</v>
      </c>
      <c r="I2109">
        <v>22.6</v>
      </c>
      <c r="J2109">
        <v>40.531999999999996</v>
      </c>
      <c r="K2109" t="str">
        <f>"GNAI3"</f>
        <v>GNAI3</v>
      </c>
      <c r="L2109" t="str">
        <f>"GNAI3"</f>
        <v>GNAI3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18038000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</row>
    <row r="2110" spans="1:24">
      <c r="A2110">
        <v>573</v>
      </c>
      <c r="B2110" t="s">
        <v>5622</v>
      </c>
      <c r="C2110">
        <v>1</v>
      </c>
      <c r="D2110" t="s">
        <v>5623</v>
      </c>
      <c r="E2110">
        <v>1</v>
      </c>
      <c r="F2110">
        <v>1</v>
      </c>
      <c r="G2110">
        <v>1</v>
      </c>
      <c r="H2110" t="s">
        <v>5622</v>
      </c>
      <c r="I2110">
        <v>2.9</v>
      </c>
      <c r="J2110">
        <v>69.063999999999993</v>
      </c>
      <c r="K2110" t="str">
        <f>"DBH"</f>
        <v>DBH</v>
      </c>
      <c r="L2110" t="str">
        <f>"DBH"</f>
        <v>DBH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</row>
    <row r="2111" spans="1:24">
      <c r="A2111">
        <v>604</v>
      </c>
      <c r="B2111" t="s">
        <v>5624</v>
      </c>
      <c r="C2111">
        <v>1</v>
      </c>
      <c r="D2111" t="s">
        <v>5625</v>
      </c>
      <c r="E2111">
        <v>3</v>
      </c>
      <c r="F2111">
        <v>2</v>
      </c>
      <c r="G2111">
        <v>2</v>
      </c>
      <c r="H2111" t="s">
        <v>5624</v>
      </c>
      <c r="I2111">
        <v>24.6</v>
      </c>
      <c r="J2111">
        <v>13.526999999999999</v>
      </c>
      <c r="K2111" t="str">
        <f>"SAA2"</f>
        <v>SAA2</v>
      </c>
      <c r="L2111" t="str">
        <f>"SAA2"</f>
        <v>SAA2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349890000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>
      <c r="A2112">
        <v>669</v>
      </c>
      <c r="B2112" t="s">
        <v>5626</v>
      </c>
      <c r="C2112">
        <v>2</v>
      </c>
      <c r="D2112" t="s">
        <v>5627</v>
      </c>
      <c r="E2112">
        <v>1</v>
      </c>
      <c r="F2112">
        <v>1</v>
      </c>
      <c r="G2112">
        <v>1</v>
      </c>
      <c r="H2112" t="s">
        <v>5628</v>
      </c>
      <c r="I2112">
        <v>6.6</v>
      </c>
      <c r="J2112">
        <v>23.901</v>
      </c>
      <c r="K2112" t="str">
        <f>"PRG2"</f>
        <v>PRG2</v>
      </c>
      <c r="L2112" t="str">
        <f>"PRG2"</f>
        <v>PRG2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</row>
    <row r="2113" spans="1:24">
      <c r="A2113">
        <v>690</v>
      </c>
      <c r="B2113" t="s">
        <v>5629</v>
      </c>
      <c r="C2113">
        <v>1</v>
      </c>
      <c r="D2113" t="s">
        <v>5630</v>
      </c>
      <c r="E2113">
        <v>3</v>
      </c>
      <c r="F2113">
        <v>1</v>
      </c>
      <c r="G2113">
        <v>1</v>
      </c>
      <c r="H2113" t="s">
        <v>5629</v>
      </c>
      <c r="I2113">
        <v>15.4</v>
      </c>
      <c r="J2113">
        <v>22.763999999999999</v>
      </c>
      <c r="K2113" t="str">
        <f>"MYL6B"</f>
        <v>MYL6B</v>
      </c>
      <c r="L2113" t="str">
        <f>"MYL6B"</f>
        <v>MYL6B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24512000</v>
      </c>
    </row>
    <row r="2114" spans="1:24">
      <c r="A2114">
        <v>695</v>
      </c>
      <c r="B2114" t="s">
        <v>5631</v>
      </c>
      <c r="C2114">
        <v>2</v>
      </c>
      <c r="D2114" t="s">
        <v>5632</v>
      </c>
      <c r="E2114">
        <v>2</v>
      </c>
      <c r="F2114">
        <v>2</v>
      </c>
      <c r="G2114">
        <v>2</v>
      </c>
      <c r="H2114" t="s">
        <v>5633</v>
      </c>
      <c r="I2114">
        <v>25.2</v>
      </c>
      <c r="J2114">
        <v>13.53</v>
      </c>
      <c r="K2114" t="str">
        <f>"UQCRB"</f>
        <v>UQCRB</v>
      </c>
      <c r="L2114" t="str">
        <f>"UQCRB"</f>
        <v>UQCRB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63472000</v>
      </c>
      <c r="T2114">
        <v>0</v>
      </c>
      <c r="U2114">
        <v>0</v>
      </c>
      <c r="V2114">
        <v>0</v>
      </c>
      <c r="W2114">
        <v>0</v>
      </c>
      <c r="X2114">
        <v>0</v>
      </c>
    </row>
    <row r="2115" spans="1:24">
      <c r="A2115">
        <v>701</v>
      </c>
      <c r="B2115" t="s">
        <v>5634</v>
      </c>
      <c r="C2115">
        <v>2</v>
      </c>
      <c r="D2115" t="s">
        <v>5635</v>
      </c>
      <c r="E2115">
        <v>1</v>
      </c>
      <c r="F2115">
        <v>1</v>
      </c>
      <c r="G2115">
        <v>1</v>
      </c>
      <c r="H2115" t="s">
        <v>5636</v>
      </c>
      <c r="I2115">
        <v>3.1</v>
      </c>
      <c r="J2115">
        <v>42.536999999999999</v>
      </c>
      <c r="K2115" t="str">
        <f>"B4GALT1"</f>
        <v>B4GALT1</v>
      </c>
      <c r="L2115" t="str">
        <f>"B4GALT1"</f>
        <v>B4GALT1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</row>
    <row r="2116" spans="1:24">
      <c r="A2116">
        <v>707</v>
      </c>
      <c r="B2116" t="s">
        <v>5637</v>
      </c>
      <c r="C2116">
        <v>1</v>
      </c>
      <c r="D2116" t="s">
        <v>5638</v>
      </c>
      <c r="E2116">
        <v>2</v>
      </c>
      <c r="F2116">
        <v>2</v>
      </c>
      <c r="G2116">
        <v>2</v>
      </c>
      <c r="H2116" t="s">
        <v>5637</v>
      </c>
      <c r="I2116">
        <v>6.5</v>
      </c>
      <c r="J2116">
        <v>31.324000000000002</v>
      </c>
      <c r="K2116" t="str">
        <f>"RPS2"</f>
        <v>RPS2</v>
      </c>
      <c r="L2116" t="str">
        <f>"RPS2"</f>
        <v>RPS2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</row>
    <row r="2117" spans="1:24">
      <c r="A2117">
        <v>745</v>
      </c>
      <c r="B2117" t="s">
        <v>5639</v>
      </c>
      <c r="C2117">
        <v>1</v>
      </c>
      <c r="D2117" t="s">
        <v>5640</v>
      </c>
      <c r="E2117">
        <v>2</v>
      </c>
      <c r="F2117">
        <v>2</v>
      </c>
      <c r="G2117">
        <v>2</v>
      </c>
      <c r="H2117" t="s">
        <v>5639</v>
      </c>
      <c r="I2117">
        <v>2.7</v>
      </c>
      <c r="J2117">
        <v>76.613</v>
      </c>
      <c r="K2117" t="str">
        <f>"NCL"</f>
        <v>NCL</v>
      </c>
      <c r="L2117" t="str">
        <f>"NCL"</f>
        <v>NCL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43388000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</row>
    <row r="2118" spans="1:24">
      <c r="A2118">
        <v>790</v>
      </c>
      <c r="B2118" t="s">
        <v>5641</v>
      </c>
      <c r="C2118">
        <v>9</v>
      </c>
      <c r="D2118" t="s">
        <v>5642</v>
      </c>
      <c r="E2118">
        <v>17</v>
      </c>
      <c r="F2118">
        <v>1</v>
      </c>
      <c r="G2118">
        <v>1</v>
      </c>
      <c r="H2118" t="s">
        <v>5643</v>
      </c>
      <c r="I2118">
        <v>35</v>
      </c>
      <c r="J2118">
        <v>40.622</v>
      </c>
      <c r="K2118" t="str">
        <f>"PRKACB"</f>
        <v>PRKACB</v>
      </c>
      <c r="L2118" t="str">
        <f>"PRKACB"</f>
        <v>PRKACB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</row>
    <row r="2119" spans="1:24">
      <c r="A2119">
        <v>811</v>
      </c>
      <c r="B2119" t="s">
        <v>5644</v>
      </c>
      <c r="C2119">
        <v>1</v>
      </c>
      <c r="D2119" t="s">
        <v>5645</v>
      </c>
      <c r="E2119">
        <v>2</v>
      </c>
      <c r="F2119">
        <v>2</v>
      </c>
      <c r="G2119">
        <v>2</v>
      </c>
      <c r="H2119" t="s">
        <v>5644</v>
      </c>
      <c r="I2119">
        <v>3.9</v>
      </c>
      <c r="J2119">
        <v>82.629000000000005</v>
      </c>
      <c r="K2119" t="str">
        <f>"DGKA"</f>
        <v>DGKA</v>
      </c>
      <c r="L2119" t="str">
        <f>"DGKA"</f>
        <v>DGKA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</row>
    <row r="2120" spans="1:24">
      <c r="A2120">
        <v>836</v>
      </c>
      <c r="B2120" t="s">
        <v>5646</v>
      </c>
      <c r="C2120">
        <v>1</v>
      </c>
      <c r="D2120" t="s">
        <v>5647</v>
      </c>
      <c r="E2120">
        <v>3</v>
      </c>
      <c r="F2120">
        <v>2</v>
      </c>
      <c r="G2120">
        <v>2</v>
      </c>
      <c r="H2120" t="s">
        <v>5646</v>
      </c>
      <c r="I2120">
        <v>17.2</v>
      </c>
      <c r="J2120">
        <v>24.033000000000001</v>
      </c>
      <c r="K2120" t="str">
        <f>"HMGB2"</f>
        <v>HMGB2</v>
      </c>
      <c r="L2120" t="str">
        <f>"HMGB2"</f>
        <v>HMGB2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14643000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>
      <c r="A2121">
        <v>848</v>
      </c>
      <c r="B2121" t="s">
        <v>5648</v>
      </c>
      <c r="C2121">
        <v>1</v>
      </c>
      <c r="D2121" t="s">
        <v>5649</v>
      </c>
      <c r="E2121">
        <v>1</v>
      </c>
      <c r="F2121">
        <v>1</v>
      </c>
      <c r="G2121">
        <v>1</v>
      </c>
      <c r="H2121" t="s">
        <v>5648</v>
      </c>
      <c r="I2121">
        <v>6</v>
      </c>
      <c r="J2121">
        <v>35.554000000000002</v>
      </c>
      <c r="K2121" t="str">
        <f>"APEX1"</f>
        <v>APEX1</v>
      </c>
      <c r="L2121" t="str">
        <f>"APEX1"</f>
        <v>APEX1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</row>
    <row r="2122" spans="1:24">
      <c r="A2122">
        <v>862</v>
      </c>
      <c r="B2122" t="s">
        <v>5650</v>
      </c>
      <c r="C2122">
        <v>2</v>
      </c>
      <c r="D2122" t="s">
        <v>5651</v>
      </c>
      <c r="E2122">
        <v>4</v>
      </c>
      <c r="F2122">
        <v>4</v>
      </c>
      <c r="G2122">
        <v>4</v>
      </c>
      <c r="H2122" t="s">
        <v>5652</v>
      </c>
      <c r="I2122">
        <v>7.7</v>
      </c>
      <c r="J2122">
        <v>75.474999999999994</v>
      </c>
      <c r="K2122" t="str">
        <f>"ABCD3"</f>
        <v>ABCD3</v>
      </c>
      <c r="L2122" t="str">
        <f>"ABCD3"</f>
        <v>ABCD3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>
      <c r="A2123">
        <v>875</v>
      </c>
      <c r="B2123" t="s">
        <v>5653</v>
      </c>
      <c r="C2123">
        <v>1</v>
      </c>
      <c r="D2123" t="s">
        <v>5654</v>
      </c>
      <c r="E2123">
        <v>2</v>
      </c>
      <c r="F2123">
        <v>2</v>
      </c>
      <c r="G2123">
        <v>2</v>
      </c>
      <c r="H2123" t="s">
        <v>5653</v>
      </c>
      <c r="I2123">
        <v>7.3</v>
      </c>
      <c r="J2123">
        <v>29.273</v>
      </c>
      <c r="K2123" t="str">
        <f>"CD40LG"</f>
        <v>CD40LG</v>
      </c>
      <c r="L2123" t="str">
        <f>"CD40LG"</f>
        <v>CD40LG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</row>
    <row r="2124" spans="1:24">
      <c r="A2124">
        <v>898</v>
      </c>
      <c r="B2124" t="s">
        <v>5655</v>
      </c>
      <c r="C2124">
        <v>1</v>
      </c>
      <c r="D2124" t="s">
        <v>5656</v>
      </c>
      <c r="E2124">
        <v>19</v>
      </c>
      <c r="F2124">
        <v>2</v>
      </c>
      <c r="G2124">
        <v>2</v>
      </c>
      <c r="H2124" t="s">
        <v>5655</v>
      </c>
      <c r="I2124">
        <v>53</v>
      </c>
      <c r="J2124">
        <v>40.33</v>
      </c>
      <c r="K2124" t="str">
        <f>"HLA-B"</f>
        <v>HLA-B</v>
      </c>
      <c r="L2124" t="str">
        <f>"HLA-B"</f>
        <v>HLA-B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>
      <c r="A2125">
        <v>921</v>
      </c>
      <c r="B2125" t="s">
        <v>5657</v>
      </c>
      <c r="C2125">
        <v>1</v>
      </c>
      <c r="D2125" t="s">
        <v>5658</v>
      </c>
      <c r="E2125">
        <v>7</v>
      </c>
      <c r="F2125">
        <v>2</v>
      </c>
      <c r="G2125">
        <v>2</v>
      </c>
      <c r="H2125" t="s">
        <v>5657</v>
      </c>
      <c r="I2125">
        <v>14.7</v>
      </c>
      <c r="J2125">
        <v>43.072000000000003</v>
      </c>
      <c r="K2125" t="str">
        <f>"PRKAR1B"</f>
        <v>PRKAR1B</v>
      </c>
      <c r="L2125" t="str">
        <f>"PRKAR1B"</f>
        <v>PRKAR1B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>
      <c r="A2126">
        <v>935</v>
      </c>
      <c r="B2126" t="s">
        <v>5659</v>
      </c>
      <c r="C2126">
        <v>1</v>
      </c>
      <c r="D2126" t="s">
        <v>5660</v>
      </c>
      <c r="E2126">
        <v>1</v>
      </c>
      <c r="F2126">
        <v>1</v>
      </c>
      <c r="G2126">
        <v>1</v>
      </c>
      <c r="H2126" t="s">
        <v>5659</v>
      </c>
      <c r="I2126">
        <v>8.6</v>
      </c>
      <c r="J2126">
        <v>11.74</v>
      </c>
      <c r="K2126" t="str">
        <f>"S100A11"</f>
        <v>S100A11</v>
      </c>
      <c r="L2126" t="str">
        <f>"S100A11"</f>
        <v>S100A11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4480700</v>
      </c>
      <c r="X2126">
        <v>0</v>
      </c>
    </row>
    <row r="2127" spans="1:24">
      <c r="A2127">
        <v>1016</v>
      </c>
      <c r="B2127" t="s">
        <v>5661</v>
      </c>
      <c r="C2127">
        <v>4</v>
      </c>
      <c r="D2127" t="s">
        <v>5662</v>
      </c>
      <c r="E2127">
        <v>2</v>
      </c>
      <c r="F2127">
        <v>2</v>
      </c>
      <c r="G2127">
        <v>2</v>
      </c>
      <c r="H2127" t="s">
        <v>5663</v>
      </c>
      <c r="I2127">
        <v>11.3</v>
      </c>
      <c r="J2127">
        <v>38.737000000000002</v>
      </c>
      <c r="K2127" t="str">
        <f>"TMPO"</f>
        <v>TMPO</v>
      </c>
      <c r="L2127" t="str">
        <f>"TMPO"</f>
        <v>TMPO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>
      <c r="A2128">
        <v>1020</v>
      </c>
      <c r="B2128" t="s">
        <v>5664</v>
      </c>
      <c r="C2128">
        <v>4</v>
      </c>
      <c r="D2128" t="s">
        <v>5665</v>
      </c>
      <c r="E2128">
        <v>2</v>
      </c>
      <c r="F2128">
        <v>2</v>
      </c>
      <c r="G2128">
        <v>2</v>
      </c>
      <c r="H2128" t="s">
        <v>5666</v>
      </c>
      <c r="I2128">
        <v>3</v>
      </c>
      <c r="J2128">
        <v>93.774000000000001</v>
      </c>
      <c r="K2128" t="str">
        <f>"GRIA2"</f>
        <v>GRIA2</v>
      </c>
      <c r="L2128" t="str">
        <f>"GRIA2"</f>
        <v>GRIA2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</row>
    <row r="2129" spans="1:24">
      <c r="A2129">
        <v>1045</v>
      </c>
      <c r="B2129" t="s">
        <v>5667</v>
      </c>
      <c r="C2129">
        <v>2</v>
      </c>
      <c r="D2129" t="s">
        <v>5668</v>
      </c>
      <c r="E2129">
        <v>2</v>
      </c>
      <c r="F2129">
        <v>2</v>
      </c>
      <c r="G2129">
        <v>2</v>
      </c>
      <c r="H2129" t="s">
        <v>5669</v>
      </c>
      <c r="I2129">
        <v>5</v>
      </c>
      <c r="J2129">
        <v>44.286999999999999</v>
      </c>
      <c r="K2129" t="str">
        <f>"MAP2K4"</f>
        <v>MAP2K4</v>
      </c>
      <c r="L2129" t="str">
        <f>"MAP2K4"</f>
        <v>MAP2K4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</row>
    <row r="2130" spans="1:24">
      <c r="A2130">
        <v>1053</v>
      </c>
      <c r="B2130" t="s">
        <v>5670</v>
      </c>
      <c r="C2130">
        <v>1</v>
      </c>
      <c r="D2130" t="s">
        <v>5671</v>
      </c>
      <c r="E2130">
        <v>5</v>
      </c>
      <c r="F2130">
        <v>3</v>
      </c>
      <c r="G2130">
        <v>3</v>
      </c>
      <c r="H2130" t="s">
        <v>5670</v>
      </c>
      <c r="I2130">
        <v>4.5999999999999996</v>
      </c>
      <c r="J2130">
        <v>189.25</v>
      </c>
      <c r="K2130" t="str">
        <f>"IQGAP1"</f>
        <v>IQGAP1</v>
      </c>
      <c r="L2130" t="str">
        <f>"IQGAP1"</f>
        <v>IQGAP1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31205000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</row>
    <row r="2131" spans="1:24">
      <c r="A2131">
        <v>1094</v>
      </c>
      <c r="B2131" t="s">
        <v>5672</v>
      </c>
      <c r="C2131">
        <v>3</v>
      </c>
      <c r="D2131" t="s">
        <v>5673</v>
      </c>
      <c r="E2131">
        <v>1</v>
      </c>
      <c r="F2131">
        <v>1</v>
      </c>
      <c r="G2131">
        <v>1</v>
      </c>
      <c r="H2131" t="s">
        <v>5674</v>
      </c>
      <c r="I2131">
        <v>2.4</v>
      </c>
      <c r="J2131">
        <v>91.058000000000007</v>
      </c>
      <c r="K2131" t="str">
        <f>"MAN2A2"</f>
        <v>MAN2A2</v>
      </c>
      <c r="L2131" t="str">
        <f>"MAN2A2"</f>
        <v>MAN2A2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>
      <c r="A2132">
        <v>1107</v>
      </c>
      <c r="B2132" t="s">
        <v>5675</v>
      </c>
      <c r="C2132">
        <v>2</v>
      </c>
      <c r="D2132" t="s">
        <v>5676</v>
      </c>
      <c r="E2132">
        <v>1</v>
      </c>
      <c r="F2132">
        <v>1</v>
      </c>
      <c r="G2132">
        <v>1</v>
      </c>
      <c r="H2132" t="s">
        <v>5677</v>
      </c>
      <c r="I2132">
        <v>3.4</v>
      </c>
      <c r="J2132">
        <v>65.927999999999997</v>
      </c>
      <c r="K2132" t="str">
        <f>"GMPS"</f>
        <v>GMPS</v>
      </c>
      <c r="L2132" t="str">
        <f>"GMPS"</f>
        <v>GMPS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25955000</v>
      </c>
      <c r="W2132">
        <v>0</v>
      </c>
      <c r="X2132">
        <v>0</v>
      </c>
    </row>
    <row r="2133" spans="1:24">
      <c r="A2133">
        <v>1145</v>
      </c>
      <c r="B2133" t="s">
        <v>5678</v>
      </c>
      <c r="C2133">
        <v>1</v>
      </c>
      <c r="D2133" t="s">
        <v>5679</v>
      </c>
      <c r="E2133">
        <v>2</v>
      </c>
      <c r="F2133">
        <v>2</v>
      </c>
      <c r="G2133">
        <v>2</v>
      </c>
      <c r="H2133" t="s">
        <v>5678</v>
      </c>
      <c r="I2133">
        <v>14.5</v>
      </c>
      <c r="J2133">
        <v>20.105</v>
      </c>
      <c r="K2133" t="str">
        <f>"NDUFA8"</f>
        <v>NDUFA8</v>
      </c>
      <c r="L2133" t="str">
        <f>"NDUFA8"</f>
        <v>NDUFA8</v>
      </c>
      <c r="M2133">
        <v>0</v>
      </c>
      <c r="N2133">
        <v>0</v>
      </c>
      <c r="O2133">
        <v>0</v>
      </c>
      <c r="P2133">
        <v>15758000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</row>
    <row r="2134" spans="1:24">
      <c r="A2134">
        <v>1148</v>
      </c>
      <c r="B2134" t="s">
        <v>5680</v>
      </c>
      <c r="C2134">
        <v>2</v>
      </c>
      <c r="D2134" t="s">
        <v>5681</v>
      </c>
      <c r="E2134">
        <v>2</v>
      </c>
      <c r="F2134">
        <v>2</v>
      </c>
      <c r="G2134">
        <v>2</v>
      </c>
      <c r="H2134" t="s">
        <v>5682</v>
      </c>
      <c r="I2134">
        <v>4.2</v>
      </c>
      <c r="J2134">
        <v>73.62</v>
      </c>
      <c r="K2134" t="str">
        <f>"HNRNPM"</f>
        <v>HNRNPM</v>
      </c>
      <c r="L2134" t="str">
        <f>"HNRNPM"</f>
        <v>HNRNPM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16818000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</row>
    <row r="2135" spans="1:24">
      <c r="A2135">
        <v>1170</v>
      </c>
      <c r="B2135" t="s">
        <v>5683</v>
      </c>
      <c r="C2135">
        <v>4</v>
      </c>
      <c r="D2135" t="s">
        <v>5684</v>
      </c>
      <c r="E2135">
        <v>4</v>
      </c>
      <c r="F2135">
        <v>4</v>
      </c>
      <c r="G2135">
        <v>4</v>
      </c>
      <c r="H2135" t="s">
        <v>5685</v>
      </c>
      <c r="I2135">
        <v>5.0999999999999996</v>
      </c>
      <c r="J2135">
        <v>98.918000000000006</v>
      </c>
      <c r="K2135" t="str">
        <f>"SMTN"</f>
        <v>SMTN</v>
      </c>
      <c r="L2135" t="str">
        <f>"SMTN"</f>
        <v>SMTN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>
      <c r="A2136">
        <v>1181</v>
      </c>
      <c r="B2136" t="s">
        <v>5686</v>
      </c>
      <c r="C2136">
        <v>1</v>
      </c>
      <c r="D2136" t="s">
        <v>5687</v>
      </c>
      <c r="E2136">
        <v>3</v>
      </c>
      <c r="F2136">
        <v>3</v>
      </c>
      <c r="G2136">
        <v>3</v>
      </c>
      <c r="H2136" t="s">
        <v>5686</v>
      </c>
      <c r="I2136">
        <v>8.1</v>
      </c>
      <c r="J2136">
        <v>39.506</v>
      </c>
      <c r="K2136" t="str">
        <f>"ADPRH"</f>
        <v>ADPRH</v>
      </c>
      <c r="L2136" t="str">
        <f>"ADPRH"</f>
        <v>ADPRH</v>
      </c>
      <c r="M2136">
        <v>0</v>
      </c>
      <c r="N2136">
        <v>26313000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>
      <c r="A2137">
        <v>1196</v>
      </c>
      <c r="B2137" t="s">
        <v>5688</v>
      </c>
      <c r="C2137">
        <v>4</v>
      </c>
      <c r="D2137" t="s">
        <v>5689</v>
      </c>
      <c r="E2137">
        <v>2</v>
      </c>
      <c r="F2137">
        <v>2</v>
      </c>
      <c r="G2137">
        <v>2</v>
      </c>
      <c r="H2137" t="s">
        <v>5690</v>
      </c>
      <c r="I2137">
        <v>6.2</v>
      </c>
      <c r="J2137">
        <v>34.084000000000003</v>
      </c>
      <c r="K2137" t="str">
        <f>"ADK"</f>
        <v>ADK</v>
      </c>
      <c r="L2137" t="str">
        <f>"ADK"</f>
        <v>ADK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</row>
    <row r="2138" spans="1:24">
      <c r="A2138">
        <v>1206</v>
      </c>
      <c r="B2138" t="s">
        <v>5691</v>
      </c>
      <c r="C2138">
        <v>1</v>
      </c>
      <c r="D2138" t="s">
        <v>5692</v>
      </c>
      <c r="E2138">
        <v>2</v>
      </c>
      <c r="F2138">
        <v>2</v>
      </c>
      <c r="G2138">
        <v>2</v>
      </c>
      <c r="H2138" t="s">
        <v>5691</v>
      </c>
      <c r="I2138">
        <v>5.3</v>
      </c>
      <c r="J2138">
        <v>57.646999999999998</v>
      </c>
      <c r="K2138" t="str">
        <f>"SLC37A1"</f>
        <v>SLC37A1</v>
      </c>
      <c r="L2138" t="str">
        <f>"SLC37A1"</f>
        <v>SLC37A1</v>
      </c>
      <c r="M2138">
        <v>0</v>
      </c>
      <c r="N2138">
        <v>0</v>
      </c>
      <c r="O2138">
        <v>14477000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</row>
    <row r="2139" spans="1:24">
      <c r="A2139">
        <v>1208</v>
      </c>
      <c r="B2139" t="s">
        <v>5693</v>
      </c>
      <c r="C2139">
        <v>4</v>
      </c>
      <c r="D2139" t="s">
        <v>5694</v>
      </c>
      <c r="E2139">
        <v>2</v>
      </c>
      <c r="F2139">
        <v>2</v>
      </c>
      <c r="G2139">
        <v>2</v>
      </c>
      <c r="H2139" t="s">
        <v>5695</v>
      </c>
      <c r="I2139">
        <v>3.6</v>
      </c>
      <c r="J2139">
        <v>91.653999999999996</v>
      </c>
      <c r="K2139" t="str">
        <f>"CORO7"</f>
        <v>CORO7</v>
      </c>
      <c r="L2139" t="str">
        <f>"CORO7"</f>
        <v>CORO7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</row>
    <row r="2140" spans="1:24">
      <c r="A2140">
        <v>1247</v>
      </c>
      <c r="B2140" t="s">
        <v>5696</v>
      </c>
      <c r="C2140">
        <v>1</v>
      </c>
      <c r="D2140" t="s">
        <v>5697</v>
      </c>
      <c r="E2140">
        <v>1</v>
      </c>
      <c r="F2140">
        <v>1</v>
      </c>
      <c r="G2140">
        <v>1</v>
      </c>
      <c r="H2140" t="s">
        <v>5696</v>
      </c>
      <c r="I2140">
        <v>4.2</v>
      </c>
      <c r="J2140">
        <v>52.264000000000003</v>
      </c>
      <c r="K2140" t="str">
        <f>"SEC61A1"</f>
        <v>SEC61A1</v>
      </c>
      <c r="L2140" t="str">
        <f>"SEC61A1"</f>
        <v>SEC61A1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>
      <c r="A2141">
        <v>1294</v>
      </c>
      <c r="B2141" t="s">
        <v>5698</v>
      </c>
      <c r="C2141">
        <v>2</v>
      </c>
      <c r="D2141" t="s">
        <v>5699</v>
      </c>
      <c r="E2141">
        <v>11</v>
      </c>
      <c r="F2141">
        <v>1</v>
      </c>
      <c r="G2141">
        <v>1</v>
      </c>
      <c r="H2141" t="s">
        <v>5700</v>
      </c>
      <c r="I2141">
        <v>49.2</v>
      </c>
      <c r="J2141">
        <v>35.594000000000001</v>
      </c>
      <c r="K2141" t="str">
        <f>"PPP2CA"</f>
        <v>PPP2CA</v>
      </c>
      <c r="L2141" t="str">
        <f>"PPP2CA"</f>
        <v>PPP2CA</v>
      </c>
      <c r="M2141">
        <v>0</v>
      </c>
      <c r="N2141">
        <v>0</v>
      </c>
      <c r="O2141">
        <v>52704000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>
      <c r="A2142">
        <v>1320</v>
      </c>
      <c r="B2142" t="s">
        <v>5701</v>
      </c>
      <c r="C2142">
        <v>1</v>
      </c>
      <c r="D2142" t="s">
        <v>5702</v>
      </c>
      <c r="E2142">
        <v>1</v>
      </c>
      <c r="F2142">
        <v>1</v>
      </c>
      <c r="G2142">
        <v>1</v>
      </c>
      <c r="H2142" t="s">
        <v>5701</v>
      </c>
      <c r="I2142">
        <v>9.3000000000000007</v>
      </c>
      <c r="J2142">
        <v>13.087</v>
      </c>
      <c r="K2142" t="s">
        <v>890</v>
      </c>
      <c r="L2142" t="s">
        <v>890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26287000</v>
      </c>
      <c r="X2142">
        <v>0</v>
      </c>
    </row>
    <row r="2143" spans="1:24">
      <c r="A2143">
        <v>1327</v>
      </c>
      <c r="B2143" t="s">
        <v>5703</v>
      </c>
      <c r="C2143">
        <v>2</v>
      </c>
      <c r="D2143" t="s">
        <v>5704</v>
      </c>
      <c r="E2143">
        <v>2</v>
      </c>
      <c r="F2143">
        <v>2</v>
      </c>
      <c r="G2143">
        <v>2</v>
      </c>
      <c r="H2143" t="s">
        <v>5705</v>
      </c>
      <c r="I2143">
        <v>2.5</v>
      </c>
      <c r="J2143">
        <v>105.02</v>
      </c>
      <c r="K2143" t="str">
        <f>"ARHGAP4"</f>
        <v>ARHGAP4</v>
      </c>
      <c r="L2143" t="str">
        <f>"ARHGAP4"</f>
        <v>ARHGAP4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</row>
    <row r="2144" spans="1:24">
      <c r="A2144">
        <v>1397</v>
      </c>
      <c r="B2144" t="s">
        <v>5706</v>
      </c>
      <c r="C2144">
        <v>1</v>
      </c>
      <c r="D2144" t="s">
        <v>5707</v>
      </c>
      <c r="E2144">
        <v>2</v>
      </c>
      <c r="F2144">
        <v>2</v>
      </c>
      <c r="G2144">
        <v>2</v>
      </c>
      <c r="H2144" t="s">
        <v>5706</v>
      </c>
      <c r="I2144">
        <v>5.4</v>
      </c>
      <c r="J2144">
        <v>36.378999999999998</v>
      </c>
      <c r="K2144" t="str">
        <f>"FGL1"</f>
        <v>FGL1</v>
      </c>
      <c r="L2144" t="str">
        <f>"FGL1"</f>
        <v>FGL1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14964000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</row>
    <row r="2145" spans="1:24">
      <c r="A2145">
        <v>1398</v>
      </c>
      <c r="B2145" t="s">
        <v>5708</v>
      </c>
      <c r="C2145">
        <v>2</v>
      </c>
      <c r="D2145" t="s">
        <v>5709</v>
      </c>
      <c r="E2145">
        <v>2</v>
      </c>
      <c r="F2145">
        <v>2</v>
      </c>
      <c r="G2145">
        <v>2</v>
      </c>
      <c r="H2145" t="s">
        <v>5710</v>
      </c>
      <c r="I2145">
        <v>4.2</v>
      </c>
      <c r="J2145">
        <v>87.971999999999994</v>
      </c>
      <c r="K2145" t="str">
        <f>"VAC14"</f>
        <v>VAC14</v>
      </c>
      <c r="L2145" t="str">
        <f>"VAC14"</f>
        <v>VAC14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23475000</v>
      </c>
    </row>
    <row r="2146" spans="1:24">
      <c r="A2146">
        <v>1402</v>
      </c>
      <c r="B2146" t="s">
        <v>5711</v>
      </c>
      <c r="C2146">
        <v>1</v>
      </c>
      <c r="D2146" t="s">
        <v>5712</v>
      </c>
      <c r="E2146">
        <v>30</v>
      </c>
      <c r="F2146">
        <v>1</v>
      </c>
      <c r="G2146">
        <v>1</v>
      </c>
      <c r="H2146" t="s">
        <v>5711</v>
      </c>
      <c r="I2146">
        <v>38.200000000000003</v>
      </c>
      <c r="J2146">
        <v>79.361000000000004</v>
      </c>
      <c r="K2146" t="str">
        <f>"NEXN"</f>
        <v>NEXN</v>
      </c>
      <c r="L2146" t="str">
        <f>"NEXN"</f>
        <v>NEXN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</row>
    <row r="2147" spans="1:24">
      <c r="A2147">
        <v>1429</v>
      </c>
      <c r="B2147" t="s">
        <v>5713</v>
      </c>
      <c r="C2147">
        <v>2</v>
      </c>
      <c r="D2147" t="s">
        <v>5714</v>
      </c>
      <c r="E2147">
        <v>3</v>
      </c>
      <c r="F2147">
        <v>3</v>
      </c>
      <c r="G2147">
        <v>3</v>
      </c>
      <c r="H2147" t="s">
        <v>5715</v>
      </c>
      <c r="I2147">
        <v>9.4</v>
      </c>
      <c r="J2147">
        <v>44.738999999999997</v>
      </c>
      <c r="K2147" t="str">
        <f>"TARDBP"</f>
        <v>TARDBP</v>
      </c>
      <c r="L2147" t="str">
        <f>"TARDBP"</f>
        <v>TARDBP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>
      <c r="A2148">
        <v>1480</v>
      </c>
      <c r="B2148" t="s">
        <v>5716</v>
      </c>
      <c r="C2148">
        <v>1</v>
      </c>
      <c r="D2148" t="s">
        <v>5717</v>
      </c>
      <c r="E2148">
        <v>1</v>
      </c>
      <c r="F2148">
        <v>1</v>
      </c>
      <c r="G2148">
        <v>1</v>
      </c>
      <c r="H2148" t="s">
        <v>5716</v>
      </c>
      <c r="I2148">
        <v>1.7</v>
      </c>
      <c r="J2148">
        <v>97.44</v>
      </c>
      <c r="K2148" t="str">
        <f>"DAG1"</f>
        <v>DAG1</v>
      </c>
      <c r="L2148" t="str">
        <f>"DAG1"</f>
        <v>DAG1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80687000</v>
      </c>
      <c r="W2148">
        <v>0</v>
      </c>
      <c r="X2148">
        <v>0</v>
      </c>
    </row>
    <row r="2149" spans="1:24">
      <c r="A2149">
        <v>1484</v>
      </c>
      <c r="B2149" t="s">
        <v>5718</v>
      </c>
      <c r="C2149">
        <v>3</v>
      </c>
      <c r="D2149" t="s">
        <v>5719</v>
      </c>
      <c r="E2149">
        <v>2</v>
      </c>
      <c r="F2149">
        <v>2</v>
      </c>
      <c r="G2149">
        <v>2</v>
      </c>
      <c r="H2149" t="s">
        <v>5720</v>
      </c>
      <c r="I2149">
        <v>4.5999999999999996</v>
      </c>
      <c r="J2149">
        <v>87.578999999999994</v>
      </c>
      <c r="K2149" t="str">
        <f>"EFR3A"</f>
        <v>EFR3A</v>
      </c>
      <c r="L2149" t="str">
        <f>"EFR3A"</f>
        <v>EFR3A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15961000</v>
      </c>
    </row>
    <row r="2150" spans="1:24">
      <c r="A2150">
        <v>1532</v>
      </c>
      <c r="B2150" t="s">
        <v>5721</v>
      </c>
      <c r="C2150">
        <v>2</v>
      </c>
      <c r="D2150" t="s">
        <v>5722</v>
      </c>
      <c r="E2150">
        <v>2</v>
      </c>
      <c r="F2150">
        <v>2</v>
      </c>
      <c r="G2150">
        <v>2</v>
      </c>
      <c r="H2150" t="s">
        <v>5723</v>
      </c>
      <c r="I2150">
        <v>3.5</v>
      </c>
      <c r="J2150">
        <v>68.046999999999997</v>
      </c>
      <c r="K2150" t="str">
        <f>"KARS"</f>
        <v>KARS</v>
      </c>
      <c r="L2150" t="str">
        <f>"KARS"</f>
        <v>KARS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34349000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</row>
    <row r="2151" spans="1:24">
      <c r="A2151">
        <v>1574</v>
      </c>
      <c r="B2151" t="s">
        <v>5724</v>
      </c>
      <c r="C2151">
        <v>1</v>
      </c>
      <c r="D2151" t="s">
        <v>5725</v>
      </c>
      <c r="E2151">
        <v>6</v>
      </c>
      <c r="F2151">
        <v>2</v>
      </c>
      <c r="G2151">
        <v>2</v>
      </c>
      <c r="H2151" t="s">
        <v>5724</v>
      </c>
      <c r="I2151">
        <v>46.2</v>
      </c>
      <c r="J2151">
        <v>16.363</v>
      </c>
      <c r="K2151" t="str">
        <f>"UBE2V2"</f>
        <v>UBE2V2</v>
      </c>
      <c r="L2151" t="str">
        <f>"UBE2V2"</f>
        <v>UBE2V2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117480000</v>
      </c>
      <c r="U2151">
        <v>0</v>
      </c>
      <c r="V2151">
        <v>0</v>
      </c>
      <c r="W2151">
        <v>0</v>
      </c>
      <c r="X2151">
        <v>0</v>
      </c>
    </row>
    <row r="2152" spans="1:24">
      <c r="A2152">
        <v>1582</v>
      </c>
      <c r="B2152" t="s">
        <v>5726</v>
      </c>
      <c r="C2152">
        <v>1</v>
      </c>
      <c r="D2152" t="s">
        <v>5727</v>
      </c>
      <c r="E2152">
        <v>3</v>
      </c>
      <c r="F2152">
        <v>3</v>
      </c>
      <c r="G2152">
        <v>3</v>
      </c>
      <c r="H2152" t="s">
        <v>5726</v>
      </c>
      <c r="I2152">
        <v>7.6</v>
      </c>
      <c r="J2152">
        <v>53.29</v>
      </c>
      <c r="K2152" t="str">
        <f>"CCDC6"</f>
        <v>CCDC6</v>
      </c>
      <c r="L2152" t="str">
        <f>"CCDC6"</f>
        <v>CCDC6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</row>
    <row r="2153" spans="1:24">
      <c r="A2153">
        <v>1607</v>
      </c>
      <c r="B2153" t="s">
        <v>5728</v>
      </c>
      <c r="C2153">
        <v>1</v>
      </c>
      <c r="D2153" t="s">
        <v>5729</v>
      </c>
      <c r="E2153">
        <v>2</v>
      </c>
      <c r="F2153">
        <v>2</v>
      </c>
      <c r="G2153">
        <v>2</v>
      </c>
      <c r="H2153" t="s">
        <v>5728</v>
      </c>
      <c r="I2153">
        <v>2.1</v>
      </c>
      <c r="J2153">
        <v>79.894999999999996</v>
      </c>
      <c r="K2153" t="str">
        <f>"EXOC3L4"</f>
        <v>EXOC3L4</v>
      </c>
      <c r="L2153" t="str">
        <f>"EXOC3L4"</f>
        <v>EXOC3L4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</row>
    <row r="2154" spans="1:24">
      <c r="A2154">
        <v>1618</v>
      </c>
      <c r="B2154" t="s">
        <v>5730</v>
      </c>
      <c r="C2154">
        <v>1</v>
      </c>
      <c r="D2154" t="s">
        <v>5731</v>
      </c>
      <c r="E2154">
        <v>1</v>
      </c>
      <c r="F2154">
        <v>1</v>
      </c>
      <c r="G2154">
        <v>1</v>
      </c>
      <c r="H2154" t="s">
        <v>5730</v>
      </c>
      <c r="I2154">
        <v>11.9</v>
      </c>
      <c r="J2154">
        <v>11.353999999999999</v>
      </c>
      <c r="K2154" t="str">
        <f>"VMA21"</f>
        <v>VMA21</v>
      </c>
      <c r="L2154" t="str">
        <f>"VMA21"</f>
        <v>VMA21</v>
      </c>
      <c r="M2154">
        <v>0</v>
      </c>
      <c r="N2154">
        <v>0</v>
      </c>
      <c r="O2154">
        <v>0</v>
      </c>
      <c r="P2154">
        <v>20737000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</row>
    <row r="2155" spans="1:24">
      <c r="A2155">
        <v>1642</v>
      </c>
      <c r="B2155" t="s">
        <v>5732</v>
      </c>
      <c r="C2155">
        <v>4</v>
      </c>
      <c r="D2155" t="s">
        <v>5733</v>
      </c>
      <c r="E2155">
        <v>1</v>
      </c>
      <c r="F2155">
        <v>1</v>
      </c>
      <c r="G2155">
        <v>1</v>
      </c>
      <c r="H2155" t="s">
        <v>5734</v>
      </c>
      <c r="I2155">
        <v>9.8000000000000007</v>
      </c>
      <c r="J2155">
        <v>19.084</v>
      </c>
      <c r="K2155" t="str">
        <f>"HYI"</f>
        <v>HYI</v>
      </c>
      <c r="L2155" t="str">
        <f>"HYI"</f>
        <v>HYI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</row>
    <row r="2156" spans="1:24">
      <c r="A2156">
        <v>1650</v>
      </c>
      <c r="B2156" t="s">
        <v>5735</v>
      </c>
      <c r="C2156">
        <v>1</v>
      </c>
      <c r="D2156" t="s">
        <v>5736</v>
      </c>
      <c r="E2156">
        <v>2</v>
      </c>
      <c r="F2156">
        <v>2</v>
      </c>
      <c r="G2156">
        <v>2</v>
      </c>
      <c r="H2156" t="s">
        <v>5735</v>
      </c>
      <c r="I2156">
        <v>4.2</v>
      </c>
      <c r="J2156">
        <v>84.257000000000005</v>
      </c>
      <c r="K2156" t="str">
        <f>"PIK3R6"</f>
        <v>PIK3R6</v>
      </c>
      <c r="L2156" t="str">
        <f>"PIK3R6"</f>
        <v>PIK3R6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</row>
    <row r="2157" spans="1:24">
      <c r="A2157">
        <v>1661</v>
      </c>
      <c r="B2157" t="s">
        <v>5737</v>
      </c>
      <c r="C2157">
        <v>8</v>
      </c>
      <c r="D2157" t="s">
        <v>5738</v>
      </c>
      <c r="E2157">
        <v>2</v>
      </c>
      <c r="F2157">
        <v>2</v>
      </c>
      <c r="G2157">
        <v>2</v>
      </c>
      <c r="H2157" t="s">
        <v>5739</v>
      </c>
      <c r="I2157">
        <v>2.2000000000000002</v>
      </c>
      <c r="J2157">
        <v>136.54</v>
      </c>
      <c r="K2157" t="str">
        <f>"FAM21C;FAM21A"</f>
        <v>FAM21C;FAM21A</v>
      </c>
      <c r="L2157" t="str">
        <f>"FAM21C;FAM21A"</f>
        <v>FAM21C;FAM21A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</row>
    <row r="2158" spans="1:24">
      <c r="A2158">
        <v>1667</v>
      </c>
      <c r="B2158" t="s">
        <v>5740</v>
      </c>
      <c r="C2158">
        <v>2</v>
      </c>
      <c r="D2158" t="s">
        <v>5741</v>
      </c>
      <c r="E2158">
        <v>1</v>
      </c>
      <c r="F2158">
        <v>1</v>
      </c>
      <c r="G2158">
        <v>1</v>
      </c>
      <c r="H2158" t="s">
        <v>5742</v>
      </c>
      <c r="I2158">
        <v>6</v>
      </c>
      <c r="J2158">
        <v>32.212000000000003</v>
      </c>
      <c r="K2158" t="str">
        <f>"CIAPIN1"</f>
        <v>CIAPIN1</v>
      </c>
      <c r="L2158" t="str">
        <f>"CIAPIN1"</f>
        <v>CIAPIN1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</row>
    <row r="2159" spans="1:24">
      <c r="A2159">
        <v>1674</v>
      </c>
      <c r="B2159" t="s">
        <v>5743</v>
      </c>
      <c r="C2159">
        <v>2</v>
      </c>
      <c r="D2159" t="s">
        <v>5744</v>
      </c>
      <c r="E2159">
        <v>2</v>
      </c>
      <c r="F2159">
        <v>2</v>
      </c>
      <c r="G2159">
        <v>2</v>
      </c>
      <c r="H2159" t="s">
        <v>5745</v>
      </c>
      <c r="I2159">
        <v>16</v>
      </c>
      <c r="J2159">
        <v>11.298999999999999</v>
      </c>
      <c r="K2159" t="str">
        <f>"RCSD1"</f>
        <v>RCSD1</v>
      </c>
      <c r="L2159" t="str">
        <f>"RCSD1"</f>
        <v>RCSD1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</row>
    <row r="2160" spans="1:24">
      <c r="A2160">
        <v>1678</v>
      </c>
      <c r="B2160" t="s">
        <v>5746</v>
      </c>
      <c r="C2160">
        <v>2</v>
      </c>
      <c r="D2160" t="s">
        <v>5747</v>
      </c>
      <c r="E2160">
        <v>1</v>
      </c>
      <c r="F2160">
        <v>1</v>
      </c>
      <c r="G2160">
        <v>1</v>
      </c>
      <c r="H2160" t="s">
        <v>5748</v>
      </c>
      <c r="I2160">
        <v>2</v>
      </c>
      <c r="J2160">
        <v>109.73</v>
      </c>
      <c r="K2160" t="str">
        <f>"EDC4"</f>
        <v>EDC4</v>
      </c>
      <c r="L2160" t="str">
        <f>"EDC4"</f>
        <v>EDC4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</row>
    <row r="2161" spans="1:24">
      <c r="A2161">
        <v>1682</v>
      </c>
      <c r="B2161" t="s">
        <v>5749</v>
      </c>
      <c r="C2161">
        <v>5</v>
      </c>
      <c r="D2161" t="s">
        <v>5750</v>
      </c>
      <c r="E2161">
        <v>1</v>
      </c>
      <c r="F2161">
        <v>1</v>
      </c>
      <c r="G2161">
        <v>1</v>
      </c>
      <c r="H2161" t="s">
        <v>5751</v>
      </c>
      <c r="I2161">
        <v>2.6</v>
      </c>
      <c r="J2161">
        <v>47.73</v>
      </c>
      <c r="K2161" t="str">
        <f>"PDXDC1;PDXDC2P"</f>
        <v>PDXDC1;PDXDC2P</v>
      </c>
      <c r="L2161" t="str">
        <f>"PDXDC1;PDXDC2P"</f>
        <v>PDXDC1;PDXDC2P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</row>
    <row r="2162" spans="1:24">
      <c r="A2162">
        <v>1701</v>
      </c>
      <c r="B2162" t="s">
        <v>5752</v>
      </c>
      <c r="C2162">
        <v>2</v>
      </c>
      <c r="D2162" t="s">
        <v>5753</v>
      </c>
      <c r="E2162">
        <v>2</v>
      </c>
      <c r="F2162">
        <v>2</v>
      </c>
      <c r="G2162">
        <v>2</v>
      </c>
      <c r="H2162" t="s">
        <v>5754</v>
      </c>
      <c r="I2162">
        <v>5.5</v>
      </c>
      <c r="J2162">
        <v>49.451999999999998</v>
      </c>
      <c r="K2162" t="str">
        <f>"TMPPE"</f>
        <v>TMPPE</v>
      </c>
      <c r="L2162" t="str">
        <f>"TMPPE"</f>
        <v>TMPPE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</row>
    <row r="2163" spans="1:24">
      <c r="A2163">
        <v>1702</v>
      </c>
      <c r="B2163" t="s">
        <v>5755</v>
      </c>
      <c r="C2163">
        <v>1</v>
      </c>
      <c r="D2163" t="s">
        <v>5756</v>
      </c>
      <c r="E2163">
        <v>2</v>
      </c>
      <c r="F2163">
        <v>2</v>
      </c>
      <c r="G2163">
        <v>2</v>
      </c>
      <c r="H2163" t="s">
        <v>5755</v>
      </c>
      <c r="I2163">
        <v>3.2</v>
      </c>
      <c r="J2163">
        <v>136.76</v>
      </c>
      <c r="K2163" t="str">
        <f>"KIAA1211"</f>
        <v>KIAA1211</v>
      </c>
      <c r="L2163" t="str">
        <f>"KIAA1211"</f>
        <v>KIAA1211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</row>
    <row r="2164" spans="1:24">
      <c r="A2164">
        <v>1715</v>
      </c>
      <c r="B2164" t="s">
        <v>5757</v>
      </c>
      <c r="C2164">
        <v>2</v>
      </c>
      <c r="D2164" t="s">
        <v>5758</v>
      </c>
      <c r="E2164">
        <v>1</v>
      </c>
      <c r="F2164">
        <v>1</v>
      </c>
      <c r="G2164">
        <v>1</v>
      </c>
      <c r="H2164" t="s">
        <v>5759</v>
      </c>
      <c r="I2164">
        <v>5.6</v>
      </c>
      <c r="J2164">
        <v>18.98</v>
      </c>
      <c r="K2164" t="str">
        <f>"ASRGL1"</f>
        <v>ASRGL1</v>
      </c>
      <c r="L2164" t="str">
        <f>"ASRGL1"</f>
        <v>ASRGL1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14396000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</row>
    <row r="2165" spans="1:24">
      <c r="A2165">
        <v>1726</v>
      </c>
      <c r="B2165" t="s">
        <v>5760</v>
      </c>
      <c r="C2165">
        <v>5</v>
      </c>
      <c r="D2165" t="s">
        <v>5761</v>
      </c>
      <c r="E2165">
        <v>3</v>
      </c>
      <c r="F2165">
        <v>3</v>
      </c>
      <c r="G2165">
        <v>3</v>
      </c>
      <c r="H2165" t="s">
        <v>5762</v>
      </c>
      <c r="I2165">
        <v>5.9</v>
      </c>
      <c r="J2165">
        <v>61.058</v>
      </c>
      <c r="K2165" t="str">
        <f>"C14orf159"</f>
        <v>C14orf159</v>
      </c>
      <c r="L2165" t="str">
        <f>"C14orf159"</f>
        <v>C14orf159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</row>
    <row r="2166" spans="1:24">
      <c r="A2166">
        <v>1735</v>
      </c>
      <c r="B2166" t="s">
        <v>5763</v>
      </c>
      <c r="C2166">
        <v>3</v>
      </c>
      <c r="D2166" t="s">
        <v>5764</v>
      </c>
      <c r="E2166">
        <v>2</v>
      </c>
      <c r="F2166">
        <v>2</v>
      </c>
      <c r="G2166">
        <v>2</v>
      </c>
      <c r="H2166" t="s">
        <v>5765</v>
      </c>
      <c r="I2166">
        <v>2.8</v>
      </c>
      <c r="J2166">
        <v>98.262</v>
      </c>
      <c r="K2166" t="str">
        <f>"DPP9"</f>
        <v>DPP9</v>
      </c>
      <c r="L2166" t="str">
        <f>"DPP9"</f>
        <v>DPP9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28698000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>
      <c r="A2167">
        <v>1750</v>
      </c>
      <c r="B2167" t="s">
        <v>5766</v>
      </c>
      <c r="C2167">
        <v>3</v>
      </c>
      <c r="D2167" t="s">
        <v>5767</v>
      </c>
      <c r="E2167">
        <v>1</v>
      </c>
      <c r="F2167">
        <v>1</v>
      </c>
      <c r="G2167">
        <v>1</v>
      </c>
      <c r="H2167" t="s">
        <v>5768</v>
      </c>
      <c r="I2167">
        <v>1.3</v>
      </c>
      <c r="J2167">
        <v>141.86000000000001</v>
      </c>
      <c r="K2167" t="str">
        <f>"RALGAPB"</f>
        <v>RALGAPB</v>
      </c>
      <c r="L2167" t="str">
        <f>"RALGAPB"</f>
        <v>RALGAPB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</row>
    <row r="2168" spans="1:24">
      <c r="A2168">
        <v>1751</v>
      </c>
      <c r="B2168" t="s">
        <v>5769</v>
      </c>
      <c r="C2168">
        <v>5</v>
      </c>
      <c r="D2168" t="s">
        <v>5770</v>
      </c>
      <c r="E2168">
        <v>2</v>
      </c>
      <c r="F2168">
        <v>2</v>
      </c>
      <c r="G2168">
        <v>2</v>
      </c>
      <c r="H2168" t="s">
        <v>5771</v>
      </c>
      <c r="I2168">
        <v>5.8</v>
      </c>
      <c r="J2168">
        <v>31.858000000000001</v>
      </c>
      <c r="K2168" t="str">
        <f>"NIT1"</f>
        <v>NIT1</v>
      </c>
      <c r="L2168" t="str">
        <f>"NIT1"</f>
        <v>NIT1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</row>
    <row r="2169" spans="1:24">
      <c r="A2169">
        <v>1755</v>
      </c>
      <c r="B2169" t="s">
        <v>5772</v>
      </c>
      <c r="C2169">
        <v>3</v>
      </c>
      <c r="D2169" t="s">
        <v>5773</v>
      </c>
      <c r="E2169">
        <v>2</v>
      </c>
      <c r="F2169">
        <v>2</v>
      </c>
      <c r="G2169">
        <v>2</v>
      </c>
      <c r="H2169" t="s">
        <v>5774</v>
      </c>
      <c r="I2169">
        <v>2.8</v>
      </c>
      <c r="J2169">
        <v>63.335000000000001</v>
      </c>
      <c r="K2169" t="str">
        <f>"ZGRF1"</f>
        <v>ZGRF1</v>
      </c>
      <c r="L2169" t="str">
        <f>"ZGRF1"</f>
        <v>ZGRF1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</row>
    <row r="2170" spans="1:24">
      <c r="A2170">
        <v>1773</v>
      </c>
      <c r="B2170" t="s">
        <v>5775</v>
      </c>
      <c r="C2170">
        <v>2</v>
      </c>
      <c r="D2170" t="s">
        <v>5776</v>
      </c>
      <c r="E2170">
        <v>1</v>
      </c>
      <c r="F2170">
        <v>1</v>
      </c>
      <c r="G2170">
        <v>1</v>
      </c>
      <c r="H2170" t="s">
        <v>5777</v>
      </c>
      <c r="I2170">
        <v>1.9</v>
      </c>
      <c r="J2170">
        <v>69.156000000000006</v>
      </c>
      <c r="K2170" t="str">
        <f>"KIAA2013"</f>
        <v>KIAA2013</v>
      </c>
      <c r="L2170" t="str">
        <f>"KIAA2013"</f>
        <v>KIAA2013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</row>
    <row r="2171" spans="1:24">
      <c r="A2171">
        <v>1780</v>
      </c>
      <c r="B2171" t="s">
        <v>5778</v>
      </c>
      <c r="C2171">
        <v>2</v>
      </c>
      <c r="D2171" t="s">
        <v>5779</v>
      </c>
      <c r="E2171">
        <v>3</v>
      </c>
      <c r="F2171">
        <v>3</v>
      </c>
      <c r="G2171">
        <v>3</v>
      </c>
      <c r="H2171" t="s">
        <v>5780</v>
      </c>
      <c r="I2171">
        <v>15.5</v>
      </c>
      <c r="J2171">
        <v>23.757000000000001</v>
      </c>
      <c r="K2171" t="str">
        <f>"FAM177A1"</f>
        <v>FAM177A1</v>
      </c>
      <c r="L2171" t="str">
        <f>"FAM177A1"</f>
        <v>FAM177A1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</row>
    <row r="2172" spans="1:24">
      <c r="A2172">
        <v>1805</v>
      </c>
      <c r="B2172" t="s">
        <v>5781</v>
      </c>
      <c r="C2172">
        <v>4</v>
      </c>
      <c r="D2172" t="s">
        <v>5782</v>
      </c>
      <c r="E2172">
        <v>2</v>
      </c>
      <c r="F2172">
        <v>2</v>
      </c>
      <c r="G2172">
        <v>2</v>
      </c>
      <c r="H2172" t="s">
        <v>5783</v>
      </c>
      <c r="I2172">
        <v>3.4</v>
      </c>
      <c r="J2172">
        <v>73.730999999999995</v>
      </c>
      <c r="K2172" t="str">
        <f>"DAGLB"</f>
        <v>DAGLB</v>
      </c>
      <c r="L2172" t="str">
        <f>"DAGLB"</f>
        <v>DAGLB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</row>
    <row r="2173" spans="1:24">
      <c r="A2173">
        <v>1825</v>
      </c>
      <c r="B2173" t="s">
        <v>5784</v>
      </c>
      <c r="C2173">
        <v>1</v>
      </c>
      <c r="D2173" t="s">
        <v>5785</v>
      </c>
      <c r="E2173">
        <v>1</v>
      </c>
      <c r="F2173">
        <v>1</v>
      </c>
      <c r="G2173">
        <v>1</v>
      </c>
      <c r="H2173" t="s">
        <v>5784</v>
      </c>
      <c r="I2173">
        <v>9.6999999999999993</v>
      </c>
      <c r="J2173">
        <v>31.468</v>
      </c>
      <c r="K2173" t="str">
        <f>"TMEM163"</f>
        <v>TMEM163</v>
      </c>
      <c r="L2173" t="str">
        <f>"TMEM163"</f>
        <v>TMEM163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21206000</v>
      </c>
      <c r="W2173">
        <v>0</v>
      </c>
      <c r="X2173">
        <v>0</v>
      </c>
    </row>
    <row r="2174" spans="1:24">
      <c r="A2174">
        <v>1829</v>
      </c>
      <c r="B2174" t="s">
        <v>5786</v>
      </c>
      <c r="C2174">
        <v>4</v>
      </c>
      <c r="D2174" t="s">
        <v>5787</v>
      </c>
      <c r="E2174">
        <v>2</v>
      </c>
      <c r="F2174">
        <v>2</v>
      </c>
      <c r="G2174">
        <v>2</v>
      </c>
      <c r="H2174" t="s">
        <v>5788</v>
      </c>
      <c r="I2174">
        <v>10.1</v>
      </c>
      <c r="J2174">
        <v>36.813000000000002</v>
      </c>
      <c r="K2174" t="str">
        <f>"HM13"</f>
        <v>HM13</v>
      </c>
      <c r="L2174" t="str">
        <f>"HM13"</f>
        <v>HM13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</row>
    <row r="2175" spans="1:24">
      <c r="A2175">
        <v>1838</v>
      </c>
      <c r="B2175" t="s">
        <v>5789</v>
      </c>
      <c r="C2175">
        <v>1</v>
      </c>
      <c r="D2175" t="s">
        <v>5790</v>
      </c>
      <c r="E2175">
        <v>2</v>
      </c>
      <c r="F2175">
        <v>2</v>
      </c>
      <c r="G2175">
        <v>2</v>
      </c>
      <c r="H2175" t="s">
        <v>5789</v>
      </c>
      <c r="I2175">
        <v>13.5</v>
      </c>
      <c r="J2175">
        <v>33.981000000000002</v>
      </c>
      <c r="K2175" t="str">
        <f>"GIPC3"</f>
        <v>GIPC3</v>
      </c>
      <c r="L2175" t="str">
        <f>"GIPC3"</f>
        <v>GIPC3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>
      <c r="A2176">
        <v>1845</v>
      </c>
      <c r="B2176" t="s">
        <v>5791</v>
      </c>
      <c r="C2176">
        <v>1</v>
      </c>
      <c r="D2176" t="s">
        <v>5792</v>
      </c>
      <c r="E2176">
        <v>1</v>
      </c>
      <c r="F2176">
        <v>1</v>
      </c>
      <c r="G2176">
        <v>1</v>
      </c>
      <c r="H2176" t="s">
        <v>5791</v>
      </c>
      <c r="I2176">
        <v>1.6</v>
      </c>
      <c r="J2176">
        <v>65.263999999999996</v>
      </c>
      <c r="K2176" t="str">
        <f>"SNX33"</f>
        <v>SNX33</v>
      </c>
      <c r="L2176" t="str">
        <f>"SNX33"</f>
        <v>SNX33</v>
      </c>
      <c r="M2176">
        <v>0</v>
      </c>
      <c r="N2176">
        <v>0</v>
      </c>
      <c r="O2176">
        <v>44625000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</row>
    <row r="2177" spans="1:24">
      <c r="A2177">
        <v>1849</v>
      </c>
      <c r="B2177" t="s">
        <v>5793</v>
      </c>
      <c r="C2177">
        <v>2</v>
      </c>
      <c r="D2177" t="s">
        <v>5794</v>
      </c>
      <c r="E2177">
        <v>2</v>
      </c>
      <c r="F2177">
        <v>2</v>
      </c>
      <c r="G2177">
        <v>2</v>
      </c>
      <c r="H2177" t="s">
        <v>5795</v>
      </c>
      <c r="I2177">
        <v>1.7</v>
      </c>
      <c r="J2177">
        <v>126.78</v>
      </c>
      <c r="K2177" t="str">
        <f>"CASKIN2"</f>
        <v>CASKIN2</v>
      </c>
      <c r="L2177" t="str">
        <f>"CASKIN2"</f>
        <v>CASKIN2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</row>
    <row r="2178" spans="1:24">
      <c r="A2178">
        <v>1857</v>
      </c>
      <c r="B2178" t="s">
        <v>5796</v>
      </c>
      <c r="C2178">
        <v>1</v>
      </c>
      <c r="D2178" t="s">
        <v>5797</v>
      </c>
      <c r="E2178">
        <v>1</v>
      </c>
      <c r="F2178">
        <v>1</v>
      </c>
      <c r="G2178">
        <v>1</v>
      </c>
      <c r="H2178" t="s">
        <v>5796</v>
      </c>
      <c r="I2178">
        <v>3</v>
      </c>
      <c r="J2178">
        <v>50.116999999999997</v>
      </c>
      <c r="K2178" t="str">
        <f>"SLC39A7"</f>
        <v>SLC39A7</v>
      </c>
      <c r="L2178" t="str">
        <f>"SLC39A7"</f>
        <v>SLC39A7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</row>
    <row r="2179" spans="1:24">
      <c r="A2179">
        <v>1863</v>
      </c>
      <c r="B2179" t="s">
        <v>5798</v>
      </c>
      <c r="C2179">
        <v>1</v>
      </c>
      <c r="D2179" t="s">
        <v>5799</v>
      </c>
      <c r="E2179">
        <v>1</v>
      </c>
      <c r="F2179">
        <v>1</v>
      </c>
      <c r="G2179">
        <v>1</v>
      </c>
      <c r="H2179" t="s">
        <v>5798</v>
      </c>
      <c r="I2179">
        <v>3.1</v>
      </c>
      <c r="J2179">
        <v>56.777000000000001</v>
      </c>
      <c r="K2179" t="str">
        <f>"UBXN4"</f>
        <v>UBXN4</v>
      </c>
      <c r="L2179" t="str">
        <f>"UBXN4"</f>
        <v>UBXN4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</row>
    <row r="2180" spans="1:24">
      <c r="A2180">
        <v>1916</v>
      </c>
      <c r="B2180" t="s">
        <v>5800</v>
      </c>
      <c r="C2180">
        <v>3</v>
      </c>
      <c r="D2180" t="s">
        <v>5801</v>
      </c>
      <c r="E2180">
        <v>2</v>
      </c>
      <c r="F2180">
        <v>2</v>
      </c>
      <c r="G2180">
        <v>2</v>
      </c>
      <c r="H2180" t="s">
        <v>5802</v>
      </c>
      <c r="I2180">
        <v>8.3000000000000007</v>
      </c>
      <c r="J2180">
        <v>26.696999999999999</v>
      </c>
      <c r="K2180" t="str">
        <f>"EFHD2;EFHD1"</f>
        <v>EFHD2;EFHD1</v>
      </c>
      <c r="L2180" t="str">
        <f>"EFHD2;EFHD1"</f>
        <v>EFHD2;EFHD1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27073000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</row>
    <row r="2181" spans="1:24">
      <c r="A2181">
        <v>1926</v>
      </c>
      <c r="B2181" t="s">
        <v>5803</v>
      </c>
      <c r="C2181">
        <v>3</v>
      </c>
      <c r="D2181" t="s">
        <v>5804</v>
      </c>
      <c r="E2181">
        <v>2</v>
      </c>
      <c r="F2181">
        <v>2</v>
      </c>
      <c r="G2181">
        <v>2</v>
      </c>
      <c r="H2181" t="s">
        <v>5805</v>
      </c>
      <c r="I2181">
        <v>3</v>
      </c>
      <c r="J2181">
        <v>103.78</v>
      </c>
      <c r="K2181" t="str">
        <f>"FAM120B"</f>
        <v>FAM120B</v>
      </c>
      <c r="L2181" t="str">
        <f>"FAM120B"</f>
        <v>FAM120B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8221000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</row>
    <row r="2182" spans="1:24">
      <c r="A2182">
        <v>1938</v>
      </c>
      <c r="B2182" t="s">
        <v>5806</v>
      </c>
      <c r="C2182">
        <v>2</v>
      </c>
      <c r="D2182" t="s">
        <v>5807</v>
      </c>
      <c r="E2182">
        <v>4</v>
      </c>
      <c r="F2182">
        <v>4</v>
      </c>
      <c r="G2182">
        <v>4</v>
      </c>
      <c r="H2182" t="s">
        <v>5808</v>
      </c>
      <c r="I2182">
        <v>16.3</v>
      </c>
      <c r="J2182">
        <v>32.003999999999998</v>
      </c>
      <c r="K2182" t="str">
        <f>"PGAM5"</f>
        <v>PGAM5</v>
      </c>
      <c r="L2182" t="str">
        <f>"PGAM5"</f>
        <v>PGAM5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</row>
    <row r="2183" spans="1:24">
      <c r="A2183">
        <v>1939</v>
      </c>
      <c r="B2183" t="s">
        <v>5809</v>
      </c>
      <c r="C2183">
        <v>2</v>
      </c>
      <c r="D2183" t="s">
        <v>5810</v>
      </c>
      <c r="E2183">
        <v>1</v>
      </c>
      <c r="F2183">
        <v>1</v>
      </c>
      <c r="G2183">
        <v>1</v>
      </c>
      <c r="H2183" t="s">
        <v>5811</v>
      </c>
      <c r="I2183">
        <v>4.5</v>
      </c>
      <c r="J2183">
        <v>35.475000000000001</v>
      </c>
      <c r="K2183" t="str">
        <f>"DDRGK1"</f>
        <v>DDRGK1</v>
      </c>
      <c r="L2183" t="str">
        <f>"DDRGK1"</f>
        <v>DDRGK1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</row>
    <row r="2184" spans="1:24">
      <c r="A2184">
        <v>1943</v>
      </c>
      <c r="B2184" t="s">
        <v>5812</v>
      </c>
      <c r="C2184">
        <v>3</v>
      </c>
      <c r="D2184" t="s">
        <v>5813</v>
      </c>
      <c r="E2184">
        <v>1</v>
      </c>
      <c r="F2184">
        <v>1</v>
      </c>
      <c r="G2184">
        <v>1</v>
      </c>
      <c r="H2184" t="s">
        <v>5814</v>
      </c>
      <c r="I2184">
        <v>2</v>
      </c>
      <c r="J2184">
        <v>86.497</v>
      </c>
      <c r="K2184" t="str">
        <f>"ITCH"</f>
        <v>ITCH</v>
      </c>
      <c r="L2184" t="str">
        <f>"ITCH"</f>
        <v>ITCH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14084000</v>
      </c>
    </row>
    <row r="2185" spans="1:24">
      <c r="A2185">
        <v>1945</v>
      </c>
      <c r="B2185" t="s">
        <v>5815</v>
      </c>
      <c r="C2185">
        <v>2</v>
      </c>
      <c r="D2185" t="s">
        <v>5816</v>
      </c>
      <c r="E2185">
        <v>2</v>
      </c>
      <c r="F2185">
        <v>2</v>
      </c>
      <c r="G2185">
        <v>2</v>
      </c>
      <c r="H2185" t="s">
        <v>5817</v>
      </c>
      <c r="I2185">
        <v>2.9</v>
      </c>
      <c r="J2185">
        <v>100.77</v>
      </c>
      <c r="K2185" t="str">
        <f>"VPS39"</f>
        <v>VPS39</v>
      </c>
      <c r="L2185" t="str">
        <f>"VPS39"</f>
        <v>VPS39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</row>
    <row r="2186" spans="1:24">
      <c r="A2186">
        <v>1946</v>
      </c>
      <c r="B2186" t="s">
        <v>5818</v>
      </c>
      <c r="C2186">
        <v>1</v>
      </c>
      <c r="D2186" t="s">
        <v>5819</v>
      </c>
      <c r="E2186">
        <v>1</v>
      </c>
      <c r="F2186">
        <v>1</v>
      </c>
      <c r="G2186">
        <v>1</v>
      </c>
      <c r="H2186" t="s">
        <v>5818</v>
      </c>
      <c r="I2186">
        <v>1.3</v>
      </c>
      <c r="J2186">
        <v>134.32</v>
      </c>
      <c r="K2186" t="str">
        <f>"VCPIP1"</f>
        <v>VCPIP1</v>
      </c>
      <c r="L2186" t="str">
        <f>"VCPIP1"</f>
        <v>VCPIP1</v>
      </c>
      <c r="M2186">
        <v>0</v>
      </c>
      <c r="N2186">
        <v>0</v>
      </c>
      <c r="O2186">
        <v>21491000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</row>
    <row r="2187" spans="1:24">
      <c r="A2187">
        <v>1963</v>
      </c>
      <c r="B2187" t="s">
        <v>5820</v>
      </c>
      <c r="C2187">
        <v>3</v>
      </c>
      <c r="D2187" t="s">
        <v>5821</v>
      </c>
      <c r="E2187">
        <v>2</v>
      </c>
      <c r="F2187">
        <v>2</v>
      </c>
      <c r="G2187">
        <v>2</v>
      </c>
      <c r="H2187" t="s">
        <v>5822</v>
      </c>
      <c r="I2187">
        <v>2.4</v>
      </c>
      <c r="J2187">
        <v>127.61</v>
      </c>
      <c r="K2187" t="str">
        <f>"TRAPPC9"</f>
        <v>TRAPPC9</v>
      </c>
      <c r="L2187" t="str">
        <f>"TRAPPC9"</f>
        <v>TRAPPC9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</row>
    <row r="2188" spans="1:24">
      <c r="A2188">
        <v>1973</v>
      </c>
      <c r="B2188" t="s">
        <v>5823</v>
      </c>
      <c r="C2188">
        <v>2</v>
      </c>
      <c r="D2188" t="s">
        <v>5824</v>
      </c>
      <c r="E2188">
        <v>2</v>
      </c>
      <c r="F2188">
        <v>2</v>
      </c>
      <c r="G2188">
        <v>2</v>
      </c>
      <c r="H2188" t="s">
        <v>5825</v>
      </c>
      <c r="I2188">
        <v>4.8</v>
      </c>
      <c r="J2188">
        <v>50.473999999999997</v>
      </c>
      <c r="K2188" t="str">
        <f>"CRBN"</f>
        <v>CRBN</v>
      </c>
      <c r="L2188" t="str">
        <f>"CRBN"</f>
        <v>CRBN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23588000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</row>
    <row r="2189" spans="1:24">
      <c r="A2189">
        <v>2005</v>
      </c>
      <c r="B2189" t="s">
        <v>5826</v>
      </c>
      <c r="C2189">
        <v>2</v>
      </c>
      <c r="D2189" t="s">
        <v>5827</v>
      </c>
      <c r="E2189">
        <v>2</v>
      </c>
      <c r="F2189">
        <v>2</v>
      </c>
      <c r="G2189">
        <v>2</v>
      </c>
      <c r="H2189" t="s">
        <v>5828</v>
      </c>
      <c r="I2189">
        <v>8.8000000000000007</v>
      </c>
      <c r="J2189">
        <v>38.475000000000001</v>
      </c>
      <c r="K2189" t="str">
        <f>"PTPN18"</f>
        <v>PTPN18</v>
      </c>
      <c r="L2189" t="str">
        <f>"PTPN18"</f>
        <v>PTPN18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>
      <c r="A2190">
        <v>2014</v>
      </c>
      <c r="B2190" t="s">
        <v>5829</v>
      </c>
      <c r="C2190">
        <v>1</v>
      </c>
      <c r="D2190" t="s">
        <v>5830</v>
      </c>
      <c r="E2190">
        <v>2</v>
      </c>
      <c r="F2190">
        <v>2</v>
      </c>
      <c r="G2190">
        <v>2</v>
      </c>
      <c r="H2190" t="s">
        <v>5829</v>
      </c>
      <c r="I2190">
        <v>8.6</v>
      </c>
      <c r="J2190">
        <v>35.548000000000002</v>
      </c>
      <c r="K2190" t="str">
        <f>"CPPED1"</f>
        <v>CPPED1</v>
      </c>
      <c r="L2190" t="str">
        <f>"CPPED1"</f>
        <v>CPPED1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</row>
    <row r="2191" spans="1:24">
      <c r="A2191">
        <v>2023</v>
      </c>
      <c r="B2191" t="s">
        <v>5831</v>
      </c>
      <c r="C2191">
        <v>1</v>
      </c>
      <c r="D2191" t="s">
        <v>5832</v>
      </c>
      <c r="E2191">
        <v>1</v>
      </c>
      <c r="F2191">
        <v>1</v>
      </c>
      <c r="G2191">
        <v>1</v>
      </c>
      <c r="H2191" t="s">
        <v>5831</v>
      </c>
      <c r="I2191">
        <v>4.7</v>
      </c>
      <c r="J2191">
        <v>47.524000000000001</v>
      </c>
      <c r="K2191" t="str">
        <f>"C16orf70"</f>
        <v>C16orf70</v>
      </c>
      <c r="L2191" t="str">
        <f>"C16orf70"</f>
        <v>C16orf70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</row>
    <row r="2192" spans="1:24">
      <c r="A2192">
        <v>2034</v>
      </c>
      <c r="B2192" t="s">
        <v>5833</v>
      </c>
      <c r="C2192">
        <v>1</v>
      </c>
      <c r="D2192" t="s">
        <v>5834</v>
      </c>
      <c r="E2192">
        <v>24</v>
      </c>
      <c r="F2192">
        <v>2</v>
      </c>
      <c r="G2192">
        <v>0</v>
      </c>
      <c r="H2192" t="s">
        <v>5833</v>
      </c>
      <c r="I2192">
        <v>60</v>
      </c>
      <c r="J2192">
        <v>49.953000000000003</v>
      </c>
      <c r="K2192" t="str">
        <f>"TUBB2B"</f>
        <v>TUBB2B</v>
      </c>
      <c r="L2192" t="str">
        <f>"TUBB2B"</f>
        <v>TUBB2B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14869000</v>
      </c>
    </row>
    <row r="2193" spans="1:24">
      <c r="A2193">
        <v>2058</v>
      </c>
      <c r="B2193" t="s">
        <v>5835</v>
      </c>
      <c r="C2193">
        <v>11</v>
      </c>
      <c r="D2193" t="s">
        <v>5836</v>
      </c>
      <c r="E2193">
        <v>3</v>
      </c>
      <c r="F2193">
        <v>3</v>
      </c>
      <c r="G2193">
        <v>2</v>
      </c>
      <c r="H2193" t="s">
        <v>5837</v>
      </c>
      <c r="I2193">
        <v>3.8</v>
      </c>
      <c r="J2193">
        <v>96.748999999999995</v>
      </c>
      <c r="K2193" t="str">
        <f>"PRKD2;CDKL1;CDKL3;CDKL2;PRKD3;PRKD1;CDKL5;STK36"</f>
        <v>PRKD2;CDKL1;CDKL3;CDKL2;PRKD3;PRKD1;CDKL5;STK36</v>
      </c>
      <c r="L2193" t="str">
        <f>"PRKD2;CDKL1;CDKL3;CDKL2;PRKD3;PRKD1;CDKL5;STK36"</f>
        <v>PRKD2;CDKL1;CDKL3;CDKL2;PRKD3;PRKD1;CDKL5;STK36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</row>
    <row r="2194" spans="1:24">
      <c r="A2194">
        <v>2092</v>
      </c>
      <c r="B2194" t="s">
        <v>5838</v>
      </c>
      <c r="C2194">
        <v>3</v>
      </c>
      <c r="D2194" t="s">
        <v>5839</v>
      </c>
      <c r="E2194">
        <v>2</v>
      </c>
      <c r="F2194">
        <v>2</v>
      </c>
      <c r="G2194">
        <v>2</v>
      </c>
      <c r="H2194" t="s">
        <v>5840</v>
      </c>
      <c r="I2194">
        <v>8.4</v>
      </c>
      <c r="J2194">
        <v>27.353999999999999</v>
      </c>
      <c r="K2194" t="str">
        <f>"C11orf68"</f>
        <v>C11orf68</v>
      </c>
      <c r="L2194" t="str">
        <f>"C11orf68"</f>
        <v>C11orf68</v>
      </c>
      <c r="M2194">
        <v>0</v>
      </c>
      <c r="N2194">
        <v>0</v>
      </c>
      <c r="O2194">
        <v>26345000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</row>
    <row r="2195" spans="1:24">
      <c r="A2195">
        <v>2117</v>
      </c>
      <c r="B2195" t="s">
        <v>5841</v>
      </c>
      <c r="C2195">
        <v>3</v>
      </c>
      <c r="D2195" t="s">
        <v>5842</v>
      </c>
      <c r="E2195">
        <v>2</v>
      </c>
      <c r="F2195">
        <v>2</v>
      </c>
      <c r="G2195">
        <v>2</v>
      </c>
      <c r="H2195" t="s">
        <v>5843</v>
      </c>
      <c r="I2195">
        <v>7.1</v>
      </c>
      <c r="J2195">
        <v>38.244</v>
      </c>
      <c r="K2195" t="str">
        <f>"COG4"</f>
        <v>COG4</v>
      </c>
      <c r="L2195" t="str">
        <f>"COG4"</f>
        <v>COG4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</row>
    <row r="2196" spans="1:24">
      <c r="A2196">
        <v>2125</v>
      </c>
      <c r="B2196" t="s">
        <v>5844</v>
      </c>
      <c r="C2196">
        <v>2</v>
      </c>
      <c r="D2196" t="s">
        <v>5845</v>
      </c>
      <c r="E2196">
        <v>1</v>
      </c>
      <c r="F2196">
        <v>1</v>
      </c>
      <c r="G2196">
        <v>1</v>
      </c>
      <c r="H2196" t="s">
        <v>5846</v>
      </c>
      <c r="I2196">
        <v>7.7</v>
      </c>
      <c r="J2196">
        <v>28.431999999999999</v>
      </c>
      <c r="K2196" t="str">
        <f>"TMEM165"</f>
        <v>TMEM165</v>
      </c>
      <c r="L2196" t="str">
        <f>"TMEM165"</f>
        <v>TMEM165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</row>
    <row r="2197" spans="1:24">
      <c r="A2197">
        <v>2132</v>
      </c>
      <c r="B2197" t="s">
        <v>5847</v>
      </c>
      <c r="C2197">
        <v>2</v>
      </c>
      <c r="D2197" t="s">
        <v>5848</v>
      </c>
      <c r="E2197">
        <v>3</v>
      </c>
      <c r="F2197">
        <v>3</v>
      </c>
      <c r="G2197">
        <v>3</v>
      </c>
      <c r="H2197" t="s">
        <v>5849</v>
      </c>
      <c r="I2197">
        <v>2.7</v>
      </c>
      <c r="J2197">
        <v>121.11</v>
      </c>
      <c r="K2197" t="str">
        <f>"ATP13A1"</f>
        <v>ATP13A1</v>
      </c>
      <c r="L2197" t="str">
        <f>"ATP13A1"</f>
        <v>ATP13A1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</row>
    <row r="2198" spans="1:24">
      <c r="A2198">
        <v>2163</v>
      </c>
      <c r="B2198" t="s">
        <v>5850</v>
      </c>
      <c r="C2198">
        <v>2</v>
      </c>
      <c r="D2198" t="s">
        <v>5851</v>
      </c>
      <c r="E2198">
        <v>2</v>
      </c>
      <c r="F2198">
        <v>2</v>
      </c>
      <c r="G2198">
        <v>2</v>
      </c>
      <c r="H2198" t="s">
        <v>5852</v>
      </c>
      <c r="I2198">
        <v>13.6</v>
      </c>
      <c r="J2198">
        <v>20.91</v>
      </c>
      <c r="K2198" t="str">
        <f>"DUSP22"</f>
        <v>DUSP22</v>
      </c>
      <c r="L2198" t="str">
        <f>"DUSP22"</f>
        <v>DUSP22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</row>
    <row r="2199" spans="1:24">
      <c r="A2199">
        <v>2205</v>
      </c>
      <c r="B2199" t="s">
        <v>5853</v>
      </c>
      <c r="C2199">
        <v>2</v>
      </c>
      <c r="D2199" t="s">
        <v>5854</v>
      </c>
      <c r="E2199">
        <v>2</v>
      </c>
      <c r="F2199">
        <v>2</v>
      </c>
      <c r="G2199">
        <v>1</v>
      </c>
      <c r="H2199" t="s">
        <v>5855</v>
      </c>
      <c r="I2199">
        <v>7.1</v>
      </c>
      <c r="J2199">
        <v>56.451999999999998</v>
      </c>
      <c r="K2199" t="str">
        <f>"UBP1"</f>
        <v>UBP1</v>
      </c>
      <c r="L2199" t="str">
        <f>"UBP1"</f>
        <v>UBP1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20525000</v>
      </c>
      <c r="V2199">
        <v>0</v>
      </c>
      <c r="W2199">
        <v>0</v>
      </c>
      <c r="X2199">
        <v>0</v>
      </c>
    </row>
    <row r="2200" spans="1:24">
      <c r="A2200">
        <v>2237</v>
      </c>
      <c r="B2200" t="s">
        <v>5856</v>
      </c>
      <c r="C2200">
        <v>2</v>
      </c>
      <c r="D2200" t="s">
        <v>5857</v>
      </c>
      <c r="E2200">
        <v>3</v>
      </c>
      <c r="F2200">
        <v>3</v>
      </c>
      <c r="G2200">
        <v>3</v>
      </c>
      <c r="H2200" t="s">
        <v>5858</v>
      </c>
      <c r="I2200">
        <v>21.6</v>
      </c>
      <c r="J2200">
        <v>19.809999999999999</v>
      </c>
      <c r="K2200" t="str">
        <f>"VTI1B"</f>
        <v>VTI1B</v>
      </c>
      <c r="L2200" t="str">
        <f>"VTI1B"</f>
        <v>VTI1B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</row>
    <row r="2201" spans="1:24">
      <c r="A2201">
        <v>2238</v>
      </c>
      <c r="B2201" t="s">
        <v>5859</v>
      </c>
      <c r="C2201">
        <v>2</v>
      </c>
      <c r="D2201" t="s">
        <v>5860</v>
      </c>
      <c r="E2201">
        <v>6</v>
      </c>
      <c r="F2201">
        <v>2</v>
      </c>
      <c r="G2201">
        <v>2</v>
      </c>
      <c r="H2201" t="s">
        <v>5861</v>
      </c>
      <c r="I2201">
        <v>11.8</v>
      </c>
      <c r="J2201">
        <v>57.936999999999998</v>
      </c>
      <c r="K2201" t="str">
        <f>"STK39"</f>
        <v>STK39</v>
      </c>
      <c r="L2201" t="str">
        <f>"STK39"</f>
        <v>STK39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37806000</v>
      </c>
    </row>
    <row r="2202" spans="1:24">
      <c r="A2202">
        <v>2250</v>
      </c>
      <c r="B2202" t="s">
        <v>5862</v>
      </c>
      <c r="C2202">
        <v>1</v>
      </c>
      <c r="D2202" t="s">
        <v>5863</v>
      </c>
      <c r="E2202">
        <v>2</v>
      </c>
      <c r="F2202">
        <v>2</v>
      </c>
      <c r="G2202">
        <v>2</v>
      </c>
      <c r="H2202" t="s">
        <v>5862</v>
      </c>
      <c r="I2202">
        <v>6.9</v>
      </c>
      <c r="J2202">
        <v>51.49</v>
      </c>
      <c r="K2202" t="str">
        <f>"SHPK"</f>
        <v>SHPK</v>
      </c>
      <c r="L2202" t="str">
        <f>"SHPK"</f>
        <v>SHPK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</row>
    <row r="2203" spans="1:24">
      <c r="A2203">
        <v>2261</v>
      </c>
      <c r="B2203" t="s">
        <v>5864</v>
      </c>
      <c r="C2203">
        <v>3</v>
      </c>
      <c r="D2203" t="s">
        <v>5865</v>
      </c>
      <c r="E2203">
        <v>2</v>
      </c>
      <c r="F2203">
        <v>2</v>
      </c>
      <c r="G2203">
        <v>2</v>
      </c>
      <c r="H2203" t="s">
        <v>5866</v>
      </c>
      <c r="I2203">
        <v>5.0999999999999996</v>
      </c>
      <c r="J2203">
        <v>38.378999999999998</v>
      </c>
      <c r="K2203" t="str">
        <f>"LCMT1"</f>
        <v>LCMT1</v>
      </c>
      <c r="L2203" t="str">
        <f>"LCMT1"</f>
        <v>LCMT1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</row>
    <row r="2204" spans="1:24">
      <c r="A2204">
        <v>2277</v>
      </c>
      <c r="B2204" t="s">
        <v>5867</v>
      </c>
      <c r="C2204">
        <v>4</v>
      </c>
      <c r="D2204" t="s">
        <v>5868</v>
      </c>
      <c r="E2204">
        <v>3</v>
      </c>
      <c r="F2204">
        <v>1</v>
      </c>
      <c r="G2204">
        <v>1</v>
      </c>
      <c r="H2204" t="s">
        <v>5869</v>
      </c>
      <c r="I2204">
        <v>3.2</v>
      </c>
      <c r="J2204">
        <v>86.694999999999993</v>
      </c>
      <c r="K2204" t="str">
        <f>"VAV3"</f>
        <v>VAV3</v>
      </c>
      <c r="L2204" t="str">
        <f>"VAV3"</f>
        <v>VAV3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</row>
    <row r="2205" spans="1:24">
      <c r="A2205">
        <v>2282</v>
      </c>
      <c r="B2205" t="s">
        <v>5870</v>
      </c>
      <c r="C2205">
        <v>1</v>
      </c>
      <c r="D2205" t="s">
        <v>5871</v>
      </c>
      <c r="E2205">
        <v>3</v>
      </c>
      <c r="F2205">
        <v>3</v>
      </c>
      <c r="G2205">
        <v>3</v>
      </c>
      <c r="H2205" t="s">
        <v>5870</v>
      </c>
      <c r="I2205">
        <v>9.5</v>
      </c>
      <c r="J2205">
        <v>52.427999999999997</v>
      </c>
      <c r="K2205" t="str">
        <f>"DNPEP"</f>
        <v>DNPEP</v>
      </c>
      <c r="L2205" t="str">
        <f>"DNPEP"</f>
        <v>DNPEP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</row>
    <row r="2206" spans="1:24">
      <c r="A2206">
        <v>2304</v>
      </c>
      <c r="B2206" t="s">
        <v>5872</v>
      </c>
      <c r="C2206">
        <v>2</v>
      </c>
      <c r="D2206" t="s">
        <v>5873</v>
      </c>
      <c r="E2206">
        <v>2</v>
      </c>
      <c r="F2206">
        <v>2</v>
      </c>
      <c r="G2206">
        <v>2</v>
      </c>
      <c r="H2206" t="s">
        <v>5874</v>
      </c>
      <c r="I2206">
        <v>4.4000000000000004</v>
      </c>
      <c r="J2206">
        <v>55.006</v>
      </c>
      <c r="K2206" t="str">
        <f>"WASF3"</f>
        <v>WASF3</v>
      </c>
      <c r="L2206" t="str">
        <f>"WASF3"</f>
        <v>WASF3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</row>
    <row r="2207" spans="1:24">
      <c r="A2207">
        <v>2312</v>
      </c>
      <c r="B2207" t="s">
        <v>5875</v>
      </c>
      <c r="C2207">
        <v>2</v>
      </c>
      <c r="D2207" t="s">
        <v>5876</v>
      </c>
      <c r="E2207">
        <v>2</v>
      </c>
      <c r="F2207">
        <v>2</v>
      </c>
      <c r="G2207">
        <v>2</v>
      </c>
      <c r="H2207" t="s">
        <v>5877</v>
      </c>
      <c r="I2207">
        <v>6.3</v>
      </c>
      <c r="J2207">
        <v>45.271000000000001</v>
      </c>
      <c r="K2207" t="str">
        <f>"CHKB"</f>
        <v>CHKB</v>
      </c>
      <c r="L2207" t="str">
        <f>"CHKB"</f>
        <v>CHKB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</row>
    <row r="2208" spans="1:24">
      <c r="A2208">
        <v>2316</v>
      </c>
      <c r="B2208" t="s">
        <v>5878</v>
      </c>
      <c r="C2208">
        <v>1</v>
      </c>
      <c r="D2208" t="s">
        <v>5879</v>
      </c>
      <c r="E2208">
        <v>3</v>
      </c>
      <c r="F2208">
        <v>3</v>
      </c>
      <c r="G2208">
        <v>3</v>
      </c>
      <c r="H2208" t="s">
        <v>5878</v>
      </c>
      <c r="I2208">
        <v>10.6</v>
      </c>
      <c r="J2208">
        <v>38.241999999999997</v>
      </c>
      <c r="K2208" t="str">
        <f>"NUDC"</f>
        <v>NUDC</v>
      </c>
      <c r="L2208" t="str">
        <f>"NUDC"</f>
        <v>NUDC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19715000</v>
      </c>
      <c r="V2208">
        <v>0</v>
      </c>
      <c r="W2208">
        <v>0</v>
      </c>
      <c r="X2208">
        <v>0</v>
      </c>
    </row>
    <row r="2209" spans="1:24">
      <c r="A2209">
        <v>2385</v>
      </c>
      <c r="B2209" t="s">
        <v>5880</v>
      </c>
      <c r="C2209">
        <v>3</v>
      </c>
      <c r="D2209" t="s">
        <v>5881</v>
      </c>
      <c r="E2209">
        <v>2</v>
      </c>
      <c r="F2209">
        <v>2</v>
      </c>
      <c r="G2209">
        <v>2</v>
      </c>
      <c r="H2209" t="s">
        <v>5882</v>
      </c>
      <c r="I2209">
        <v>11.2</v>
      </c>
      <c r="J2209">
        <v>36.953000000000003</v>
      </c>
      <c r="K2209" t="str">
        <f>"IKBKG"</f>
        <v>IKBKG</v>
      </c>
      <c r="L2209" t="str">
        <f>"IKBKG"</f>
        <v>IKBKG</v>
      </c>
      <c r="M2209">
        <v>0</v>
      </c>
      <c r="N2209">
        <v>0</v>
      </c>
      <c r="O2209">
        <v>35563000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</row>
    <row r="2210" spans="1:24">
      <c r="A2210">
        <v>2389</v>
      </c>
      <c r="B2210" t="s">
        <v>5883</v>
      </c>
      <c r="C2210">
        <v>1</v>
      </c>
      <c r="D2210" t="s">
        <v>5884</v>
      </c>
      <c r="E2210">
        <v>3</v>
      </c>
      <c r="F2210">
        <v>3</v>
      </c>
      <c r="G2210">
        <v>3</v>
      </c>
      <c r="H2210" t="s">
        <v>5883</v>
      </c>
      <c r="I2210">
        <v>2</v>
      </c>
      <c r="J2210">
        <v>572.01</v>
      </c>
      <c r="K2210" t="str">
        <f>"FCGBP"</f>
        <v>FCGBP</v>
      </c>
      <c r="L2210" t="str">
        <f>"FCGBP"</f>
        <v>FCGBP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</row>
    <row r="2211" spans="1:24">
      <c r="A2211">
        <v>6</v>
      </c>
      <c r="B2211" t="s">
        <v>5885</v>
      </c>
      <c r="C2211">
        <v>2</v>
      </c>
      <c r="D2211" t="s">
        <v>5886</v>
      </c>
      <c r="E2211">
        <v>2</v>
      </c>
      <c r="F2211">
        <v>1</v>
      </c>
      <c r="G2211">
        <v>1</v>
      </c>
      <c r="H2211" t="s">
        <v>5887</v>
      </c>
      <c r="I2211">
        <v>2.4</v>
      </c>
      <c r="J2211">
        <v>81.56</v>
      </c>
      <c r="K2211" t="str">
        <f>"TARSL2"</f>
        <v>TARSL2</v>
      </c>
      <c r="L2211" t="str">
        <f>"TARSL2"</f>
        <v>TARSL2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</row>
    <row r="2212" spans="1:24">
      <c r="A2212">
        <v>9</v>
      </c>
      <c r="B2212" t="s">
        <v>5888</v>
      </c>
      <c r="C2212">
        <v>2</v>
      </c>
      <c r="D2212" t="s">
        <v>5889</v>
      </c>
      <c r="E2212">
        <v>1</v>
      </c>
      <c r="F2212">
        <v>1</v>
      </c>
      <c r="G2212">
        <v>1</v>
      </c>
      <c r="H2212" t="s">
        <v>5890</v>
      </c>
      <c r="I2212">
        <v>3.4</v>
      </c>
      <c r="J2212">
        <v>33.783999999999999</v>
      </c>
      <c r="K2212" t="str">
        <f>"FBL;FBLL1"</f>
        <v>FBL;FBLL1</v>
      </c>
      <c r="L2212" t="str">
        <f>"FBL;FBLL1"</f>
        <v>FBL;FBLL1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</row>
    <row r="2213" spans="1:24">
      <c r="A2213">
        <v>15</v>
      </c>
      <c r="B2213" t="s">
        <v>5891</v>
      </c>
      <c r="C2213">
        <v>3</v>
      </c>
      <c r="D2213" t="s">
        <v>5892</v>
      </c>
      <c r="E2213">
        <v>1</v>
      </c>
      <c r="F2213">
        <v>1</v>
      </c>
      <c r="G2213">
        <v>1</v>
      </c>
      <c r="H2213" t="s">
        <v>5893</v>
      </c>
      <c r="I2213">
        <v>3.1</v>
      </c>
      <c r="J2213">
        <v>47.988999999999997</v>
      </c>
      <c r="K2213" t="str">
        <f>"WASH6P;WASH3P;WASH2P"</f>
        <v>WASH6P;WASH3P;WASH2P</v>
      </c>
      <c r="L2213" t="str">
        <f>"WASH6P;WASH3P;WASH2P"</f>
        <v>WASH6P;WASH3P;WASH2P</v>
      </c>
      <c r="M2213">
        <v>0</v>
      </c>
      <c r="N2213">
        <v>0</v>
      </c>
      <c r="O2213">
        <v>0</v>
      </c>
      <c r="P2213">
        <v>2291700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</row>
    <row r="2214" spans="1:24">
      <c r="A2214">
        <v>46</v>
      </c>
      <c r="B2214" t="s">
        <v>5894</v>
      </c>
      <c r="C2214">
        <v>2</v>
      </c>
      <c r="D2214" t="s">
        <v>5895</v>
      </c>
      <c r="E2214">
        <v>25</v>
      </c>
      <c r="F2214">
        <v>1</v>
      </c>
      <c r="G2214">
        <v>1</v>
      </c>
      <c r="H2214" t="s">
        <v>5896</v>
      </c>
      <c r="I2214">
        <v>38</v>
      </c>
      <c r="J2214">
        <v>79.953999999999994</v>
      </c>
      <c r="K2214" t="str">
        <f>"KIF2A"</f>
        <v>KIF2A</v>
      </c>
      <c r="L2214" t="str">
        <f>"KIF2A"</f>
        <v>KIF2A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2225500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</row>
    <row r="2215" spans="1:24">
      <c r="A2215">
        <v>60</v>
      </c>
      <c r="B2215" t="s">
        <v>5897</v>
      </c>
      <c r="C2215">
        <v>1</v>
      </c>
      <c r="D2215" t="s">
        <v>5898</v>
      </c>
      <c r="E2215">
        <v>2</v>
      </c>
      <c r="F2215">
        <v>2</v>
      </c>
      <c r="G2215">
        <v>2</v>
      </c>
      <c r="H2215" t="s">
        <v>5897</v>
      </c>
      <c r="I2215">
        <v>9.5</v>
      </c>
      <c r="J2215">
        <v>23.704999999999998</v>
      </c>
      <c r="K2215" t="str">
        <f>"NDUFS8"</f>
        <v>NDUFS8</v>
      </c>
      <c r="L2215" t="str">
        <f>"NDUFS8"</f>
        <v>NDUFS8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21668000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</row>
    <row r="2216" spans="1:24">
      <c r="A2216">
        <v>99</v>
      </c>
      <c r="B2216" t="s">
        <v>5899</v>
      </c>
      <c r="C2216">
        <v>1</v>
      </c>
      <c r="D2216" t="s">
        <v>5900</v>
      </c>
      <c r="E2216">
        <v>1</v>
      </c>
      <c r="F2216">
        <v>1</v>
      </c>
      <c r="G2216">
        <v>1</v>
      </c>
      <c r="H2216" t="s">
        <v>5899</v>
      </c>
      <c r="I2216">
        <v>1.3</v>
      </c>
      <c r="J2216">
        <v>137.46</v>
      </c>
      <c r="K2216" t="str">
        <f>"OPLAH"</f>
        <v>OPLAH</v>
      </c>
      <c r="L2216" t="str">
        <f>"OPLAH"</f>
        <v>OPLAH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25904000</v>
      </c>
      <c r="T2216">
        <v>0</v>
      </c>
      <c r="U2216">
        <v>0</v>
      </c>
      <c r="V2216">
        <v>0</v>
      </c>
      <c r="W2216">
        <v>0</v>
      </c>
      <c r="X2216">
        <v>0</v>
      </c>
    </row>
    <row r="2217" spans="1:24">
      <c r="A2217">
        <v>108</v>
      </c>
      <c r="B2217" t="s">
        <v>5901</v>
      </c>
      <c r="C2217">
        <v>5</v>
      </c>
      <c r="D2217" t="s">
        <v>5902</v>
      </c>
      <c r="E2217">
        <v>1</v>
      </c>
      <c r="F2217">
        <v>1</v>
      </c>
      <c r="G2217">
        <v>1</v>
      </c>
      <c r="H2217" t="s">
        <v>5903</v>
      </c>
      <c r="I2217">
        <v>0.7</v>
      </c>
      <c r="J2217">
        <v>228.87</v>
      </c>
      <c r="K2217" t="str">
        <f>"SEC16A"</f>
        <v>SEC16A</v>
      </c>
      <c r="L2217" t="str">
        <f>"SEC16A"</f>
        <v>SEC16A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28056000</v>
      </c>
      <c r="X2217">
        <v>0</v>
      </c>
    </row>
    <row r="2218" spans="1:24">
      <c r="A2218">
        <v>109</v>
      </c>
      <c r="B2218" t="s">
        <v>5904</v>
      </c>
      <c r="C2218">
        <v>1</v>
      </c>
      <c r="D2218" t="s">
        <v>5905</v>
      </c>
      <c r="E2218">
        <v>4</v>
      </c>
      <c r="F2218">
        <v>4</v>
      </c>
      <c r="G2218">
        <v>4</v>
      </c>
      <c r="H2218" t="s">
        <v>5904</v>
      </c>
      <c r="I2218">
        <v>3</v>
      </c>
      <c r="J2218">
        <v>205.12</v>
      </c>
      <c r="K2218" t="str">
        <f>"PLXNB2"</f>
        <v>PLXNB2</v>
      </c>
      <c r="L2218" t="str">
        <f>"PLXNB2"</f>
        <v>PLXNB2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</row>
    <row r="2219" spans="1:24">
      <c r="A2219">
        <v>150</v>
      </c>
      <c r="B2219" t="s">
        <v>5906</v>
      </c>
      <c r="C2219">
        <v>3</v>
      </c>
      <c r="D2219" t="s">
        <v>5907</v>
      </c>
      <c r="E2219">
        <v>5</v>
      </c>
      <c r="F2219">
        <v>1</v>
      </c>
      <c r="G2219">
        <v>1</v>
      </c>
      <c r="H2219" t="s">
        <v>5908</v>
      </c>
      <c r="I2219">
        <v>3.4</v>
      </c>
      <c r="J2219">
        <v>146.87</v>
      </c>
      <c r="K2219" t="str">
        <f>"EIF4G3"</f>
        <v>EIF4G3</v>
      </c>
      <c r="L2219" t="str">
        <f>"EIF4G3"</f>
        <v>EIF4G3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</row>
    <row r="2220" spans="1:24">
      <c r="A2220">
        <v>226</v>
      </c>
      <c r="B2220" t="s">
        <v>5909</v>
      </c>
      <c r="C2220">
        <v>5</v>
      </c>
      <c r="D2220" t="s">
        <v>5910</v>
      </c>
      <c r="E2220">
        <v>4</v>
      </c>
      <c r="F2220">
        <v>3</v>
      </c>
      <c r="G2220">
        <v>3</v>
      </c>
      <c r="H2220" t="s">
        <v>5911</v>
      </c>
      <c r="I2220">
        <v>14.5</v>
      </c>
      <c r="J2220">
        <v>42.085999999999999</v>
      </c>
      <c r="K2220" t="str">
        <f>"PPM1B"</f>
        <v>PPM1B</v>
      </c>
      <c r="L2220" t="str">
        <f>"PPM1B"</f>
        <v>PPM1B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</row>
    <row r="2221" spans="1:24">
      <c r="A2221">
        <v>338</v>
      </c>
      <c r="B2221" t="s">
        <v>5912</v>
      </c>
      <c r="C2221">
        <v>1</v>
      </c>
      <c r="D2221" t="s">
        <v>5913</v>
      </c>
      <c r="E2221">
        <v>2</v>
      </c>
      <c r="F2221">
        <v>1</v>
      </c>
      <c r="G2221">
        <v>1</v>
      </c>
      <c r="H2221" t="s">
        <v>5912</v>
      </c>
      <c r="I2221">
        <v>31.5</v>
      </c>
      <c r="J2221">
        <v>11.814</v>
      </c>
      <c r="K2221" t="s">
        <v>1194</v>
      </c>
      <c r="L2221" t="s">
        <v>1194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</row>
    <row r="2222" spans="1:24">
      <c r="A2222">
        <v>342</v>
      </c>
      <c r="B2222" t="s">
        <v>5914</v>
      </c>
      <c r="C2222">
        <v>1</v>
      </c>
      <c r="D2222" t="s">
        <v>5915</v>
      </c>
      <c r="E2222">
        <v>2</v>
      </c>
      <c r="F2222">
        <v>1</v>
      </c>
      <c r="G2222">
        <v>1</v>
      </c>
      <c r="H2222" t="s">
        <v>5914</v>
      </c>
      <c r="I2222">
        <v>25</v>
      </c>
      <c r="J2222">
        <v>11.834</v>
      </c>
      <c r="K2222" t="s">
        <v>3876</v>
      </c>
      <c r="L2222" t="s">
        <v>3876</v>
      </c>
      <c r="M2222">
        <v>0</v>
      </c>
      <c r="N2222">
        <v>0</v>
      </c>
      <c r="O2222">
        <v>0</v>
      </c>
      <c r="P2222">
        <v>16753000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</row>
    <row r="2223" spans="1:24">
      <c r="A2223">
        <v>375</v>
      </c>
      <c r="B2223" t="s">
        <v>5916</v>
      </c>
      <c r="C2223">
        <v>1</v>
      </c>
      <c r="D2223" t="s">
        <v>5917</v>
      </c>
      <c r="E2223">
        <v>1</v>
      </c>
      <c r="F2223">
        <v>1</v>
      </c>
      <c r="G2223">
        <v>1</v>
      </c>
      <c r="H2223" t="s">
        <v>5916</v>
      </c>
      <c r="I2223">
        <v>16.399999999999999</v>
      </c>
      <c r="J2223">
        <v>12.339</v>
      </c>
      <c r="K2223" t="s">
        <v>1307</v>
      </c>
      <c r="L2223" t="s">
        <v>1307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</row>
    <row r="2224" spans="1:24">
      <c r="A2224">
        <v>394</v>
      </c>
      <c r="B2224" t="s">
        <v>5918</v>
      </c>
      <c r="C2224">
        <v>8</v>
      </c>
      <c r="D2224" t="s">
        <v>5919</v>
      </c>
      <c r="E2224">
        <v>1</v>
      </c>
      <c r="F2224">
        <v>1</v>
      </c>
      <c r="G2224">
        <v>1</v>
      </c>
      <c r="H2224" t="s">
        <v>5920</v>
      </c>
      <c r="I2224">
        <v>6.4</v>
      </c>
      <c r="J2224">
        <v>30.007999999999999</v>
      </c>
      <c r="K2224" t="str">
        <f>"HLA-DRB1;HLA-DRB5"</f>
        <v>HLA-DRB1;HLA-DRB5</v>
      </c>
      <c r="L2224" t="str">
        <f>"HLA-DRB1;HLA-DRB5"</f>
        <v>HLA-DRB1;HLA-DRB5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</row>
    <row r="2225" spans="1:24">
      <c r="A2225">
        <v>492</v>
      </c>
      <c r="B2225" t="s">
        <v>5921</v>
      </c>
      <c r="C2225">
        <v>1</v>
      </c>
      <c r="D2225" t="s">
        <v>5922</v>
      </c>
      <c r="E2225">
        <v>26</v>
      </c>
      <c r="F2225">
        <v>1</v>
      </c>
      <c r="G2225">
        <v>1</v>
      </c>
      <c r="H2225" t="s">
        <v>5921</v>
      </c>
      <c r="I2225">
        <v>45.6</v>
      </c>
      <c r="J2225">
        <v>76.867999999999995</v>
      </c>
      <c r="K2225" t="str">
        <f>"PRKCB"</f>
        <v>PRKCB</v>
      </c>
      <c r="L2225" t="str">
        <f>"PRKCB"</f>
        <v>PRKCB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</row>
    <row r="2226" spans="1:24">
      <c r="A2226">
        <v>514</v>
      </c>
      <c r="B2226" t="s">
        <v>5923</v>
      </c>
      <c r="C2226">
        <v>1</v>
      </c>
      <c r="D2226" t="s">
        <v>5924</v>
      </c>
      <c r="E2226">
        <v>25</v>
      </c>
      <c r="F2226">
        <v>1</v>
      </c>
      <c r="G2226">
        <v>1</v>
      </c>
      <c r="H2226" t="s">
        <v>5923</v>
      </c>
      <c r="I2226">
        <v>46</v>
      </c>
      <c r="J2226">
        <v>32.950000000000003</v>
      </c>
      <c r="K2226" t="str">
        <f>"TPM3"</f>
        <v>TPM3</v>
      </c>
      <c r="L2226" t="str">
        <f>"TPM3"</f>
        <v>TPM3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15874000</v>
      </c>
      <c r="X2226">
        <v>0</v>
      </c>
    </row>
    <row r="2227" spans="1:24">
      <c r="A2227">
        <v>518</v>
      </c>
      <c r="B2227" t="s">
        <v>5925</v>
      </c>
      <c r="C2227">
        <v>6</v>
      </c>
      <c r="D2227" t="s">
        <v>5926</v>
      </c>
      <c r="E2227">
        <v>7</v>
      </c>
      <c r="F2227">
        <v>1</v>
      </c>
      <c r="G2227">
        <v>1</v>
      </c>
      <c r="H2227" t="s">
        <v>5927</v>
      </c>
      <c r="I2227">
        <v>53.2</v>
      </c>
      <c r="J2227">
        <v>13.92</v>
      </c>
      <c r="K2227" t="str">
        <f>"HIST2H2BE;HIST1H2BB;HIST1H2BO;HIST1H2BJ;HIST2H2BD;HIST2H2BC"</f>
        <v>HIST2H2BE;HIST1H2BB;HIST1H2BO;HIST1H2BJ;HIST2H2BD;HIST2H2BC</v>
      </c>
      <c r="L2227" t="str">
        <f>"HIST2H2BE;HIST1H2BB;HIST1H2BO;HIST1H2BJ;HIST2H2BD;HIST2H2BC"</f>
        <v>HIST2H2BE;HIST1H2BB;HIST1H2BO;HIST1H2BJ;HIST2H2BD;HIST2H2BC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</row>
    <row r="2228" spans="1:24">
      <c r="A2228">
        <v>541</v>
      </c>
      <c r="B2228" t="s">
        <v>5928</v>
      </c>
      <c r="C2228">
        <v>1</v>
      </c>
      <c r="D2228" t="s">
        <v>5929</v>
      </c>
      <c r="E2228">
        <v>24</v>
      </c>
      <c r="F2228">
        <v>1</v>
      </c>
      <c r="G2228">
        <v>1</v>
      </c>
      <c r="H2228" t="s">
        <v>5928</v>
      </c>
      <c r="I2228">
        <v>53.5</v>
      </c>
      <c r="J2228">
        <v>58.573</v>
      </c>
      <c r="K2228" t="str">
        <f>"LYN"</f>
        <v>LYN</v>
      </c>
      <c r="L2228" t="str">
        <f>"LYN"</f>
        <v>LYN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</row>
    <row r="2229" spans="1:24">
      <c r="A2229">
        <v>640</v>
      </c>
      <c r="B2229" t="s">
        <v>5930</v>
      </c>
      <c r="C2229">
        <v>5</v>
      </c>
      <c r="D2229" t="s">
        <v>5931</v>
      </c>
      <c r="E2229">
        <v>1</v>
      </c>
      <c r="F2229">
        <v>1</v>
      </c>
      <c r="G2229">
        <v>1</v>
      </c>
      <c r="H2229" t="s">
        <v>5932</v>
      </c>
      <c r="I2229">
        <v>4.8</v>
      </c>
      <c r="J2229">
        <v>37.216000000000001</v>
      </c>
      <c r="K2229" t="str">
        <f>"PSG2;PSG1"</f>
        <v>PSG2;PSG1</v>
      </c>
      <c r="L2229" t="str">
        <f>"PSG2;PSG1"</f>
        <v>PSG2;PSG1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</row>
    <row r="2230" spans="1:24">
      <c r="A2230">
        <v>680</v>
      </c>
      <c r="B2230" t="s">
        <v>5933</v>
      </c>
      <c r="C2230">
        <v>1</v>
      </c>
      <c r="D2230" t="s">
        <v>5934</v>
      </c>
      <c r="E2230">
        <v>2</v>
      </c>
      <c r="F2230">
        <v>2</v>
      </c>
      <c r="G2230">
        <v>2</v>
      </c>
      <c r="H2230" t="s">
        <v>5933</v>
      </c>
      <c r="I2230">
        <v>3.6</v>
      </c>
      <c r="J2230">
        <v>61.377000000000002</v>
      </c>
      <c r="K2230" t="str">
        <f>"PRF1"</f>
        <v>PRF1</v>
      </c>
      <c r="L2230" t="str">
        <f>"PRF1"</f>
        <v>PRF1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</row>
    <row r="2231" spans="1:24">
      <c r="A2231">
        <v>705</v>
      </c>
      <c r="B2231" t="s">
        <v>5935</v>
      </c>
      <c r="C2231">
        <v>2</v>
      </c>
      <c r="D2231" t="s">
        <v>5936</v>
      </c>
      <c r="E2231">
        <v>11</v>
      </c>
      <c r="F2231">
        <v>1</v>
      </c>
      <c r="G2231">
        <v>1</v>
      </c>
      <c r="H2231" t="s">
        <v>5937</v>
      </c>
      <c r="I2231">
        <v>70.400000000000006</v>
      </c>
      <c r="J2231">
        <v>17.149000000000001</v>
      </c>
      <c r="K2231" t="str">
        <f>"NME1"</f>
        <v>NME1</v>
      </c>
      <c r="L2231" t="str">
        <f>"NME1"</f>
        <v>NME1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</row>
    <row r="2232" spans="1:24">
      <c r="A2232">
        <v>714</v>
      </c>
      <c r="B2232" t="s">
        <v>5938</v>
      </c>
      <c r="C2232">
        <v>1</v>
      </c>
      <c r="D2232" t="s">
        <v>5939</v>
      </c>
      <c r="E2232">
        <v>17</v>
      </c>
      <c r="F2232">
        <v>1</v>
      </c>
      <c r="G2232">
        <v>0</v>
      </c>
      <c r="H2232" t="s">
        <v>5938</v>
      </c>
      <c r="I2232">
        <v>50.1</v>
      </c>
      <c r="J2232">
        <v>40.890999999999998</v>
      </c>
      <c r="K2232" t="str">
        <f>"HLA-A"</f>
        <v>HLA-A</v>
      </c>
      <c r="L2232" t="str">
        <f>"HLA-A"</f>
        <v>HLA-A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18491000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</row>
    <row r="2233" spans="1:24">
      <c r="A2233">
        <v>718</v>
      </c>
      <c r="B2233" t="s">
        <v>5940</v>
      </c>
      <c r="C2233">
        <v>2</v>
      </c>
      <c r="D2233" t="s">
        <v>5941</v>
      </c>
      <c r="E2233">
        <v>1</v>
      </c>
      <c r="F2233">
        <v>1</v>
      </c>
      <c r="G2233">
        <v>1</v>
      </c>
      <c r="H2233" t="s">
        <v>5942</v>
      </c>
      <c r="I2233">
        <v>4.2</v>
      </c>
      <c r="J2233">
        <v>40.965000000000003</v>
      </c>
      <c r="K2233" t="str">
        <f>"KCNA2"</f>
        <v>KCNA2</v>
      </c>
      <c r="L2233" t="str">
        <f>"KCNA2"</f>
        <v>KCNA2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33589000</v>
      </c>
      <c r="T2233">
        <v>0</v>
      </c>
      <c r="U2233">
        <v>0</v>
      </c>
      <c r="V2233">
        <v>0</v>
      </c>
      <c r="W2233">
        <v>0</v>
      </c>
      <c r="X2233">
        <v>0</v>
      </c>
    </row>
    <row r="2234" spans="1:24">
      <c r="A2234">
        <v>794</v>
      </c>
      <c r="B2234" t="s">
        <v>5943</v>
      </c>
      <c r="C2234">
        <v>2</v>
      </c>
      <c r="D2234" t="s">
        <v>5944</v>
      </c>
      <c r="E2234">
        <v>1</v>
      </c>
      <c r="F2234">
        <v>1</v>
      </c>
      <c r="G2234">
        <v>1</v>
      </c>
      <c r="H2234" t="s">
        <v>5945</v>
      </c>
      <c r="I2234">
        <v>1.9</v>
      </c>
      <c r="J2234">
        <v>47.862000000000002</v>
      </c>
      <c r="K2234" t="str">
        <f>"FECH"</f>
        <v>FECH</v>
      </c>
      <c r="L2234" t="str">
        <f>"FECH"</f>
        <v>FECH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</row>
    <row r="2235" spans="1:24">
      <c r="A2235">
        <v>801</v>
      </c>
      <c r="B2235" t="s">
        <v>5946</v>
      </c>
      <c r="C2235">
        <v>2</v>
      </c>
      <c r="D2235" t="s">
        <v>5947</v>
      </c>
      <c r="E2235">
        <v>1</v>
      </c>
      <c r="F2235">
        <v>1</v>
      </c>
      <c r="G2235">
        <v>1</v>
      </c>
      <c r="H2235" t="s">
        <v>5948</v>
      </c>
      <c r="I2235">
        <v>2.5</v>
      </c>
      <c r="J2235">
        <v>72.262</v>
      </c>
      <c r="K2235" t="str">
        <f>"SFPQ"</f>
        <v>SFPQ</v>
      </c>
      <c r="L2235" t="str">
        <f>"SFPQ"</f>
        <v>SFPQ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36617000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</row>
    <row r="2236" spans="1:24">
      <c r="A2236">
        <v>809</v>
      </c>
      <c r="B2236" t="s">
        <v>5949</v>
      </c>
      <c r="C2236">
        <v>5</v>
      </c>
      <c r="D2236" t="s">
        <v>5950</v>
      </c>
      <c r="E2236">
        <v>1</v>
      </c>
      <c r="F2236">
        <v>1</v>
      </c>
      <c r="G2236">
        <v>1</v>
      </c>
      <c r="H2236" t="s">
        <v>5951</v>
      </c>
      <c r="I2236">
        <v>8.1</v>
      </c>
      <c r="J2236">
        <v>27.818000000000001</v>
      </c>
      <c r="K2236" t="str">
        <f>"BDNF"</f>
        <v>BDNF</v>
      </c>
      <c r="L2236" t="str">
        <f>"BDNF"</f>
        <v>BDNF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</row>
    <row r="2237" spans="1:24">
      <c r="A2237">
        <v>830</v>
      </c>
      <c r="B2237" t="s">
        <v>5952</v>
      </c>
      <c r="C2237">
        <v>1</v>
      </c>
      <c r="D2237" t="s">
        <v>5953</v>
      </c>
      <c r="E2237">
        <v>1</v>
      </c>
      <c r="F2237">
        <v>1</v>
      </c>
      <c r="G2237">
        <v>1</v>
      </c>
      <c r="H2237" t="s">
        <v>5952</v>
      </c>
      <c r="I2237">
        <v>13.7</v>
      </c>
      <c r="J2237">
        <v>10.4</v>
      </c>
      <c r="K2237" t="str">
        <f>"S100P"</f>
        <v>S100P</v>
      </c>
      <c r="L2237" t="str">
        <f>"S100P"</f>
        <v>S100P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</row>
    <row r="2238" spans="1:24">
      <c r="A2238">
        <v>877</v>
      </c>
      <c r="B2238" t="s">
        <v>5954</v>
      </c>
      <c r="C2238">
        <v>2</v>
      </c>
      <c r="D2238" t="s">
        <v>5955</v>
      </c>
      <c r="E2238">
        <v>1</v>
      </c>
      <c r="F2238">
        <v>1</v>
      </c>
      <c r="G2238">
        <v>1</v>
      </c>
      <c r="H2238" t="s">
        <v>5956</v>
      </c>
      <c r="I2238">
        <v>5</v>
      </c>
      <c r="J2238">
        <v>31.408999999999999</v>
      </c>
      <c r="K2238" t="str">
        <f>"PBLD"</f>
        <v>PBLD</v>
      </c>
      <c r="L2238" t="str">
        <f>"PBLD"</f>
        <v>PBLD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4006800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</row>
    <row r="2239" spans="1:24">
      <c r="A2239">
        <v>885</v>
      </c>
      <c r="B2239" t="s">
        <v>5957</v>
      </c>
      <c r="C2239">
        <v>2</v>
      </c>
      <c r="D2239" t="s">
        <v>5958</v>
      </c>
      <c r="E2239">
        <v>2</v>
      </c>
      <c r="F2239">
        <v>2</v>
      </c>
      <c r="G2239">
        <v>2</v>
      </c>
      <c r="H2239" t="s">
        <v>5959</v>
      </c>
      <c r="I2239">
        <v>14.5</v>
      </c>
      <c r="J2239">
        <v>17.818000000000001</v>
      </c>
      <c r="K2239" t="str">
        <f>"RPL12"</f>
        <v>RPL12</v>
      </c>
      <c r="L2239" t="str">
        <f>"RPL12"</f>
        <v>RPL12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</row>
    <row r="2240" spans="1:24">
      <c r="A2240">
        <v>909</v>
      </c>
      <c r="B2240" t="s">
        <v>5960</v>
      </c>
      <c r="C2240">
        <v>1</v>
      </c>
      <c r="D2240" t="s">
        <v>5961</v>
      </c>
      <c r="E2240">
        <v>14</v>
      </c>
      <c r="F2240">
        <v>1</v>
      </c>
      <c r="G2240">
        <v>0</v>
      </c>
      <c r="H2240" t="s">
        <v>5960</v>
      </c>
      <c r="I2240">
        <v>37.4</v>
      </c>
      <c r="J2240">
        <v>40.963999999999999</v>
      </c>
      <c r="K2240" t="str">
        <f>"HLA-C"</f>
        <v>HLA-C</v>
      </c>
      <c r="L2240" t="str">
        <f>"HLA-C"</f>
        <v>HLA-C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</row>
    <row r="2241" spans="1:24">
      <c r="A2241">
        <v>920</v>
      </c>
      <c r="B2241" t="s">
        <v>5962</v>
      </c>
      <c r="C2241">
        <v>3</v>
      </c>
      <c r="D2241" t="s">
        <v>5963</v>
      </c>
      <c r="E2241">
        <v>3</v>
      </c>
      <c r="F2241">
        <v>3</v>
      </c>
      <c r="G2241">
        <v>3</v>
      </c>
      <c r="H2241" t="s">
        <v>5964</v>
      </c>
      <c r="I2241">
        <v>13.7</v>
      </c>
      <c r="J2241">
        <v>32.963999999999999</v>
      </c>
      <c r="K2241" t="str">
        <f>"MAT2A;MAT1A"</f>
        <v>MAT2A;MAT1A</v>
      </c>
      <c r="L2241" t="str">
        <f>"MAT2A;MAT1A"</f>
        <v>MAT2A;MAT1A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</row>
    <row r="2242" spans="1:24">
      <c r="A2242">
        <v>956</v>
      </c>
      <c r="B2242" t="s">
        <v>5965</v>
      </c>
      <c r="C2242">
        <v>1</v>
      </c>
      <c r="D2242" t="s">
        <v>5966</v>
      </c>
      <c r="E2242">
        <v>1</v>
      </c>
      <c r="F2242">
        <v>1</v>
      </c>
      <c r="G2242">
        <v>1</v>
      </c>
      <c r="H2242" t="s">
        <v>5965</v>
      </c>
      <c r="I2242">
        <v>15.7</v>
      </c>
      <c r="J2242">
        <v>13.569000000000001</v>
      </c>
      <c r="K2242" t="str">
        <f>"RPA3"</f>
        <v>RPA3</v>
      </c>
      <c r="L2242" t="str">
        <f>"RPA3"</f>
        <v>RPA3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7541100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</row>
    <row r="2243" spans="1:24">
      <c r="A2243">
        <v>963</v>
      </c>
      <c r="B2243" t="s">
        <v>5967</v>
      </c>
      <c r="C2243">
        <v>1</v>
      </c>
      <c r="D2243" t="s">
        <v>5968</v>
      </c>
      <c r="E2243">
        <v>160</v>
      </c>
      <c r="F2243">
        <v>1</v>
      </c>
      <c r="G2243">
        <v>1</v>
      </c>
      <c r="H2243" t="s">
        <v>5967</v>
      </c>
      <c r="I2243">
        <v>77.599999999999994</v>
      </c>
      <c r="J2243">
        <v>159.86000000000001</v>
      </c>
      <c r="K2243" t="str">
        <f>"MYH9"</f>
        <v>MYH9</v>
      </c>
      <c r="L2243" t="str">
        <f>"MYH9"</f>
        <v>MYH9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105050000</v>
      </c>
    </row>
    <row r="2244" spans="1:24">
      <c r="A2244">
        <v>1033</v>
      </c>
      <c r="B2244" t="s">
        <v>5969</v>
      </c>
      <c r="C2244">
        <v>2</v>
      </c>
      <c r="D2244" t="s">
        <v>5970</v>
      </c>
      <c r="E2244">
        <v>1</v>
      </c>
      <c r="F2244">
        <v>1</v>
      </c>
      <c r="G2244">
        <v>1</v>
      </c>
      <c r="H2244" t="s">
        <v>5971</v>
      </c>
      <c r="I2244">
        <v>3.4</v>
      </c>
      <c r="J2244">
        <v>62.575000000000003</v>
      </c>
      <c r="K2244" t="str">
        <f>"MATR3"</f>
        <v>MATR3</v>
      </c>
      <c r="L2244" t="str">
        <f>"MATR3"</f>
        <v>MATR3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29565000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</row>
    <row r="2245" spans="1:24">
      <c r="A2245">
        <v>1034</v>
      </c>
      <c r="B2245" t="s">
        <v>5972</v>
      </c>
      <c r="C2245">
        <v>4</v>
      </c>
      <c r="D2245" t="s">
        <v>5973</v>
      </c>
      <c r="E2245">
        <v>2</v>
      </c>
      <c r="F2245">
        <v>2</v>
      </c>
      <c r="G2245">
        <v>2</v>
      </c>
      <c r="H2245" t="s">
        <v>5974</v>
      </c>
      <c r="I2245">
        <v>4.4000000000000004</v>
      </c>
      <c r="J2245">
        <v>58.912999999999997</v>
      </c>
      <c r="K2245" t="str">
        <f>"BTD"</f>
        <v>BTD</v>
      </c>
      <c r="L2245" t="str">
        <f>"BTD"</f>
        <v>BTD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</row>
    <row r="2246" spans="1:24">
      <c r="A2246">
        <v>1083</v>
      </c>
      <c r="B2246" t="s">
        <v>5975</v>
      </c>
      <c r="C2246">
        <v>1</v>
      </c>
      <c r="D2246" t="s">
        <v>5976</v>
      </c>
      <c r="E2246">
        <v>1</v>
      </c>
      <c r="F2246">
        <v>1</v>
      </c>
      <c r="G2246">
        <v>1</v>
      </c>
      <c r="H2246" t="s">
        <v>5975</v>
      </c>
      <c r="I2246">
        <v>3</v>
      </c>
      <c r="J2246">
        <v>60.22</v>
      </c>
      <c r="K2246" t="str">
        <f>"FMO5"</f>
        <v>FMO5</v>
      </c>
      <c r="L2246" t="str">
        <f>"FMO5"</f>
        <v>FMO5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</row>
    <row r="2247" spans="1:24">
      <c r="A2247">
        <v>1127</v>
      </c>
      <c r="B2247" t="s">
        <v>5977</v>
      </c>
      <c r="C2247">
        <v>1</v>
      </c>
      <c r="D2247" t="s">
        <v>5978</v>
      </c>
      <c r="E2247">
        <v>5</v>
      </c>
      <c r="F2247">
        <v>2</v>
      </c>
      <c r="G2247">
        <v>2</v>
      </c>
      <c r="H2247" t="s">
        <v>5977</v>
      </c>
      <c r="I2247">
        <v>23.2</v>
      </c>
      <c r="J2247">
        <v>22.774000000000001</v>
      </c>
      <c r="K2247" t="str">
        <f>"RAB13"</f>
        <v>RAB13</v>
      </c>
      <c r="L2247" t="str">
        <f>"RAB13"</f>
        <v>RAB13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</row>
    <row r="2248" spans="1:24">
      <c r="A2248">
        <v>1144</v>
      </c>
      <c r="B2248" t="s">
        <v>5979</v>
      </c>
      <c r="C2248">
        <v>2</v>
      </c>
      <c r="D2248" t="s">
        <v>5980</v>
      </c>
      <c r="E2248">
        <v>1</v>
      </c>
      <c r="F2248">
        <v>1</v>
      </c>
      <c r="G2248">
        <v>1</v>
      </c>
      <c r="H2248" t="s">
        <v>5981</v>
      </c>
      <c r="I2248">
        <v>6.9</v>
      </c>
      <c r="J2248">
        <v>31.055</v>
      </c>
      <c r="K2248" t="str">
        <f>"CNN1"</f>
        <v>CNN1</v>
      </c>
      <c r="L2248" t="str">
        <f>"CNN1"</f>
        <v>CNN1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</row>
    <row r="2249" spans="1:24">
      <c r="A2249">
        <v>1156</v>
      </c>
      <c r="B2249" t="s">
        <v>5982</v>
      </c>
      <c r="C2249">
        <v>1</v>
      </c>
      <c r="D2249" t="s">
        <v>5983</v>
      </c>
      <c r="E2249">
        <v>1</v>
      </c>
      <c r="F2249">
        <v>1</v>
      </c>
      <c r="G2249">
        <v>1</v>
      </c>
      <c r="H2249" t="s">
        <v>5982</v>
      </c>
      <c r="I2249">
        <v>6.1</v>
      </c>
      <c r="J2249">
        <v>21.347999999999999</v>
      </c>
      <c r="K2249" t="str">
        <f>"MRPL12"</f>
        <v>MRPL12</v>
      </c>
      <c r="L2249" t="str">
        <f>"MRPL12"</f>
        <v>MRPL12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</row>
    <row r="2250" spans="1:24">
      <c r="A2250">
        <v>1164</v>
      </c>
      <c r="B2250" t="s">
        <v>5984</v>
      </c>
      <c r="C2250">
        <v>1</v>
      </c>
      <c r="D2250" t="s">
        <v>5985</v>
      </c>
      <c r="E2250">
        <v>2</v>
      </c>
      <c r="F2250">
        <v>2</v>
      </c>
      <c r="G2250">
        <v>2</v>
      </c>
      <c r="H2250" t="s">
        <v>5984</v>
      </c>
      <c r="I2250">
        <v>6.6</v>
      </c>
      <c r="J2250">
        <v>36.923999999999999</v>
      </c>
      <c r="K2250" t="str">
        <f>"RABGGTB"</f>
        <v>RABGGTB</v>
      </c>
      <c r="L2250" t="str">
        <f>"RABGGTB"</f>
        <v>RABGGTB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2756900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</row>
    <row r="2251" spans="1:24">
      <c r="A2251">
        <v>1189</v>
      </c>
      <c r="B2251" t="s">
        <v>5986</v>
      </c>
      <c r="C2251">
        <v>1</v>
      </c>
      <c r="D2251" t="s">
        <v>5987</v>
      </c>
      <c r="E2251">
        <v>1</v>
      </c>
      <c r="F2251">
        <v>1</v>
      </c>
      <c r="G2251">
        <v>1</v>
      </c>
      <c r="H2251" t="s">
        <v>5986</v>
      </c>
      <c r="I2251">
        <v>2.6</v>
      </c>
      <c r="J2251">
        <v>38.237000000000002</v>
      </c>
      <c r="K2251" t="str">
        <f>"INHBC"</f>
        <v>INHBC</v>
      </c>
      <c r="L2251" t="str">
        <f>"INHBC"</f>
        <v>INHBC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</row>
    <row r="2252" spans="1:24">
      <c r="A2252">
        <v>1220</v>
      </c>
      <c r="B2252" t="s">
        <v>5988</v>
      </c>
      <c r="C2252">
        <v>2</v>
      </c>
      <c r="D2252" t="s">
        <v>5989</v>
      </c>
      <c r="E2252">
        <v>1</v>
      </c>
      <c r="F2252">
        <v>1</v>
      </c>
      <c r="G2252">
        <v>1</v>
      </c>
      <c r="H2252" t="s">
        <v>5990</v>
      </c>
      <c r="I2252">
        <v>10.1</v>
      </c>
      <c r="J2252">
        <v>13.372999999999999</v>
      </c>
      <c r="K2252" t="str">
        <f>"RPS20"</f>
        <v>RPS20</v>
      </c>
      <c r="L2252" t="str">
        <f>"RPS20"</f>
        <v>RPS20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25187000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</row>
    <row r="2253" spans="1:24">
      <c r="A2253">
        <v>1251</v>
      </c>
      <c r="B2253" t="s">
        <v>5991</v>
      </c>
      <c r="C2253">
        <v>1</v>
      </c>
      <c r="D2253" t="s">
        <v>5992</v>
      </c>
      <c r="E2253">
        <v>1</v>
      </c>
      <c r="F2253">
        <v>1</v>
      </c>
      <c r="G2253">
        <v>1</v>
      </c>
      <c r="H2253" t="s">
        <v>5991</v>
      </c>
      <c r="I2253">
        <v>3.9</v>
      </c>
      <c r="J2253">
        <v>36.588000000000001</v>
      </c>
      <c r="K2253" t="str">
        <f>"WDR5"</f>
        <v>WDR5</v>
      </c>
      <c r="L2253" t="str">
        <f>"WDR5"</f>
        <v>WDR5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</row>
    <row r="2254" spans="1:24">
      <c r="A2254">
        <v>1278</v>
      </c>
      <c r="B2254" t="s">
        <v>5993</v>
      </c>
      <c r="C2254">
        <v>1</v>
      </c>
      <c r="D2254" t="s">
        <v>5994</v>
      </c>
      <c r="E2254">
        <v>10</v>
      </c>
      <c r="F2254">
        <v>1</v>
      </c>
      <c r="G2254">
        <v>1</v>
      </c>
      <c r="H2254" t="s">
        <v>5993</v>
      </c>
      <c r="I2254">
        <v>83.8</v>
      </c>
      <c r="J2254">
        <v>11.417999999999999</v>
      </c>
      <c r="K2254" t="str">
        <f>"PPIA"</f>
        <v>PPIA</v>
      </c>
      <c r="L2254" t="str">
        <f>"PPIA"</f>
        <v>PPIA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</row>
    <row r="2255" spans="1:24">
      <c r="A2255">
        <v>1284</v>
      </c>
      <c r="B2255" t="s">
        <v>5995</v>
      </c>
      <c r="C2255">
        <v>2</v>
      </c>
      <c r="D2255" t="s">
        <v>5996</v>
      </c>
      <c r="E2255">
        <v>8</v>
      </c>
      <c r="F2255">
        <v>1</v>
      </c>
      <c r="G2255">
        <v>1</v>
      </c>
      <c r="H2255" t="s">
        <v>5997</v>
      </c>
      <c r="I2255">
        <v>22.3</v>
      </c>
      <c r="J2255">
        <v>40.360999999999997</v>
      </c>
      <c r="K2255" t="str">
        <f>"GNAI1"</f>
        <v>GNAI1</v>
      </c>
      <c r="L2255" t="str">
        <f>"GNAI1"</f>
        <v>GNAI1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12441000</v>
      </c>
    </row>
    <row r="2256" spans="1:24">
      <c r="A2256">
        <v>1285</v>
      </c>
      <c r="B2256" t="s">
        <v>5998</v>
      </c>
      <c r="C2256">
        <v>1</v>
      </c>
      <c r="D2256" t="s">
        <v>5999</v>
      </c>
      <c r="E2256">
        <v>1</v>
      </c>
      <c r="F2256">
        <v>1</v>
      </c>
      <c r="G2256">
        <v>1</v>
      </c>
      <c r="H2256" t="s">
        <v>5998</v>
      </c>
      <c r="I2256">
        <v>10.6</v>
      </c>
      <c r="J2256">
        <v>19.3</v>
      </c>
      <c r="K2256" t="str">
        <f>"PPP3R1"</f>
        <v>PPP3R1</v>
      </c>
      <c r="L2256" t="str">
        <f>"PPP3R1"</f>
        <v>PPP3R1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</row>
    <row r="2257" spans="1:24">
      <c r="A2257">
        <v>1295</v>
      </c>
      <c r="B2257" t="s">
        <v>6000</v>
      </c>
      <c r="C2257">
        <v>1</v>
      </c>
      <c r="D2257" t="s">
        <v>6001</v>
      </c>
      <c r="E2257">
        <v>1</v>
      </c>
      <c r="F2257">
        <v>1</v>
      </c>
      <c r="G2257">
        <v>1</v>
      </c>
      <c r="H2257" t="s">
        <v>6000</v>
      </c>
      <c r="I2257">
        <v>7.4</v>
      </c>
      <c r="J2257">
        <v>35.923999999999999</v>
      </c>
      <c r="K2257" t="str">
        <f>"YBX1"</f>
        <v>YBX1</v>
      </c>
      <c r="L2257" t="str">
        <f>"YBX1"</f>
        <v>YBX1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</row>
    <row r="2258" spans="1:24">
      <c r="A2258">
        <v>1303</v>
      </c>
      <c r="B2258" t="s">
        <v>6002</v>
      </c>
      <c r="C2258">
        <v>1</v>
      </c>
      <c r="D2258" t="s">
        <v>6003</v>
      </c>
      <c r="E2258">
        <v>33</v>
      </c>
      <c r="F2258">
        <v>1</v>
      </c>
      <c r="G2258">
        <v>1</v>
      </c>
      <c r="H2258" t="s">
        <v>6002</v>
      </c>
      <c r="I2258">
        <v>49.3</v>
      </c>
      <c r="J2258">
        <v>42.051000000000002</v>
      </c>
      <c r="K2258" t="str">
        <f>"ACTA1"</f>
        <v>ACTA1</v>
      </c>
      <c r="L2258" t="str">
        <f>"ACTA1"</f>
        <v>ACTA1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</row>
    <row r="2259" spans="1:24">
      <c r="A2259">
        <v>1321</v>
      </c>
      <c r="B2259" t="s">
        <v>6004</v>
      </c>
      <c r="C2259">
        <v>2</v>
      </c>
      <c r="D2259" t="s">
        <v>6005</v>
      </c>
      <c r="E2259">
        <v>1</v>
      </c>
      <c r="F2259">
        <v>1</v>
      </c>
      <c r="G2259">
        <v>1</v>
      </c>
      <c r="H2259" t="s">
        <v>6006</v>
      </c>
      <c r="I2259">
        <v>12.1</v>
      </c>
      <c r="J2259">
        <v>17.664000000000001</v>
      </c>
      <c r="K2259" t="str">
        <f>"BASP1"</f>
        <v>BASP1</v>
      </c>
      <c r="L2259" t="str">
        <f>"BASP1"</f>
        <v>BASP1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</row>
    <row r="2260" spans="1:24">
      <c r="A2260">
        <v>1354</v>
      </c>
      <c r="B2260" t="s">
        <v>6007</v>
      </c>
      <c r="C2260">
        <v>1</v>
      </c>
      <c r="D2260" t="s">
        <v>6008</v>
      </c>
      <c r="E2260">
        <v>2</v>
      </c>
      <c r="F2260">
        <v>2</v>
      </c>
      <c r="G2260">
        <v>2</v>
      </c>
      <c r="H2260" t="s">
        <v>6007</v>
      </c>
      <c r="I2260">
        <v>3.3</v>
      </c>
      <c r="J2260">
        <v>113.75</v>
      </c>
      <c r="K2260" t="str">
        <f>"DSG1"</f>
        <v>DSG1</v>
      </c>
      <c r="L2260" t="str">
        <f>"DSG1"</f>
        <v>DSG1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47160000</v>
      </c>
    </row>
    <row r="2261" spans="1:24">
      <c r="A2261">
        <v>1358</v>
      </c>
      <c r="B2261" t="s">
        <v>6009</v>
      </c>
      <c r="C2261">
        <v>2</v>
      </c>
      <c r="D2261" t="s">
        <v>6010</v>
      </c>
      <c r="E2261">
        <v>4</v>
      </c>
      <c r="F2261">
        <v>1</v>
      </c>
      <c r="G2261">
        <v>1</v>
      </c>
      <c r="H2261" t="s">
        <v>6011</v>
      </c>
      <c r="I2261">
        <v>21</v>
      </c>
      <c r="J2261">
        <v>22.829000000000001</v>
      </c>
      <c r="K2261" t="str">
        <f>"GSTM4"</f>
        <v>GSTM4</v>
      </c>
      <c r="L2261" t="str">
        <f>"GSTM4"</f>
        <v>GSTM4</v>
      </c>
      <c r="M2261">
        <v>0</v>
      </c>
      <c r="N2261">
        <v>20706000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</row>
    <row r="2262" spans="1:24">
      <c r="A2262">
        <v>1391</v>
      </c>
      <c r="B2262" t="s">
        <v>6012</v>
      </c>
      <c r="C2262">
        <v>3</v>
      </c>
      <c r="D2262" t="s">
        <v>6013</v>
      </c>
      <c r="E2262">
        <v>2</v>
      </c>
      <c r="F2262">
        <v>2</v>
      </c>
      <c r="G2262">
        <v>2</v>
      </c>
      <c r="H2262" t="s">
        <v>6014</v>
      </c>
      <c r="I2262">
        <v>10.5</v>
      </c>
      <c r="J2262">
        <v>31.527999999999999</v>
      </c>
      <c r="K2262" t="str">
        <f>"CRYZ"</f>
        <v>CRYZ</v>
      </c>
      <c r="L2262" t="str">
        <f>"CRYZ"</f>
        <v>CRYZ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21809000</v>
      </c>
    </row>
    <row r="2263" spans="1:24">
      <c r="A2263">
        <v>1394</v>
      </c>
      <c r="B2263" t="s">
        <v>6015</v>
      </c>
      <c r="C2263">
        <v>4</v>
      </c>
      <c r="D2263" t="s">
        <v>6016</v>
      </c>
      <c r="E2263">
        <v>1</v>
      </c>
      <c r="F2263">
        <v>1</v>
      </c>
      <c r="G2263">
        <v>1</v>
      </c>
      <c r="H2263" t="s">
        <v>6017</v>
      </c>
      <c r="I2263">
        <v>6.5</v>
      </c>
      <c r="J2263">
        <v>20.527999999999999</v>
      </c>
      <c r="K2263" t="str">
        <f>"HDHD1"</f>
        <v>HDHD1</v>
      </c>
      <c r="L2263" t="str">
        <f>"PUDP"</f>
        <v>PUDP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</row>
    <row r="2264" spans="1:24">
      <c r="A2264">
        <v>1400</v>
      </c>
      <c r="B2264" t="s">
        <v>6018</v>
      </c>
      <c r="C2264">
        <v>4</v>
      </c>
      <c r="D2264" t="s">
        <v>6019</v>
      </c>
      <c r="E2264">
        <v>1</v>
      </c>
      <c r="F2264">
        <v>1</v>
      </c>
      <c r="G2264">
        <v>1</v>
      </c>
      <c r="H2264" t="s">
        <v>6020</v>
      </c>
      <c r="I2264">
        <v>2.2000000000000002</v>
      </c>
      <c r="J2264">
        <v>66.334999999999994</v>
      </c>
      <c r="K2264" t="str">
        <f>"APOBR"</f>
        <v>APOBR</v>
      </c>
      <c r="L2264" t="str">
        <f>"APOBR"</f>
        <v>APOBR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</row>
    <row r="2265" spans="1:24">
      <c r="A2265">
        <v>1405</v>
      </c>
      <c r="B2265" t="s">
        <v>6021</v>
      </c>
      <c r="C2265">
        <v>2</v>
      </c>
      <c r="D2265" t="s">
        <v>6022</v>
      </c>
      <c r="E2265">
        <v>29</v>
      </c>
      <c r="F2265">
        <v>1</v>
      </c>
      <c r="G2265">
        <v>1</v>
      </c>
      <c r="H2265" t="s">
        <v>6023</v>
      </c>
      <c r="I2265">
        <v>31.8</v>
      </c>
      <c r="J2265">
        <v>103.56</v>
      </c>
      <c r="K2265" t="str">
        <f>"AP1B1"</f>
        <v>AP1B1</v>
      </c>
      <c r="L2265" t="str">
        <f>"AP1B1"</f>
        <v>AP1B1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</row>
    <row r="2266" spans="1:24">
      <c r="A2266">
        <v>1439</v>
      </c>
      <c r="B2266" t="s">
        <v>6024</v>
      </c>
      <c r="C2266">
        <v>2</v>
      </c>
      <c r="D2266" t="s">
        <v>6025</v>
      </c>
      <c r="E2266">
        <v>1</v>
      </c>
      <c r="F2266">
        <v>1</v>
      </c>
      <c r="G2266">
        <v>1</v>
      </c>
      <c r="H2266" t="s">
        <v>6026</v>
      </c>
      <c r="I2266">
        <v>3.5</v>
      </c>
      <c r="J2266">
        <v>50.518999999999998</v>
      </c>
      <c r="K2266" t="str">
        <f>"IFIT5"</f>
        <v>IFIT5</v>
      </c>
      <c r="L2266" t="str">
        <f>"IFIT5"</f>
        <v>IFIT5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</row>
    <row r="2267" spans="1:24">
      <c r="A2267">
        <v>1451</v>
      </c>
      <c r="B2267" t="s">
        <v>6027</v>
      </c>
      <c r="C2267">
        <v>2</v>
      </c>
      <c r="D2267" t="s">
        <v>6028</v>
      </c>
      <c r="E2267">
        <v>15</v>
      </c>
      <c r="F2267">
        <v>1</v>
      </c>
      <c r="G2267">
        <v>0</v>
      </c>
      <c r="H2267" t="s">
        <v>6029</v>
      </c>
      <c r="I2267">
        <v>29.8</v>
      </c>
      <c r="J2267">
        <v>50.432000000000002</v>
      </c>
      <c r="K2267" t="str">
        <f>"TUBB3"</f>
        <v>TUBB3</v>
      </c>
      <c r="L2267" t="str">
        <f>"TUBB3"</f>
        <v>TUBB3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20588000</v>
      </c>
      <c r="X2267">
        <v>0</v>
      </c>
    </row>
    <row r="2268" spans="1:24">
      <c r="A2268">
        <v>1452</v>
      </c>
      <c r="B2268" t="s">
        <v>6030</v>
      </c>
      <c r="C2268">
        <v>3</v>
      </c>
      <c r="D2268" t="s">
        <v>6031</v>
      </c>
      <c r="E2268">
        <v>1</v>
      </c>
      <c r="F2268">
        <v>1</v>
      </c>
      <c r="G2268">
        <v>1</v>
      </c>
      <c r="H2268" t="s">
        <v>6032</v>
      </c>
      <c r="I2268">
        <v>2.6</v>
      </c>
      <c r="J2268">
        <v>44.045000000000002</v>
      </c>
      <c r="K2268" t="str">
        <f>"ASAH1"</f>
        <v>ASAH1</v>
      </c>
      <c r="L2268" t="str">
        <f>"ASAH1"</f>
        <v>ASAH1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</row>
    <row r="2269" spans="1:24">
      <c r="A2269">
        <v>1471</v>
      </c>
      <c r="B2269" t="s">
        <v>6033</v>
      </c>
      <c r="C2269">
        <v>1</v>
      </c>
      <c r="D2269" t="s">
        <v>6034</v>
      </c>
      <c r="E2269">
        <v>24</v>
      </c>
      <c r="F2269">
        <v>1</v>
      </c>
      <c r="G2269">
        <v>1</v>
      </c>
      <c r="H2269" t="s">
        <v>6033</v>
      </c>
      <c r="I2269">
        <v>53.9</v>
      </c>
      <c r="J2269">
        <v>49.905999999999999</v>
      </c>
      <c r="K2269" t="str">
        <f>"TUBB2A"</f>
        <v>TUBB2A</v>
      </c>
      <c r="L2269" t="str">
        <f>"TUBB2A"</f>
        <v>TUBB2A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9114700</v>
      </c>
    </row>
    <row r="2270" spans="1:24">
      <c r="A2270">
        <v>1472</v>
      </c>
      <c r="B2270" t="s">
        <v>6035</v>
      </c>
      <c r="C2270">
        <v>2</v>
      </c>
      <c r="D2270" t="s">
        <v>6036</v>
      </c>
      <c r="E2270">
        <v>1</v>
      </c>
      <c r="F2270">
        <v>1</v>
      </c>
      <c r="G2270">
        <v>1</v>
      </c>
      <c r="H2270" t="s">
        <v>6037</v>
      </c>
      <c r="I2270">
        <v>5.3</v>
      </c>
      <c r="J2270">
        <v>26.318999999999999</v>
      </c>
      <c r="K2270" t="str">
        <f>"IDI1"</f>
        <v>IDI1</v>
      </c>
      <c r="L2270" t="str">
        <f>"IDI1"</f>
        <v>IDI1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</row>
    <row r="2271" spans="1:24">
      <c r="A2271">
        <v>1500</v>
      </c>
      <c r="B2271" t="s">
        <v>6038</v>
      </c>
      <c r="C2271">
        <v>2</v>
      </c>
      <c r="D2271" t="s">
        <v>6039</v>
      </c>
      <c r="E2271">
        <v>1</v>
      </c>
      <c r="F2271">
        <v>1</v>
      </c>
      <c r="G2271">
        <v>1</v>
      </c>
      <c r="H2271" t="s">
        <v>6040</v>
      </c>
      <c r="I2271">
        <v>8.9</v>
      </c>
      <c r="J2271">
        <v>26.318000000000001</v>
      </c>
      <c r="K2271" t="str">
        <f>"GAMT"</f>
        <v>GAMT</v>
      </c>
      <c r="L2271" t="str">
        <f>"GAMT"</f>
        <v>GAMT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</row>
    <row r="2272" spans="1:24">
      <c r="A2272">
        <v>1514</v>
      </c>
      <c r="B2272" t="s">
        <v>6041</v>
      </c>
      <c r="C2272">
        <v>1</v>
      </c>
      <c r="D2272" t="s">
        <v>6042</v>
      </c>
      <c r="E2272">
        <v>1</v>
      </c>
      <c r="F2272">
        <v>1</v>
      </c>
      <c r="G2272">
        <v>1</v>
      </c>
      <c r="H2272" t="s">
        <v>6041</v>
      </c>
      <c r="I2272">
        <v>1.9</v>
      </c>
      <c r="J2272">
        <v>63.145000000000003</v>
      </c>
      <c r="K2272" t="str">
        <f>"RFTN1"</f>
        <v>RFTN1</v>
      </c>
      <c r="L2272" t="str">
        <f>"RFTN1"</f>
        <v>RFTN1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</row>
    <row r="2273" spans="1:24">
      <c r="A2273">
        <v>1522</v>
      </c>
      <c r="B2273" t="s">
        <v>6043</v>
      </c>
      <c r="C2273">
        <v>4</v>
      </c>
      <c r="D2273" t="s">
        <v>6044</v>
      </c>
      <c r="E2273">
        <v>1</v>
      </c>
      <c r="F2273">
        <v>1</v>
      </c>
      <c r="G2273">
        <v>1</v>
      </c>
      <c r="H2273" t="s">
        <v>6045</v>
      </c>
      <c r="I2273">
        <v>0.7</v>
      </c>
      <c r="J2273">
        <v>200.09</v>
      </c>
      <c r="K2273" t="str">
        <f>"NUMA1"</f>
        <v>NUMA1</v>
      </c>
      <c r="L2273" t="str">
        <f>"NUMA1"</f>
        <v>NUMA1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</row>
    <row r="2274" spans="1:24">
      <c r="A2274">
        <v>1538</v>
      </c>
      <c r="B2274" t="s">
        <v>6046</v>
      </c>
      <c r="C2274">
        <v>2</v>
      </c>
      <c r="D2274" t="s">
        <v>6047</v>
      </c>
      <c r="E2274">
        <v>1</v>
      </c>
      <c r="F2274">
        <v>1</v>
      </c>
      <c r="G2274">
        <v>1</v>
      </c>
      <c r="H2274" t="s">
        <v>6048</v>
      </c>
      <c r="I2274">
        <v>13.1</v>
      </c>
      <c r="J2274">
        <v>15.04</v>
      </c>
      <c r="K2274" t="str">
        <f>"PEA15"</f>
        <v>PEA15</v>
      </c>
      <c r="L2274" t="str">
        <f>"PEA15"</f>
        <v>PEA15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</row>
    <row r="2275" spans="1:24">
      <c r="A2275">
        <v>1547</v>
      </c>
      <c r="B2275" t="s">
        <v>6049</v>
      </c>
      <c r="C2275">
        <v>2</v>
      </c>
      <c r="D2275" t="s">
        <v>6050</v>
      </c>
      <c r="E2275">
        <v>2</v>
      </c>
      <c r="F2275">
        <v>2</v>
      </c>
      <c r="G2275">
        <v>2</v>
      </c>
      <c r="H2275" t="s">
        <v>6051</v>
      </c>
      <c r="I2275">
        <v>3</v>
      </c>
      <c r="J2275">
        <v>95.477999999999994</v>
      </c>
      <c r="K2275" t="str">
        <f>"RABEP1"</f>
        <v>RABEP1</v>
      </c>
      <c r="L2275" t="str">
        <f>"RABEP1"</f>
        <v>RABEP1</v>
      </c>
      <c r="M2275">
        <v>0</v>
      </c>
      <c r="N2275">
        <v>12042000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</row>
    <row r="2276" spans="1:24">
      <c r="A2276">
        <v>1552</v>
      </c>
      <c r="B2276" t="s">
        <v>6052</v>
      </c>
      <c r="C2276">
        <v>2</v>
      </c>
      <c r="D2276" t="s">
        <v>6053</v>
      </c>
      <c r="E2276">
        <v>1</v>
      </c>
      <c r="F2276">
        <v>1</v>
      </c>
      <c r="G2276">
        <v>1</v>
      </c>
      <c r="H2276" t="s">
        <v>6054</v>
      </c>
      <c r="I2276">
        <v>12.5</v>
      </c>
      <c r="J2276">
        <v>10.832000000000001</v>
      </c>
      <c r="K2276" t="str">
        <f>"TCEB1"</f>
        <v>TCEB1</v>
      </c>
      <c r="L2276" t="str">
        <f>"TCEB1"</f>
        <v>TCEB1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</row>
    <row r="2277" spans="1:24">
      <c r="A2277">
        <v>1561</v>
      </c>
      <c r="B2277" t="s">
        <v>6055</v>
      </c>
      <c r="C2277">
        <v>1</v>
      </c>
      <c r="D2277" t="s">
        <v>6056</v>
      </c>
      <c r="E2277">
        <v>1</v>
      </c>
      <c r="F2277">
        <v>1</v>
      </c>
      <c r="G2277">
        <v>1</v>
      </c>
      <c r="H2277" t="s">
        <v>6055</v>
      </c>
      <c r="I2277">
        <v>0.7</v>
      </c>
      <c r="J2277">
        <v>137.75</v>
      </c>
      <c r="K2277" t="str">
        <f>"SKIV2L"</f>
        <v>SKIV2L</v>
      </c>
      <c r="L2277" t="str">
        <f>"SKIV2L"</f>
        <v>SKIV2L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</row>
    <row r="2278" spans="1:24">
      <c r="A2278">
        <v>1587</v>
      </c>
      <c r="B2278" t="s">
        <v>6057</v>
      </c>
      <c r="C2278">
        <v>1</v>
      </c>
      <c r="D2278" t="s">
        <v>6058</v>
      </c>
      <c r="E2278">
        <v>12</v>
      </c>
      <c r="F2278">
        <v>1</v>
      </c>
      <c r="G2278">
        <v>1</v>
      </c>
      <c r="H2278" t="s">
        <v>6057</v>
      </c>
      <c r="I2278">
        <v>43.3</v>
      </c>
      <c r="J2278">
        <v>41.493000000000002</v>
      </c>
      <c r="K2278" t="str">
        <f>"MAPK14"</f>
        <v>MAPK14</v>
      </c>
      <c r="L2278" t="str">
        <f>"MAPK14"</f>
        <v>MAPK14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</row>
    <row r="2279" spans="1:24">
      <c r="A2279">
        <v>1599</v>
      </c>
      <c r="B2279" t="s">
        <v>6059</v>
      </c>
      <c r="C2279">
        <v>2</v>
      </c>
      <c r="D2279" t="s">
        <v>6060</v>
      </c>
      <c r="E2279">
        <v>5</v>
      </c>
      <c r="F2279">
        <v>1</v>
      </c>
      <c r="G2279">
        <v>1</v>
      </c>
      <c r="H2279" t="s">
        <v>6061</v>
      </c>
      <c r="I2279">
        <v>43.4</v>
      </c>
      <c r="J2279">
        <v>13.988</v>
      </c>
      <c r="K2279" t="str">
        <f>"HIST2H2AC;HIST2H2AA3"</f>
        <v>HIST2H2AC;HIST2H2AA3</v>
      </c>
      <c r="L2279" t="str">
        <f>"HIST2H2AC;HIST2H2AA3"</f>
        <v>HIST2H2AC;HIST2H2AA3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4653200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</row>
    <row r="2280" spans="1:24">
      <c r="A2280">
        <v>1609</v>
      </c>
      <c r="B2280" t="s">
        <v>6062</v>
      </c>
      <c r="C2280">
        <v>1</v>
      </c>
      <c r="D2280" t="s">
        <v>6063</v>
      </c>
      <c r="E2280">
        <v>2</v>
      </c>
      <c r="F2280">
        <v>2</v>
      </c>
      <c r="G2280">
        <v>2</v>
      </c>
      <c r="H2280" t="s">
        <v>6062</v>
      </c>
      <c r="I2280">
        <v>5.0999999999999996</v>
      </c>
      <c r="J2280">
        <v>45.857999999999997</v>
      </c>
      <c r="K2280" t="str">
        <f>"EXOC3L2"</f>
        <v>EXOC3L2</v>
      </c>
      <c r="L2280" t="str">
        <f>"EXOC3L2"</f>
        <v>EXOC3L2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</row>
    <row r="2281" spans="1:24">
      <c r="A2281">
        <v>1611</v>
      </c>
      <c r="B2281" t="s">
        <v>6064</v>
      </c>
      <c r="C2281">
        <v>1</v>
      </c>
      <c r="D2281" t="s">
        <v>6065</v>
      </c>
      <c r="E2281">
        <v>5</v>
      </c>
      <c r="F2281">
        <v>1</v>
      </c>
      <c r="G2281">
        <v>1</v>
      </c>
      <c r="H2281" t="s">
        <v>6064</v>
      </c>
      <c r="I2281">
        <v>3.5</v>
      </c>
      <c r="J2281">
        <v>102.54</v>
      </c>
      <c r="K2281" t="str">
        <f>"HKDC1"</f>
        <v>HKDC1</v>
      </c>
      <c r="L2281" t="str">
        <f>"HKDC1"</f>
        <v>HKDC1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</row>
    <row r="2282" spans="1:24">
      <c r="A2282">
        <v>1613</v>
      </c>
      <c r="B2282" t="s">
        <v>6066</v>
      </c>
      <c r="C2282">
        <v>3</v>
      </c>
      <c r="D2282" t="s">
        <v>6067</v>
      </c>
      <c r="E2282">
        <v>1</v>
      </c>
      <c r="F2282">
        <v>1</v>
      </c>
      <c r="G2282">
        <v>1</v>
      </c>
      <c r="H2282" t="s">
        <v>6068</v>
      </c>
      <c r="I2282">
        <v>2.2000000000000002</v>
      </c>
      <c r="J2282">
        <v>78.921000000000006</v>
      </c>
      <c r="K2282" t="str">
        <f>"LEPRE1"</f>
        <v>LEPRE1</v>
      </c>
      <c r="L2282" t="str">
        <f>"P3H1"</f>
        <v>P3H1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>
      <c r="A2283">
        <v>1635</v>
      </c>
      <c r="B2283" t="s">
        <v>6069</v>
      </c>
      <c r="C2283">
        <v>2</v>
      </c>
      <c r="D2283" t="s">
        <v>6070</v>
      </c>
      <c r="E2283">
        <v>1</v>
      </c>
      <c r="F2283">
        <v>1</v>
      </c>
      <c r="G2283">
        <v>1</v>
      </c>
      <c r="H2283" t="s">
        <v>6071</v>
      </c>
      <c r="I2283">
        <v>2.2000000000000002</v>
      </c>
      <c r="J2283">
        <v>66.248000000000005</v>
      </c>
      <c r="K2283" t="str">
        <f>"TOR1AIP1"</f>
        <v>TOR1AIP1</v>
      </c>
      <c r="L2283" t="str">
        <f>"TOR1AIP1"</f>
        <v>TOR1AIP1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</row>
    <row r="2284" spans="1:24">
      <c r="A2284">
        <v>1641</v>
      </c>
      <c r="B2284" t="s">
        <v>6072</v>
      </c>
      <c r="C2284">
        <v>1</v>
      </c>
      <c r="D2284" t="s">
        <v>6073</v>
      </c>
      <c r="E2284">
        <v>1</v>
      </c>
      <c r="F2284">
        <v>1</v>
      </c>
      <c r="G2284">
        <v>1</v>
      </c>
      <c r="H2284" t="s">
        <v>6072</v>
      </c>
      <c r="I2284">
        <v>3.2</v>
      </c>
      <c r="J2284">
        <v>33.884999999999998</v>
      </c>
      <c r="K2284" t="str">
        <f>"LDLRAP1"</f>
        <v>LDLRAP1</v>
      </c>
      <c r="L2284" t="str">
        <f>"LDLRAP1"</f>
        <v>LDLRAP1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</row>
    <row r="2285" spans="1:24">
      <c r="A2285">
        <v>1643</v>
      </c>
      <c r="B2285" t="s">
        <v>6074</v>
      </c>
      <c r="C2285">
        <v>4</v>
      </c>
      <c r="D2285" t="s">
        <v>6075</v>
      </c>
      <c r="E2285">
        <v>1</v>
      </c>
      <c r="F2285">
        <v>1</v>
      </c>
      <c r="G2285">
        <v>1</v>
      </c>
      <c r="H2285" t="s">
        <v>6076</v>
      </c>
      <c r="I2285">
        <v>4.2</v>
      </c>
      <c r="J2285">
        <v>24.968</v>
      </c>
      <c r="K2285" t="str">
        <f>"CC2D1B"</f>
        <v>CC2D1B</v>
      </c>
      <c r="L2285" t="str">
        <f>"CC2D1B"</f>
        <v>CC2D1B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</row>
    <row r="2286" spans="1:24">
      <c r="A2286">
        <v>1644</v>
      </c>
      <c r="B2286" t="s">
        <v>6077</v>
      </c>
      <c r="C2286">
        <v>5</v>
      </c>
      <c r="D2286" t="s">
        <v>6078</v>
      </c>
      <c r="E2286">
        <v>3</v>
      </c>
      <c r="F2286">
        <v>3</v>
      </c>
      <c r="G2286">
        <v>3</v>
      </c>
      <c r="H2286" t="s">
        <v>6079</v>
      </c>
      <c r="I2286">
        <v>5.7</v>
      </c>
      <c r="J2286">
        <v>63.570999999999998</v>
      </c>
      <c r="K2286" t="str">
        <f>"FNBP1L"</f>
        <v>FNBP1L</v>
      </c>
      <c r="L2286" t="str">
        <f>"FNBP1L"</f>
        <v>FNBP1L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</row>
    <row r="2287" spans="1:24">
      <c r="A2287">
        <v>1665</v>
      </c>
      <c r="B2287" t="s">
        <v>6080</v>
      </c>
      <c r="C2287">
        <v>5</v>
      </c>
      <c r="D2287" t="s">
        <v>6081</v>
      </c>
      <c r="E2287">
        <v>3</v>
      </c>
      <c r="F2287">
        <v>3</v>
      </c>
      <c r="G2287">
        <v>3</v>
      </c>
      <c r="H2287" t="s">
        <v>6082</v>
      </c>
      <c r="I2287">
        <v>5.7</v>
      </c>
      <c r="J2287">
        <v>87.608000000000004</v>
      </c>
      <c r="K2287" t="str">
        <f>"ARHGAP17"</f>
        <v>ARHGAP17</v>
      </c>
      <c r="L2287" t="str">
        <f>"ARHGAP17"</f>
        <v>ARHGAP17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</row>
    <row r="2288" spans="1:24">
      <c r="A2288">
        <v>1668</v>
      </c>
      <c r="B2288" t="s">
        <v>6083</v>
      </c>
      <c r="C2288">
        <v>1</v>
      </c>
      <c r="D2288" t="s">
        <v>6084</v>
      </c>
      <c r="E2288">
        <v>1</v>
      </c>
      <c r="F2288">
        <v>1</v>
      </c>
      <c r="G2288">
        <v>1</v>
      </c>
      <c r="H2288" t="s">
        <v>6083</v>
      </c>
      <c r="I2288">
        <v>10</v>
      </c>
      <c r="J2288">
        <v>15.805</v>
      </c>
      <c r="K2288" t="str">
        <f>"PTRHD1"</f>
        <v>PTRHD1</v>
      </c>
      <c r="L2288" t="str">
        <f>"PTRHD1"</f>
        <v>PTRHD1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10025000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>
      <c r="A2289">
        <v>1669</v>
      </c>
      <c r="B2289" t="s">
        <v>6085</v>
      </c>
      <c r="C2289">
        <v>2</v>
      </c>
      <c r="D2289" t="s">
        <v>6086</v>
      </c>
      <c r="E2289">
        <v>2</v>
      </c>
      <c r="F2289">
        <v>2</v>
      </c>
      <c r="G2289">
        <v>2</v>
      </c>
      <c r="H2289" t="s">
        <v>6087</v>
      </c>
      <c r="I2289">
        <v>2.8</v>
      </c>
      <c r="J2289">
        <v>79.284000000000006</v>
      </c>
      <c r="K2289" t="str">
        <f>"NADSYN1"</f>
        <v>NADSYN1</v>
      </c>
      <c r="L2289" t="str">
        <f>"NADSYN1"</f>
        <v>NADSYN1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</row>
    <row r="2290" spans="1:24">
      <c r="A2290">
        <v>1693</v>
      </c>
      <c r="B2290" t="s">
        <v>6088</v>
      </c>
      <c r="C2290">
        <v>1</v>
      </c>
      <c r="D2290" t="s">
        <v>6089</v>
      </c>
      <c r="E2290">
        <v>1</v>
      </c>
      <c r="F2290">
        <v>1</v>
      </c>
      <c r="G2290">
        <v>1</v>
      </c>
      <c r="H2290" t="s">
        <v>6088</v>
      </c>
      <c r="I2290">
        <v>2.9</v>
      </c>
      <c r="J2290">
        <v>34.863999999999997</v>
      </c>
      <c r="K2290" t="str">
        <f>"SERPINA13P"</f>
        <v>SERPINA13P</v>
      </c>
      <c r="L2290" t="str">
        <f>"SERPINA13P"</f>
        <v>SERPINA13P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</row>
    <row r="2291" spans="1:24">
      <c r="A2291">
        <v>1698</v>
      </c>
      <c r="B2291" t="s">
        <v>6090</v>
      </c>
      <c r="C2291">
        <v>4</v>
      </c>
      <c r="D2291" t="s">
        <v>6091</v>
      </c>
      <c r="E2291">
        <v>1</v>
      </c>
      <c r="F2291">
        <v>1</v>
      </c>
      <c r="G2291">
        <v>1</v>
      </c>
      <c r="H2291" t="s">
        <v>6092</v>
      </c>
      <c r="I2291">
        <v>3.8</v>
      </c>
      <c r="J2291">
        <v>65.350999999999999</v>
      </c>
      <c r="K2291" t="str">
        <f>"PPP1R21"</f>
        <v>PPP1R21</v>
      </c>
      <c r="L2291" t="str">
        <f>"PPP1R21"</f>
        <v>PPP1R21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</row>
    <row r="2292" spans="1:24">
      <c r="A2292">
        <v>1710</v>
      </c>
      <c r="B2292" t="s">
        <v>6093</v>
      </c>
      <c r="C2292">
        <v>2</v>
      </c>
      <c r="D2292" t="s">
        <v>6094</v>
      </c>
      <c r="E2292">
        <v>1</v>
      </c>
      <c r="F2292">
        <v>1</v>
      </c>
      <c r="G2292">
        <v>1</v>
      </c>
      <c r="H2292" t="s">
        <v>6095</v>
      </c>
      <c r="I2292">
        <v>3.4</v>
      </c>
      <c r="J2292">
        <v>39.308999999999997</v>
      </c>
      <c r="K2292" t="str">
        <f>"IKBIP"</f>
        <v>IKBIP</v>
      </c>
      <c r="L2292" t="str">
        <f>"IKBIP"</f>
        <v>IKBIP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>
      <c r="A2293">
        <v>1719</v>
      </c>
      <c r="B2293" t="s">
        <v>6096</v>
      </c>
      <c r="C2293">
        <v>3</v>
      </c>
      <c r="D2293" t="s">
        <v>6097</v>
      </c>
      <c r="E2293">
        <v>8</v>
      </c>
      <c r="F2293">
        <v>1</v>
      </c>
      <c r="G2293">
        <v>1</v>
      </c>
      <c r="H2293" t="s">
        <v>6098</v>
      </c>
      <c r="I2293">
        <v>38.5</v>
      </c>
      <c r="J2293">
        <v>35.734000000000002</v>
      </c>
      <c r="K2293" t="str">
        <f>"DOK3"</f>
        <v>DOK3</v>
      </c>
      <c r="L2293" t="str">
        <f>"DOK3"</f>
        <v>DOK3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</row>
    <row r="2294" spans="1:24">
      <c r="A2294">
        <v>1727</v>
      </c>
      <c r="B2294" t="s">
        <v>6099</v>
      </c>
      <c r="C2294">
        <v>1</v>
      </c>
      <c r="D2294" t="s">
        <v>6100</v>
      </c>
      <c r="E2294">
        <v>1</v>
      </c>
      <c r="F2294">
        <v>1</v>
      </c>
      <c r="G2294">
        <v>1</v>
      </c>
      <c r="H2294" t="s">
        <v>6099</v>
      </c>
      <c r="I2294">
        <v>4.0999999999999996</v>
      </c>
      <c r="J2294">
        <v>22.704000000000001</v>
      </c>
      <c r="K2294" t="str">
        <f>"RD3"</f>
        <v>RD3</v>
      </c>
      <c r="L2294" t="str">
        <f>"RD3"</f>
        <v>RD3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</row>
    <row r="2295" spans="1:24">
      <c r="A2295">
        <v>1732</v>
      </c>
      <c r="B2295" t="s">
        <v>6101</v>
      </c>
      <c r="C2295">
        <v>4</v>
      </c>
      <c r="D2295" t="s">
        <v>6102</v>
      </c>
      <c r="E2295">
        <v>1</v>
      </c>
      <c r="F2295">
        <v>1</v>
      </c>
      <c r="G2295">
        <v>1</v>
      </c>
      <c r="H2295" t="s">
        <v>6103</v>
      </c>
      <c r="I2295">
        <v>2.1</v>
      </c>
      <c r="J2295">
        <v>86.695999999999998</v>
      </c>
      <c r="K2295" t="str">
        <f>"TECPR1"</f>
        <v>TECPR1</v>
      </c>
      <c r="L2295" t="str">
        <f>"TECPR1"</f>
        <v>TECPR1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</row>
    <row r="2296" spans="1:24">
      <c r="A2296">
        <v>1743</v>
      </c>
      <c r="B2296" t="s">
        <v>6104</v>
      </c>
      <c r="C2296">
        <v>1</v>
      </c>
      <c r="D2296" t="s">
        <v>6105</v>
      </c>
      <c r="E2296">
        <v>2</v>
      </c>
      <c r="F2296">
        <v>1</v>
      </c>
      <c r="G2296">
        <v>1</v>
      </c>
      <c r="H2296" t="s">
        <v>6104</v>
      </c>
      <c r="I2296">
        <v>1.2</v>
      </c>
      <c r="J2296">
        <v>184.7</v>
      </c>
      <c r="K2296" t="str">
        <f>"IQGAP3"</f>
        <v>IQGAP3</v>
      </c>
      <c r="L2296" t="str">
        <f>"IQGAP3"</f>
        <v>IQGAP3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</row>
    <row r="2297" spans="1:24">
      <c r="A2297">
        <v>1749</v>
      </c>
      <c r="B2297" t="s">
        <v>6106</v>
      </c>
      <c r="C2297">
        <v>1</v>
      </c>
      <c r="D2297" t="s">
        <v>6107</v>
      </c>
      <c r="E2297">
        <v>2</v>
      </c>
      <c r="F2297">
        <v>2</v>
      </c>
      <c r="G2297">
        <v>2</v>
      </c>
      <c r="H2297" t="s">
        <v>6106</v>
      </c>
      <c r="I2297">
        <v>5.3</v>
      </c>
      <c r="J2297">
        <v>42.192</v>
      </c>
      <c r="K2297" t="str">
        <f>"TMEM173"</f>
        <v>TMEM173</v>
      </c>
      <c r="L2297" t="str">
        <f>"TMEM173"</f>
        <v>TMEM173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</row>
    <row r="2298" spans="1:24">
      <c r="A2298">
        <v>1767</v>
      </c>
      <c r="B2298" t="s">
        <v>6108</v>
      </c>
      <c r="C2298">
        <v>9</v>
      </c>
      <c r="D2298" t="s">
        <v>6109</v>
      </c>
      <c r="E2298">
        <v>2</v>
      </c>
      <c r="F2298">
        <v>2</v>
      </c>
      <c r="G2298">
        <v>2</v>
      </c>
      <c r="H2298" t="s">
        <v>6110</v>
      </c>
      <c r="I2298">
        <v>12.2</v>
      </c>
      <c r="J2298">
        <v>23.077000000000002</v>
      </c>
      <c r="K2298" t="str">
        <f>"RHOT2;RHOT1"</f>
        <v>RHOT2;RHOT1</v>
      </c>
      <c r="L2298" t="str">
        <f>"RHOT2;RHOT1"</f>
        <v>RHOT2;RHOT1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12771000</v>
      </c>
    </row>
    <row r="2299" spans="1:24">
      <c r="A2299">
        <v>1787</v>
      </c>
      <c r="B2299" t="s">
        <v>6111</v>
      </c>
      <c r="C2299">
        <v>5</v>
      </c>
      <c r="D2299" t="s">
        <v>6112</v>
      </c>
      <c r="E2299">
        <v>9</v>
      </c>
      <c r="F2299">
        <v>2</v>
      </c>
      <c r="G2299">
        <v>2</v>
      </c>
      <c r="H2299" t="s">
        <v>6113</v>
      </c>
      <c r="I2299">
        <v>7</v>
      </c>
      <c r="J2299">
        <v>143.63999999999999</v>
      </c>
      <c r="K2299" t="str">
        <f>"MINK1"</f>
        <v>MINK1</v>
      </c>
      <c r="L2299" t="str">
        <f>"MINK1"</f>
        <v>MINK1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</row>
    <row r="2300" spans="1:24">
      <c r="A2300">
        <v>1804</v>
      </c>
      <c r="B2300" t="s">
        <v>6114</v>
      </c>
      <c r="C2300">
        <v>3</v>
      </c>
      <c r="D2300" t="s">
        <v>6115</v>
      </c>
      <c r="E2300">
        <v>2</v>
      </c>
      <c r="F2300">
        <v>2</v>
      </c>
      <c r="G2300">
        <v>2</v>
      </c>
      <c r="H2300" t="s">
        <v>6116</v>
      </c>
      <c r="I2300">
        <v>4</v>
      </c>
      <c r="J2300">
        <v>66.653000000000006</v>
      </c>
      <c r="K2300" t="str">
        <f>"MTMR14"</f>
        <v>MTMR14</v>
      </c>
      <c r="L2300" t="str">
        <f>"MTMR14"</f>
        <v>MTMR14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</row>
    <row r="2301" spans="1:24">
      <c r="A2301">
        <v>1812</v>
      </c>
      <c r="B2301" t="s">
        <v>6117</v>
      </c>
      <c r="C2301">
        <v>1</v>
      </c>
      <c r="D2301" t="s">
        <v>6118</v>
      </c>
      <c r="E2301">
        <v>1</v>
      </c>
      <c r="F2301">
        <v>1</v>
      </c>
      <c r="G2301">
        <v>1</v>
      </c>
      <c r="H2301" t="s">
        <v>6117</v>
      </c>
      <c r="I2301">
        <v>4.3</v>
      </c>
      <c r="J2301">
        <v>59.151000000000003</v>
      </c>
      <c r="K2301" t="str">
        <f>"LPCAT1"</f>
        <v>LPCAT1</v>
      </c>
      <c r="L2301" t="str">
        <f>"LPCAT1"</f>
        <v>LPCAT1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</row>
    <row r="2302" spans="1:24">
      <c r="A2302">
        <v>1830</v>
      </c>
      <c r="B2302" t="s">
        <v>6119</v>
      </c>
      <c r="C2302">
        <v>2</v>
      </c>
      <c r="D2302" t="s">
        <v>6120</v>
      </c>
      <c r="E2302">
        <v>4</v>
      </c>
      <c r="F2302">
        <v>4</v>
      </c>
      <c r="G2302">
        <v>4</v>
      </c>
      <c r="H2302" t="s">
        <v>6121</v>
      </c>
      <c r="I2302">
        <v>6.8</v>
      </c>
      <c r="J2302">
        <v>93.531999999999996</v>
      </c>
      <c r="K2302" t="str">
        <f>"BICD2"</f>
        <v>BICD2</v>
      </c>
      <c r="L2302" t="str">
        <f>"BICD2"</f>
        <v>BICD2</v>
      </c>
      <c r="M2302">
        <v>0</v>
      </c>
      <c r="N2302">
        <v>0</v>
      </c>
      <c r="O2302">
        <v>0</v>
      </c>
      <c r="P2302">
        <v>13045000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</row>
    <row r="2303" spans="1:24">
      <c r="A2303">
        <v>1839</v>
      </c>
      <c r="B2303" t="s">
        <v>6122</v>
      </c>
      <c r="C2303">
        <v>1</v>
      </c>
      <c r="D2303" t="s">
        <v>6123</v>
      </c>
      <c r="E2303">
        <v>1</v>
      </c>
      <c r="F2303">
        <v>1</v>
      </c>
      <c r="G2303">
        <v>1</v>
      </c>
      <c r="H2303" t="s">
        <v>6122</v>
      </c>
      <c r="I2303">
        <v>4.5999999999999996</v>
      </c>
      <c r="J2303">
        <v>39.094999999999999</v>
      </c>
      <c r="K2303" t="str">
        <f>"ABHD5"</f>
        <v>ABHD5</v>
      </c>
      <c r="L2303" t="str">
        <f>"ABHD5"</f>
        <v>ABHD5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</row>
    <row r="2304" spans="1:24">
      <c r="A2304">
        <v>1841</v>
      </c>
      <c r="B2304" t="s">
        <v>6124</v>
      </c>
      <c r="C2304">
        <v>1</v>
      </c>
      <c r="D2304" t="s">
        <v>6125</v>
      </c>
      <c r="E2304">
        <v>1</v>
      </c>
      <c r="F2304">
        <v>1</v>
      </c>
      <c r="G2304">
        <v>1</v>
      </c>
      <c r="H2304" t="s">
        <v>6124</v>
      </c>
      <c r="I2304">
        <v>5</v>
      </c>
      <c r="J2304">
        <v>59.12</v>
      </c>
      <c r="K2304" t="str">
        <f>"TBC1D22A"</f>
        <v>TBC1D22A</v>
      </c>
      <c r="L2304" t="str">
        <f>"TBC1D22A"</f>
        <v>TBC1D22A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</row>
    <row r="2305" spans="1:24">
      <c r="A2305">
        <v>1843</v>
      </c>
      <c r="B2305" t="s">
        <v>6126</v>
      </c>
      <c r="C2305">
        <v>1</v>
      </c>
      <c r="D2305" t="s">
        <v>6127</v>
      </c>
      <c r="E2305">
        <v>1</v>
      </c>
      <c r="F2305">
        <v>1</v>
      </c>
      <c r="G2305">
        <v>1</v>
      </c>
      <c r="H2305" t="s">
        <v>6126</v>
      </c>
      <c r="I2305">
        <v>7.7</v>
      </c>
      <c r="J2305">
        <v>23.864999999999998</v>
      </c>
      <c r="K2305" t="str">
        <f>"THEM6"</f>
        <v>THEM6</v>
      </c>
      <c r="L2305" t="str">
        <f>"THEM6"</f>
        <v>THEM6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</row>
    <row r="2306" spans="1:24">
      <c r="A2306">
        <v>1844</v>
      </c>
      <c r="B2306" t="s">
        <v>6128</v>
      </c>
      <c r="C2306">
        <v>5</v>
      </c>
      <c r="D2306" t="s">
        <v>6129</v>
      </c>
      <c r="E2306">
        <v>1</v>
      </c>
      <c r="F2306">
        <v>1</v>
      </c>
      <c r="G2306">
        <v>1</v>
      </c>
      <c r="H2306" t="s">
        <v>6130</v>
      </c>
      <c r="I2306">
        <v>3.4</v>
      </c>
      <c r="J2306">
        <v>40.091999999999999</v>
      </c>
      <c r="K2306" t="str">
        <f>"PRUNE2"</f>
        <v>PRUNE2</v>
      </c>
      <c r="L2306" t="str">
        <f>"PRUNE2"</f>
        <v>PRUNE2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>
      <c r="A2307">
        <v>1854</v>
      </c>
      <c r="B2307" t="s">
        <v>6131</v>
      </c>
      <c r="C2307">
        <v>1</v>
      </c>
      <c r="D2307" t="s">
        <v>6132</v>
      </c>
      <c r="E2307">
        <v>1</v>
      </c>
      <c r="F2307">
        <v>1</v>
      </c>
      <c r="G2307">
        <v>1</v>
      </c>
      <c r="H2307" t="s">
        <v>6131</v>
      </c>
      <c r="I2307">
        <v>3</v>
      </c>
      <c r="J2307">
        <v>41.97</v>
      </c>
      <c r="K2307" t="str">
        <f>"SEPT1"</f>
        <v>SEPT1</v>
      </c>
      <c r="L2307" t="str">
        <f>"SEPT1"</f>
        <v>SEPT1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6179200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</row>
    <row r="2308" spans="1:24">
      <c r="A2308">
        <v>1884</v>
      </c>
      <c r="B2308" t="s">
        <v>6133</v>
      </c>
      <c r="C2308">
        <v>1</v>
      </c>
      <c r="D2308" t="s">
        <v>6134</v>
      </c>
      <c r="E2308">
        <v>1</v>
      </c>
      <c r="F2308">
        <v>1</v>
      </c>
      <c r="G2308">
        <v>1</v>
      </c>
      <c r="H2308" t="s">
        <v>6133</v>
      </c>
      <c r="I2308">
        <v>1.4</v>
      </c>
      <c r="J2308">
        <v>73.114000000000004</v>
      </c>
      <c r="K2308" t="str">
        <f>"KHSRP"</f>
        <v>KHSRP</v>
      </c>
      <c r="L2308" t="str">
        <f>"KHSRP"</f>
        <v>KHSRP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</row>
    <row r="2309" spans="1:24">
      <c r="A2309">
        <v>1907</v>
      </c>
      <c r="B2309" t="s">
        <v>6135</v>
      </c>
      <c r="C2309">
        <v>3</v>
      </c>
      <c r="D2309" t="s">
        <v>6136</v>
      </c>
      <c r="E2309">
        <v>1</v>
      </c>
      <c r="F2309">
        <v>1</v>
      </c>
      <c r="G2309">
        <v>1</v>
      </c>
      <c r="H2309" t="s">
        <v>6137</v>
      </c>
      <c r="I2309">
        <v>17</v>
      </c>
      <c r="J2309">
        <v>14.765000000000001</v>
      </c>
      <c r="K2309" t="str">
        <f>"ISOC2"</f>
        <v>ISOC2</v>
      </c>
      <c r="L2309" t="str">
        <f>"ISOC2"</f>
        <v>ISOC2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</row>
    <row r="2310" spans="1:24">
      <c r="A2310">
        <v>1915</v>
      </c>
      <c r="B2310" t="s">
        <v>6138</v>
      </c>
      <c r="C2310">
        <v>1</v>
      </c>
      <c r="D2310" t="s">
        <v>6139</v>
      </c>
      <c r="E2310">
        <v>1</v>
      </c>
      <c r="F2310">
        <v>1</v>
      </c>
      <c r="G2310">
        <v>1</v>
      </c>
      <c r="H2310" t="s">
        <v>6138</v>
      </c>
      <c r="I2310">
        <v>13</v>
      </c>
      <c r="J2310">
        <v>15.641</v>
      </c>
      <c r="K2310" t="str">
        <f>"FAM136A"</f>
        <v>FAM136A</v>
      </c>
      <c r="L2310" t="str">
        <f>"FAM136A"</f>
        <v>FAM136A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</row>
    <row r="2311" spans="1:24">
      <c r="A2311">
        <v>1921</v>
      </c>
      <c r="B2311" t="s">
        <v>6140</v>
      </c>
      <c r="C2311">
        <v>3</v>
      </c>
      <c r="D2311" t="s">
        <v>6141</v>
      </c>
      <c r="E2311">
        <v>1</v>
      </c>
      <c r="F2311">
        <v>1</v>
      </c>
      <c r="G2311">
        <v>1</v>
      </c>
      <c r="H2311" t="s">
        <v>6142</v>
      </c>
      <c r="I2311">
        <v>2.7</v>
      </c>
      <c r="J2311">
        <v>59.558</v>
      </c>
      <c r="K2311" t="str">
        <f>"OPTN"</f>
        <v>OPTN</v>
      </c>
      <c r="L2311" t="str">
        <f>"OPTN"</f>
        <v>OPTN</v>
      </c>
      <c r="M2311">
        <v>0</v>
      </c>
      <c r="N2311">
        <v>23695000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</row>
    <row r="2312" spans="1:24">
      <c r="A2312">
        <v>1923</v>
      </c>
      <c r="B2312" t="s">
        <v>6143</v>
      </c>
      <c r="C2312">
        <v>2</v>
      </c>
      <c r="D2312" t="s">
        <v>6144</v>
      </c>
      <c r="E2312">
        <v>1</v>
      </c>
      <c r="F2312">
        <v>1</v>
      </c>
      <c r="G2312">
        <v>1</v>
      </c>
      <c r="H2312" t="s">
        <v>6145</v>
      </c>
      <c r="I2312">
        <v>4.2</v>
      </c>
      <c r="J2312">
        <v>51.91</v>
      </c>
      <c r="K2312" t="str">
        <f>"ERLEC1"</f>
        <v>ERLEC1</v>
      </c>
      <c r="L2312" t="str">
        <f>"ERLEC1"</f>
        <v>ERLEC1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>
      <c r="A2313">
        <v>1929</v>
      </c>
      <c r="B2313" t="s">
        <v>6146</v>
      </c>
      <c r="C2313">
        <v>13</v>
      </c>
      <c r="D2313" t="s">
        <v>6147</v>
      </c>
      <c r="E2313">
        <v>2</v>
      </c>
      <c r="F2313">
        <v>1</v>
      </c>
      <c r="G2313">
        <v>1</v>
      </c>
      <c r="H2313" t="s">
        <v>6148</v>
      </c>
      <c r="I2313">
        <v>5.6</v>
      </c>
      <c r="J2313">
        <v>49.89</v>
      </c>
      <c r="K2313" t="str">
        <f>"CPNE2;CPNE8;CPNE5;CPNE9;CPNE4;CPNE6;CPNE7"</f>
        <v>CPNE2;CPNE8;CPNE5;CPNE9;CPNE4;CPNE6;CPNE7</v>
      </c>
      <c r="L2313" t="str">
        <f>"CPNE2;CPNE8;CPNE5;CPNE9;CPNE4;CPNE6;CPNE7"</f>
        <v>CPNE2;CPNE8;CPNE5;CPNE9;CPNE4;CPNE6;CPNE7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23456000</v>
      </c>
      <c r="U2313">
        <v>0</v>
      </c>
      <c r="V2313">
        <v>0</v>
      </c>
      <c r="W2313">
        <v>0</v>
      </c>
      <c r="X2313">
        <v>0</v>
      </c>
    </row>
    <row r="2314" spans="1:24">
      <c r="A2314">
        <v>1937</v>
      </c>
      <c r="B2314" t="s">
        <v>6149</v>
      </c>
      <c r="C2314">
        <v>4</v>
      </c>
      <c r="D2314" t="s">
        <v>6150</v>
      </c>
      <c r="E2314">
        <v>1</v>
      </c>
      <c r="F2314">
        <v>1</v>
      </c>
      <c r="G2314">
        <v>1</v>
      </c>
      <c r="H2314" t="s">
        <v>6151</v>
      </c>
      <c r="I2314">
        <v>2</v>
      </c>
      <c r="J2314">
        <v>54.222999999999999</v>
      </c>
      <c r="K2314" t="str">
        <f>"C7orf55;LUC7L2"</f>
        <v>C7orf55;LUC7L2</v>
      </c>
      <c r="L2314" t="str">
        <f>"C7orf55;LUC7L2"</f>
        <v>C7orf55;LUC7L2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16997000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</row>
    <row r="2315" spans="1:24">
      <c r="A2315">
        <v>1959</v>
      </c>
      <c r="B2315" t="s">
        <v>6152</v>
      </c>
      <c r="C2315">
        <v>5</v>
      </c>
      <c r="D2315" t="s">
        <v>6153</v>
      </c>
      <c r="E2315">
        <v>2</v>
      </c>
      <c r="F2315">
        <v>1</v>
      </c>
      <c r="G2315">
        <v>1</v>
      </c>
      <c r="H2315" t="s">
        <v>6154</v>
      </c>
      <c r="I2315">
        <v>12.7</v>
      </c>
      <c r="J2315">
        <v>22.83</v>
      </c>
      <c r="K2315" t="str">
        <f>"CLIC5;CLIC6"</f>
        <v>CLIC5;CLIC6</v>
      </c>
      <c r="L2315" t="str">
        <f>"CLIC5;CLIC6"</f>
        <v>CLIC5;CLIC6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</row>
    <row r="2316" spans="1:24">
      <c r="A2316">
        <v>2008</v>
      </c>
      <c r="B2316" t="s">
        <v>6155</v>
      </c>
      <c r="C2316">
        <v>1</v>
      </c>
      <c r="D2316" t="s">
        <v>6156</v>
      </c>
      <c r="E2316">
        <v>1</v>
      </c>
      <c r="F2316">
        <v>1</v>
      </c>
      <c r="G2316">
        <v>1</v>
      </c>
      <c r="H2316" t="s">
        <v>6155</v>
      </c>
      <c r="I2316">
        <v>5.3</v>
      </c>
      <c r="J2316">
        <v>33.31</v>
      </c>
      <c r="K2316" t="str">
        <f>"NIPSNAP1"</f>
        <v>NIPSNAP1</v>
      </c>
      <c r="L2316" t="str">
        <f>"NIPSNAP1"</f>
        <v>NIPSNAP1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</row>
    <row r="2317" spans="1:24">
      <c r="A2317">
        <v>2015</v>
      </c>
      <c r="B2317" t="s">
        <v>6157</v>
      </c>
      <c r="C2317">
        <v>4</v>
      </c>
      <c r="D2317" t="s">
        <v>6158</v>
      </c>
      <c r="E2317">
        <v>1</v>
      </c>
      <c r="F2317">
        <v>1</v>
      </c>
      <c r="G2317">
        <v>1</v>
      </c>
      <c r="H2317" t="s">
        <v>6159</v>
      </c>
      <c r="I2317">
        <v>6.3</v>
      </c>
      <c r="J2317">
        <v>24.13</v>
      </c>
      <c r="K2317" t="str">
        <f>"ADPGK"</f>
        <v>ADPGK</v>
      </c>
      <c r="L2317" t="str">
        <f>"ADPGK"</f>
        <v>ADPGK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</row>
    <row r="2318" spans="1:24">
      <c r="A2318">
        <v>2016</v>
      </c>
      <c r="B2318" t="s">
        <v>6160</v>
      </c>
      <c r="C2318">
        <v>1</v>
      </c>
      <c r="D2318" t="s">
        <v>6161</v>
      </c>
      <c r="E2318">
        <v>1</v>
      </c>
      <c r="F2318">
        <v>1</v>
      </c>
      <c r="G2318">
        <v>1</v>
      </c>
      <c r="H2318" t="s">
        <v>6160</v>
      </c>
      <c r="I2318">
        <v>2.4</v>
      </c>
      <c r="J2318">
        <v>81.486999999999995</v>
      </c>
      <c r="K2318" t="str">
        <f>"TRIM56"</f>
        <v>TRIM56</v>
      </c>
      <c r="L2318" t="str">
        <f>"TRIM56"</f>
        <v>TRIM56</v>
      </c>
      <c r="M2318">
        <v>0</v>
      </c>
      <c r="N2318">
        <v>12384000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</row>
    <row r="2319" spans="1:24">
      <c r="A2319">
        <v>2020</v>
      </c>
      <c r="B2319" t="s">
        <v>6162</v>
      </c>
      <c r="C2319">
        <v>1</v>
      </c>
      <c r="D2319" t="s">
        <v>6163</v>
      </c>
      <c r="E2319">
        <v>2</v>
      </c>
      <c r="F2319">
        <v>2</v>
      </c>
      <c r="G2319">
        <v>2</v>
      </c>
      <c r="H2319" t="s">
        <v>6162</v>
      </c>
      <c r="I2319">
        <v>15.1</v>
      </c>
      <c r="J2319">
        <v>28</v>
      </c>
      <c r="K2319" t="str">
        <f>"HDHD3"</f>
        <v>HDHD3</v>
      </c>
      <c r="L2319" t="str">
        <f>"HDHD3"</f>
        <v>HDHD3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</row>
    <row r="2320" spans="1:24">
      <c r="A2320">
        <v>2052</v>
      </c>
      <c r="B2320" t="s">
        <v>6164</v>
      </c>
      <c r="C2320">
        <v>1</v>
      </c>
      <c r="D2320" t="s">
        <v>6165</v>
      </c>
      <c r="E2320">
        <v>1</v>
      </c>
      <c r="F2320">
        <v>1</v>
      </c>
      <c r="G2320">
        <v>1</v>
      </c>
      <c r="H2320" t="s">
        <v>6164</v>
      </c>
      <c r="I2320">
        <v>2.1</v>
      </c>
      <c r="J2320">
        <v>57.625</v>
      </c>
      <c r="K2320" t="str">
        <f>"FAM126A"</f>
        <v>FAM126A</v>
      </c>
      <c r="L2320" t="str">
        <f>"FAM126A"</f>
        <v>FAM126A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</row>
    <row r="2321" spans="1:24">
      <c r="A2321">
        <v>2053</v>
      </c>
      <c r="B2321" t="s">
        <v>6166</v>
      </c>
      <c r="C2321">
        <v>1</v>
      </c>
      <c r="D2321" t="s">
        <v>6167</v>
      </c>
      <c r="E2321">
        <v>8</v>
      </c>
      <c r="F2321">
        <v>1</v>
      </c>
      <c r="G2321">
        <v>1</v>
      </c>
      <c r="H2321" t="s">
        <v>6166</v>
      </c>
      <c r="I2321">
        <v>21.3</v>
      </c>
      <c r="J2321">
        <v>42.015999999999998</v>
      </c>
      <c r="K2321" t="str">
        <f>"POTEKP"</f>
        <v>POTEKP</v>
      </c>
      <c r="L2321" t="str">
        <f>"POTEKP"</f>
        <v>POTEKP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</row>
    <row r="2322" spans="1:24">
      <c r="A2322">
        <v>2063</v>
      </c>
      <c r="B2322" t="s">
        <v>6168</v>
      </c>
      <c r="C2322">
        <v>4</v>
      </c>
      <c r="D2322" t="s">
        <v>6169</v>
      </c>
      <c r="E2322">
        <v>2</v>
      </c>
      <c r="F2322">
        <v>2</v>
      </c>
      <c r="G2322">
        <v>2</v>
      </c>
      <c r="H2322" t="s">
        <v>6170</v>
      </c>
      <c r="I2322">
        <v>7.2</v>
      </c>
      <c r="J2322">
        <v>33</v>
      </c>
      <c r="K2322" t="str">
        <f>"LNP"</f>
        <v>LNP</v>
      </c>
      <c r="L2322" t="str">
        <f>"KIAA1715"</f>
        <v>KIAA1715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</row>
    <row r="2323" spans="1:24">
      <c r="A2323">
        <v>2082</v>
      </c>
      <c r="B2323" t="s">
        <v>6171</v>
      </c>
      <c r="C2323">
        <v>2</v>
      </c>
      <c r="D2323" t="s">
        <v>6172</v>
      </c>
      <c r="E2323">
        <v>1</v>
      </c>
      <c r="F2323">
        <v>1</v>
      </c>
      <c r="G2323">
        <v>1</v>
      </c>
      <c r="H2323" t="s">
        <v>6173</v>
      </c>
      <c r="I2323">
        <v>3.6</v>
      </c>
      <c r="J2323">
        <v>53.97</v>
      </c>
      <c r="K2323" t="str">
        <f>"OSBPL2"</f>
        <v>OSBPL2</v>
      </c>
      <c r="L2323" t="str">
        <f>"OSBPL2"</f>
        <v>OSBPL2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8929900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</row>
    <row r="2324" spans="1:24">
      <c r="A2324">
        <v>2110</v>
      </c>
      <c r="B2324" t="s">
        <v>6174</v>
      </c>
      <c r="C2324">
        <v>1</v>
      </c>
      <c r="D2324" t="s">
        <v>6175</v>
      </c>
      <c r="E2324">
        <v>2</v>
      </c>
      <c r="F2324">
        <v>2</v>
      </c>
      <c r="G2324">
        <v>2</v>
      </c>
      <c r="H2324" t="s">
        <v>6174</v>
      </c>
      <c r="I2324">
        <v>3.7</v>
      </c>
      <c r="J2324">
        <v>68.760000000000005</v>
      </c>
      <c r="K2324" t="str">
        <f>"ACAD9"</f>
        <v>ACAD9</v>
      </c>
      <c r="L2324" t="str">
        <f>"ACAD9"</f>
        <v>ACAD9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</row>
    <row r="2325" spans="1:24">
      <c r="A2325">
        <v>2124</v>
      </c>
      <c r="B2325" t="s">
        <v>6176</v>
      </c>
      <c r="C2325">
        <v>2</v>
      </c>
      <c r="D2325" t="s">
        <v>6177</v>
      </c>
      <c r="E2325">
        <v>2</v>
      </c>
      <c r="F2325">
        <v>2</v>
      </c>
      <c r="G2325">
        <v>2</v>
      </c>
      <c r="H2325" t="s">
        <v>6178</v>
      </c>
      <c r="I2325">
        <v>2.1</v>
      </c>
      <c r="J2325">
        <v>185.7</v>
      </c>
      <c r="K2325" t="str">
        <f>"TNS1"</f>
        <v>TNS1</v>
      </c>
      <c r="L2325" t="str">
        <f>"TNS1"</f>
        <v>TNS1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</row>
    <row r="2326" spans="1:24">
      <c r="A2326">
        <v>2127</v>
      </c>
      <c r="B2326" t="s">
        <v>6179</v>
      </c>
      <c r="C2326">
        <v>3</v>
      </c>
      <c r="D2326" t="s">
        <v>6180</v>
      </c>
      <c r="E2326">
        <v>2</v>
      </c>
      <c r="F2326">
        <v>2</v>
      </c>
      <c r="G2326">
        <v>2</v>
      </c>
      <c r="H2326" t="s">
        <v>6181</v>
      </c>
      <c r="I2326">
        <v>5.2</v>
      </c>
      <c r="J2326">
        <v>72.11</v>
      </c>
      <c r="K2326" t="str">
        <f>"GBA2"</f>
        <v>GBA2</v>
      </c>
      <c r="L2326" t="str">
        <f>"GBA2"</f>
        <v>GBA2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</row>
    <row r="2327" spans="1:24">
      <c r="A2327">
        <v>2144</v>
      </c>
      <c r="B2327" t="s">
        <v>6182</v>
      </c>
      <c r="C2327">
        <v>1</v>
      </c>
      <c r="D2327" t="s">
        <v>6183</v>
      </c>
      <c r="E2327">
        <v>5</v>
      </c>
      <c r="F2327">
        <v>5</v>
      </c>
      <c r="G2327">
        <v>5</v>
      </c>
      <c r="H2327" t="s">
        <v>6182</v>
      </c>
      <c r="I2327">
        <v>3.6</v>
      </c>
      <c r="J2327">
        <v>202.79</v>
      </c>
      <c r="K2327" t="str">
        <f>"KIF13B"</f>
        <v>KIF13B</v>
      </c>
      <c r="L2327" t="str">
        <f>"KIF13B"</f>
        <v>KIF13B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</row>
    <row r="2328" spans="1:24">
      <c r="A2328">
        <v>2147</v>
      </c>
      <c r="B2328" t="s">
        <v>6184</v>
      </c>
      <c r="C2328">
        <v>1</v>
      </c>
      <c r="D2328" t="s">
        <v>6185</v>
      </c>
      <c r="E2328">
        <v>23</v>
      </c>
      <c r="F2328">
        <v>1</v>
      </c>
      <c r="G2328">
        <v>1</v>
      </c>
      <c r="H2328" t="s">
        <v>6184</v>
      </c>
      <c r="I2328">
        <v>67.400000000000006</v>
      </c>
      <c r="J2328">
        <v>46.51</v>
      </c>
      <c r="K2328" t="str">
        <f>"PDLIM7"</f>
        <v>PDLIM7</v>
      </c>
      <c r="L2328" t="str">
        <f>"PDLIM7"</f>
        <v>PDLIM7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</row>
    <row r="2329" spans="1:24">
      <c r="A2329">
        <v>2153</v>
      </c>
      <c r="B2329" t="s">
        <v>6186</v>
      </c>
      <c r="C2329">
        <v>2</v>
      </c>
      <c r="D2329" t="s">
        <v>6187</v>
      </c>
      <c r="E2329">
        <v>1</v>
      </c>
      <c r="F2329">
        <v>1</v>
      </c>
      <c r="G2329">
        <v>1</v>
      </c>
      <c r="H2329" t="s">
        <v>6188</v>
      </c>
      <c r="I2329">
        <v>0.3</v>
      </c>
      <c r="J2329">
        <v>332.21</v>
      </c>
      <c r="K2329" t="str">
        <f>"ASH1L"</f>
        <v>ASH1L</v>
      </c>
      <c r="L2329" t="str">
        <f>"ASH1L"</f>
        <v>ASH1L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40037000</v>
      </c>
      <c r="X2329">
        <v>0</v>
      </c>
    </row>
    <row r="2330" spans="1:24">
      <c r="A2330">
        <v>2176</v>
      </c>
      <c r="B2330" t="s">
        <v>6189</v>
      </c>
      <c r="C2330">
        <v>6</v>
      </c>
      <c r="D2330" t="s">
        <v>6190</v>
      </c>
      <c r="E2330">
        <v>3</v>
      </c>
      <c r="F2330">
        <v>3</v>
      </c>
      <c r="G2330">
        <v>3</v>
      </c>
      <c r="H2330" t="s">
        <v>6191</v>
      </c>
      <c r="I2330">
        <v>8.6</v>
      </c>
      <c r="J2330">
        <v>53.973999999999997</v>
      </c>
      <c r="K2330" t="str">
        <f>"DDX19A;DDX19B"</f>
        <v>DDX19A;DDX19B</v>
      </c>
      <c r="L2330" t="str">
        <f>"DDX19A;DDX19B"</f>
        <v>DDX19A;DDX19B</v>
      </c>
      <c r="M2330">
        <v>46396000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</row>
    <row r="2331" spans="1:24">
      <c r="A2331">
        <v>2186</v>
      </c>
      <c r="B2331" t="s">
        <v>6192</v>
      </c>
      <c r="C2331">
        <v>5</v>
      </c>
      <c r="D2331" t="s">
        <v>6193</v>
      </c>
      <c r="E2331">
        <v>1</v>
      </c>
      <c r="F2331">
        <v>1</v>
      </c>
      <c r="G2331">
        <v>1</v>
      </c>
      <c r="H2331" t="s">
        <v>6194</v>
      </c>
      <c r="I2331">
        <v>4.5</v>
      </c>
      <c r="J2331">
        <v>53.841999999999999</v>
      </c>
      <c r="K2331" t="str">
        <f>"ANO10"</f>
        <v>ANO10</v>
      </c>
      <c r="L2331" t="str">
        <f>"ANO10"</f>
        <v>ANO10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>
      <c r="A2332">
        <v>2190</v>
      </c>
      <c r="B2332" t="s">
        <v>6195</v>
      </c>
      <c r="C2332">
        <v>2</v>
      </c>
      <c r="D2332" t="s">
        <v>6196</v>
      </c>
      <c r="E2332">
        <v>1</v>
      </c>
      <c r="F2332">
        <v>1</v>
      </c>
      <c r="G2332">
        <v>1</v>
      </c>
      <c r="H2332" t="s">
        <v>6197</v>
      </c>
      <c r="I2332">
        <v>15</v>
      </c>
      <c r="J2332">
        <v>17.315999999999999</v>
      </c>
      <c r="K2332" t="str">
        <f>"NDUFB11"</f>
        <v>NDUFB11</v>
      </c>
      <c r="L2332" t="str">
        <f>"NDUFB11"</f>
        <v>NDUFB11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24171000</v>
      </c>
      <c r="T2332">
        <v>0</v>
      </c>
      <c r="U2332">
        <v>0</v>
      </c>
      <c r="V2332">
        <v>0</v>
      </c>
      <c r="W2332">
        <v>0</v>
      </c>
      <c r="X2332">
        <v>0</v>
      </c>
    </row>
    <row r="2333" spans="1:24">
      <c r="A2333">
        <v>2194</v>
      </c>
      <c r="B2333" t="s">
        <v>6198</v>
      </c>
      <c r="C2333">
        <v>4</v>
      </c>
      <c r="D2333" t="s">
        <v>6199</v>
      </c>
      <c r="E2333">
        <v>2</v>
      </c>
      <c r="F2333">
        <v>2</v>
      </c>
      <c r="G2333">
        <v>2</v>
      </c>
      <c r="H2333" t="s">
        <v>6200</v>
      </c>
      <c r="I2333">
        <v>5.4</v>
      </c>
      <c r="J2333">
        <v>43.156999999999996</v>
      </c>
      <c r="K2333" t="str">
        <f>"GFOD1;GFOD2"</f>
        <v>GFOD1;GFOD2</v>
      </c>
      <c r="L2333" t="str">
        <f>"GFOD1;GFOD2"</f>
        <v>GFOD1;GFOD2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</row>
    <row r="2334" spans="1:24">
      <c r="A2334">
        <v>2201</v>
      </c>
      <c r="B2334" t="s">
        <v>6201</v>
      </c>
      <c r="C2334">
        <v>1</v>
      </c>
      <c r="D2334" t="s">
        <v>6202</v>
      </c>
      <c r="E2334">
        <v>1</v>
      </c>
      <c r="F2334">
        <v>1</v>
      </c>
      <c r="G2334">
        <v>1</v>
      </c>
      <c r="H2334" t="s">
        <v>6201</v>
      </c>
      <c r="I2334">
        <v>5.5</v>
      </c>
      <c r="J2334">
        <v>36.033999999999999</v>
      </c>
      <c r="K2334" t="str">
        <f>"TECR"</f>
        <v>TECR</v>
      </c>
      <c r="L2334" t="str">
        <f>"TECR"</f>
        <v>TECR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</row>
    <row r="2335" spans="1:24">
      <c r="A2335">
        <v>2214</v>
      </c>
      <c r="B2335" t="s">
        <v>6203</v>
      </c>
      <c r="C2335">
        <v>1</v>
      </c>
      <c r="D2335" t="s">
        <v>6204</v>
      </c>
      <c r="E2335">
        <v>1</v>
      </c>
      <c r="F2335">
        <v>1</v>
      </c>
      <c r="G2335">
        <v>1</v>
      </c>
      <c r="H2335" t="s">
        <v>6203</v>
      </c>
      <c r="I2335">
        <v>10.4</v>
      </c>
      <c r="J2335">
        <v>20.574000000000002</v>
      </c>
      <c r="K2335" t="str">
        <f>"TMEM9"</f>
        <v>TMEM9</v>
      </c>
      <c r="L2335" t="str">
        <f>"TMEM9"</f>
        <v>TMEM9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</row>
    <row r="2336" spans="1:24">
      <c r="A2336">
        <v>2218</v>
      </c>
      <c r="B2336" t="s">
        <v>6205</v>
      </c>
      <c r="C2336">
        <v>1</v>
      </c>
      <c r="D2336" t="s">
        <v>6206</v>
      </c>
      <c r="E2336">
        <v>2</v>
      </c>
      <c r="F2336">
        <v>2</v>
      </c>
      <c r="G2336">
        <v>2</v>
      </c>
      <c r="H2336" t="s">
        <v>6205</v>
      </c>
      <c r="I2336">
        <v>2.7</v>
      </c>
      <c r="J2336">
        <v>110.18</v>
      </c>
      <c r="K2336" t="str">
        <f>"VPS18"</f>
        <v>VPS18</v>
      </c>
      <c r="L2336" t="str">
        <f>"VPS18"</f>
        <v>VPS18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</row>
    <row r="2337" spans="1:24">
      <c r="A2337">
        <v>2222</v>
      </c>
      <c r="B2337" t="s">
        <v>6207</v>
      </c>
      <c r="C2337">
        <v>2</v>
      </c>
      <c r="D2337" t="s">
        <v>6208</v>
      </c>
      <c r="E2337">
        <v>1</v>
      </c>
      <c r="F2337">
        <v>1</v>
      </c>
      <c r="G2337">
        <v>1</v>
      </c>
      <c r="H2337" t="s">
        <v>6209</v>
      </c>
      <c r="I2337">
        <v>0.9</v>
      </c>
      <c r="J2337">
        <v>214.99</v>
      </c>
      <c r="K2337" t="str">
        <f>"HEATR5B"</f>
        <v>HEATR5B</v>
      </c>
      <c r="L2337" t="str">
        <f>"HEATR5B"</f>
        <v>HEATR5B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</row>
    <row r="2338" spans="1:24">
      <c r="A2338">
        <v>2243</v>
      </c>
      <c r="B2338" t="s">
        <v>6210</v>
      </c>
      <c r="C2338">
        <v>1</v>
      </c>
      <c r="D2338" t="s">
        <v>6211</v>
      </c>
      <c r="E2338">
        <v>1</v>
      </c>
      <c r="F2338">
        <v>1</v>
      </c>
      <c r="G2338">
        <v>1</v>
      </c>
      <c r="H2338" t="s">
        <v>6210</v>
      </c>
      <c r="I2338">
        <v>2.7</v>
      </c>
      <c r="J2338">
        <v>72.188999999999993</v>
      </c>
      <c r="K2338" t="str">
        <f>"LIMD1"</f>
        <v>LIMD1</v>
      </c>
      <c r="L2338" t="str">
        <f>"LIMD1"</f>
        <v>LIMD1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18155000</v>
      </c>
      <c r="T2338">
        <v>0</v>
      </c>
      <c r="U2338">
        <v>0</v>
      </c>
      <c r="V2338">
        <v>0</v>
      </c>
      <c r="W2338">
        <v>0</v>
      </c>
      <c r="X2338">
        <v>0</v>
      </c>
    </row>
    <row r="2339" spans="1:24">
      <c r="A2339">
        <v>2256</v>
      </c>
      <c r="B2339" t="s">
        <v>6212</v>
      </c>
      <c r="C2339">
        <v>3</v>
      </c>
      <c r="D2339" t="s">
        <v>6213</v>
      </c>
      <c r="E2339">
        <v>1</v>
      </c>
      <c r="F2339">
        <v>1</v>
      </c>
      <c r="G2339">
        <v>1</v>
      </c>
      <c r="H2339" t="s">
        <v>6214</v>
      </c>
      <c r="I2339">
        <v>4.5999999999999996</v>
      </c>
      <c r="J2339">
        <v>41.576999999999998</v>
      </c>
      <c r="K2339" t="str">
        <f>"EVL"</f>
        <v>EVL</v>
      </c>
      <c r="L2339" t="str">
        <f>"EVL"</f>
        <v>EVL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</row>
    <row r="2340" spans="1:24">
      <c r="A2340">
        <v>2276</v>
      </c>
      <c r="B2340" t="s">
        <v>6215</v>
      </c>
      <c r="C2340">
        <v>9</v>
      </c>
      <c r="D2340" t="s">
        <v>6216</v>
      </c>
      <c r="E2340">
        <v>2</v>
      </c>
      <c r="F2340">
        <v>2</v>
      </c>
      <c r="G2340">
        <v>2</v>
      </c>
      <c r="H2340" t="s">
        <v>6217</v>
      </c>
      <c r="I2340">
        <v>4.8</v>
      </c>
      <c r="J2340">
        <v>69.221000000000004</v>
      </c>
      <c r="K2340" t="str">
        <f>"ACSL6"</f>
        <v>ACSL6</v>
      </c>
      <c r="L2340" t="str">
        <f>"ACSL6"</f>
        <v>ACSL6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</row>
    <row r="2341" spans="1:24">
      <c r="A2341">
        <v>2278</v>
      </c>
      <c r="B2341" t="s">
        <v>6218</v>
      </c>
      <c r="C2341">
        <v>2</v>
      </c>
      <c r="D2341" t="s">
        <v>6219</v>
      </c>
      <c r="E2341">
        <v>1</v>
      </c>
      <c r="F2341">
        <v>1</v>
      </c>
      <c r="G2341">
        <v>1</v>
      </c>
      <c r="H2341" t="s">
        <v>6220</v>
      </c>
      <c r="I2341">
        <v>2.5</v>
      </c>
      <c r="J2341">
        <v>46.862000000000002</v>
      </c>
      <c r="K2341" t="str">
        <f>"NUP50"</f>
        <v>NUP50</v>
      </c>
      <c r="L2341" t="str">
        <f>"NUP50"</f>
        <v>NUP50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</row>
    <row r="2342" spans="1:24">
      <c r="A2342">
        <v>2298</v>
      </c>
      <c r="B2342" t="s">
        <v>6221</v>
      </c>
      <c r="C2342">
        <v>2</v>
      </c>
      <c r="D2342" t="s">
        <v>6222</v>
      </c>
      <c r="E2342">
        <v>1</v>
      </c>
      <c r="F2342">
        <v>1</v>
      </c>
      <c r="G2342">
        <v>1</v>
      </c>
      <c r="H2342" t="s">
        <v>6223</v>
      </c>
      <c r="I2342">
        <v>5.2</v>
      </c>
      <c r="J2342">
        <v>33.1</v>
      </c>
      <c r="K2342" t="str">
        <f>"MINPP1"</f>
        <v>MINPP1</v>
      </c>
      <c r="L2342" t="str">
        <f>"MINPP1"</f>
        <v>MINPP1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</row>
    <row r="2343" spans="1:24">
      <c r="A2343">
        <v>2365</v>
      </c>
      <c r="B2343" t="s">
        <v>6224</v>
      </c>
      <c r="C2343">
        <v>4</v>
      </c>
      <c r="D2343" t="s">
        <v>6225</v>
      </c>
      <c r="E2343">
        <v>1</v>
      </c>
      <c r="F2343">
        <v>1</v>
      </c>
      <c r="G2343">
        <v>1</v>
      </c>
      <c r="H2343" t="s">
        <v>6226</v>
      </c>
      <c r="I2343">
        <v>1.7</v>
      </c>
      <c r="J2343">
        <v>97.370999999999995</v>
      </c>
      <c r="K2343" t="str">
        <f>"TNPO3"</f>
        <v>TNPO3</v>
      </c>
      <c r="L2343" t="str">
        <f>"TNPO3"</f>
        <v>TNPO3</v>
      </c>
      <c r="M2343">
        <v>0</v>
      </c>
      <c r="N2343">
        <v>0</v>
      </c>
      <c r="O2343">
        <v>19209000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</row>
    <row r="2344" spans="1:24">
      <c r="A2344">
        <v>2371</v>
      </c>
      <c r="B2344" t="s">
        <v>6227</v>
      </c>
      <c r="C2344">
        <v>1</v>
      </c>
      <c r="D2344" t="s">
        <v>6228</v>
      </c>
      <c r="E2344">
        <v>1</v>
      </c>
      <c r="F2344">
        <v>1</v>
      </c>
      <c r="G2344">
        <v>1</v>
      </c>
      <c r="H2344" t="s">
        <v>6227</v>
      </c>
      <c r="I2344">
        <v>7.3</v>
      </c>
      <c r="J2344">
        <v>22.875</v>
      </c>
      <c r="K2344" t="str">
        <f>"HEBP2"</f>
        <v>HEBP2</v>
      </c>
      <c r="L2344" t="str">
        <f>"HEBP2"</f>
        <v>HEBP2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3E0A-04E7-4548-B8A4-BB3755F22536}">
  <dimension ref="A1:Q2198"/>
  <sheetViews>
    <sheetView workbookViewId="0">
      <selection activeCell="G30" sqref="G30"/>
    </sheetView>
  </sheetViews>
  <sheetFormatPr baseColWidth="10" defaultRowHeight="16"/>
  <cols>
    <col min="1" max="17" width="10.83203125" style="6"/>
  </cols>
  <sheetData>
    <row r="1" spans="1:17">
      <c r="A1" s="5" t="s">
        <v>6229</v>
      </c>
      <c r="B1" s="5" t="s">
        <v>6230</v>
      </c>
      <c r="C1" s="5" t="s">
        <v>6231</v>
      </c>
      <c r="D1" s="5" t="s">
        <v>6232</v>
      </c>
      <c r="E1" s="5" t="s">
        <v>6233</v>
      </c>
      <c r="F1" s="5" t="s">
        <v>6234</v>
      </c>
      <c r="G1" s="5" t="s">
        <v>6235</v>
      </c>
      <c r="H1" s="5" t="s">
        <v>6236</v>
      </c>
      <c r="I1" s="5" t="s">
        <v>6237</v>
      </c>
      <c r="J1" s="5" t="s">
        <v>6238</v>
      </c>
      <c r="K1" s="5" t="s">
        <v>6239</v>
      </c>
      <c r="L1" s="5" t="s">
        <v>6240</v>
      </c>
      <c r="M1" s="5" t="s">
        <v>6241</v>
      </c>
      <c r="N1" s="5" t="s">
        <v>6242</v>
      </c>
      <c r="O1" s="5" t="s">
        <v>6243</v>
      </c>
      <c r="P1" s="5" t="s">
        <v>6244</v>
      </c>
      <c r="Q1" s="5" t="s">
        <v>6245</v>
      </c>
    </row>
    <row r="2" spans="1:17">
      <c r="A2" s="6" t="s">
        <v>94</v>
      </c>
      <c r="B2" s="6" t="s">
        <v>94</v>
      </c>
      <c r="C2" s="6" t="s">
        <v>6246</v>
      </c>
      <c r="D2" s="6" t="s">
        <v>6247</v>
      </c>
      <c r="E2" s="6" t="s">
        <v>6247</v>
      </c>
      <c r="F2" s="6">
        <v>22.914323219928701</v>
      </c>
      <c r="G2" s="6">
        <v>24.150319652994501</v>
      </c>
      <c r="H2" s="6">
        <v>24.0441146295457</v>
      </c>
      <c r="I2" s="6">
        <v>22.619537081009401</v>
      </c>
      <c r="J2" s="6">
        <v>24.0662174557322</v>
      </c>
      <c r="K2" s="6">
        <v>23.104032587274599</v>
      </c>
      <c r="L2" s="6">
        <v>23.666053670440299</v>
      </c>
      <c r="M2" s="6">
        <v>24.535338750629201</v>
      </c>
      <c r="N2" s="6">
        <v>22.981483582799001</v>
      </c>
      <c r="O2" s="6">
        <v>23.920749337617998</v>
      </c>
      <c r="P2" s="6">
        <v>23.325620948069901</v>
      </c>
      <c r="Q2" s="6">
        <v>24.172783002198301</v>
      </c>
    </row>
    <row r="3" spans="1:17">
      <c r="A3" s="6" t="s">
        <v>6248</v>
      </c>
      <c r="B3" s="6" t="s">
        <v>6248</v>
      </c>
      <c r="C3" s="6" t="s">
        <v>6248</v>
      </c>
      <c r="D3" s="6" t="s">
        <v>6248</v>
      </c>
      <c r="E3" s="6" t="s">
        <v>6248</v>
      </c>
      <c r="F3" s="6">
        <v>19.275056060788501</v>
      </c>
      <c r="G3" s="6">
        <v>20.316871765893101</v>
      </c>
      <c r="H3" s="6">
        <v>21.961415081979698</v>
      </c>
      <c r="I3" s="6">
        <v>22.7234921724895</v>
      </c>
      <c r="J3" s="6">
        <v>21.3000375614657</v>
      </c>
      <c r="K3" s="6">
        <v>22.641648452403601</v>
      </c>
      <c r="L3" s="6">
        <v>24.529186086170199</v>
      </c>
      <c r="M3" s="6">
        <v>22.104335594309902</v>
      </c>
      <c r="N3" s="6">
        <v>24.612321448576001</v>
      </c>
      <c r="O3" s="6">
        <v>21.246413613228601</v>
      </c>
      <c r="P3" s="6">
        <v>20.406577470547401</v>
      </c>
      <c r="Q3" s="6">
        <v>20.185499634786801</v>
      </c>
    </row>
    <row r="4" spans="1:17">
      <c r="A4" s="6" t="s">
        <v>6249</v>
      </c>
      <c r="B4" s="6" t="s">
        <v>6250</v>
      </c>
      <c r="C4" s="6" t="s">
        <v>6251</v>
      </c>
      <c r="D4" s="6" t="s">
        <v>6252</v>
      </c>
      <c r="E4" s="6" t="s">
        <v>6253</v>
      </c>
      <c r="F4" s="6" t="s">
        <v>6254</v>
      </c>
      <c r="G4" s="6" t="s">
        <v>6254</v>
      </c>
      <c r="H4" s="6" t="s">
        <v>6254</v>
      </c>
      <c r="I4" s="6" t="s">
        <v>6254</v>
      </c>
      <c r="J4" s="6" t="s">
        <v>6254</v>
      </c>
      <c r="K4" s="6" t="s">
        <v>6254</v>
      </c>
      <c r="L4" s="6" t="s">
        <v>6254</v>
      </c>
      <c r="M4" s="6" t="s">
        <v>6254</v>
      </c>
      <c r="N4" s="6" t="s">
        <v>6254</v>
      </c>
      <c r="O4" s="6" t="s">
        <v>6254</v>
      </c>
      <c r="P4" s="6" t="s">
        <v>6254</v>
      </c>
      <c r="Q4" s="6" t="s">
        <v>6254</v>
      </c>
    </row>
    <row r="5" spans="1:17">
      <c r="A5" s="6" t="s">
        <v>6255</v>
      </c>
      <c r="B5" s="6" t="s">
        <v>6256</v>
      </c>
      <c r="C5" s="6" t="s">
        <v>6257</v>
      </c>
      <c r="D5" s="6" t="s">
        <v>6258</v>
      </c>
      <c r="E5" s="6" t="s">
        <v>6259</v>
      </c>
      <c r="F5" s="6">
        <v>20.6098633395689</v>
      </c>
      <c r="G5" s="6">
        <v>21.782970762230399</v>
      </c>
      <c r="H5" s="6">
        <v>21.763379608580198</v>
      </c>
      <c r="I5" s="6">
        <v>20.295286191957999</v>
      </c>
      <c r="J5" s="6">
        <v>21.300645971484599</v>
      </c>
      <c r="K5" s="6">
        <v>13.6575155339623</v>
      </c>
      <c r="L5" s="6">
        <v>21.224520892976098</v>
      </c>
      <c r="M5" s="6">
        <v>22.108903745438599</v>
      </c>
      <c r="N5" s="6">
        <v>22.4517707238235</v>
      </c>
      <c r="O5" s="6">
        <v>21.647065471583801</v>
      </c>
      <c r="P5" s="6">
        <v>21.082930074219</v>
      </c>
      <c r="Q5" s="6">
        <v>14.7701551009973</v>
      </c>
    </row>
    <row r="6" spans="1:17">
      <c r="A6" s="6" t="s">
        <v>6260</v>
      </c>
      <c r="B6" s="6" t="s">
        <v>6260</v>
      </c>
      <c r="C6" s="6" t="s">
        <v>6260</v>
      </c>
      <c r="D6" s="6" t="s">
        <v>6260</v>
      </c>
      <c r="E6" s="6" t="s">
        <v>6260</v>
      </c>
      <c r="F6" s="6" t="s">
        <v>6254</v>
      </c>
      <c r="G6" s="6" t="s">
        <v>6254</v>
      </c>
      <c r="H6" s="6" t="s">
        <v>6254</v>
      </c>
      <c r="I6" s="6" t="s">
        <v>6254</v>
      </c>
      <c r="J6" s="6" t="s">
        <v>6254</v>
      </c>
      <c r="K6" s="6" t="s">
        <v>6254</v>
      </c>
      <c r="L6" s="6" t="s">
        <v>6254</v>
      </c>
      <c r="M6" s="6" t="s">
        <v>6254</v>
      </c>
      <c r="N6" s="6" t="s">
        <v>6254</v>
      </c>
      <c r="O6" s="6" t="s">
        <v>6254</v>
      </c>
      <c r="P6" s="6" t="s">
        <v>6254</v>
      </c>
      <c r="Q6" s="6" t="s">
        <v>6254</v>
      </c>
    </row>
    <row r="7" spans="1:17">
      <c r="A7" s="6" t="s">
        <v>6261</v>
      </c>
      <c r="B7" s="6" t="s">
        <v>6262</v>
      </c>
      <c r="C7" s="6" t="s">
        <v>6263</v>
      </c>
      <c r="D7" s="6" t="s">
        <v>6264</v>
      </c>
      <c r="E7" s="6" t="s">
        <v>6265</v>
      </c>
      <c r="F7" s="6">
        <v>20.2063089128911</v>
      </c>
      <c r="G7" s="6">
        <v>20.675613645821699</v>
      </c>
      <c r="H7" s="6">
        <v>20.5876086391408</v>
      </c>
      <c r="I7" s="6">
        <v>20.145306912490799</v>
      </c>
      <c r="J7" s="6">
        <v>20.865505217993299</v>
      </c>
      <c r="K7" s="6">
        <v>20.660266118260299</v>
      </c>
      <c r="L7" s="6">
        <v>20.9145817065233</v>
      </c>
      <c r="M7" s="6">
        <v>21.6208407433876</v>
      </c>
      <c r="N7" s="6">
        <v>21.228345620608199</v>
      </c>
      <c r="O7" s="6">
        <v>21.054642623550901</v>
      </c>
      <c r="P7" s="6">
        <v>20.611291610011001</v>
      </c>
      <c r="Q7" s="6">
        <v>20.46423268313</v>
      </c>
    </row>
    <row r="8" spans="1:17">
      <c r="A8" s="6" t="s">
        <v>334</v>
      </c>
      <c r="B8" s="6" t="s">
        <v>334</v>
      </c>
      <c r="C8" s="6" t="s">
        <v>6266</v>
      </c>
      <c r="D8" s="6" t="s">
        <v>6267</v>
      </c>
      <c r="E8" s="6" t="s">
        <v>6267</v>
      </c>
      <c r="F8" s="6">
        <v>18.805773808213001</v>
      </c>
      <c r="G8" s="6">
        <v>18.058977251058401</v>
      </c>
      <c r="H8" s="6">
        <v>21.752449252038499</v>
      </c>
      <c r="I8" s="6">
        <v>22.175493695312699</v>
      </c>
      <c r="J8" s="6">
        <v>20.758970262957799</v>
      </c>
      <c r="K8" s="6">
        <v>20.903265449905302</v>
      </c>
      <c r="L8" s="6">
        <v>22.2279851368768</v>
      </c>
      <c r="M8" s="6">
        <v>20.622832506272001</v>
      </c>
      <c r="N8" s="6">
        <v>21.273204103941399</v>
      </c>
      <c r="O8" s="6">
        <v>20.300676567775</v>
      </c>
      <c r="P8" s="6">
        <v>20.095562794088099</v>
      </c>
      <c r="Q8" s="6">
        <v>18.724050807143399</v>
      </c>
    </row>
    <row r="9" spans="1:17">
      <c r="A9" s="6" t="s">
        <v>532</v>
      </c>
      <c r="B9" s="6" t="s">
        <v>532</v>
      </c>
      <c r="C9" s="6" t="s">
        <v>6268</v>
      </c>
      <c r="D9" s="6" t="s">
        <v>6269</v>
      </c>
      <c r="E9" s="6" t="s">
        <v>6269</v>
      </c>
      <c r="F9" s="6">
        <v>19.237031866807602</v>
      </c>
      <c r="G9" s="6">
        <v>18.694105289425298</v>
      </c>
      <c r="H9" s="6">
        <v>21.379061699207998</v>
      </c>
      <c r="I9" s="6">
        <v>21.8519962211763</v>
      </c>
      <c r="J9" s="6">
        <v>20.412527223123899</v>
      </c>
      <c r="K9" s="6">
        <v>20.319362908503599</v>
      </c>
      <c r="L9" s="6">
        <v>21.6001937019698</v>
      </c>
      <c r="M9" s="6">
        <v>20.624009186340299</v>
      </c>
      <c r="N9" s="6">
        <v>20.836203458287201</v>
      </c>
      <c r="O9" s="6">
        <v>20.662160409054199</v>
      </c>
      <c r="P9" s="6">
        <v>20.218754644413998</v>
      </c>
      <c r="Q9" s="6">
        <v>18.755770269836901</v>
      </c>
    </row>
    <row r="10" spans="1:17">
      <c r="A10" s="6" t="s">
        <v>6270</v>
      </c>
      <c r="B10" s="6" t="s">
        <v>6271</v>
      </c>
      <c r="C10" s="6" t="s">
        <v>6272</v>
      </c>
      <c r="D10" s="6" t="s">
        <v>6273</v>
      </c>
      <c r="E10" s="6" t="s">
        <v>6274</v>
      </c>
      <c r="F10" s="6">
        <v>20.7550422226705</v>
      </c>
      <c r="G10" s="6">
        <v>20.743806003639701</v>
      </c>
      <c r="H10" s="6">
        <v>20.525767727676701</v>
      </c>
      <c r="I10" s="6">
        <v>20.925026951272201</v>
      </c>
      <c r="J10" s="6">
        <v>19.949408265117501</v>
      </c>
      <c r="K10" s="6">
        <v>20.660652942718599</v>
      </c>
      <c r="L10" s="6">
        <v>20.702164116405299</v>
      </c>
      <c r="M10" s="6">
        <v>19.953735764170901</v>
      </c>
      <c r="N10" s="6">
        <v>19.5254815087089</v>
      </c>
      <c r="O10" s="6">
        <v>20.874021803325899</v>
      </c>
      <c r="P10" s="6">
        <v>20.522551604281901</v>
      </c>
      <c r="Q10" s="6">
        <v>19.509974032117999</v>
      </c>
    </row>
    <row r="11" spans="1:17">
      <c r="A11" s="6" t="s">
        <v>6275</v>
      </c>
      <c r="B11" s="6" t="s">
        <v>6275</v>
      </c>
      <c r="C11" s="6" t="s">
        <v>6276</v>
      </c>
      <c r="D11" s="6" t="s">
        <v>6277</v>
      </c>
      <c r="E11" s="6" t="s">
        <v>6277</v>
      </c>
      <c r="F11" s="6">
        <v>20.329617367586302</v>
      </c>
      <c r="G11" s="6">
        <v>21.115605035567999</v>
      </c>
      <c r="H11" s="6">
        <v>21.106678701435602</v>
      </c>
      <c r="I11" s="6">
        <v>19.778016915797</v>
      </c>
      <c r="J11" s="6">
        <v>20.7095060459495</v>
      </c>
      <c r="K11" s="6">
        <v>19.986464632333401</v>
      </c>
      <c r="L11" s="6">
        <v>20.206875110977801</v>
      </c>
      <c r="M11" s="6">
        <v>21.1848543018078</v>
      </c>
      <c r="N11" s="6">
        <v>21.043733408071098</v>
      </c>
      <c r="O11" s="6">
        <v>20.4577938403018</v>
      </c>
      <c r="P11" s="6">
        <v>19.750905879382</v>
      </c>
      <c r="Q11" s="6" t="s">
        <v>6254</v>
      </c>
    </row>
    <row r="12" spans="1:17">
      <c r="A12" s="6" t="s">
        <v>71</v>
      </c>
      <c r="B12" s="6" t="s">
        <v>71</v>
      </c>
      <c r="C12" s="6" t="s">
        <v>6278</v>
      </c>
      <c r="D12" s="6" t="s">
        <v>6279</v>
      </c>
      <c r="E12" s="6" t="s">
        <v>6279</v>
      </c>
      <c r="F12" s="6">
        <v>19.948765362526999</v>
      </c>
      <c r="G12" s="6">
        <v>19.2609888380832</v>
      </c>
      <c r="H12" s="6">
        <v>20.512177061197999</v>
      </c>
      <c r="I12" s="6">
        <v>20.690087832705402</v>
      </c>
      <c r="J12" s="6">
        <v>19.404429794314002</v>
      </c>
      <c r="K12" s="6">
        <v>20.525159920038799</v>
      </c>
      <c r="L12" s="6">
        <v>20.9143112797302</v>
      </c>
      <c r="M12" s="6">
        <v>19.568163143837999</v>
      </c>
      <c r="N12" s="6">
        <v>18.419770352524601</v>
      </c>
      <c r="O12" s="6">
        <v>20.859838576158701</v>
      </c>
      <c r="P12" s="6">
        <v>20.615259068605202</v>
      </c>
      <c r="Q12" s="6">
        <v>19.837921221578998</v>
      </c>
    </row>
    <row r="13" spans="1:17">
      <c r="A13" s="6" t="s">
        <v>6280</v>
      </c>
      <c r="B13" s="6" t="s">
        <v>54</v>
      </c>
      <c r="C13" s="6" t="s">
        <v>6281</v>
      </c>
      <c r="D13" s="6" t="s">
        <v>6282</v>
      </c>
      <c r="E13" s="6" t="s">
        <v>6283</v>
      </c>
      <c r="F13" s="6">
        <v>19.472109410100501</v>
      </c>
      <c r="G13" s="6">
        <v>20.879203379631001</v>
      </c>
      <c r="H13" s="6">
        <v>20.683067089856898</v>
      </c>
      <c r="I13" s="6">
        <v>19.6046406441749</v>
      </c>
      <c r="J13" s="6">
        <v>20.378868670260001</v>
      </c>
      <c r="K13" s="6">
        <v>20.076573057099399</v>
      </c>
      <c r="L13" s="6">
        <v>20.1698068959648</v>
      </c>
      <c r="M13" s="6">
        <v>20.989125465211401</v>
      </c>
      <c r="N13" s="6">
        <v>20.215105660405399</v>
      </c>
      <c r="O13" s="6">
        <v>20.399760458985099</v>
      </c>
      <c r="P13" s="6">
        <v>19.9406494515191</v>
      </c>
      <c r="Q13" s="6">
        <v>20.059287744094298</v>
      </c>
    </row>
    <row r="14" spans="1:17">
      <c r="A14" s="6" t="s">
        <v>148</v>
      </c>
      <c r="B14" s="6" t="s">
        <v>148</v>
      </c>
      <c r="C14" s="6" t="s">
        <v>6284</v>
      </c>
      <c r="D14" s="6" t="s">
        <v>6285</v>
      </c>
      <c r="E14" s="6" t="s">
        <v>6285</v>
      </c>
      <c r="F14" s="6">
        <v>20.243617046526602</v>
      </c>
      <c r="G14" s="6">
        <v>19.876061185975601</v>
      </c>
      <c r="H14" s="6">
        <v>20.0341373825867</v>
      </c>
      <c r="I14" s="6">
        <v>20.616391059080801</v>
      </c>
      <c r="J14" s="6">
        <v>19.1289725526943</v>
      </c>
      <c r="K14" s="6">
        <v>19.6317605727508</v>
      </c>
      <c r="L14" s="6">
        <v>20.094933355164201</v>
      </c>
      <c r="M14" s="6">
        <v>19.103318045969498</v>
      </c>
      <c r="N14" s="6">
        <v>19.4778268989248</v>
      </c>
      <c r="O14" s="6">
        <v>20.580127773256599</v>
      </c>
      <c r="P14" s="6">
        <v>20.396497821004701</v>
      </c>
      <c r="Q14" s="6">
        <v>18.747334442193399</v>
      </c>
    </row>
    <row r="15" spans="1:17">
      <c r="A15" s="6" t="s">
        <v>92</v>
      </c>
      <c r="B15" s="6" t="s">
        <v>92</v>
      </c>
      <c r="C15" s="6" t="s">
        <v>6286</v>
      </c>
      <c r="D15" s="6" t="s">
        <v>6287</v>
      </c>
      <c r="E15" s="6" t="s">
        <v>6287</v>
      </c>
      <c r="F15" s="6">
        <v>19.6805661451479</v>
      </c>
      <c r="G15" s="6">
        <v>19.605544037072601</v>
      </c>
      <c r="H15" s="6">
        <v>20.312607891378299</v>
      </c>
      <c r="I15" s="6">
        <v>19.405321312607398</v>
      </c>
      <c r="J15" s="6">
        <v>19.756013268250801</v>
      </c>
      <c r="K15" s="6">
        <v>18.997313341803999</v>
      </c>
      <c r="L15" s="6">
        <v>20.180157628771301</v>
      </c>
      <c r="M15" s="6">
        <v>20.401541786867</v>
      </c>
      <c r="N15" s="6">
        <v>20.189269098610598</v>
      </c>
      <c r="O15" s="6">
        <v>20.845724168433001</v>
      </c>
      <c r="P15" s="6">
        <v>19.9136410975382</v>
      </c>
      <c r="Q15" s="6">
        <v>19.689815971251999</v>
      </c>
    </row>
    <row r="16" spans="1:17">
      <c r="A16" s="6" t="s">
        <v>70</v>
      </c>
      <c r="B16" s="6" t="s">
        <v>70</v>
      </c>
      <c r="C16" s="6" t="s">
        <v>6288</v>
      </c>
      <c r="D16" s="6" t="s">
        <v>6289</v>
      </c>
      <c r="E16" s="6" t="s">
        <v>6289</v>
      </c>
      <c r="F16" s="6">
        <v>19.515592219639</v>
      </c>
      <c r="G16" s="6">
        <v>20.417670887303299</v>
      </c>
      <c r="H16" s="6">
        <v>20.812994016300902</v>
      </c>
      <c r="I16" s="6">
        <v>17.5686493470035</v>
      </c>
      <c r="J16" s="6">
        <v>20.291413664793499</v>
      </c>
      <c r="K16" s="6">
        <v>18.7604927415045</v>
      </c>
      <c r="L16" s="6">
        <v>19.8488138841644</v>
      </c>
      <c r="M16" s="6">
        <v>20.266568490419999</v>
      </c>
      <c r="N16" s="6">
        <v>20.1299213741279</v>
      </c>
      <c r="O16" s="6">
        <v>19.7710877361976</v>
      </c>
      <c r="P16" s="6">
        <v>18.549178073437901</v>
      </c>
      <c r="Q16" s="6">
        <v>20.729093060380499</v>
      </c>
    </row>
    <row r="17" spans="1:17">
      <c r="A17" s="6" t="s">
        <v>6290</v>
      </c>
      <c r="B17" s="6" t="s">
        <v>6290</v>
      </c>
      <c r="C17" s="6" t="s">
        <v>6291</v>
      </c>
      <c r="D17" s="6" t="s">
        <v>6292</v>
      </c>
      <c r="E17" s="6" t="s">
        <v>6292</v>
      </c>
      <c r="F17" s="6">
        <v>19.453706470908799</v>
      </c>
      <c r="G17" s="6">
        <v>20.068348580470001</v>
      </c>
      <c r="H17" s="6">
        <v>20.126709364878302</v>
      </c>
      <c r="I17" s="6">
        <v>19.1029709052636</v>
      </c>
      <c r="J17" s="6">
        <v>20.000559993031398</v>
      </c>
      <c r="K17" s="6">
        <v>19.220444483683</v>
      </c>
      <c r="L17" s="6">
        <v>19.635267770919999</v>
      </c>
      <c r="M17" s="6">
        <v>20.614257764201</v>
      </c>
      <c r="N17" s="6">
        <v>20.446963782673201</v>
      </c>
      <c r="O17" s="6">
        <v>20.012760424042199</v>
      </c>
      <c r="P17" s="6">
        <v>19.628633689972101</v>
      </c>
      <c r="Q17" s="6">
        <v>19.930624952771499</v>
      </c>
    </row>
    <row r="18" spans="1:17">
      <c r="A18" s="6" t="s">
        <v>155</v>
      </c>
      <c r="B18" s="6" t="s">
        <v>155</v>
      </c>
      <c r="C18" s="6" t="s">
        <v>6293</v>
      </c>
      <c r="D18" s="6" t="s">
        <v>6294</v>
      </c>
      <c r="E18" s="6" t="s">
        <v>6294</v>
      </c>
      <c r="F18" s="6">
        <v>19.9237916455237</v>
      </c>
      <c r="G18" s="6">
        <v>19.099113736077499</v>
      </c>
      <c r="H18" s="6">
        <v>19.4882377602353</v>
      </c>
      <c r="I18" s="6">
        <v>20.142836131082898</v>
      </c>
      <c r="J18" s="6">
        <v>18.9626922901762</v>
      </c>
      <c r="K18" s="6">
        <v>19.456853602168501</v>
      </c>
      <c r="L18" s="6">
        <v>19.876019496133399</v>
      </c>
      <c r="M18" s="6">
        <v>18.917587382473201</v>
      </c>
      <c r="N18" s="6">
        <v>19.399711465089698</v>
      </c>
      <c r="O18" s="6">
        <v>19.950942184109099</v>
      </c>
      <c r="P18" s="6">
        <v>19.823401204829398</v>
      </c>
      <c r="Q18" s="6">
        <v>18.600270883136002</v>
      </c>
    </row>
    <row r="19" spans="1:17">
      <c r="A19" s="6" t="s">
        <v>6295</v>
      </c>
      <c r="B19" s="6" t="s">
        <v>6296</v>
      </c>
      <c r="C19" s="6" t="s">
        <v>6297</v>
      </c>
      <c r="D19" s="6" t="s">
        <v>6298</v>
      </c>
      <c r="E19" s="6" t="s">
        <v>6299</v>
      </c>
      <c r="F19" s="6">
        <v>20.481996649456399</v>
      </c>
      <c r="G19" s="6">
        <v>19.728110431978902</v>
      </c>
      <c r="H19" s="6">
        <v>19.668732153533501</v>
      </c>
      <c r="I19" s="6">
        <v>20.212738262936799</v>
      </c>
      <c r="J19" s="6">
        <v>18.763375246590002</v>
      </c>
      <c r="K19" s="6">
        <v>19.126540697000699</v>
      </c>
      <c r="L19" s="6">
        <v>20.072281338922899</v>
      </c>
      <c r="M19" s="6">
        <v>18.646933972370899</v>
      </c>
      <c r="N19" s="6">
        <v>19.8204637320469</v>
      </c>
      <c r="O19" s="6">
        <v>19.581241577916401</v>
      </c>
      <c r="P19" s="6">
        <v>18.900873900508799</v>
      </c>
      <c r="Q19" s="6">
        <v>17.8644705532476</v>
      </c>
    </row>
    <row r="20" spans="1:17">
      <c r="A20" s="6" t="s">
        <v>6300</v>
      </c>
      <c r="B20" s="6" t="s">
        <v>6301</v>
      </c>
      <c r="C20" s="6" t="s">
        <v>6302</v>
      </c>
      <c r="D20" s="6" t="s">
        <v>6303</v>
      </c>
      <c r="E20" s="6" t="s">
        <v>6304</v>
      </c>
      <c r="F20" s="6">
        <v>19.429751186529099</v>
      </c>
      <c r="G20" s="6">
        <v>19.271623326757101</v>
      </c>
      <c r="H20" s="6">
        <v>19.3685885977143</v>
      </c>
      <c r="I20" s="6">
        <v>19.786092229879699</v>
      </c>
      <c r="J20" s="6">
        <v>18.999869934939198</v>
      </c>
      <c r="K20" s="6">
        <v>19.332699911878102</v>
      </c>
      <c r="L20" s="6">
        <v>19.8788510856815</v>
      </c>
      <c r="M20" s="6">
        <v>19.208483882762501</v>
      </c>
      <c r="N20" s="6">
        <v>19.021621354631101</v>
      </c>
      <c r="O20" s="6">
        <v>19.588568304296601</v>
      </c>
      <c r="P20" s="6">
        <v>19.801348445149699</v>
      </c>
      <c r="Q20" s="6">
        <v>18.665946153691099</v>
      </c>
    </row>
    <row r="21" spans="1:17">
      <c r="A21" s="6" t="s">
        <v>115</v>
      </c>
      <c r="B21" s="6" t="s">
        <v>115</v>
      </c>
      <c r="C21" s="6" t="s">
        <v>6305</v>
      </c>
      <c r="D21" s="6" t="s">
        <v>6306</v>
      </c>
      <c r="E21" s="6" t="s">
        <v>6306</v>
      </c>
      <c r="F21" s="6">
        <v>18.266823214435199</v>
      </c>
      <c r="G21" s="6">
        <v>18.2664633783474</v>
      </c>
      <c r="H21" s="6">
        <v>20.028365832728799</v>
      </c>
      <c r="I21" s="6">
        <v>18.996923113442602</v>
      </c>
      <c r="J21" s="6">
        <v>20.328280664226199</v>
      </c>
      <c r="K21" s="6">
        <v>18.553981955936202</v>
      </c>
      <c r="L21" s="6">
        <v>19.610786305116001</v>
      </c>
      <c r="M21" s="6">
        <v>19.440161126785402</v>
      </c>
      <c r="N21" s="6">
        <v>19.7478640120577</v>
      </c>
      <c r="O21" s="6">
        <v>18.980896255492802</v>
      </c>
      <c r="P21" s="6">
        <v>18.185346864896498</v>
      </c>
      <c r="Q21" s="6">
        <v>19.808810883726402</v>
      </c>
    </row>
    <row r="22" spans="1:17">
      <c r="A22" s="6" t="s">
        <v>6307</v>
      </c>
      <c r="B22" s="6" t="s">
        <v>6308</v>
      </c>
      <c r="C22" s="6" t="s">
        <v>6309</v>
      </c>
      <c r="D22" s="6" t="s">
        <v>6310</v>
      </c>
      <c r="E22" s="6" t="s">
        <v>6311</v>
      </c>
      <c r="F22" s="6">
        <v>19.6979022690089</v>
      </c>
      <c r="G22" s="6">
        <v>19.145382535012899</v>
      </c>
      <c r="H22" s="6">
        <v>19.411391634431698</v>
      </c>
      <c r="I22" s="6">
        <v>19.431396995800899</v>
      </c>
      <c r="J22" s="6">
        <v>18.7923421906691</v>
      </c>
      <c r="K22" s="6">
        <v>19.767678545417901</v>
      </c>
      <c r="L22" s="6">
        <v>19.7469854327639</v>
      </c>
      <c r="M22" s="6">
        <v>19.519524129954199</v>
      </c>
      <c r="N22" s="6">
        <v>19.057077688447599</v>
      </c>
      <c r="O22" s="6">
        <v>19.4701517124942</v>
      </c>
      <c r="P22" s="6">
        <v>19.809706717899999</v>
      </c>
      <c r="Q22" s="6">
        <v>18.930590802910299</v>
      </c>
    </row>
    <row r="23" spans="1:17">
      <c r="A23" s="6" t="s">
        <v>6312</v>
      </c>
      <c r="B23" s="6" t="s">
        <v>6313</v>
      </c>
      <c r="C23" s="6" t="s">
        <v>6314</v>
      </c>
      <c r="D23" s="6" t="s">
        <v>6315</v>
      </c>
      <c r="E23" s="6" t="s">
        <v>6316</v>
      </c>
      <c r="F23" s="6">
        <v>20.274249375070401</v>
      </c>
      <c r="G23" s="6">
        <v>18.887192142084</v>
      </c>
      <c r="H23" s="6">
        <v>19.4073948290389</v>
      </c>
      <c r="I23" s="6">
        <v>20.158725629336701</v>
      </c>
      <c r="J23" s="6">
        <v>18.715126412342901</v>
      </c>
      <c r="K23" s="6">
        <v>19.249099981124999</v>
      </c>
      <c r="L23" s="6">
        <v>20.156424997438101</v>
      </c>
      <c r="M23" s="6">
        <v>18.615051858311698</v>
      </c>
      <c r="N23" s="6">
        <v>18.866164522359998</v>
      </c>
      <c r="O23" s="6">
        <v>19.4609077988599</v>
      </c>
      <c r="P23" s="6">
        <v>19.720918588477002</v>
      </c>
      <c r="Q23" s="6">
        <v>17.812399671244702</v>
      </c>
    </row>
    <row r="24" spans="1:17">
      <c r="A24" s="6" t="s">
        <v>6317</v>
      </c>
      <c r="B24" s="6" t="s">
        <v>48</v>
      </c>
      <c r="C24" s="6" t="s">
        <v>6318</v>
      </c>
      <c r="D24" s="6" t="s">
        <v>6319</v>
      </c>
      <c r="E24" s="6" t="s">
        <v>6320</v>
      </c>
      <c r="F24" s="6">
        <v>19.708587681536901</v>
      </c>
      <c r="G24" s="6">
        <v>18.918596186861699</v>
      </c>
      <c r="H24" s="6">
        <v>19.388821460882301</v>
      </c>
      <c r="I24" s="6">
        <v>19.2686040668295</v>
      </c>
      <c r="J24" s="6">
        <v>18.5383041134181</v>
      </c>
      <c r="K24" s="6">
        <v>19.464704329660801</v>
      </c>
      <c r="L24" s="6">
        <v>19.676998793201498</v>
      </c>
      <c r="M24" s="6">
        <v>19.461836618491098</v>
      </c>
      <c r="N24" s="6">
        <v>19.546181593285699</v>
      </c>
      <c r="O24" s="6">
        <v>19.177709406017001</v>
      </c>
      <c r="P24" s="6">
        <v>19.537682537976298</v>
      </c>
      <c r="Q24" s="6">
        <v>18.575061781288099</v>
      </c>
    </row>
    <row r="25" spans="1:17">
      <c r="A25" s="6" t="s">
        <v>6321</v>
      </c>
      <c r="B25" s="6" t="s">
        <v>6322</v>
      </c>
      <c r="C25" s="6" t="s">
        <v>6323</v>
      </c>
      <c r="D25" s="6" t="s">
        <v>6324</v>
      </c>
      <c r="E25" s="6" t="s">
        <v>6325</v>
      </c>
      <c r="F25" s="6">
        <v>18.394533724655901</v>
      </c>
      <c r="G25" s="6">
        <v>19.614255499698</v>
      </c>
      <c r="H25" s="6">
        <v>19.818744822834802</v>
      </c>
      <c r="I25" s="6">
        <v>18.379864226957</v>
      </c>
      <c r="J25" s="6">
        <v>19.8071905506363</v>
      </c>
      <c r="K25" s="6">
        <v>19.119078949812199</v>
      </c>
      <c r="L25" s="6">
        <v>19.3541109553505</v>
      </c>
      <c r="M25" s="6">
        <v>20.2217539196022</v>
      </c>
      <c r="N25" s="6">
        <v>19.215423877905099</v>
      </c>
      <c r="O25" s="6">
        <v>18.868277766884901</v>
      </c>
      <c r="P25" s="6">
        <v>18.782009380525999</v>
      </c>
      <c r="Q25" s="6">
        <v>19.968837454786701</v>
      </c>
    </row>
    <row r="26" spans="1:17">
      <c r="A26" s="6" t="s">
        <v>6326</v>
      </c>
      <c r="B26" s="6" t="s">
        <v>6326</v>
      </c>
      <c r="C26" s="6" t="s">
        <v>6326</v>
      </c>
      <c r="D26" s="6" t="s">
        <v>6326</v>
      </c>
      <c r="E26" s="6" t="s">
        <v>6326</v>
      </c>
      <c r="F26" s="6" t="s">
        <v>6254</v>
      </c>
      <c r="G26" s="6" t="s">
        <v>6254</v>
      </c>
      <c r="H26" s="6">
        <v>18.899407894837601</v>
      </c>
      <c r="I26" s="6" t="s">
        <v>6254</v>
      </c>
      <c r="J26" s="6" t="s">
        <v>6254</v>
      </c>
      <c r="K26" s="6" t="s">
        <v>6254</v>
      </c>
      <c r="L26" s="6">
        <v>19.256659377575399</v>
      </c>
      <c r="M26" s="6" t="s">
        <v>6254</v>
      </c>
      <c r="N26" s="6" t="s">
        <v>6254</v>
      </c>
      <c r="O26" s="6" t="s">
        <v>6254</v>
      </c>
      <c r="P26" s="6" t="s">
        <v>6254</v>
      </c>
      <c r="Q26" s="6" t="s">
        <v>6254</v>
      </c>
    </row>
    <row r="27" spans="1:17">
      <c r="A27" s="6" t="s">
        <v>6327</v>
      </c>
      <c r="B27" s="6" t="s">
        <v>6328</v>
      </c>
      <c r="C27" s="6" t="s">
        <v>6329</v>
      </c>
      <c r="D27" s="6" t="s">
        <v>6330</v>
      </c>
      <c r="E27" s="6" t="s">
        <v>6331</v>
      </c>
      <c r="F27" s="6">
        <v>19.582635575152299</v>
      </c>
      <c r="G27" s="6">
        <v>19.071392626573001</v>
      </c>
      <c r="H27" s="6">
        <v>19.318450361719201</v>
      </c>
      <c r="I27" s="6">
        <v>19.936373825668699</v>
      </c>
      <c r="J27" s="6">
        <v>18.135929503349701</v>
      </c>
      <c r="K27" s="6">
        <v>18.900260552803299</v>
      </c>
      <c r="L27" s="6">
        <v>19.713830058316599</v>
      </c>
      <c r="M27" s="6">
        <v>18.318080146203901</v>
      </c>
      <c r="N27" s="6">
        <v>19.6833773415667</v>
      </c>
      <c r="O27" s="6">
        <v>19.800808374913899</v>
      </c>
      <c r="P27" s="6">
        <v>19.5124139096873</v>
      </c>
      <c r="Q27" s="6">
        <v>17.675172619514701</v>
      </c>
    </row>
    <row r="28" spans="1:17">
      <c r="A28" s="6" t="s">
        <v>6332</v>
      </c>
      <c r="B28" s="6" t="s">
        <v>6332</v>
      </c>
      <c r="C28" s="6" t="s">
        <v>6332</v>
      </c>
      <c r="D28" s="6" t="s">
        <v>6332</v>
      </c>
      <c r="E28" s="6" t="s">
        <v>6332</v>
      </c>
      <c r="F28" s="6">
        <v>18.1920549381447</v>
      </c>
      <c r="G28" s="6">
        <v>18.685865945521801</v>
      </c>
      <c r="H28" s="6">
        <v>19.423230479392402</v>
      </c>
      <c r="I28" s="6">
        <v>18.821626870729201</v>
      </c>
      <c r="J28" s="6">
        <v>18.865098096569898</v>
      </c>
      <c r="K28" s="6">
        <v>19.186308574519099</v>
      </c>
      <c r="L28" s="6">
        <v>19.940512524672801</v>
      </c>
      <c r="M28" s="6">
        <v>19.762720383135498</v>
      </c>
      <c r="N28" s="6">
        <v>18.819018199062299</v>
      </c>
      <c r="O28" s="6">
        <v>18.756808574527302</v>
      </c>
      <c r="P28" s="6">
        <v>18.706478499136502</v>
      </c>
      <c r="Q28" s="6">
        <v>19.239864873116499</v>
      </c>
    </row>
    <row r="29" spans="1:17">
      <c r="A29" s="6" t="s">
        <v>6333</v>
      </c>
      <c r="B29" s="6" t="s">
        <v>6334</v>
      </c>
      <c r="C29" s="6" t="s">
        <v>6335</v>
      </c>
      <c r="D29" s="6" t="s">
        <v>6336</v>
      </c>
      <c r="E29" s="6" t="s">
        <v>6337</v>
      </c>
      <c r="F29" s="6">
        <v>19.792967004701602</v>
      </c>
      <c r="G29" s="6">
        <v>19.121126898169098</v>
      </c>
      <c r="H29" s="6">
        <v>19.2857684742991</v>
      </c>
      <c r="I29" s="6">
        <v>19.8665049632896</v>
      </c>
      <c r="J29" s="6">
        <v>18.5587261269363</v>
      </c>
      <c r="K29" s="6">
        <v>18.9348494917637</v>
      </c>
      <c r="L29" s="6">
        <v>19.4201878880118</v>
      </c>
      <c r="M29" s="6">
        <v>18.4359418087889</v>
      </c>
      <c r="N29" s="6">
        <v>18.783184193000899</v>
      </c>
      <c r="O29" s="6">
        <v>19.618355740496799</v>
      </c>
      <c r="P29" s="6">
        <v>19.517645922817199</v>
      </c>
      <c r="Q29" s="6">
        <v>18.0678167274103</v>
      </c>
    </row>
    <row r="30" spans="1:17">
      <c r="A30" s="6" t="s">
        <v>4678</v>
      </c>
      <c r="B30" s="6" t="s">
        <v>4678</v>
      </c>
      <c r="C30" s="6" t="s">
        <v>6338</v>
      </c>
      <c r="D30" s="6" t="s">
        <v>4680</v>
      </c>
      <c r="E30" s="6" t="s">
        <v>4680</v>
      </c>
      <c r="F30" s="6">
        <v>18.6210650491373</v>
      </c>
      <c r="G30" s="6">
        <v>19.341855578888602</v>
      </c>
      <c r="H30" s="6">
        <v>19.487054511104802</v>
      </c>
      <c r="I30" s="6">
        <v>18.580484606474499</v>
      </c>
      <c r="J30" s="6">
        <v>19.759825641474901</v>
      </c>
      <c r="K30" s="6">
        <v>18.6988225176611</v>
      </c>
      <c r="L30" s="6">
        <v>18.992118646169601</v>
      </c>
      <c r="M30" s="6">
        <v>19.789895040511599</v>
      </c>
      <c r="N30" s="6">
        <v>19.853494488348701</v>
      </c>
      <c r="O30" s="6">
        <v>19.930342833830199</v>
      </c>
      <c r="P30" s="6">
        <v>18.599985228087899</v>
      </c>
      <c r="Q30" s="6">
        <v>18.4434924052855</v>
      </c>
    </row>
    <row r="31" spans="1:17">
      <c r="A31" s="6" t="s">
        <v>99</v>
      </c>
      <c r="B31" s="6" t="s">
        <v>99</v>
      </c>
      <c r="C31" s="6" t="s">
        <v>6339</v>
      </c>
      <c r="D31" s="6" t="s">
        <v>6340</v>
      </c>
      <c r="E31" s="6" t="s">
        <v>6340</v>
      </c>
      <c r="F31" s="6">
        <v>19.0952094337189</v>
      </c>
      <c r="G31" s="6">
        <v>19.851817972408401</v>
      </c>
      <c r="H31" s="6">
        <v>19.4972749294203</v>
      </c>
      <c r="I31" s="6">
        <v>17.3429929002344</v>
      </c>
      <c r="J31" s="6">
        <v>19.741188513935601</v>
      </c>
      <c r="K31" s="6">
        <v>18.659403958121398</v>
      </c>
      <c r="L31" s="6">
        <v>19.035258998212701</v>
      </c>
      <c r="M31" s="6">
        <v>20.091525347905201</v>
      </c>
      <c r="N31" s="6">
        <v>19.130093208198701</v>
      </c>
      <c r="O31" s="6">
        <v>18.952188895919601</v>
      </c>
      <c r="P31" s="6">
        <v>18.389652622913001</v>
      </c>
      <c r="Q31" s="6">
        <v>19.670617632037299</v>
      </c>
    </row>
    <row r="32" spans="1:17">
      <c r="A32" s="6" t="s">
        <v>6341</v>
      </c>
      <c r="B32" s="6" t="s">
        <v>6341</v>
      </c>
      <c r="C32" s="6" t="s">
        <v>6341</v>
      </c>
      <c r="D32" s="6" t="s">
        <v>6341</v>
      </c>
      <c r="E32" s="6" t="s">
        <v>6341</v>
      </c>
      <c r="F32" s="6">
        <v>18.637924318811599</v>
      </c>
      <c r="G32" s="6">
        <v>19.148500075103701</v>
      </c>
      <c r="H32" s="6">
        <v>19.448081235601698</v>
      </c>
      <c r="I32" s="6">
        <v>18.232870737669</v>
      </c>
      <c r="J32" s="6">
        <v>19.054004028410301</v>
      </c>
      <c r="K32" s="6">
        <v>18.256109234215899</v>
      </c>
      <c r="L32" s="6">
        <v>19.107537259846801</v>
      </c>
      <c r="M32" s="6">
        <v>19.818961085491299</v>
      </c>
      <c r="N32" s="6">
        <v>19.8382255440556</v>
      </c>
      <c r="O32" s="6">
        <v>19.5229670194725</v>
      </c>
      <c r="P32" s="6">
        <v>18.286789550176799</v>
      </c>
      <c r="Q32" s="6">
        <v>18.745575016049099</v>
      </c>
    </row>
    <row r="33" spans="1:17">
      <c r="A33" s="6" t="s">
        <v>138</v>
      </c>
      <c r="B33" s="6" t="s">
        <v>138</v>
      </c>
      <c r="C33" s="6" t="s">
        <v>6342</v>
      </c>
      <c r="D33" s="6" t="s">
        <v>6343</v>
      </c>
      <c r="E33" s="6" t="s">
        <v>6343</v>
      </c>
      <c r="F33" s="6">
        <v>16.780098554336899</v>
      </c>
      <c r="G33" s="6">
        <v>17.867749066889498</v>
      </c>
      <c r="H33" s="6">
        <v>19.007990495147499</v>
      </c>
      <c r="I33" s="6">
        <v>20.245696805454799</v>
      </c>
      <c r="J33" s="6">
        <v>19.197877490769901</v>
      </c>
      <c r="K33" s="6">
        <v>20.484083894845401</v>
      </c>
      <c r="L33" s="6">
        <v>21.706946356656001</v>
      </c>
      <c r="M33" s="6">
        <v>19.674455702226499</v>
      </c>
      <c r="N33" s="6">
        <v>20.926036244697499</v>
      </c>
      <c r="O33" s="6">
        <v>18.4612499199037</v>
      </c>
      <c r="P33" s="6">
        <v>17.982629355740801</v>
      </c>
      <c r="Q33" s="6">
        <v>17.781119917029301</v>
      </c>
    </row>
    <row r="34" spans="1:17">
      <c r="A34" s="6" t="s">
        <v>6344</v>
      </c>
      <c r="B34" s="6" t="s">
        <v>6345</v>
      </c>
      <c r="C34" s="6" t="s">
        <v>6346</v>
      </c>
      <c r="D34" s="6" t="s">
        <v>6347</v>
      </c>
      <c r="E34" s="6" t="s">
        <v>6348</v>
      </c>
      <c r="F34" s="6">
        <v>18.193013791570699</v>
      </c>
      <c r="G34" s="6">
        <v>19.4490606907864</v>
      </c>
      <c r="H34" s="6">
        <v>19.0933327760686</v>
      </c>
      <c r="I34" s="6">
        <v>28.920320761604899</v>
      </c>
      <c r="J34" s="6">
        <v>18.874013602100099</v>
      </c>
      <c r="K34" s="6">
        <v>18.153659407651901</v>
      </c>
      <c r="L34" s="6">
        <v>18.682136712097599</v>
      </c>
      <c r="M34" s="6">
        <v>19.2444991608611</v>
      </c>
      <c r="N34" s="6">
        <v>18.9765963209429</v>
      </c>
      <c r="O34" s="6">
        <v>18.1515748679602</v>
      </c>
      <c r="P34" s="6" t="s">
        <v>6254</v>
      </c>
      <c r="Q34" s="6">
        <v>12.430290434894699</v>
      </c>
    </row>
    <row r="35" spans="1:17">
      <c r="A35" s="6" t="s">
        <v>6349</v>
      </c>
      <c r="B35" s="6" t="s">
        <v>6349</v>
      </c>
      <c r="C35" s="6" t="s">
        <v>6350</v>
      </c>
      <c r="D35" s="6" t="s">
        <v>6351</v>
      </c>
      <c r="E35" s="6" t="s">
        <v>6351</v>
      </c>
      <c r="F35" s="6">
        <v>19.738306197835801</v>
      </c>
      <c r="G35" s="6">
        <v>19.264511179511501</v>
      </c>
      <c r="H35" s="6">
        <v>18.913055670233</v>
      </c>
      <c r="I35" s="6">
        <v>19.870425536025</v>
      </c>
      <c r="J35" s="6">
        <v>18.6711557257631</v>
      </c>
      <c r="K35" s="6">
        <v>19.3873378963223</v>
      </c>
      <c r="L35" s="6">
        <v>19.382178352474</v>
      </c>
      <c r="M35" s="6">
        <v>18.216634110083302</v>
      </c>
      <c r="N35" s="6">
        <v>18.547775343986501</v>
      </c>
      <c r="O35" s="6">
        <v>19.430321767020299</v>
      </c>
      <c r="P35" s="6">
        <v>19.205597066633501</v>
      </c>
      <c r="Q35" s="6">
        <v>17.874677680860898</v>
      </c>
    </row>
    <row r="36" spans="1:17">
      <c r="A36" s="6" t="s">
        <v>29</v>
      </c>
      <c r="B36" s="6" t="s">
        <v>29</v>
      </c>
      <c r="C36" s="6" t="s">
        <v>6352</v>
      </c>
      <c r="D36" s="6" t="s">
        <v>6353</v>
      </c>
      <c r="E36" s="6" t="s">
        <v>6353</v>
      </c>
      <c r="F36" s="6">
        <v>19.561571032429999</v>
      </c>
      <c r="G36" s="6">
        <v>18.767865083661899</v>
      </c>
      <c r="H36" s="6">
        <v>19.090763887016401</v>
      </c>
      <c r="I36" s="6">
        <v>19.7162336223541</v>
      </c>
      <c r="J36" s="6">
        <v>18.384773387896701</v>
      </c>
      <c r="K36" s="6">
        <v>18.9486897394045</v>
      </c>
      <c r="L36" s="6">
        <v>19.492074678027802</v>
      </c>
      <c r="M36" s="6">
        <v>18.481816384157401</v>
      </c>
      <c r="N36" s="6">
        <v>19.095159003247201</v>
      </c>
      <c r="O36" s="6">
        <v>19.439338030952701</v>
      </c>
      <c r="P36" s="6">
        <v>19.2886150423811</v>
      </c>
      <c r="Q36" s="6">
        <v>17.8142803773403</v>
      </c>
    </row>
    <row r="37" spans="1:17">
      <c r="A37" s="6" t="s">
        <v>6354</v>
      </c>
      <c r="B37" s="6" t="s">
        <v>6355</v>
      </c>
      <c r="C37" s="6" t="s">
        <v>6356</v>
      </c>
      <c r="D37" s="6" t="s">
        <v>6357</v>
      </c>
      <c r="E37" s="6" t="s">
        <v>6358</v>
      </c>
      <c r="F37" s="6">
        <v>19.396121485814099</v>
      </c>
      <c r="G37" s="6">
        <v>18.770963082091001</v>
      </c>
      <c r="H37" s="6">
        <v>19.112282192005601</v>
      </c>
      <c r="I37" s="6">
        <v>20.020835706828802</v>
      </c>
      <c r="J37" s="6">
        <v>18.7382994371705</v>
      </c>
      <c r="K37" s="6">
        <v>19.1178819199827</v>
      </c>
      <c r="L37" s="6">
        <v>19.682719836297601</v>
      </c>
      <c r="M37" s="6">
        <v>18.6864959113447</v>
      </c>
      <c r="N37" s="6">
        <v>18.851925244290001</v>
      </c>
      <c r="O37" s="6">
        <v>19.054528529603999</v>
      </c>
      <c r="P37" s="6">
        <v>19.294297648916899</v>
      </c>
      <c r="Q37" s="6">
        <v>18.014776288140499</v>
      </c>
    </row>
    <row r="38" spans="1:17">
      <c r="A38" s="6" t="s">
        <v>6359</v>
      </c>
      <c r="B38" s="6" t="s">
        <v>6359</v>
      </c>
      <c r="C38" s="6" t="s">
        <v>6359</v>
      </c>
      <c r="D38" s="6" t="s">
        <v>6359</v>
      </c>
      <c r="E38" s="6" t="s">
        <v>6359</v>
      </c>
      <c r="F38" s="6">
        <v>18.749985342340899</v>
      </c>
      <c r="G38" s="6">
        <v>19.2132719590611</v>
      </c>
      <c r="H38" s="6">
        <v>18.8774505641891</v>
      </c>
      <c r="I38" s="6">
        <v>19.522128012440199</v>
      </c>
      <c r="J38" s="6">
        <v>18.949301627815998</v>
      </c>
      <c r="K38" s="6">
        <v>19.692627835044998</v>
      </c>
      <c r="L38" s="6">
        <v>18.9690558473255</v>
      </c>
      <c r="M38" s="6">
        <v>19.515380548545799</v>
      </c>
      <c r="N38" s="6">
        <v>19.1824558889227</v>
      </c>
      <c r="O38" s="6">
        <v>19.1679053375113</v>
      </c>
      <c r="P38" s="6">
        <v>19.338308863149201</v>
      </c>
      <c r="Q38" s="6">
        <v>18.581289322193001</v>
      </c>
    </row>
    <row r="39" spans="1:17">
      <c r="A39" s="6" t="s">
        <v>6360</v>
      </c>
      <c r="B39" s="6" t="s">
        <v>523</v>
      </c>
      <c r="C39" s="6" t="s">
        <v>6361</v>
      </c>
      <c r="D39" s="6" t="s">
        <v>6362</v>
      </c>
      <c r="E39" s="6" t="s">
        <v>6363</v>
      </c>
      <c r="F39" s="6">
        <v>19.026088584098702</v>
      </c>
      <c r="G39" s="6">
        <v>18.747044316812701</v>
      </c>
      <c r="H39" s="6">
        <v>19.142172632936202</v>
      </c>
      <c r="I39" s="6">
        <v>19.679735970039001</v>
      </c>
      <c r="J39" s="6">
        <v>18.193868417914899</v>
      </c>
      <c r="K39" s="6">
        <v>19.175867909821601</v>
      </c>
      <c r="L39" s="6">
        <v>19.254751864826002</v>
      </c>
      <c r="M39" s="6">
        <v>17.7011658773154</v>
      </c>
      <c r="N39" s="6">
        <v>17.602308294973799</v>
      </c>
      <c r="O39" s="6">
        <v>19.189731639981101</v>
      </c>
      <c r="P39" s="6">
        <v>20.097920241203301</v>
      </c>
      <c r="Q39" s="6">
        <v>18.181167100656399</v>
      </c>
    </row>
    <row r="40" spans="1:17">
      <c r="A40" s="6" t="s">
        <v>6364</v>
      </c>
      <c r="B40" s="6" t="s">
        <v>6364</v>
      </c>
      <c r="C40" s="6" t="s">
        <v>6364</v>
      </c>
      <c r="D40" s="6" t="s">
        <v>6364</v>
      </c>
      <c r="E40" s="6" t="s">
        <v>6364</v>
      </c>
      <c r="F40" s="6">
        <v>18.483862789037399</v>
      </c>
      <c r="G40" s="6" t="s">
        <v>6254</v>
      </c>
      <c r="H40" s="6" t="s">
        <v>6254</v>
      </c>
      <c r="I40" s="6">
        <v>19.511811251998999</v>
      </c>
      <c r="J40" s="6" t="s">
        <v>6254</v>
      </c>
      <c r="K40" s="6" t="s">
        <v>6254</v>
      </c>
      <c r="L40" s="6" t="s">
        <v>6254</v>
      </c>
      <c r="M40" s="6" t="s">
        <v>6254</v>
      </c>
      <c r="N40" s="6">
        <v>19.105312808486801</v>
      </c>
      <c r="O40" s="6">
        <v>19.2600932982896</v>
      </c>
      <c r="P40" s="6">
        <v>19.444586441072602</v>
      </c>
      <c r="Q40" s="6" t="s">
        <v>6254</v>
      </c>
    </row>
    <row r="41" spans="1:17">
      <c r="A41" s="6" t="s">
        <v>6365</v>
      </c>
      <c r="B41" s="6" t="s">
        <v>6365</v>
      </c>
      <c r="C41" s="6" t="s">
        <v>6366</v>
      </c>
      <c r="D41" s="6" t="s">
        <v>6367</v>
      </c>
      <c r="E41" s="6" t="s">
        <v>6367</v>
      </c>
      <c r="F41" s="6">
        <v>20.9301891858353</v>
      </c>
      <c r="G41" s="6">
        <v>19.917420624153401</v>
      </c>
      <c r="H41" s="6">
        <v>19.018848224986701</v>
      </c>
      <c r="I41" s="6">
        <v>19.1847760948929</v>
      </c>
      <c r="J41" s="6">
        <v>19.264105660280901</v>
      </c>
      <c r="K41" s="6">
        <v>17.587401066971601</v>
      </c>
      <c r="L41" s="6">
        <v>18.362148549966001</v>
      </c>
      <c r="M41" s="6">
        <v>19.181838636230498</v>
      </c>
      <c r="N41" s="6">
        <v>19.588953307741399</v>
      </c>
      <c r="O41" s="6">
        <v>18.836833838259398</v>
      </c>
      <c r="P41" s="6">
        <v>20.393702681375</v>
      </c>
      <c r="Q41" s="6">
        <v>17.5181721502416</v>
      </c>
    </row>
    <row r="42" spans="1:17">
      <c r="A42" s="6" t="s">
        <v>6368</v>
      </c>
      <c r="B42" s="6" t="s">
        <v>6369</v>
      </c>
      <c r="C42" s="6" t="s">
        <v>6370</v>
      </c>
      <c r="D42" s="6" t="s">
        <v>6371</v>
      </c>
      <c r="E42" s="6" t="s">
        <v>6372</v>
      </c>
      <c r="F42" s="6">
        <v>19.4019274460662</v>
      </c>
      <c r="G42" s="6">
        <v>18.834704089429199</v>
      </c>
      <c r="H42" s="6">
        <v>18.612709164245199</v>
      </c>
      <c r="I42" s="6">
        <v>19.945865507417199</v>
      </c>
      <c r="J42" s="6">
        <v>18.294791013449</v>
      </c>
      <c r="K42" s="6">
        <v>19.1546549480952</v>
      </c>
      <c r="L42" s="6">
        <v>19.546393003601398</v>
      </c>
      <c r="M42" s="6">
        <v>17.8509506347967</v>
      </c>
      <c r="N42" s="6">
        <v>17.804718050075799</v>
      </c>
      <c r="O42" s="6">
        <v>19.425445991720601</v>
      </c>
      <c r="P42" s="6">
        <v>19.135343833012598</v>
      </c>
      <c r="Q42" s="6">
        <v>18.0339427101691</v>
      </c>
    </row>
    <row r="43" spans="1:17">
      <c r="A43" s="6" t="s">
        <v>109</v>
      </c>
      <c r="B43" s="6" t="s">
        <v>111</v>
      </c>
      <c r="C43" s="6" t="s">
        <v>6373</v>
      </c>
      <c r="D43" s="6" t="s">
        <v>6374</v>
      </c>
      <c r="E43" s="6" t="s">
        <v>6375</v>
      </c>
      <c r="F43" s="6">
        <v>18.919067144738399</v>
      </c>
      <c r="G43" s="6">
        <v>18.739741057306901</v>
      </c>
      <c r="H43" s="6">
        <v>19.154014658142501</v>
      </c>
      <c r="I43" s="6">
        <v>19.558205764536201</v>
      </c>
      <c r="J43" s="6">
        <v>18.274731750831702</v>
      </c>
      <c r="K43" s="6">
        <v>18.262011146845499</v>
      </c>
      <c r="L43" s="6">
        <v>19.380073002536399</v>
      </c>
      <c r="M43" s="6">
        <v>18.116724913160802</v>
      </c>
      <c r="N43" s="6">
        <v>19.462310799090801</v>
      </c>
      <c r="O43" s="6">
        <v>18.683917552381399</v>
      </c>
      <c r="P43" s="6">
        <v>18.794214640673701</v>
      </c>
      <c r="Q43" s="6">
        <v>17.5176079170372</v>
      </c>
    </row>
    <row r="44" spans="1:17">
      <c r="A44" s="6" t="s">
        <v>4147</v>
      </c>
      <c r="B44" s="6" t="s">
        <v>4147</v>
      </c>
      <c r="C44" s="6" t="s">
        <v>6376</v>
      </c>
      <c r="D44" s="6" t="s">
        <v>476</v>
      </c>
      <c r="E44" s="6" t="s">
        <v>476</v>
      </c>
      <c r="F44" s="6">
        <v>18.542123751508601</v>
      </c>
      <c r="G44" s="6">
        <v>19.372445146916998</v>
      </c>
      <c r="H44" s="6">
        <v>19.143347523670801</v>
      </c>
      <c r="I44" s="6">
        <v>18.646193977169101</v>
      </c>
      <c r="J44" s="6">
        <v>19.211279589834302</v>
      </c>
      <c r="K44" s="6">
        <v>18.439058793327501</v>
      </c>
      <c r="L44" s="6">
        <v>18.068931892315</v>
      </c>
      <c r="M44" s="6">
        <v>19.471234987313299</v>
      </c>
      <c r="N44" s="6">
        <v>18.9214411687976</v>
      </c>
      <c r="O44" s="6">
        <v>19.350144317033902</v>
      </c>
      <c r="P44" s="6">
        <v>18.323515290366299</v>
      </c>
      <c r="Q44" s="6">
        <v>18.518547056404401</v>
      </c>
    </row>
    <row r="45" spans="1:17">
      <c r="A45" s="6" t="s">
        <v>6377</v>
      </c>
      <c r="B45" s="6" t="s">
        <v>6377</v>
      </c>
      <c r="C45" s="6" t="s">
        <v>6378</v>
      </c>
      <c r="D45" s="6" t="s">
        <v>6379</v>
      </c>
      <c r="E45" s="6" t="s">
        <v>6379</v>
      </c>
      <c r="F45" s="6">
        <v>19.412941921464</v>
      </c>
      <c r="G45" s="6">
        <v>18.943965127047999</v>
      </c>
      <c r="H45" s="6">
        <v>18.801388889731498</v>
      </c>
      <c r="I45" s="6">
        <v>19.483790639349401</v>
      </c>
      <c r="J45" s="6">
        <v>18.416725550999701</v>
      </c>
      <c r="K45" s="6">
        <v>18.829310013046701</v>
      </c>
      <c r="L45" s="6">
        <v>19.129650229778498</v>
      </c>
      <c r="M45" s="6">
        <v>18.155339518086699</v>
      </c>
      <c r="N45" s="6">
        <v>18.569943849895399</v>
      </c>
      <c r="O45" s="6">
        <v>19.071000200117101</v>
      </c>
      <c r="P45" s="6">
        <v>18.937347713616401</v>
      </c>
      <c r="Q45" s="6">
        <v>17.669453058877401</v>
      </c>
    </row>
    <row r="46" spans="1:17">
      <c r="A46" s="6" t="s">
        <v>1474</v>
      </c>
      <c r="B46" s="6" t="s">
        <v>1474</v>
      </c>
      <c r="C46" s="6" t="s">
        <v>6380</v>
      </c>
      <c r="D46" s="6" t="s">
        <v>6381</v>
      </c>
      <c r="E46" s="6" t="s">
        <v>6381</v>
      </c>
      <c r="F46" s="6">
        <v>18.606776506332999</v>
      </c>
      <c r="G46" s="6">
        <v>18.4108968834622</v>
      </c>
      <c r="H46" s="6">
        <v>19.0261433444389</v>
      </c>
      <c r="I46" s="6">
        <v>18.738019152403901</v>
      </c>
      <c r="J46" s="6">
        <v>18.463676980918599</v>
      </c>
      <c r="K46" s="6">
        <v>19.091529106977099</v>
      </c>
      <c r="L46" s="6">
        <v>19.6545929000816</v>
      </c>
      <c r="M46" s="6">
        <v>19.265575977988799</v>
      </c>
      <c r="N46" s="6">
        <v>18.4434636606073</v>
      </c>
      <c r="O46" s="6">
        <v>18.510288723737201</v>
      </c>
      <c r="P46" s="6">
        <v>18.512320344629298</v>
      </c>
      <c r="Q46" s="6">
        <v>18.927539084956202</v>
      </c>
    </row>
    <row r="47" spans="1:17">
      <c r="A47" s="6" t="s">
        <v>6382</v>
      </c>
      <c r="B47" s="6" t="s">
        <v>6383</v>
      </c>
      <c r="C47" s="6" t="s">
        <v>6384</v>
      </c>
      <c r="D47" s="6" t="s">
        <v>6385</v>
      </c>
      <c r="E47" s="6" t="s">
        <v>6386</v>
      </c>
      <c r="F47" s="6">
        <v>19.198809599913801</v>
      </c>
      <c r="G47" s="6" t="s">
        <v>6254</v>
      </c>
      <c r="H47" s="6">
        <v>21.697335560442902</v>
      </c>
      <c r="I47" s="6">
        <v>16.413798371853701</v>
      </c>
      <c r="J47" s="6" t="s">
        <v>6254</v>
      </c>
      <c r="K47" s="6" t="s">
        <v>6254</v>
      </c>
      <c r="L47" s="6">
        <v>18.9457690085415</v>
      </c>
      <c r="M47" s="6">
        <v>17.601167165679399</v>
      </c>
      <c r="N47" s="6">
        <v>17.968113288798701</v>
      </c>
      <c r="O47" s="6">
        <v>21.559224466378399</v>
      </c>
      <c r="P47" s="6" t="s">
        <v>6254</v>
      </c>
      <c r="Q47" s="6">
        <v>10.4986041398162</v>
      </c>
    </row>
    <row r="48" spans="1:17">
      <c r="A48" s="6" t="s">
        <v>6387</v>
      </c>
      <c r="B48" s="6" t="s">
        <v>6388</v>
      </c>
      <c r="C48" s="6" t="s">
        <v>6389</v>
      </c>
      <c r="D48" s="6" t="s">
        <v>6390</v>
      </c>
      <c r="E48" s="6" t="s">
        <v>6391</v>
      </c>
      <c r="F48" s="6" t="s">
        <v>6254</v>
      </c>
      <c r="G48" s="6">
        <v>19.305891584672199</v>
      </c>
      <c r="H48" s="6">
        <v>19.431212913848501</v>
      </c>
      <c r="I48" s="6">
        <v>18.685032117338999</v>
      </c>
      <c r="J48" s="6" t="s">
        <v>6254</v>
      </c>
      <c r="K48" s="6" t="s">
        <v>6254</v>
      </c>
      <c r="L48" s="6">
        <v>18.953200569767599</v>
      </c>
      <c r="M48" s="6" t="s">
        <v>6254</v>
      </c>
      <c r="N48" s="6" t="s">
        <v>6254</v>
      </c>
      <c r="O48" s="6" t="s">
        <v>6254</v>
      </c>
      <c r="P48" s="6" t="s">
        <v>6254</v>
      </c>
      <c r="Q48" s="6" t="s">
        <v>6254</v>
      </c>
    </row>
    <row r="49" spans="1:17">
      <c r="A49" s="6" t="s">
        <v>37</v>
      </c>
      <c r="B49" s="6" t="s">
        <v>37</v>
      </c>
      <c r="C49" s="6" t="s">
        <v>6392</v>
      </c>
      <c r="D49" s="6" t="s">
        <v>6393</v>
      </c>
      <c r="E49" s="6" t="s">
        <v>6393</v>
      </c>
      <c r="F49" s="6">
        <v>19.084267930264101</v>
      </c>
      <c r="G49" s="6">
        <v>18.323617579267601</v>
      </c>
      <c r="H49" s="6">
        <v>18.6630881417273</v>
      </c>
      <c r="I49" s="6">
        <v>18.834490950791398</v>
      </c>
      <c r="J49" s="6">
        <v>18.177075100654601</v>
      </c>
      <c r="K49" s="6">
        <v>19.010811215642502</v>
      </c>
      <c r="L49" s="6">
        <v>18.956256626937002</v>
      </c>
      <c r="M49" s="6">
        <v>18.710377995722698</v>
      </c>
      <c r="N49" s="6">
        <v>18.492698897024699</v>
      </c>
      <c r="O49" s="6">
        <v>18.902152079598501</v>
      </c>
      <c r="P49" s="6">
        <v>19.248220801455499</v>
      </c>
      <c r="Q49" s="6">
        <v>18.2725602397621</v>
      </c>
    </row>
    <row r="50" spans="1:17">
      <c r="A50" s="6" t="s">
        <v>6394</v>
      </c>
      <c r="B50" s="6" t="s">
        <v>6394</v>
      </c>
      <c r="C50" s="6" t="s">
        <v>6395</v>
      </c>
      <c r="D50" s="6" t="s">
        <v>6396</v>
      </c>
      <c r="E50" s="6" t="s">
        <v>6396</v>
      </c>
      <c r="F50" s="6">
        <v>19.489528159685399</v>
      </c>
      <c r="G50" s="6">
        <v>18.924211523283599</v>
      </c>
      <c r="H50" s="6">
        <v>19.385689053015899</v>
      </c>
      <c r="I50" s="6">
        <v>20.0406600418337</v>
      </c>
      <c r="J50" s="6">
        <v>18.492265619681401</v>
      </c>
      <c r="K50" s="6">
        <v>19.381589600404102</v>
      </c>
      <c r="L50" s="6">
        <v>19.640088032137498</v>
      </c>
      <c r="M50" s="6">
        <v>18.477994883059001</v>
      </c>
      <c r="N50" s="6">
        <v>17.815063526719399</v>
      </c>
      <c r="O50" s="6">
        <v>19.760136269908902</v>
      </c>
      <c r="P50" s="6">
        <v>19.172512744713899</v>
      </c>
      <c r="Q50" s="6">
        <v>17.849801212924401</v>
      </c>
    </row>
    <row r="51" spans="1:17">
      <c r="A51" s="6" t="s">
        <v>573</v>
      </c>
      <c r="B51" s="6" t="s">
        <v>575</v>
      </c>
      <c r="C51" s="6" t="s">
        <v>6397</v>
      </c>
      <c r="D51" s="6" t="s">
        <v>6398</v>
      </c>
      <c r="E51" s="6" t="s">
        <v>6399</v>
      </c>
      <c r="F51" s="6">
        <v>19.021052717791999</v>
      </c>
      <c r="G51" s="6">
        <v>18.078124152806499</v>
      </c>
      <c r="H51" s="6">
        <v>18.825042306457998</v>
      </c>
      <c r="I51" s="6">
        <v>19.4316985046115</v>
      </c>
      <c r="J51" s="6">
        <v>18.096857905056201</v>
      </c>
      <c r="K51" s="6">
        <v>18.675555251511099</v>
      </c>
      <c r="L51" s="6">
        <v>19.115219879361799</v>
      </c>
      <c r="M51" s="6">
        <v>18.114419830707799</v>
      </c>
      <c r="N51" s="6">
        <v>18.3477247992187</v>
      </c>
      <c r="O51" s="6">
        <v>19.2723698065594</v>
      </c>
      <c r="P51" s="6">
        <v>19.245579255966501</v>
      </c>
      <c r="Q51" s="6">
        <v>17.6759933464343</v>
      </c>
    </row>
    <row r="52" spans="1:17">
      <c r="A52" s="6" t="s">
        <v>288</v>
      </c>
      <c r="B52" s="6" t="s">
        <v>288</v>
      </c>
      <c r="C52" s="6" t="s">
        <v>6400</v>
      </c>
      <c r="D52" s="6" t="s">
        <v>6401</v>
      </c>
      <c r="E52" s="6" t="s">
        <v>6401</v>
      </c>
      <c r="F52" s="6">
        <v>16.410580957426799</v>
      </c>
      <c r="G52" s="6">
        <v>20.5188598078316</v>
      </c>
      <c r="H52" s="6">
        <v>20.194204436139099</v>
      </c>
      <c r="I52" s="6">
        <v>16.4334271906509</v>
      </c>
      <c r="J52" s="6">
        <v>18.691025906073701</v>
      </c>
      <c r="K52" s="6">
        <v>16.657020766594702</v>
      </c>
      <c r="L52" s="6">
        <v>20.052987156137799</v>
      </c>
      <c r="M52" s="6">
        <v>19.2520727695853</v>
      </c>
      <c r="N52" s="6">
        <v>19.655145059479299</v>
      </c>
      <c r="O52" s="6">
        <v>19.7611627689191</v>
      </c>
      <c r="P52" s="6">
        <v>19.647278469244199</v>
      </c>
      <c r="Q52" s="6">
        <v>18.2123950898687</v>
      </c>
    </row>
    <row r="53" spans="1:17">
      <c r="A53" s="6" t="s">
        <v>6402</v>
      </c>
      <c r="B53" s="6" t="s">
        <v>6402</v>
      </c>
      <c r="C53" s="6" t="s">
        <v>6402</v>
      </c>
      <c r="D53" s="6" t="s">
        <v>6402</v>
      </c>
      <c r="E53" s="6" t="s">
        <v>6402</v>
      </c>
      <c r="F53" s="6" t="s">
        <v>6254</v>
      </c>
      <c r="G53" s="6">
        <v>19.776158270636301</v>
      </c>
      <c r="H53" s="6" t="s">
        <v>6254</v>
      </c>
      <c r="I53" s="6" t="s">
        <v>6254</v>
      </c>
      <c r="J53" s="6">
        <v>20.5155468805781</v>
      </c>
      <c r="K53" s="6" t="s">
        <v>6254</v>
      </c>
      <c r="L53" s="6" t="s">
        <v>6254</v>
      </c>
      <c r="M53" s="6" t="s">
        <v>6254</v>
      </c>
      <c r="N53" s="6">
        <v>21.8360277361414</v>
      </c>
      <c r="O53" s="6" t="s">
        <v>6254</v>
      </c>
      <c r="P53" s="6" t="s">
        <v>6254</v>
      </c>
      <c r="Q53" s="6" t="s">
        <v>6254</v>
      </c>
    </row>
    <row r="54" spans="1:17">
      <c r="A54" s="6" t="s">
        <v>6403</v>
      </c>
      <c r="B54" s="6" t="s">
        <v>6404</v>
      </c>
      <c r="C54" s="6" t="s">
        <v>6405</v>
      </c>
      <c r="D54" s="6" t="s">
        <v>6406</v>
      </c>
      <c r="E54" s="6" t="s">
        <v>6407</v>
      </c>
      <c r="F54" s="6">
        <v>19.2865465074876</v>
      </c>
      <c r="G54" s="6">
        <v>17.322248363259</v>
      </c>
      <c r="H54" s="6">
        <v>19.392565015809399</v>
      </c>
      <c r="I54" s="6">
        <v>20.212564664814799</v>
      </c>
      <c r="J54" s="6">
        <v>18.971190553216299</v>
      </c>
      <c r="K54" s="6">
        <v>19.338052303098902</v>
      </c>
      <c r="L54" s="6">
        <v>19.892615180661601</v>
      </c>
      <c r="M54" s="6">
        <v>18.655196626778199</v>
      </c>
      <c r="N54" s="6">
        <v>19.361958939938901</v>
      </c>
      <c r="O54" s="6" t="s">
        <v>6254</v>
      </c>
      <c r="P54" s="6">
        <v>18.452554800759401</v>
      </c>
      <c r="Q54" s="6">
        <v>16.9704464536117</v>
      </c>
    </row>
    <row r="55" spans="1:17">
      <c r="A55" s="6" t="s">
        <v>461</v>
      </c>
      <c r="B55" s="6" t="s">
        <v>461</v>
      </c>
      <c r="C55" s="6" t="s">
        <v>6408</v>
      </c>
      <c r="D55" s="6" t="s">
        <v>6409</v>
      </c>
      <c r="E55" s="6" t="s">
        <v>6409</v>
      </c>
      <c r="F55" s="6">
        <v>19.281271602011198</v>
      </c>
      <c r="G55" s="6">
        <v>18.655837164583101</v>
      </c>
      <c r="H55" s="6">
        <v>18.845876651019701</v>
      </c>
      <c r="I55" s="6">
        <v>19.4657005847953</v>
      </c>
      <c r="J55" s="6">
        <v>17.9112669345357</v>
      </c>
      <c r="K55" s="6">
        <v>18.787822471317899</v>
      </c>
      <c r="L55" s="6">
        <v>19.433722001367801</v>
      </c>
      <c r="M55" s="6">
        <v>17.551263215712599</v>
      </c>
      <c r="N55" s="6">
        <v>18.1215435108587</v>
      </c>
      <c r="O55" s="6">
        <v>18.6078801133241</v>
      </c>
      <c r="P55" s="6">
        <v>18.0581262255041</v>
      </c>
      <c r="Q55" s="6">
        <v>16.942994332131001</v>
      </c>
    </row>
    <row r="56" spans="1:17">
      <c r="A56" s="6" t="s">
        <v>6410</v>
      </c>
      <c r="B56" s="6" t="s">
        <v>6410</v>
      </c>
      <c r="C56" s="6" t="s">
        <v>6411</v>
      </c>
      <c r="D56" s="6" t="s">
        <v>6412</v>
      </c>
      <c r="E56" s="6" t="s">
        <v>6412</v>
      </c>
      <c r="F56" s="6">
        <v>18.960397202867501</v>
      </c>
      <c r="G56" s="6">
        <v>18.323754702679999</v>
      </c>
      <c r="H56" s="6">
        <v>18.453819577265001</v>
      </c>
      <c r="I56" s="6">
        <v>18.9416228688528</v>
      </c>
      <c r="J56" s="6">
        <v>18.1429234707315</v>
      </c>
      <c r="K56" s="6">
        <v>18.7345431434874</v>
      </c>
      <c r="L56" s="6">
        <v>19.1651634127143</v>
      </c>
      <c r="M56" s="6">
        <v>18.138158586583</v>
      </c>
      <c r="N56" s="6">
        <v>17.9274568261798</v>
      </c>
      <c r="O56" s="6">
        <v>18.612251715435601</v>
      </c>
      <c r="P56" s="6">
        <v>19.071665636340501</v>
      </c>
      <c r="Q56" s="6">
        <v>17.677839927925501</v>
      </c>
    </row>
    <row r="57" spans="1:17">
      <c r="A57" s="6" t="s">
        <v>6413</v>
      </c>
      <c r="B57" s="6" t="s">
        <v>6413</v>
      </c>
      <c r="C57" s="6" t="s">
        <v>6414</v>
      </c>
      <c r="D57" s="6" t="s">
        <v>2464</v>
      </c>
      <c r="E57" s="6" t="s">
        <v>2464</v>
      </c>
      <c r="F57" s="6">
        <v>17.6642064280027</v>
      </c>
      <c r="G57" s="6">
        <v>18.719985120717102</v>
      </c>
      <c r="H57" s="6">
        <v>18.691408800739001</v>
      </c>
      <c r="I57" s="6">
        <v>18.441968479740499</v>
      </c>
      <c r="J57" s="6">
        <v>18.4110141119316</v>
      </c>
      <c r="K57" s="6">
        <v>17.634417381923001</v>
      </c>
      <c r="L57" s="6">
        <v>19.202239099696499</v>
      </c>
      <c r="M57" s="6">
        <v>18.560381215633999</v>
      </c>
      <c r="N57" s="6">
        <v>18.913595432463602</v>
      </c>
      <c r="O57" s="6">
        <v>18.658075634147</v>
      </c>
      <c r="P57" s="6">
        <v>18.137039761703001</v>
      </c>
      <c r="Q57" s="6">
        <v>17.6086094557973</v>
      </c>
    </row>
    <row r="58" spans="1:17">
      <c r="A58" s="6" t="s">
        <v>91</v>
      </c>
      <c r="B58" s="6" t="s">
        <v>91</v>
      </c>
      <c r="C58" s="6" t="s">
        <v>6415</v>
      </c>
      <c r="D58" s="6" t="s">
        <v>6416</v>
      </c>
      <c r="E58" s="6" t="s">
        <v>6416</v>
      </c>
      <c r="F58" s="6">
        <v>19.040881880436899</v>
      </c>
      <c r="G58" s="6">
        <v>17.345589030059401</v>
      </c>
      <c r="H58" s="6">
        <v>18.5400771802239</v>
      </c>
      <c r="I58" s="6">
        <v>18.325035015958299</v>
      </c>
      <c r="J58" s="6">
        <v>19.349706617976501</v>
      </c>
      <c r="K58" s="6">
        <v>19.929053431217199</v>
      </c>
      <c r="L58" s="6">
        <v>19.705008027155699</v>
      </c>
      <c r="M58" s="6">
        <v>19.449855588958801</v>
      </c>
      <c r="N58" s="6">
        <v>19.2323315882612</v>
      </c>
      <c r="O58" s="6">
        <v>17.500376365279401</v>
      </c>
      <c r="P58" s="6">
        <v>17.251362421991502</v>
      </c>
      <c r="Q58" s="6">
        <v>19.1670818412823</v>
      </c>
    </row>
    <row r="59" spans="1:17">
      <c r="A59" s="6" t="s">
        <v>2953</v>
      </c>
      <c r="B59" s="6" t="s">
        <v>2953</v>
      </c>
      <c r="C59" s="6" t="s">
        <v>6417</v>
      </c>
      <c r="D59" s="6" t="s">
        <v>6418</v>
      </c>
      <c r="E59" s="6" t="s">
        <v>6418</v>
      </c>
      <c r="F59" s="6">
        <v>20.125057998961399</v>
      </c>
      <c r="G59" s="6">
        <v>19.3198690842556</v>
      </c>
      <c r="H59" s="6">
        <v>16.401887031266799</v>
      </c>
      <c r="I59" s="6">
        <v>18.732763451037801</v>
      </c>
      <c r="J59" s="6">
        <v>19.050243493813401</v>
      </c>
      <c r="K59" s="6">
        <v>15.5575191865878</v>
      </c>
      <c r="L59" s="6">
        <v>17.8632499808337</v>
      </c>
      <c r="M59" s="6">
        <v>18.342479788157199</v>
      </c>
      <c r="N59" s="6">
        <v>19.030217363854799</v>
      </c>
      <c r="O59" s="6">
        <v>19.0742961872092</v>
      </c>
      <c r="P59" s="6">
        <v>17.086816365491799</v>
      </c>
      <c r="Q59" s="6">
        <v>19.6018290862635</v>
      </c>
    </row>
    <row r="60" spans="1:17">
      <c r="A60" s="6" t="s">
        <v>6419</v>
      </c>
      <c r="B60" s="6" t="s">
        <v>6420</v>
      </c>
      <c r="C60" s="6" t="s">
        <v>6421</v>
      </c>
      <c r="D60" s="6" t="s">
        <v>6422</v>
      </c>
      <c r="E60" s="6" t="s">
        <v>6423</v>
      </c>
      <c r="F60" s="6">
        <v>17.473941567904799</v>
      </c>
      <c r="G60" s="6">
        <v>18.550633463944099</v>
      </c>
      <c r="H60" s="6">
        <v>18.9937276842243</v>
      </c>
      <c r="I60" s="6">
        <v>17.439314526195101</v>
      </c>
      <c r="J60" s="6">
        <v>18.440054035852501</v>
      </c>
      <c r="K60" s="6">
        <v>17.821608238848199</v>
      </c>
      <c r="L60" s="6">
        <v>19.173363664941199</v>
      </c>
      <c r="M60" s="6">
        <v>18.782022557342302</v>
      </c>
      <c r="N60" s="6">
        <v>19.002757590115898</v>
      </c>
      <c r="O60" s="6">
        <v>18.336815208292901</v>
      </c>
      <c r="P60" s="6">
        <v>17.794235222176201</v>
      </c>
      <c r="Q60" s="6">
        <v>17.792679083708698</v>
      </c>
    </row>
    <row r="61" spans="1:17">
      <c r="A61" s="6" t="s">
        <v>374</v>
      </c>
      <c r="B61" s="6" t="s">
        <v>374</v>
      </c>
      <c r="C61" s="6" t="s">
        <v>6424</v>
      </c>
      <c r="D61" s="6" t="s">
        <v>6425</v>
      </c>
      <c r="E61" s="6" t="s">
        <v>6425</v>
      </c>
      <c r="F61" s="6">
        <v>18.650138858512101</v>
      </c>
      <c r="G61" s="6">
        <v>18.964451527642002</v>
      </c>
      <c r="H61" s="6">
        <v>18.8443429479711</v>
      </c>
      <c r="I61" s="6">
        <v>18.443629925769699</v>
      </c>
      <c r="J61" s="6">
        <v>18.608031527074001</v>
      </c>
      <c r="K61" s="6">
        <v>18.372165578114899</v>
      </c>
      <c r="L61" s="6">
        <v>17.768595074947999</v>
      </c>
      <c r="M61" s="6">
        <v>19.554956179206702</v>
      </c>
      <c r="N61" s="6">
        <v>18.756659837222401</v>
      </c>
      <c r="O61" s="6">
        <v>18.665043783651502</v>
      </c>
      <c r="P61" s="6">
        <v>18.3148529614324</v>
      </c>
      <c r="Q61" s="6">
        <v>18.305214486727699</v>
      </c>
    </row>
    <row r="62" spans="1:17">
      <c r="A62" s="6" t="s">
        <v>53</v>
      </c>
      <c r="B62" s="6" t="s">
        <v>53</v>
      </c>
      <c r="C62" s="6" t="s">
        <v>6426</v>
      </c>
      <c r="D62" s="6" t="s">
        <v>6427</v>
      </c>
      <c r="E62" s="6" t="s">
        <v>6427</v>
      </c>
      <c r="F62" s="6">
        <v>18.832987948804501</v>
      </c>
      <c r="G62" s="6">
        <v>18.181102561528199</v>
      </c>
      <c r="H62" s="6">
        <v>18.539597769635201</v>
      </c>
      <c r="I62" s="6">
        <v>18.5517763105236</v>
      </c>
      <c r="J62" s="6">
        <v>18.305369916787001</v>
      </c>
      <c r="K62" s="6">
        <v>18.984272588756099</v>
      </c>
      <c r="L62" s="6">
        <v>17.6494209441843</v>
      </c>
      <c r="M62" s="6">
        <v>18.853541014450499</v>
      </c>
      <c r="N62" s="6">
        <v>18.777870743805401</v>
      </c>
      <c r="O62" s="6">
        <v>19.234269086865801</v>
      </c>
      <c r="P62" s="6">
        <v>18.480184871683299</v>
      </c>
      <c r="Q62" s="6">
        <v>18.312278190532801</v>
      </c>
    </row>
    <row r="63" spans="1:17">
      <c r="A63" s="6" t="s">
        <v>27</v>
      </c>
      <c r="B63" s="6" t="s">
        <v>27</v>
      </c>
      <c r="C63" s="6" t="s">
        <v>6428</v>
      </c>
      <c r="D63" s="6" t="s">
        <v>6429</v>
      </c>
      <c r="E63" s="6" t="s">
        <v>6429</v>
      </c>
      <c r="F63" s="6">
        <v>18.887039901022</v>
      </c>
      <c r="G63" s="6">
        <v>18.230240665394</v>
      </c>
      <c r="H63" s="6">
        <v>18.431631681455901</v>
      </c>
      <c r="I63" s="6">
        <v>19.147492252800799</v>
      </c>
      <c r="J63" s="6">
        <v>17.742614832869901</v>
      </c>
      <c r="K63" s="6">
        <v>18.205559638599301</v>
      </c>
      <c r="L63" s="6">
        <v>18.866162423757299</v>
      </c>
      <c r="M63" s="6">
        <v>17.6408020169544</v>
      </c>
      <c r="N63" s="6">
        <v>18.1831368153059</v>
      </c>
      <c r="O63" s="6">
        <v>18.828164234943401</v>
      </c>
      <c r="P63" s="6">
        <v>18.734037148028001</v>
      </c>
      <c r="Q63" s="6">
        <v>17.177332382657099</v>
      </c>
    </row>
    <row r="64" spans="1:17">
      <c r="A64" s="6" t="s">
        <v>6430</v>
      </c>
      <c r="B64" s="6" t="s">
        <v>6430</v>
      </c>
      <c r="C64" s="6" t="s">
        <v>6431</v>
      </c>
      <c r="D64" s="6" t="s">
        <v>6432</v>
      </c>
      <c r="E64" s="6" t="s">
        <v>6432</v>
      </c>
      <c r="F64" s="6">
        <v>18.366434320814001</v>
      </c>
      <c r="G64" s="6">
        <v>18.446469236557199</v>
      </c>
      <c r="H64" s="6">
        <v>17.8037778531884</v>
      </c>
      <c r="I64" s="6">
        <v>18.2720111674797</v>
      </c>
      <c r="J64" s="6">
        <v>18.246230132713698</v>
      </c>
      <c r="K64" s="6">
        <v>17.988981651424499</v>
      </c>
      <c r="L64" s="6">
        <v>18.4530943833932</v>
      </c>
      <c r="M64" s="6">
        <v>18.765437942064601</v>
      </c>
      <c r="N64" s="6">
        <v>18.564898884088301</v>
      </c>
      <c r="O64" s="6">
        <v>18.421373372768901</v>
      </c>
      <c r="P64" s="6">
        <v>18.478048268312602</v>
      </c>
      <c r="Q64" s="6">
        <v>18.6071988568964</v>
      </c>
    </row>
    <row r="65" spans="1:17">
      <c r="A65" s="6" t="s">
        <v>6433</v>
      </c>
      <c r="B65" s="6" t="s">
        <v>6433</v>
      </c>
      <c r="C65" s="6" t="s">
        <v>6433</v>
      </c>
      <c r="D65" s="6" t="s">
        <v>6433</v>
      </c>
      <c r="E65" s="6" t="s">
        <v>6433</v>
      </c>
      <c r="F65" s="6" t="s">
        <v>6254</v>
      </c>
      <c r="G65" s="6" t="s">
        <v>6254</v>
      </c>
      <c r="H65" s="6" t="s">
        <v>6254</v>
      </c>
      <c r="I65" s="6" t="s">
        <v>6254</v>
      </c>
      <c r="J65" s="6" t="s">
        <v>6254</v>
      </c>
      <c r="K65" s="6" t="s">
        <v>6254</v>
      </c>
      <c r="L65" s="6" t="s">
        <v>6254</v>
      </c>
      <c r="M65" s="6" t="s">
        <v>6254</v>
      </c>
      <c r="N65" s="6" t="s">
        <v>6254</v>
      </c>
      <c r="O65" s="6" t="s">
        <v>6254</v>
      </c>
      <c r="P65" s="6" t="s">
        <v>6254</v>
      </c>
      <c r="Q65" s="6" t="s">
        <v>6254</v>
      </c>
    </row>
    <row r="66" spans="1:17">
      <c r="A66" s="6" t="s">
        <v>6434</v>
      </c>
      <c r="B66" s="6" t="s">
        <v>6434</v>
      </c>
      <c r="C66" s="6" t="s">
        <v>6434</v>
      </c>
      <c r="D66" s="6" t="s">
        <v>6434</v>
      </c>
      <c r="E66" s="6" t="s">
        <v>6254</v>
      </c>
      <c r="F66" s="6">
        <v>15.1385670547737</v>
      </c>
      <c r="G66" s="6">
        <v>19.089289239649901</v>
      </c>
      <c r="H66" s="6">
        <v>18.2386852505579</v>
      </c>
      <c r="I66" s="6">
        <v>18.598382432712899</v>
      </c>
      <c r="J66" s="6">
        <v>18.6328593151629</v>
      </c>
      <c r="K66" s="6">
        <v>16.1417824804209</v>
      </c>
      <c r="L66" s="6">
        <v>18.4913391721106</v>
      </c>
      <c r="M66" s="6">
        <v>19.459430309243501</v>
      </c>
      <c r="N66" s="6">
        <v>19.012046702990698</v>
      </c>
      <c r="O66" s="6">
        <v>18.9119964575968</v>
      </c>
      <c r="P66" s="6">
        <v>18.990581640865901</v>
      </c>
      <c r="Q66" s="6">
        <v>18.452020623264001</v>
      </c>
    </row>
    <row r="67" spans="1:17">
      <c r="A67" s="6" t="s">
        <v>36</v>
      </c>
      <c r="B67" s="6" t="s">
        <v>36</v>
      </c>
      <c r="C67" s="6" t="s">
        <v>6435</v>
      </c>
      <c r="D67" s="6" t="s">
        <v>6436</v>
      </c>
      <c r="E67" s="6" t="s">
        <v>6436</v>
      </c>
      <c r="F67" s="6">
        <v>18.481195094635201</v>
      </c>
      <c r="G67" s="6">
        <v>18.797203328028601</v>
      </c>
      <c r="H67" s="6">
        <v>18.208200562692099</v>
      </c>
      <c r="I67" s="6">
        <v>18.9004656993101</v>
      </c>
      <c r="J67" s="6">
        <v>18.032603573200198</v>
      </c>
      <c r="K67" s="6">
        <v>18.853500270468601</v>
      </c>
      <c r="L67" s="6">
        <v>18.376901327813702</v>
      </c>
      <c r="M67" s="6">
        <v>18.721524289804801</v>
      </c>
      <c r="N67" s="6">
        <v>18.465815437581501</v>
      </c>
      <c r="O67" s="6">
        <v>18.738098529420501</v>
      </c>
      <c r="P67" s="6">
        <v>18.684518593195701</v>
      </c>
      <c r="Q67" s="6">
        <v>17.976403722883301</v>
      </c>
    </row>
    <row r="68" spans="1:17">
      <c r="A68" s="6" t="s">
        <v>6437</v>
      </c>
      <c r="B68" s="6" t="s">
        <v>6438</v>
      </c>
      <c r="C68" s="6" t="s">
        <v>6439</v>
      </c>
      <c r="D68" s="6" t="s">
        <v>6440</v>
      </c>
      <c r="E68" s="6" t="s">
        <v>6441</v>
      </c>
      <c r="F68" s="6">
        <v>18.561358810710001</v>
      </c>
      <c r="G68" s="6">
        <v>18.058529770127301</v>
      </c>
      <c r="H68" s="6">
        <v>18.719879861387799</v>
      </c>
      <c r="I68" s="6">
        <v>19.191756329400999</v>
      </c>
      <c r="J68" s="6">
        <v>18.2419805889553</v>
      </c>
      <c r="K68" s="6">
        <v>18.634160196689798</v>
      </c>
      <c r="L68" s="6">
        <v>19.2743016676392</v>
      </c>
      <c r="M68" s="6">
        <v>18.082859000916699</v>
      </c>
      <c r="N68" s="6">
        <v>18.1554758652487</v>
      </c>
      <c r="O68" s="6">
        <v>18.430625054473602</v>
      </c>
      <c r="P68" s="6">
        <v>18.494864383124899</v>
      </c>
      <c r="Q68" s="6">
        <v>17.178801550438699</v>
      </c>
    </row>
    <row r="69" spans="1:17">
      <c r="A69" s="6" t="s">
        <v>45</v>
      </c>
      <c r="B69" s="6" t="s">
        <v>45</v>
      </c>
      <c r="C69" s="6" t="s">
        <v>6442</v>
      </c>
      <c r="D69" s="6" t="s">
        <v>6443</v>
      </c>
      <c r="E69" s="6" t="s">
        <v>6443</v>
      </c>
      <c r="F69" s="6">
        <v>18.164410391769099</v>
      </c>
      <c r="G69" s="6">
        <v>18.692460310628402</v>
      </c>
      <c r="H69" s="6">
        <v>18.638548804091599</v>
      </c>
      <c r="I69" s="6">
        <v>17.734150263573099</v>
      </c>
      <c r="J69" s="6">
        <v>18.275810850846199</v>
      </c>
      <c r="K69" s="6">
        <v>18.255474343953701</v>
      </c>
      <c r="L69" s="6">
        <v>18.224258340799199</v>
      </c>
      <c r="M69" s="6">
        <v>19.302878448784298</v>
      </c>
      <c r="N69" s="6">
        <v>18.8261613992299</v>
      </c>
      <c r="O69" s="6">
        <v>18.4944860262204</v>
      </c>
      <c r="P69" s="6">
        <v>18.0846947894102</v>
      </c>
      <c r="Q69" s="6">
        <v>18.510489407260501</v>
      </c>
    </row>
    <row r="70" spans="1:17">
      <c r="A70" s="6" t="s">
        <v>6444</v>
      </c>
      <c r="B70" s="6" t="s">
        <v>6444</v>
      </c>
      <c r="C70" s="6" t="s">
        <v>6444</v>
      </c>
      <c r="D70" s="6" t="s">
        <v>6444</v>
      </c>
      <c r="E70" s="6" t="s">
        <v>6444</v>
      </c>
      <c r="F70" s="6">
        <v>17.464303676358799</v>
      </c>
      <c r="G70" s="6">
        <v>19.6821936094065</v>
      </c>
      <c r="H70" s="6">
        <v>18.222380560879301</v>
      </c>
      <c r="I70" s="6">
        <v>18.318912877947799</v>
      </c>
      <c r="J70" s="6">
        <v>18.2571450055407</v>
      </c>
      <c r="K70" s="6">
        <v>18.737295229391101</v>
      </c>
      <c r="L70" s="6">
        <v>18.080446832781</v>
      </c>
      <c r="M70" s="6">
        <v>18.644383793083701</v>
      </c>
      <c r="N70" s="6">
        <v>17.710451892863901</v>
      </c>
      <c r="O70" s="6">
        <v>18.420297368614499</v>
      </c>
      <c r="P70" s="6">
        <v>18.142011062755699</v>
      </c>
      <c r="Q70" s="6">
        <v>19.190725844931901</v>
      </c>
    </row>
    <row r="71" spans="1:17">
      <c r="A71" s="6" t="s">
        <v>41</v>
      </c>
      <c r="B71" s="6" t="s">
        <v>41</v>
      </c>
      <c r="C71" s="6" t="s">
        <v>6445</v>
      </c>
      <c r="D71" s="6" t="s">
        <v>6446</v>
      </c>
      <c r="E71" s="6" t="s">
        <v>6446</v>
      </c>
      <c r="F71" s="6">
        <v>17.463004263803398</v>
      </c>
      <c r="G71" s="6">
        <v>17.7568945809073</v>
      </c>
      <c r="H71" s="6">
        <v>18.465582561020501</v>
      </c>
      <c r="I71" s="6">
        <v>18.069563144240799</v>
      </c>
      <c r="J71" s="6">
        <v>17.926855974245701</v>
      </c>
      <c r="K71" s="6">
        <v>18.666937353661702</v>
      </c>
      <c r="L71" s="6">
        <v>19.2103632161894</v>
      </c>
      <c r="M71" s="6">
        <v>18.9226699212442</v>
      </c>
      <c r="N71" s="6">
        <v>18.121541052854301</v>
      </c>
      <c r="O71" s="6">
        <v>17.921195008594001</v>
      </c>
      <c r="P71" s="6">
        <v>18.076859806034999</v>
      </c>
      <c r="Q71" s="6">
        <v>18.580682040590801</v>
      </c>
    </row>
    <row r="72" spans="1:17">
      <c r="A72" s="6" t="s">
        <v>6447</v>
      </c>
      <c r="B72" s="6" t="s">
        <v>6447</v>
      </c>
      <c r="C72" s="6" t="s">
        <v>6447</v>
      </c>
      <c r="D72" s="6" t="s">
        <v>6447</v>
      </c>
      <c r="E72" s="6" t="s">
        <v>6447</v>
      </c>
      <c r="F72" s="6">
        <v>17.226869839783902</v>
      </c>
      <c r="G72" s="6">
        <v>17.003802075612999</v>
      </c>
      <c r="H72" s="6">
        <v>18.5573665714554</v>
      </c>
      <c r="I72" s="6">
        <v>17.838658066423999</v>
      </c>
      <c r="J72" s="6">
        <v>19.021685141569801</v>
      </c>
      <c r="K72" s="6">
        <v>17.4211269029209</v>
      </c>
      <c r="L72" s="6">
        <v>18.626625634236198</v>
      </c>
      <c r="M72" s="6">
        <v>18.2965448803021</v>
      </c>
      <c r="N72" s="6">
        <v>18.517061955977699</v>
      </c>
      <c r="O72" s="6">
        <v>18.132649650327998</v>
      </c>
      <c r="P72" s="6">
        <v>17.268681347092102</v>
      </c>
      <c r="Q72" s="6">
        <v>18.905784477226</v>
      </c>
    </row>
    <row r="73" spans="1:17">
      <c r="A73" s="6" t="s">
        <v>6448</v>
      </c>
      <c r="B73" s="6" t="s">
        <v>6449</v>
      </c>
      <c r="C73" s="6" t="s">
        <v>6450</v>
      </c>
      <c r="D73" s="6" t="s">
        <v>6451</v>
      </c>
      <c r="E73" s="6" t="s">
        <v>6452</v>
      </c>
      <c r="F73" s="6">
        <v>18.851153650571799</v>
      </c>
      <c r="G73" s="6">
        <v>18.397199303672501</v>
      </c>
      <c r="H73" s="6">
        <v>18.319013075784099</v>
      </c>
      <c r="I73" s="6">
        <v>18.7220396168855</v>
      </c>
      <c r="J73" s="6">
        <v>17.391165010554801</v>
      </c>
      <c r="K73" s="6">
        <v>18.352380938829601</v>
      </c>
      <c r="L73" s="6">
        <v>18.742900032486698</v>
      </c>
      <c r="M73" s="6">
        <v>17.800882844922601</v>
      </c>
      <c r="N73" s="6">
        <v>18.018869426344899</v>
      </c>
      <c r="O73" s="6">
        <v>18.085241859046398</v>
      </c>
      <c r="P73" s="6">
        <v>18.3509995977332</v>
      </c>
      <c r="Q73" s="6" t="s">
        <v>6254</v>
      </c>
    </row>
    <row r="74" spans="1:17">
      <c r="A74" s="6" t="s">
        <v>6453</v>
      </c>
      <c r="B74" s="6" t="s">
        <v>6453</v>
      </c>
      <c r="C74" s="6" t="s">
        <v>6454</v>
      </c>
      <c r="D74" s="6" t="s">
        <v>6455</v>
      </c>
      <c r="E74" s="6" t="s">
        <v>6455</v>
      </c>
      <c r="F74" s="6">
        <v>19.5610896991872</v>
      </c>
      <c r="G74" s="6">
        <v>17.6801718611983</v>
      </c>
      <c r="H74" s="6">
        <v>19.607328321926001</v>
      </c>
      <c r="I74" s="6" t="s">
        <v>6254</v>
      </c>
      <c r="J74" s="6" t="s">
        <v>6254</v>
      </c>
      <c r="K74" s="6" t="s">
        <v>6254</v>
      </c>
      <c r="L74" s="6" t="s">
        <v>6254</v>
      </c>
      <c r="M74" s="6">
        <v>19.243825007736898</v>
      </c>
      <c r="N74" s="6">
        <v>20.775450668731299</v>
      </c>
      <c r="O74" s="6">
        <v>18.231622404010199</v>
      </c>
      <c r="P74" s="6">
        <v>18.586485851482902</v>
      </c>
      <c r="Q74" s="6" t="s">
        <v>6254</v>
      </c>
    </row>
    <row r="75" spans="1:17">
      <c r="A75" s="6" t="s">
        <v>292</v>
      </c>
      <c r="B75" s="6" t="s">
        <v>292</v>
      </c>
      <c r="C75" s="6" t="s">
        <v>6456</v>
      </c>
      <c r="D75" s="6" t="s">
        <v>6457</v>
      </c>
      <c r="E75" s="6" t="s">
        <v>6457</v>
      </c>
      <c r="F75" s="6">
        <v>18.0319123775976</v>
      </c>
      <c r="G75" s="6">
        <v>18.4080856584165</v>
      </c>
      <c r="H75" s="6">
        <v>18.307501189017401</v>
      </c>
      <c r="I75" s="6">
        <v>18.8320211577566</v>
      </c>
      <c r="J75" s="6">
        <v>17.966246394228101</v>
      </c>
      <c r="K75" s="6">
        <v>18.6047955370565</v>
      </c>
      <c r="L75" s="6">
        <v>18.110147843398</v>
      </c>
      <c r="M75" s="6">
        <v>18.882647493584301</v>
      </c>
      <c r="N75" s="6">
        <v>18.307919444161101</v>
      </c>
      <c r="O75" s="6">
        <v>18.6672535525862</v>
      </c>
      <c r="P75" s="6">
        <v>18.402791093217399</v>
      </c>
      <c r="Q75" s="6">
        <v>18.2111612881389</v>
      </c>
    </row>
    <row r="76" spans="1:17">
      <c r="A76" s="6" t="s">
        <v>6458</v>
      </c>
      <c r="B76" s="6" t="s">
        <v>195</v>
      </c>
      <c r="C76" s="6" t="s">
        <v>6459</v>
      </c>
      <c r="D76" s="6" t="s">
        <v>6460</v>
      </c>
      <c r="E76" s="6" t="s">
        <v>6461</v>
      </c>
      <c r="F76" s="6">
        <v>18.6775996170742</v>
      </c>
      <c r="G76" s="6">
        <v>18.0959796641034</v>
      </c>
      <c r="H76" s="6">
        <v>18.364358709298202</v>
      </c>
      <c r="I76" s="6">
        <v>18.6814412081801</v>
      </c>
      <c r="J76" s="6">
        <v>17.460965554547698</v>
      </c>
      <c r="K76" s="6">
        <v>17.947077524030199</v>
      </c>
      <c r="L76" s="6">
        <v>18.746926822919999</v>
      </c>
      <c r="M76" s="6">
        <v>17.455398707154199</v>
      </c>
      <c r="N76" s="6">
        <v>17.874208211458299</v>
      </c>
      <c r="O76" s="6">
        <v>18.473173293594002</v>
      </c>
      <c r="P76" s="6">
        <v>18.403615038388601</v>
      </c>
      <c r="Q76" s="6">
        <v>16.987819974288101</v>
      </c>
    </row>
    <row r="77" spans="1:17">
      <c r="A77" s="6" t="s">
        <v>493</v>
      </c>
      <c r="B77" s="6" t="s">
        <v>493</v>
      </c>
      <c r="C77" s="6" t="s">
        <v>6462</v>
      </c>
      <c r="D77" s="6" t="s">
        <v>6463</v>
      </c>
      <c r="E77" s="6" t="s">
        <v>6463</v>
      </c>
      <c r="F77" s="6">
        <v>18.636667001077601</v>
      </c>
      <c r="G77" s="6">
        <v>18.015753676862101</v>
      </c>
      <c r="H77" s="6">
        <v>18.113383944966301</v>
      </c>
      <c r="I77" s="6">
        <v>19.1012806376756</v>
      </c>
      <c r="J77" s="6">
        <v>17.768601905362999</v>
      </c>
      <c r="K77" s="6">
        <v>18.338647805552199</v>
      </c>
      <c r="L77" s="6">
        <v>18.674423658176199</v>
      </c>
      <c r="M77" s="6">
        <v>17.3208765898233</v>
      </c>
      <c r="N77" s="6">
        <v>17.680297695242899</v>
      </c>
      <c r="O77" s="6">
        <v>18.697883526392999</v>
      </c>
      <c r="P77" s="6">
        <v>18.701944120878299</v>
      </c>
      <c r="Q77" s="6">
        <v>16.729945952741801</v>
      </c>
    </row>
    <row r="78" spans="1:17">
      <c r="A78" s="6" t="s">
        <v>6464</v>
      </c>
      <c r="B78" s="6" t="s">
        <v>721</v>
      </c>
      <c r="C78" s="6" t="s">
        <v>6465</v>
      </c>
      <c r="D78" s="6" t="s">
        <v>6466</v>
      </c>
      <c r="E78" s="6" t="s">
        <v>6467</v>
      </c>
      <c r="F78" s="6">
        <v>18.515092824149399</v>
      </c>
      <c r="G78" s="6">
        <v>18.500293776580001</v>
      </c>
      <c r="H78" s="6">
        <v>19.1531093905385</v>
      </c>
      <c r="I78" s="6">
        <v>17.482389374103899</v>
      </c>
      <c r="J78" s="6">
        <v>18.530087470622401</v>
      </c>
      <c r="K78" s="6">
        <v>18.233197774485301</v>
      </c>
      <c r="L78" s="6">
        <v>17.615915583223199</v>
      </c>
      <c r="M78" s="6">
        <v>19.189657375629601</v>
      </c>
      <c r="N78" s="6">
        <v>18.693359340648701</v>
      </c>
      <c r="O78" s="6">
        <v>18.253657502562699</v>
      </c>
      <c r="P78" s="6">
        <v>17.979824374838401</v>
      </c>
      <c r="Q78" s="6">
        <v>17.450286664647901</v>
      </c>
    </row>
    <row r="79" spans="1:17">
      <c r="A79" s="6" t="s">
        <v>6468</v>
      </c>
      <c r="B79" s="6" t="s">
        <v>6469</v>
      </c>
      <c r="C79" s="6" t="s">
        <v>6470</v>
      </c>
      <c r="D79" s="6" t="s">
        <v>6471</v>
      </c>
      <c r="E79" s="6" t="s">
        <v>6472</v>
      </c>
      <c r="F79" s="6">
        <v>18.805269498471901</v>
      </c>
      <c r="G79" s="6">
        <v>18.049447184360201</v>
      </c>
      <c r="H79" s="6" t="s">
        <v>6254</v>
      </c>
      <c r="I79" s="6">
        <v>18.8468772169937</v>
      </c>
      <c r="J79" s="6" t="s">
        <v>6254</v>
      </c>
      <c r="K79" s="6">
        <v>17.574004205708899</v>
      </c>
      <c r="L79" s="6" t="s">
        <v>6254</v>
      </c>
      <c r="M79" s="6">
        <v>17.212524009017201</v>
      </c>
      <c r="N79" s="6">
        <v>18.064061997481499</v>
      </c>
      <c r="O79" s="6">
        <v>18.573091215294799</v>
      </c>
      <c r="P79" s="6">
        <v>17.992414308929501</v>
      </c>
      <c r="Q79" s="6" t="s">
        <v>6254</v>
      </c>
    </row>
    <row r="80" spans="1:17">
      <c r="A80" s="6" t="s">
        <v>1622</v>
      </c>
      <c r="B80" s="6" t="s">
        <v>1624</v>
      </c>
      <c r="C80" s="6" t="s">
        <v>6473</v>
      </c>
      <c r="D80" s="6" t="s">
        <v>6474</v>
      </c>
      <c r="E80" s="6" t="s">
        <v>6475</v>
      </c>
      <c r="F80" s="6">
        <v>18.646857753672698</v>
      </c>
      <c r="G80" s="6">
        <v>17.269267994392901</v>
      </c>
      <c r="H80" s="6">
        <v>18.179948162114801</v>
      </c>
      <c r="I80" s="6">
        <v>18.8423949867096</v>
      </c>
      <c r="J80" s="6">
        <v>17.3847235645311</v>
      </c>
      <c r="K80" s="6">
        <v>18.1758435035958</v>
      </c>
      <c r="L80" s="6">
        <v>18.5773866601719</v>
      </c>
      <c r="M80" s="6">
        <v>17.364243843273599</v>
      </c>
      <c r="N80" s="6">
        <v>17.608985475296599</v>
      </c>
      <c r="O80" s="6">
        <v>18.7793893065462</v>
      </c>
      <c r="P80" s="6">
        <v>18.7552219774336</v>
      </c>
      <c r="Q80" s="6">
        <v>17.0368310207669</v>
      </c>
    </row>
    <row r="81" spans="1:17">
      <c r="A81" s="6" t="s">
        <v>6476</v>
      </c>
      <c r="B81" s="6" t="s">
        <v>6477</v>
      </c>
      <c r="C81" s="6" t="s">
        <v>6478</v>
      </c>
      <c r="D81" s="6" t="s">
        <v>6479</v>
      </c>
      <c r="E81" s="6" t="s">
        <v>6480</v>
      </c>
      <c r="F81" s="6">
        <v>18.5211911596083</v>
      </c>
      <c r="G81" s="6">
        <v>17.938125171259401</v>
      </c>
      <c r="H81" s="6">
        <v>18.323864744847</v>
      </c>
      <c r="I81" s="6">
        <v>18.848862930017301</v>
      </c>
      <c r="J81" s="6">
        <v>17.560051086059602</v>
      </c>
      <c r="K81" s="6">
        <v>18.052340598352199</v>
      </c>
      <c r="L81" s="6">
        <v>18.5996081441311</v>
      </c>
      <c r="M81" s="6">
        <v>17.5550400320646</v>
      </c>
      <c r="N81" s="6">
        <v>17.943608872200699</v>
      </c>
      <c r="O81" s="6">
        <v>18.4701477583111</v>
      </c>
      <c r="P81" s="6">
        <v>18.6383771924013</v>
      </c>
      <c r="Q81" s="6">
        <v>16.833059908708901</v>
      </c>
    </row>
    <row r="82" spans="1:17">
      <c r="A82" s="6" t="s">
        <v>127</v>
      </c>
      <c r="B82" s="6" t="s">
        <v>127</v>
      </c>
      <c r="C82" s="6" t="s">
        <v>6481</v>
      </c>
      <c r="D82" s="6" t="s">
        <v>6482</v>
      </c>
      <c r="E82" s="6" t="s">
        <v>6482</v>
      </c>
      <c r="F82" s="6">
        <v>15.775857425879201</v>
      </c>
      <c r="G82" s="6">
        <v>16.991535994281399</v>
      </c>
      <c r="H82" s="6">
        <v>17.955769994975601</v>
      </c>
      <c r="I82" s="6">
        <v>19.160041687825199</v>
      </c>
      <c r="J82" s="6">
        <v>17.996388715933001</v>
      </c>
      <c r="K82" s="6">
        <v>19.4117677250781</v>
      </c>
      <c r="L82" s="6">
        <v>20.629461718878702</v>
      </c>
      <c r="M82" s="6">
        <v>18.385353101374701</v>
      </c>
      <c r="N82" s="6">
        <v>19.667247636983699</v>
      </c>
      <c r="O82" s="6">
        <v>17.4599227242057</v>
      </c>
      <c r="P82" s="6">
        <v>17.0141277015782</v>
      </c>
      <c r="Q82" s="6">
        <v>17.030929389326801</v>
      </c>
    </row>
    <row r="83" spans="1:17">
      <c r="A83" s="6" t="s">
        <v>6483</v>
      </c>
      <c r="B83" s="6" t="s">
        <v>6484</v>
      </c>
      <c r="C83" s="6" t="s">
        <v>6485</v>
      </c>
      <c r="D83" s="6" t="s">
        <v>6486</v>
      </c>
      <c r="E83" s="6" t="s">
        <v>6487</v>
      </c>
      <c r="F83" s="6">
        <v>18.039314426251799</v>
      </c>
      <c r="G83" s="6">
        <v>18.4755478356394</v>
      </c>
      <c r="H83" s="6">
        <v>18.5104844062406</v>
      </c>
      <c r="I83" s="6">
        <v>17.2860156062446</v>
      </c>
      <c r="J83" s="6">
        <v>17.976390146392198</v>
      </c>
      <c r="K83" s="6">
        <v>16.9792339535311</v>
      </c>
      <c r="L83" s="6">
        <v>17.703721654568898</v>
      </c>
      <c r="M83" s="6">
        <v>18.853823642645501</v>
      </c>
      <c r="N83" s="6">
        <v>18.612434754903799</v>
      </c>
      <c r="O83" s="6">
        <v>18.503522799516801</v>
      </c>
      <c r="P83" s="6">
        <v>17.643178473834698</v>
      </c>
      <c r="Q83" s="6">
        <v>18.072151416210598</v>
      </c>
    </row>
    <row r="84" spans="1:17">
      <c r="A84" s="6" t="s">
        <v>6488</v>
      </c>
      <c r="B84" s="6" t="s">
        <v>6488</v>
      </c>
      <c r="C84" s="6" t="s">
        <v>6489</v>
      </c>
      <c r="D84" s="6" t="s">
        <v>6490</v>
      </c>
      <c r="E84" s="6" t="s">
        <v>6490</v>
      </c>
      <c r="F84" s="6">
        <v>20.003552593243299</v>
      </c>
      <c r="G84" s="6">
        <v>19.304422330977399</v>
      </c>
      <c r="H84" s="6">
        <v>18.136905407260699</v>
      </c>
      <c r="I84" s="6">
        <v>18.495152217037901</v>
      </c>
      <c r="J84" s="6">
        <v>18.399046951707899</v>
      </c>
      <c r="K84" s="6">
        <v>17.421138021074398</v>
      </c>
      <c r="L84" s="6">
        <v>17.5140108094201</v>
      </c>
      <c r="M84" s="6">
        <v>18.115038801667801</v>
      </c>
      <c r="N84" s="6">
        <v>17.7478027429886</v>
      </c>
      <c r="O84" s="6">
        <v>18.050120062392399</v>
      </c>
      <c r="P84" s="6">
        <v>19.760996110037699</v>
      </c>
      <c r="Q84" s="6">
        <v>16.881583778220499</v>
      </c>
    </row>
    <row r="85" spans="1:17">
      <c r="A85" s="6" t="s">
        <v>6491</v>
      </c>
      <c r="B85" s="6" t="s">
        <v>6491</v>
      </c>
      <c r="C85" s="6" t="s">
        <v>6492</v>
      </c>
      <c r="D85" s="6" t="s">
        <v>6493</v>
      </c>
      <c r="E85" s="6" t="s">
        <v>6493</v>
      </c>
      <c r="F85" s="6">
        <v>16.3501180079082</v>
      </c>
      <c r="G85" s="6">
        <v>20.679321046146299</v>
      </c>
      <c r="H85" s="6">
        <v>20.707176747015598</v>
      </c>
      <c r="I85" s="6">
        <v>16.306478075278498</v>
      </c>
      <c r="J85" s="6">
        <v>15.3051489566156</v>
      </c>
      <c r="K85" s="6">
        <v>15.6472346779547</v>
      </c>
      <c r="L85" s="6">
        <v>20.990153083619401</v>
      </c>
      <c r="M85" s="6">
        <v>19.6037475651747</v>
      </c>
      <c r="N85" s="6">
        <v>14.703915041921</v>
      </c>
      <c r="O85" s="6">
        <v>15.8341642137589</v>
      </c>
      <c r="P85" s="6">
        <v>16.0704287496213</v>
      </c>
      <c r="Q85" s="6">
        <v>14.5736664107097</v>
      </c>
    </row>
    <row r="86" spans="1:17">
      <c r="A86" s="6" t="s">
        <v>6494</v>
      </c>
      <c r="B86" s="6" t="s">
        <v>6494</v>
      </c>
      <c r="C86" s="6" t="s">
        <v>6494</v>
      </c>
      <c r="D86" s="6" t="s">
        <v>6494</v>
      </c>
      <c r="E86" s="6" t="s">
        <v>6494</v>
      </c>
      <c r="F86" s="6">
        <v>19.212863136148499</v>
      </c>
      <c r="G86" s="6">
        <v>18.377616370595099</v>
      </c>
      <c r="H86" s="6">
        <v>18.074339589706401</v>
      </c>
      <c r="I86" s="6">
        <v>18.7773326123529</v>
      </c>
      <c r="J86" s="6">
        <v>17.698630222317</v>
      </c>
      <c r="K86" s="6">
        <v>17.628149134635599</v>
      </c>
      <c r="L86" s="6">
        <v>17.873345817211099</v>
      </c>
      <c r="M86" s="6">
        <v>18.2211655375791</v>
      </c>
      <c r="N86" s="6">
        <v>18.550814170222601</v>
      </c>
      <c r="O86" s="6">
        <v>18.371092543856399</v>
      </c>
      <c r="P86" s="6">
        <v>18.0882963290749</v>
      </c>
      <c r="Q86" s="6">
        <v>16.925279571575501</v>
      </c>
    </row>
    <row r="87" spans="1:17">
      <c r="A87" s="6" t="s">
        <v>489</v>
      </c>
      <c r="B87" s="6" t="s">
        <v>489</v>
      </c>
      <c r="C87" s="6" t="s">
        <v>6495</v>
      </c>
      <c r="D87" s="6" t="s">
        <v>6496</v>
      </c>
      <c r="E87" s="6" t="s">
        <v>6496</v>
      </c>
      <c r="F87" s="6">
        <v>18.335200283361502</v>
      </c>
      <c r="G87" s="6">
        <v>18.602775829416899</v>
      </c>
      <c r="H87" s="6">
        <v>17.960775371698901</v>
      </c>
      <c r="I87" s="6">
        <v>17.317212533223898</v>
      </c>
      <c r="J87" s="6">
        <v>18.226017906108201</v>
      </c>
      <c r="K87" s="6">
        <v>17.952685608794201</v>
      </c>
      <c r="L87" s="6">
        <v>17.937966918548899</v>
      </c>
      <c r="M87" s="6">
        <v>18.058332036112201</v>
      </c>
      <c r="N87" s="6">
        <v>17.8586348711735</v>
      </c>
      <c r="O87" s="6">
        <v>17.867019840539999</v>
      </c>
      <c r="P87" s="6">
        <v>17.744336915094099</v>
      </c>
      <c r="Q87" s="6">
        <v>18.5811975333887</v>
      </c>
    </row>
    <row r="88" spans="1:17">
      <c r="A88" s="6" t="s">
        <v>6497</v>
      </c>
      <c r="B88" s="6" t="s">
        <v>6498</v>
      </c>
      <c r="C88" s="6" t="s">
        <v>6499</v>
      </c>
      <c r="D88" s="6" t="s">
        <v>6500</v>
      </c>
      <c r="E88" s="6" t="s">
        <v>3876</v>
      </c>
      <c r="F88" s="6">
        <v>16.809542790536</v>
      </c>
      <c r="G88" s="6">
        <v>17.741334276204899</v>
      </c>
      <c r="H88" s="6">
        <v>17.584890356733901</v>
      </c>
      <c r="I88" s="6">
        <v>17.2714784599174</v>
      </c>
      <c r="J88" s="6">
        <v>18.355884522487401</v>
      </c>
      <c r="K88" s="6">
        <v>18.262759752821999</v>
      </c>
      <c r="L88" s="6">
        <v>17.547296979509198</v>
      </c>
      <c r="M88" s="6">
        <v>18.202884002907801</v>
      </c>
      <c r="N88" s="6">
        <v>18.406657073492401</v>
      </c>
      <c r="O88" s="6">
        <v>18.221505561928701</v>
      </c>
      <c r="P88" s="6">
        <v>17.516941829813</v>
      </c>
      <c r="Q88" s="6">
        <v>18.649300957588899</v>
      </c>
    </row>
    <row r="89" spans="1:17">
      <c r="A89" s="6" t="s">
        <v>128</v>
      </c>
      <c r="B89" s="6" t="s">
        <v>128</v>
      </c>
      <c r="C89" s="6" t="s">
        <v>6501</v>
      </c>
      <c r="D89" s="6" t="s">
        <v>6502</v>
      </c>
      <c r="E89" s="6" t="s">
        <v>6502</v>
      </c>
      <c r="F89" s="6">
        <v>17.783621856025299</v>
      </c>
      <c r="G89" s="6">
        <v>17.391940535279101</v>
      </c>
      <c r="H89" s="6">
        <v>18.143960873137701</v>
      </c>
      <c r="I89" s="6">
        <v>18.943140385873601</v>
      </c>
      <c r="J89" s="6">
        <v>17.6234752298007</v>
      </c>
      <c r="K89" s="6">
        <v>18.114677547338701</v>
      </c>
      <c r="L89" s="6">
        <v>18.6813184714767</v>
      </c>
      <c r="M89" s="6">
        <v>17.1699200310678</v>
      </c>
      <c r="N89" s="6">
        <v>17.6909076899769</v>
      </c>
      <c r="O89" s="6">
        <v>17.892197445441301</v>
      </c>
      <c r="P89" s="6">
        <v>17.596562128844099</v>
      </c>
      <c r="Q89" s="6">
        <v>16.857785251372899</v>
      </c>
    </row>
    <row r="90" spans="1:17">
      <c r="A90" s="6" t="s">
        <v>6503</v>
      </c>
      <c r="B90" s="6" t="s">
        <v>6503</v>
      </c>
      <c r="C90" s="6" t="s">
        <v>6504</v>
      </c>
      <c r="D90" s="6" t="s">
        <v>6505</v>
      </c>
      <c r="E90" s="6" t="s">
        <v>6505</v>
      </c>
      <c r="F90" s="6">
        <v>17.922374645831901</v>
      </c>
      <c r="G90" s="6">
        <v>17.9066948506002</v>
      </c>
      <c r="H90" s="6">
        <v>17.813016400578601</v>
      </c>
      <c r="I90" s="6">
        <v>18.3551650128544</v>
      </c>
      <c r="J90" s="6" t="s">
        <v>6254</v>
      </c>
      <c r="K90" s="6">
        <v>17.819304024348199</v>
      </c>
      <c r="L90" s="6">
        <v>18.7166781361564</v>
      </c>
      <c r="M90" s="6">
        <v>16.873176987870298</v>
      </c>
      <c r="N90" s="6">
        <v>16.399592941114701</v>
      </c>
      <c r="O90" s="6">
        <v>18.189255422215801</v>
      </c>
      <c r="P90" s="6">
        <v>17.524567970122799</v>
      </c>
      <c r="Q90" s="6" t="s">
        <v>6254</v>
      </c>
    </row>
    <row r="91" spans="1:17">
      <c r="A91" s="6" t="s">
        <v>114</v>
      </c>
      <c r="B91" s="6" t="s">
        <v>114</v>
      </c>
      <c r="C91" s="6" t="s">
        <v>6506</v>
      </c>
      <c r="D91" s="6" t="s">
        <v>6507</v>
      </c>
      <c r="E91" s="6" t="s">
        <v>6507</v>
      </c>
      <c r="F91" s="6">
        <v>18.233590495433599</v>
      </c>
      <c r="G91" s="6">
        <v>17.734636376312</v>
      </c>
      <c r="H91" s="6">
        <v>17.864042153687901</v>
      </c>
      <c r="I91" s="6">
        <v>18.658262533895002</v>
      </c>
      <c r="J91" s="6">
        <v>17.358063744538399</v>
      </c>
      <c r="K91" s="6">
        <v>17.935453077502402</v>
      </c>
      <c r="L91" s="6">
        <v>18.428533943669098</v>
      </c>
      <c r="M91" s="6">
        <v>17.1332632691492</v>
      </c>
      <c r="N91" s="6">
        <v>17.108418096787901</v>
      </c>
      <c r="O91" s="6">
        <v>18.408836601841799</v>
      </c>
      <c r="P91" s="6">
        <v>18.3529121083387</v>
      </c>
      <c r="Q91" s="6">
        <v>16.709912774518099</v>
      </c>
    </row>
    <row r="92" spans="1:17">
      <c r="A92" s="6" t="s">
        <v>6508</v>
      </c>
      <c r="B92" s="6" t="s">
        <v>6508</v>
      </c>
      <c r="C92" s="6" t="s">
        <v>6508</v>
      </c>
      <c r="D92" s="6" t="s">
        <v>6508</v>
      </c>
      <c r="E92" s="6" t="s">
        <v>6508</v>
      </c>
      <c r="F92" s="6" t="s">
        <v>6254</v>
      </c>
      <c r="G92" s="6" t="s">
        <v>6254</v>
      </c>
      <c r="H92" s="6">
        <v>16.758711924775302</v>
      </c>
      <c r="I92" s="6" t="s">
        <v>6254</v>
      </c>
      <c r="J92" s="6" t="s">
        <v>6254</v>
      </c>
      <c r="K92" s="6" t="s">
        <v>6254</v>
      </c>
      <c r="L92" s="6" t="s">
        <v>6254</v>
      </c>
      <c r="M92" s="6" t="s">
        <v>6254</v>
      </c>
      <c r="N92" s="6" t="s">
        <v>6254</v>
      </c>
      <c r="O92" s="6" t="s">
        <v>6254</v>
      </c>
      <c r="P92" s="6" t="s">
        <v>6254</v>
      </c>
      <c r="Q92" s="6" t="s">
        <v>6254</v>
      </c>
    </row>
    <row r="93" spans="1:17">
      <c r="A93" s="6" t="s">
        <v>1035</v>
      </c>
      <c r="B93" s="6" t="s">
        <v>1035</v>
      </c>
      <c r="C93" s="6" t="s">
        <v>6509</v>
      </c>
      <c r="D93" s="6" t="s">
        <v>6510</v>
      </c>
      <c r="E93" s="6" t="s">
        <v>6510</v>
      </c>
      <c r="F93" s="6">
        <v>18.552869229641601</v>
      </c>
      <c r="G93" s="6">
        <v>17.897662390709499</v>
      </c>
      <c r="H93" s="6">
        <v>17.606221229542001</v>
      </c>
      <c r="I93" s="6">
        <v>18.720035995643599</v>
      </c>
      <c r="J93" s="6">
        <v>17.073801957031201</v>
      </c>
      <c r="K93" s="6">
        <v>18.0496296628076</v>
      </c>
      <c r="L93" s="6">
        <v>17.956255484018602</v>
      </c>
      <c r="M93" s="6">
        <v>16.813974271402699</v>
      </c>
      <c r="N93" s="6">
        <v>17.413750996397301</v>
      </c>
      <c r="O93" s="6">
        <v>18.4689147525065</v>
      </c>
      <c r="P93" s="6">
        <v>18.4540659007987</v>
      </c>
      <c r="Q93" s="6">
        <v>16.621991484323001</v>
      </c>
    </row>
    <row r="94" spans="1:17">
      <c r="A94" s="6" t="s">
        <v>5629</v>
      </c>
      <c r="B94" s="6" t="s">
        <v>5629</v>
      </c>
      <c r="C94" s="6" t="s">
        <v>6511</v>
      </c>
      <c r="D94" s="6" t="s">
        <v>6512</v>
      </c>
      <c r="E94" s="6" t="s">
        <v>6512</v>
      </c>
      <c r="F94" s="6">
        <v>18.012999004376098</v>
      </c>
      <c r="G94" s="6">
        <v>17.786287431502799</v>
      </c>
      <c r="H94" s="6">
        <v>18.519380081341801</v>
      </c>
      <c r="I94" s="6">
        <v>19.238134882852702</v>
      </c>
      <c r="J94" s="6">
        <v>17.712645577754799</v>
      </c>
      <c r="K94" s="6">
        <v>18.660975502595001</v>
      </c>
      <c r="L94" s="6">
        <v>19.235190332510101</v>
      </c>
      <c r="M94" s="6">
        <v>17.618417923268002</v>
      </c>
      <c r="N94" s="6">
        <v>17.544369970630001</v>
      </c>
      <c r="O94" s="6">
        <v>17.822108051706799</v>
      </c>
      <c r="P94" s="6">
        <v>17.954144423616299</v>
      </c>
      <c r="Q94" s="6">
        <v>15.7544505178346</v>
      </c>
    </row>
    <row r="95" spans="1:17">
      <c r="A95" s="6" t="s">
        <v>175</v>
      </c>
      <c r="B95" s="6" t="s">
        <v>175</v>
      </c>
      <c r="C95" s="6" t="s">
        <v>6513</v>
      </c>
      <c r="D95" s="6" t="s">
        <v>6514</v>
      </c>
      <c r="E95" s="6" t="s">
        <v>6514</v>
      </c>
      <c r="F95" s="6">
        <v>18.227664998401501</v>
      </c>
      <c r="G95" s="6">
        <v>17.554847782733901</v>
      </c>
      <c r="H95" s="6">
        <v>17.8942204295025</v>
      </c>
      <c r="I95" s="6">
        <v>17.9428745281351</v>
      </c>
      <c r="J95" s="6">
        <v>18.0378431496936</v>
      </c>
      <c r="K95" s="6">
        <v>18.990627704265499</v>
      </c>
      <c r="L95" s="6">
        <v>17.9562236091698</v>
      </c>
      <c r="M95" s="6">
        <v>18.509266779495299</v>
      </c>
      <c r="N95" s="6">
        <v>17.937838124113199</v>
      </c>
      <c r="O95" s="6">
        <v>17.401290854249599</v>
      </c>
      <c r="P95" s="6">
        <v>17.499158899761898</v>
      </c>
      <c r="Q95" s="6">
        <v>17.417351765463</v>
      </c>
    </row>
    <row r="96" spans="1:17">
      <c r="A96" s="6" t="s">
        <v>3559</v>
      </c>
      <c r="B96" s="6" t="s">
        <v>3559</v>
      </c>
      <c r="C96" s="6" t="s">
        <v>6515</v>
      </c>
      <c r="D96" s="6" t="s">
        <v>866</v>
      </c>
      <c r="E96" s="6" t="s">
        <v>866</v>
      </c>
      <c r="F96" s="6">
        <v>16.930274061631501</v>
      </c>
      <c r="G96" s="6">
        <v>17.712651517340699</v>
      </c>
      <c r="H96" s="6">
        <v>17.868616553984701</v>
      </c>
      <c r="I96" s="6">
        <v>17.1856107655735</v>
      </c>
      <c r="J96" s="6">
        <v>18.236396629633401</v>
      </c>
      <c r="K96" s="6">
        <v>17.234174752310398</v>
      </c>
      <c r="L96" s="6">
        <v>17.432848818191001</v>
      </c>
      <c r="M96" s="6">
        <v>17.739074549004801</v>
      </c>
      <c r="N96" s="6">
        <v>16.801912885983199</v>
      </c>
      <c r="O96" s="6">
        <v>18.4016172199218</v>
      </c>
      <c r="P96" s="6">
        <v>17.8140410242633</v>
      </c>
      <c r="Q96" s="6">
        <v>18.573651944197099</v>
      </c>
    </row>
    <row r="97" spans="1:17">
      <c r="A97" s="6" t="s">
        <v>6516</v>
      </c>
      <c r="B97" s="6" t="s">
        <v>6516</v>
      </c>
      <c r="C97" s="6" t="s">
        <v>6517</v>
      </c>
      <c r="D97" s="6" t="s">
        <v>6518</v>
      </c>
      <c r="E97" s="6" t="s">
        <v>6518</v>
      </c>
      <c r="F97" s="6">
        <v>17.765376718700502</v>
      </c>
      <c r="G97" s="6">
        <v>17.346852236840601</v>
      </c>
      <c r="H97" s="6">
        <v>18.0957378643993</v>
      </c>
      <c r="I97" s="6">
        <v>18.876777837096199</v>
      </c>
      <c r="J97" s="6">
        <v>17.512895692951901</v>
      </c>
      <c r="K97" s="6">
        <v>18.066523832109301</v>
      </c>
      <c r="L97" s="6">
        <v>18.713521247135098</v>
      </c>
      <c r="M97" s="6">
        <v>17.358810984803799</v>
      </c>
      <c r="N97" s="6">
        <v>16.6502670721821</v>
      </c>
      <c r="O97" s="6">
        <v>18.3037304816601</v>
      </c>
      <c r="P97" s="6">
        <v>18.304365286764298</v>
      </c>
      <c r="Q97" s="6">
        <v>16.871851307876</v>
      </c>
    </row>
    <row r="98" spans="1:17">
      <c r="A98" s="6" t="s">
        <v>6519</v>
      </c>
      <c r="B98" s="6" t="s">
        <v>6033</v>
      </c>
      <c r="C98" s="6" t="s">
        <v>6520</v>
      </c>
      <c r="D98" s="6" t="s">
        <v>6521</v>
      </c>
      <c r="E98" s="6" t="s">
        <v>6522</v>
      </c>
      <c r="F98" s="6">
        <v>18.007838613662798</v>
      </c>
      <c r="G98" s="6">
        <v>17.8728562745384</v>
      </c>
      <c r="H98" s="6">
        <v>17.681952058578599</v>
      </c>
      <c r="I98" s="6">
        <v>18.3347459652346</v>
      </c>
      <c r="J98" s="6">
        <v>17.334412579167701</v>
      </c>
      <c r="K98" s="6">
        <v>17.845665913579801</v>
      </c>
      <c r="L98" s="6">
        <v>18.272724026365498</v>
      </c>
      <c r="M98" s="6">
        <v>16.964900095234999</v>
      </c>
      <c r="N98" s="6">
        <v>16.2511903280779</v>
      </c>
      <c r="O98" s="6">
        <v>18.5143405761563</v>
      </c>
      <c r="P98" s="6">
        <v>18.270832883954899</v>
      </c>
      <c r="Q98" s="6">
        <v>16.838805253663299</v>
      </c>
    </row>
    <row r="99" spans="1:17">
      <c r="A99" s="6" t="s">
        <v>3041</v>
      </c>
      <c r="B99" s="6" t="s">
        <v>3041</v>
      </c>
      <c r="C99" s="6" t="s">
        <v>6523</v>
      </c>
      <c r="D99" s="6" t="s">
        <v>6524</v>
      </c>
      <c r="E99" s="6" t="s">
        <v>6524</v>
      </c>
      <c r="F99" s="6">
        <v>18.295933947224299</v>
      </c>
      <c r="G99" s="6">
        <v>16.7727998260346</v>
      </c>
      <c r="H99" s="6">
        <v>18.473149546107098</v>
      </c>
      <c r="I99" s="6">
        <v>17.440059278329901</v>
      </c>
      <c r="J99" s="6">
        <v>17.6358611506176</v>
      </c>
      <c r="K99" s="6">
        <v>18.009595733468</v>
      </c>
      <c r="L99" s="6">
        <v>16.091462089687202</v>
      </c>
      <c r="M99" s="6">
        <v>17.895920589431899</v>
      </c>
      <c r="N99" s="6">
        <v>17.520334269898701</v>
      </c>
      <c r="O99" s="6">
        <v>16.415579527037199</v>
      </c>
      <c r="P99" s="6">
        <v>18.296837738633698</v>
      </c>
      <c r="Q99" s="6">
        <v>18.324710807357601</v>
      </c>
    </row>
    <row r="100" spans="1:17">
      <c r="A100" s="6" t="s">
        <v>433</v>
      </c>
      <c r="B100" s="6" t="s">
        <v>433</v>
      </c>
      <c r="C100" s="6" t="s">
        <v>6525</v>
      </c>
      <c r="D100" s="6" t="s">
        <v>6526</v>
      </c>
      <c r="E100" s="6" t="s">
        <v>6526</v>
      </c>
      <c r="F100" s="6">
        <v>18.010938727507298</v>
      </c>
      <c r="G100" s="6">
        <v>17.984786463574299</v>
      </c>
      <c r="H100" s="6">
        <v>17.757231034838</v>
      </c>
      <c r="I100" s="6">
        <v>17.890886910824602</v>
      </c>
      <c r="J100" s="6">
        <v>17.571712300875301</v>
      </c>
      <c r="K100" s="6">
        <v>17.674937407367899</v>
      </c>
      <c r="L100" s="6">
        <v>17.304309033923602</v>
      </c>
      <c r="M100" s="6">
        <v>17.8112456392555</v>
      </c>
      <c r="N100" s="6">
        <v>17.748927726337701</v>
      </c>
      <c r="O100" s="6">
        <v>18.186765983931799</v>
      </c>
      <c r="P100" s="6">
        <v>17.8086622137922</v>
      </c>
      <c r="Q100" s="6">
        <v>17.7075693798981</v>
      </c>
    </row>
    <row r="101" spans="1:17">
      <c r="A101" s="6" t="s">
        <v>176</v>
      </c>
      <c r="B101" s="6" t="s">
        <v>178</v>
      </c>
      <c r="C101" s="6" t="s">
        <v>6527</v>
      </c>
      <c r="D101" s="6" t="s">
        <v>6528</v>
      </c>
      <c r="E101" s="6" t="s">
        <v>1310</v>
      </c>
      <c r="F101" s="6">
        <v>16.500274567126599</v>
      </c>
      <c r="G101" s="6">
        <v>18.811237329537899</v>
      </c>
      <c r="H101" s="6">
        <v>18.048405010730701</v>
      </c>
      <c r="I101" s="6">
        <v>17.004825758250899</v>
      </c>
      <c r="J101" s="6">
        <v>17.592042510615801</v>
      </c>
      <c r="K101" s="6">
        <v>16.9512420663815</v>
      </c>
      <c r="L101" s="6">
        <v>17.876911066500401</v>
      </c>
      <c r="M101" s="6">
        <v>17.568585681478002</v>
      </c>
      <c r="N101" s="6">
        <v>17.783428566348899</v>
      </c>
      <c r="O101" s="6">
        <v>17.439710219778</v>
      </c>
      <c r="P101" s="6">
        <v>17.875228202579699</v>
      </c>
      <c r="Q101" s="6">
        <v>18.5120947649912</v>
      </c>
    </row>
    <row r="102" spans="1:17">
      <c r="A102" s="6" t="s">
        <v>6529</v>
      </c>
      <c r="B102" s="6" t="s">
        <v>927</v>
      </c>
      <c r="C102" s="6" t="s">
        <v>6530</v>
      </c>
      <c r="D102" s="6" t="s">
        <v>6531</v>
      </c>
      <c r="E102" s="6" t="s">
        <v>1307</v>
      </c>
      <c r="F102" s="6">
        <v>17.450825225473402</v>
      </c>
      <c r="G102" s="6">
        <v>17.5106049593136</v>
      </c>
      <c r="H102" s="6">
        <v>17.274454189809699</v>
      </c>
      <c r="I102" s="6">
        <v>17.564316192696101</v>
      </c>
      <c r="J102" s="6">
        <v>17.397032449673102</v>
      </c>
      <c r="K102" s="6">
        <v>17.409464694264202</v>
      </c>
      <c r="L102" s="6">
        <v>18.215727118235701</v>
      </c>
      <c r="M102" s="6">
        <v>18.2147742397695</v>
      </c>
      <c r="N102" s="6">
        <v>18.579027941875498</v>
      </c>
      <c r="O102" s="6">
        <v>18.0189426336993</v>
      </c>
      <c r="P102" s="6">
        <v>17.686040413712</v>
      </c>
      <c r="Q102" s="6">
        <v>17.886227996823301</v>
      </c>
    </row>
    <row r="103" spans="1:17">
      <c r="A103" s="6" t="s">
        <v>252</v>
      </c>
      <c r="B103" s="6" t="s">
        <v>252</v>
      </c>
      <c r="C103" s="6" t="s">
        <v>6532</v>
      </c>
      <c r="D103" s="6" t="s">
        <v>6533</v>
      </c>
      <c r="E103" s="6" t="s">
        <v>6533</v>
      </c>
      <c r="F103" s="6">
        <v>16.790330095342298</v>
      </c>
      <c r="G103" s="6">
        <v>17.814694435729798</v>
      </c>
      <c r="H103" s="6">
        <v>18.7527203787871</v>
      </c>
      <c r="I103" s="6">
        <v>17.012853917827101</v>
      </c>
      <c r="J103" s="6">
        <v>18.743631943376599</v>
      </c>
      <c r="K103" s="6">
        <v>17.187951682744</v>
      </c>
      <c r="L103" s="6">
        <v>17.862421222557501</v>
      </c>
      <c r="M103" s="6">
        <v>18.536313052498102</v>
      </c>
      <c r="N103" s="6">
        <v>18.0250593957166</v>
      </c>
      <c r="O103" s="6">
        <v>17.466931752059299</v>
      </c>
      <c r="P103" s="6">
        <v>16.732367103738898</v>
      </c>
      <c r="Q103" s="6">
        <v>18.330489502226499</v>
      </c>
    </row>
    <row r="104" spans="1:17">
      <c r="A104" s="6" t="s">
        <v>6534</v>
      </c>
      <c r="B104" s="6" t="s">
        <v>6534</v>
      </c>
      <c r="C104" s="6" t="s">
        <v>6535</v>
      </c>
      <c r="D104" s="6" t="s">
        <v>6536</v>
      </c>
      <c r="E104" s="6" t="s">
        <v>6536</v>
      </c>
      <c r="F104" s="6">
        <v>18.124888860642599</v>
      </c>
      <c r="G104" s="6">
        <v>17.673388317129099</v>
      </c>
      <c r="H104" s="6">
        <v>18.027762071012901</v>
      </c>
      <c r="I104" s="6">
        <v>18.0278935191443</v>
      </c>
      <c r="J104" s="6">
        <v>16.916262572353599</v>
      </c>
      <c r="K104" s="6">
        <v>17.342761690814299</v>
      </c>
      <c r="L104" s="6">
        <v>18.571803345919399</v>
      </c>
      <c r="M104" s="6" t="s">
        <v>6254</v>
      </c>
      <c r="N104" s="6">
        <v>15.8846644779751</v>
      </c>
      <c r="O104" s="6">
        <v>17.804652357360801</v>
      </c>
      <c r="P104" s="6">
        <v>18.240143398532101</v>
      </c>
      <c r="Q104" s="6">
        <v>16.669265885329601</v>
      </c>
    </row>
    <row r="105" spans="1:17">
      <c r="A105" s="6" t="s">
        <v>6537</v>
      </c>
      <c r="B105" s="6" t="s">
        <v>6537</v>
      </c>
      <c r="C105" s="6" t="s">
        <v>6538</v>
      </c>
      <c r="D105" s="6" t="s">
        <v>6539</v>
      </c>
      <c r="E105" s="6" t="s">
        <v>6539</v>
      </c>
      <c r="F105" s="6">
        <v>18.238288396013299</v>
      </c>
      <c r="G105" s="6" t="s">
        <v>6254</v>
      </c>
      <c r="H105" s="6" t="s">
        <v>6254</v>
      </c>
      <c r="I105" s="6">
        <v>18.689335743943499</v>
      </c>
      <c r="J105" s="6" t="s">
        <v>6254</v>
      </c>
      <c r="K105" s="6">
        <v>17.6771782042529</v>
      </c>
      <c r="L105" s="6">
        <v>16.5198934549834</v>
      </c>
      <c r="M105" s="6" t="s">
        <v>6254</v>
      </c>
      <c r="N105" s="6">
        <v>17.082427332399099</v>
      </c>
      <c r="O105" s="6" t="s">
        <v>6254</v>
      </c>
      <c r="P105" s="6" t="s">
        <v>6254</v>
      </c>
      <c r="Q105" s="6" t="s">
        <v>6254</v>
      </c>
    </row>
    <row r="106" spans="1:17">
      <c r="A106" s="6" t="s">
        <v>33</v>
      </c>
      <c r="B106" s="6" t="s">
        <v>33</v>
      </c>
      <c r="C106" s="6" t="s">
        <v>6540</v>
      </c>
      <c r="D106" s="6" t="s">
        <v>6541</v>
      </c>
      <c r="E106" s="6" t="s">
        <v>6541</v>
      </c>
      <c r="F106" s="6">
        <v>18.183376680173101</v>
      </c>
      <c r="G106" s="6">
        <v>17.5105683806113</v>
      </c>
      <c r="H106" s="6">
        <v>17.728729720155599</v>
      </c>
      <c r="I106" s="6">
        <v>18.468087145832399</v>
      </c>
      <c r="J106" s="6">
        <v>16.972400820385701</v>
      </c>
      <c r="K106" s="6">
        <v>17.3992582502778</v>
      </c>
      <c r="L106" s="6">
        <v>18.192177678865701</v>
      </c>
      <c r="M106" s="6">
        <v>17.051419630385801</v>
      </c>
      <c r="N106" s="6">
        <v>17.858279696703999</v>
      </c>
      <c r="O106" s="6">
        <v>18.118349049285701</v>
      </c>
      <c r="P106" s="6">
        <v>17.9432999689821</v>
      </c>
      <c r="Q106" s="6">
        <v>16.298722759374101</v>
      </c>
    </row>
    <row r="107" spans="1:17">
      <c r="A107" s="6" t="s">
        <v>869</v>
      </c>
      <c r="B107" s="6" t="s">
        <v>869</v>
      </c>
      <c r="C107" s="6" t="s">
        <v>6542</v>
      </c>
      <c r="D107" s="6" t="s">
        <v>6543</v>
      </c>
      <c r="E107" s="6" t="s">
        <v>6543</v>
      </c>
      <c r="F107" s="6">
        <v>18.2538280611777</v>
      </c>
      <c r="G107" s="6">
        <v>17.100481839691302</v>
      </c>
      <c r="H107" s="6">
        <v>18.052966897903499</v>
      </c>
      <c r="I107" s="6">
        <v>18.327718778400701</v>
      </c>
      <c r="J107" s="6">
        <v>17.303641031579399</v>
      </c>
      <c r="K107" s="6">
        <v>18.220947905074102</v>
      </c>
      <c r="L107" s="6">
        <v>18.2399932262066</v>
      </c>
      <c r="M107" s="6">
        <v>17.242435815308799</v>
      </c>
      <c r="N107" s="6">
        <v>17.986631198823702</v>
      </c>
      <c r="O107" s="6">
        <v>17.616803225526201</v>
      </c>
      <c r="P107" s="6">
        <v>18.1751203300994</v>
      </c>
      <c r="Q107" s="6">
        <v>16.324121798319599</v>
      </c>
    </row>
    <row r="108" spans="1:17">
      <c r="A108" s="6" t="s">
        <v>6544</v>
      </c>
      <c r="B108" s="6" t="s">
        <v>6545</v>
      </c>
      <c r="C108" s="6" t="s">
        <v>6546</v>
      </c>
      <c r="D108" s="6" t="s">
        <v>6547</v>
      </c>
      <c r="E108" s="6" t="s">
        <v>6548</v>
      </c>
      <c r="F108" s="6">
        <v>17.837719667705901</v>
      </c>
      <c r="G108" s="6">
        <v>17.644286787156901</v>
      </c>
      <c r="H108" s="6">
        <v>17.585972789507199</v>
      </c>
      <c r="I108" s="6">
        <v>18.252173614109299</v>
      </c>
      <c r="J108" s="6">
        <v>17.0936484057165</v>
      </c>
      <c r="K108" s="6">
        <v>17.679545261895299</v>
      </c>
      <c r="L108" s="6">
        <v>18.106358850077001</v>
      </c>
      <c r="M108" s="6">
        <v>16.9528236723351</v>
      </c>
      <c r="N108" s="6">
        <v>17.085144333066602</v>
      </c>
      <c r="O108" s="6">
        <v>18.080460068939299</v>
      </c>
      <c r="P108" s="6">
        <v>17.992368630422899</v>
      </c>
      <c r="Q108" s="6">
        <v>16.667444321085199</v>
      </c>
    </row>
    <row r="109" spans="1:17">
      <c r="A109" s="6" t="s">
        <v>67</v>
      </c>
      <c r="B109" s="6" t="s">
        <v>67</v>
      </c>
      <c r="C109" s="6" t="s">
        <v>6549</v>
      </c>
      <c r="D109" s="6" t="s">
        <v>6550</v>
      </c>
      <c r="E109" s="6" t="s">
        <v>6550</v>
      </c>
      <c r="F109" s="6">
        <v>18.162166518591601</v>
      </c>
      <c r="G109" s="6">
        <v>17.2481626427602</v>
      </c>
      <c r="H109" s="6">
        <v>17.942986908184398</v>
      </c>
      <c r="I109" s="6">
        <v>18.505177316538798</v>
      </c>
      <c r="J109" s="6">
        <v>16.740820772384598</v>
      </c>
      <c r="K109" s="6">
        <v>16.9848940650683</v>
      </c>
      <c r="L109" s="6">
        <v>18.291253565591699</v>
      </c>
      <c r="M109" s="6">
        <v>17.1919202881427</v>
      </c>
      <c r="N109" s="6">
        <v>17.7752804928571</v>
      </c>
      <c r="O109" s="6">
        <v>18.281305478575</v>
      </c>
      <c r="P109" s="6">
        <v>17.842862546148002</v>
      </c>
      <c r="Q109" s="6">
        <v>15.503265952200101</v>
      </c>
    </row>
    <row r="110" spans="1:17">
      <c r="A110" s="6" t="s">
        <v>931</v>
      </c>
      <c r="B110" s="6" t="s">
        <v>931</v>
      </c>
      <c r="C110" s="6" t="s">
        <v>6551</v>
      </c>
      <c r="D110" s="6" t="s">
        <v>6552</v>
      </c>
      <c r="E110" s="6" t="s">
        <v>6552</v>
      </c>
      <c r="F110" s="6">
        <v>18.419356454391</v>
      </c>
      <c r="G110" s="6">
        <v>17.677367104042599</v>
      </c>
      <c r="H110" s="6">
        <v>17.615456702946801</v>
      </c>
      <c r="I110" s="6">
        <v>18.503318996025602</v>
      </c>
      <c r="J110" s="6">
        <v>17.172355046948201</v>
      </c>
      <c r="K110" s="6">
        <v>17.818107041281301</v>
      </c>
      <c r="L110" s="6">
        <v>18.2792330885718</v>
      </c>
      <c r="M110" s="6">
        <v>16.797766490220699</v>
      </c>
      <c r="N110" s="6">
        <v>17.346894868690399</v>
      </c>
      <c r="O110" s="6">
        <v>17.455423532502401</v>
      </c>
      <c r="P110" s="6">
        <v>17.0745836446496</v>
      </c>
      <c r="Q110" s="6">
        <v>16.659512302527101</v>
      </c>
    </row>
    <row r="111" spans="1:17">
      <c r="A111" s="6" t="s">
        <v>6553</v>
      </c>
      <c r="B111" s="6" t="s">
        <v>135</v>
      </c>
      <c r="C111" s="6" t="s">
        <v>6554</v>
      </c>
      <c r="D111" s="6" t="s">
        <v>6555</v>
      </c>
      <c r="E111" s="6" t="s">
        <v>6556</v>
      </c>
      <c r="F111" s="6">
        <v>18.355474356977201</v>
      </c>
      <c r="G111" s="6">
        <v>18.2531021959438</v>
      </c>
      <c r="H111" s="6">
        <v>17.875653731495198</v>
      </c>
      <c r="I111" s="6">
        <v>16.787185383507399</v>
      </c>
      <c r="J111" s="6">
        <v>17.8926324667075</v>
      </c>
      <c r="K111" s="6">
        <v>17.230822168126299</v>
      </c>
      <c r="L111" s="6">
        <v>17.408031030446399</v>
      </c>
      <c r="M111" s="6">
        <v>18.175068889317298</v>
      </c>
      <c r="N111" s="6">
        <v>18.002540394319301</v>
      </c>
      <c r="O111" s="6">
        <v>17.775523026955302</v>
      </c>
      <c r="P111" s="6">
        <v>17.230120826633001</v>
      </c>
      <c r="Q111" s="6">
        <v>17.716689196762299</v>
      </c>
    </row>
    <row r="112" spans="1:17">
      <c r="A112" s="6" t="s">
        <v>6557</v>
      </c>
      <c r="B112" s="6" t="s">
        <v>6558</v>
      </c>
      <c r="C112" s="6" t="s">
        <v>6559</v>
      </c>
      <c r="D112" s="6" t="s">
        <v>6560</v>
      </c>
      <c r="E112" s="6" t="s">
        <v>6561</v>
      </c>
      <c r="F112" s="6">
        <v>17.207867441915202</v>
      </c>
      <c r="G112" s="6" t="s">
        <v>6254</v>
      </c>
      <c r="H112" s="6">
        <v>17.136059516924298</v>
      </c>
      <c r="I112" s="6">
        <v>17.8360419564087</v>
      </c>
      <c r="J112" s="6" t="s">
        <v>6254</v>
      </c>
      <c r="K112" s="6">
        <v>17.782323701022499</v>
      </c>
      <c r="L112" s="6">
        <v>18.117091302311099</v>
      </c>
      <c r="M112" s="6">
        <v>16.0407338845414</v>
      </c>
      <c r="N112" s="6" t="s">
        <v>6254</v>
      </c>
      <c r="O112" s="6">
        <v>17.445945165053001</v>
      </c>
      <c r="P112" s="6">
        <v>17.174634061114102</v>
      </c>
      <c r="Q112" s="6" t="s">
        <v>6254</v>
      </c>
    </row>
    <row r="113" spans="1:17">
      <c r="A113" s="6" t="s">
        <v>6562</v>
      </c>
      <c r="B113" s="6" t="s">
        <v>6563</v>
      </c>
      <c r="C113" s="6" t="s">
        <v>6564</v>
      </c>
      <c r="D113" s="6" t="s">
        <v>6565</v>
      </c>
      <c r="E113" s="6" t="s">
        <v>6566</v>
      </c>
      <c r="F113" s="6">
        <v>16.987188046950799</v>
      </c>
      <c r="G113" s="6">
        <v>16.349821628077802</v>
      </c>
      <c r="H113" s="6">
        <v>17.780801221235699</v>
      </c>
      <c r="I113" s="6">
        <v>18.304112498708299</v>
      </c>
      <c r="J113" s="6">
        <v>16.655342663936199</v>
      </c>
      <c r="K113" s="6">
        <v>17.602724747322299</v>
      </c>
      <c r="L113" s="6">
        <v>17.370710771338899</v>
      </c>
      <c r="M113" s="6">
        <v>17.039608115543299</v>
      </c>
      <c r="N113" s="6">
        <v>17.2726242359957</v>
      </c>
      <c r="O113" s="6">
        <v>17.856170759880399</v>
      </c>
      <c r="P113" s="6">
        <v>17.352076348356199</v>
      </c>
      <c r="Q113" s="6">
        <v>16.710177913053599</v>
      </c>
    </row>
    <row r="114" spans="1:17">
      <c r="A114" s="6" t="s">
        <v>4817</v>
      </c>
      <c r="B114" s="6" t="s">
        <v>4817</v>
      </c>
      <c r="C114" s="6" t="s">
        <v>6567</v>
      </c>
      <c r="D114" s="6" t="s">
        <v>890</v>
      </c>
      <c r="E114" s="6" t="s">
        <v>890</v>
      </c>
      <c r="F114" s="6">
        <v>17.148363567625399</v>
      </c>
      <c r="G114" s="6">
        <v>15.317610058531899</v>
      </c>
      <c r="H114" s="6">
        <v>17.305409828786601</v>
      </c>
      <c r="I114" s="6">
        <v>16.7869006098821</v>
      </c>
      <c r="J114" s="6">
        <v>17.915370101490101</v>
      </c>
      <c r="K114" s="6">
        <v>17.037524269585301</v>
      </c>
      <c r="L114" s="6">
        <v>17.665610175429499</v>
      </c>
      <c r="M114" s="6">
        <v>17.129566917192101</v>
      </c>
      <c r="N114" s="6">
        <v>16.6697045160453</v>
      </c>
      <c r="O114" s="6">
        <v>18.132906837018201</v>
      </c>
      <c r="P114" s="6">
        <v>16.9006657508132</v>
      </c>
      <c r="Q114" s="6">
        <v>18.575166380158599</v>
      </c>
    </row>
    <row r="115" spans="1:17">
      <c r="A115" s="6" t="s">
        <v>6568</v>
      </c>
      <c r="B115" s="6" t="s">
        <v>6568</v>
      </c>
      <c r="C115" s="6" t="s">
        <v>6569</v>
      </c>
      <c r="D115" s="6" t="s">
        <v>6570</v>
      </c>
      <c r="E115" s="6" t="s">
        <v>6570</v>
      </c>
      <c r="F115" s="6" t="s">
        <v>6254</v>
      </c>
      <c r="G115" s="6">
        <v>15.2224634992068</v>
      </c>
      <c r="H115" s="6">
        <v>16.765931726688201</v>
      </c>
      <c r="I115" s="6">
        <v>17.057320203220801</v>
      </c>
      <c r="J115" s="6">
        <v>16.568239746540499</v>
      </c>
      <c r="K115" s="6" t="s">
        <v>6254</v>
      </c>
      <c r="L115" s="6" t="s">
        <v>6254</v>
      </c>
      <c r="M115" s="6">
        <v>19.346449004475499</v>
      </c>
      <c r="N115" s="6">
        <v>19.903822409828202</v>
      </c>
      <c r="O115" s="6">
        <v>15.389540594518101</v>
      </c>
      <c r="P115" s="6" t="s">
        <v>6254</v>
      </c>
      <c r="Q115" s="6" t="s">
        <v>6254</v>
      </c>
    </row>
    <row r="116" spans="1:17">
      <c r="A116" s="6" t="s">
        <v>76</v>
      </c>
      <c r="B116" s="6" t="s">
        <v>76</v>
      </c>
      <c r="C116" s="6" t="s">
        <v>6571</v>
      </c>
      <c r="D116" s="6" t="s">
        <v>6572</v>
      </c>
      <c r="E116" s="6" t="s">
        <v>6572</v>
      </c>
      <c r="F116" s="6">
        <v>17.818448721544598</v>
      </c>
      <c r="G116" s="6">
        <v>17.435422689233199</v>
      </c>
      <c r="H116" s="6">
        <v>17.280439549600601</v>
      </c>
      <c r="I116" s="6">
        <v>18.2397261406438</v>
      </c>
      <c r="J116" s="6">
        <v>16.730149640184202</v>
      </c>
      <c r="K116" s="6">
        <v>17.6311023317032</v>
      </c>
      <c r="L116" s="6">
        <v>17.7830996121128</v>
      </c>
      <c r="M116" s="6">
        <v>16.542204255216301</v>
      </c>
      <c r="N116" s="6">
        <v>16.867578850215502</v>
      </c>
      <c r="O116" s="6">
        <v>18.050369129167599</v>
      </c>
      <c r="P116" s="6">
        <v>18.092114802701101</v>
      </c>
      <c r="Q116" s="6">
        <v>16.357403506492101</v>
      </c>
    </row>
    <row r="117" spans="1:17">
      <c r="A117" s="6" t="s">
        <v>332</v>
      </c>
      <c r="B117" s="6" t="s">
        <v>332</v>
      </c>
      <c r="C117" s="6" t="s">
        <v>6573</v>
      </c>
      <c r="D117" s="6" t="s">
        <v>6574</v>
      </c>
      <c r="E117" s="6" t="s">
        <v>6574</v>
      </c>
      <c r="F117" s="6">
        <v>17.029779452514301</v>
      </c>
      <c r="G117" s="6">
        <v>18.137838129452199</v>
      </c>
      <c r="H117" s="6">
        <v>17.012405401584701</v>
      </c>
      <c r="I117" s="6">
        <v>16.745684573449999</v>
      </c>
      <c r="J117" s="6">
        <v>18.0970670598286</v>
      </c>
      <c r="K117" s="6">
        <v>17.9128744452779</v>
      </c>
      <c r="L117" s="6">
        <v>17.425234264309701</v>
      </c>
      <c r="M117" s="6">
        <v>18.344568347035999</v>
      </c>
      <c r="N117" s="6">
        <v>17.568927356983799</v>
      </c>
      <c r="O117" s="6">
        <v>17.4015498346985</v>
      </c>
      <c r="P117" s="6">
        <v>17.1622308129615</v>
      </c>
      <c r="Q117" s="6">
        <v>17.905374451628401</v>
      </c>
    </row>
    <row r="118" spans="1:17">
      <c r="A118" s="6" t="s">
        <v>832</v>
      </c>
      <c r="B118" s="6" t="s">
        <v>832</v>
      </c>
      <c r="C118" s="6" t="s">
        <v>6575</v>
      </c>
      <c r="D118" s="6" t="s">
        <v>6576</v>
      </c>
      <c r="E118" s="6" t="s">
        <v>6576</v>
      </c>
      <c r="F118" s="6">
        <v>18.049870211698401</v>
      </c>
      <c r="G118" s="6">
        <v>17.269100145920198</v>
      </c>
      <c r="H118" s="6">
        <v>17.304789601598799</v>
      </c>
      <c r="I118" s="6">
        <v>17.871790866087601</v>
      </c>
      <c r="J118" s="6">
        <v>17.473322980920099</v>
      </c>
      <c r="K118" s="6">
        <v>18.7031617457945</v>
      </c>
      <c r="L118" s="6">
        <v>17.6736100997548</v>
      </c>
      <c r="M118" s="6">
        <v>18.589005727505398</v>
      </c>
      <c r="N118" s="6">
        <v>16.911611849747</v>
      </c>
      <c r="O118" s="6">
        <v>17.1825340910103</v>
      </c>
      <c r="P118" s="6">
        <v>16.968054390208099</v>
      </c>
      <c r="Q118" s="6">
        <v>17.2266047224694</v>
      </c>
    </row>
    <row r="119" spans="1:17">
      <c r="A119" s="6" t="s">
        <v>6577</v>
      </c>
      <c r="B119" s="6" t="s">
        <v>6577</v>
      </c>
      <c r="C119" s="6" t="s">
        <v>6577</v>
      </c>
      <c r="D119" s="6" t="s">
        <v>6577</v>
      </c>
      <c r="E119" s="6" t="s">
        <v>6577</v>
      </c>
      <c r="F119" s="6" t="s">
        <v>6254</v>
      </c>
      <c r="G119" s="6" t="s">
        <v>6254</v>
      </c>
      <c r="H119" s="6" t="s">
        <v>6254</v>
      </c>
      <c r="I119" s="6" t="s">
        <v>6254</v>
      </c>
      <c r="J119" s="6" t="s">
        <v>6254</v>
      </c>
      <c r="K119" s="6" t="s">
        <v>6254</v>
      </c>
      <c r="L119" s="6" t="s">
        <v>6254</v>
      </c>
      <c r="M119" s="6" t="s">
        <v>6254</v>
      </c>
      <c r="N119" s="6" t="s">
        <v>6254</v>
      </c>
      <c r="O119" s="6" t="s">
        <v>6254</v>
      </c>
      <c r="P119" s="6">
        <v>17.537888009116099</v>
      </c>
      <c r="Q119" s="6" t="s">
        <v>6254</v>
      </c>
    </row>
    <row r="120" spans="1:17">
      <c r="A120" s="6" t="s">
        <v>1978</v>
      </c>
      <c r="B120" s="6" t="s">
        <v>1978</v>
      </c>
      <c r="C120" s="6" t="s">
        <v>6578</v>
      </c>
      <c r="D120" s="6" t="s">
        <v>6579</v>
      </c>
      <c r="E120" s="6" t="s">
        <v>6579</v>
      </c>
      <c r="F120" s="6">
        <v>17.338435548847301</v>
      </c>
      <c r="G120" s="6">
        <v>17.935235809083999</v>
      </c>
      <c r="H120" s="6">
        <v>17.5970741703686</v>
      </c>
      <c r="I120" s="6">
        <v>17.9708611228113</v>
      </c>
      <c r="J120" s="6">
        <v>17.480981396617199</v>
      </c>
      <c r="K120" s="6">
        <v>17.981467930528801</v>
      </c>
      <c r="L120" s="6">
        <v>17.1751744577987</v>
      </c>
      <c r="M120" s="6">
        <v>17.989838088892</v>
      </c>
      <c r="N120" s="6">
        <v>17.4194070135385</v>
      </c>
      <c r="O120" s="6">
        <v>17.708117760686999</v>
      </c>
      <c r="P120" s="6">
        <v>17.704742391523201</v>
      </c>
      <c r="Q120" s="6">
        <v>17.588388112405301</v>
      </c>
    </row>
    <row r="121" spans="1:17">
      <c r="A121" s="6" t="s">
        <v>6580</v>
      </c>
      <c r="B121" s="6" t="s">
        <v>6581</v>
      </c>
      <c r="C121" s="6" t="s">
        <v>6582</v>
      </c>
      <c r="D121" s="6" t="s">
        <v>6583</v>
      </c>
      <c r="E121" s="6" t="s">
        <v>6584</v>
      </c>
      <c r="F121" s="6">
        <v>17.2977883904001</v>
      </c>
      <c r="G121" s="6">
        <v>17.7832407012754</v>
      </c>
      <c r="H121" s="6">
        <v>17.687136294628399</v>
      </c>
      <c r="I121" s="6">
        <v>17.258793222064</v>
      </c>
      <c r="J121" s="6">
        <v>17.033988362463301</v>
      </c>
      <c r="K121" s="6">
        <v>17.437808097319699</v>
      </c>
      <c r="L121" s="6">
        <v>17.383196427342899</v>
      </c>
      <c r="M121" s="6">
        <v>17.782201721755801</v>
      </c>
      <c r="N121" s="6">
        <v>17.811179553127001</v>
      </c>
      <c r="O121" s="6">
        <v>17.798515949672399</v>
      </c>
      <c r="P121" s="6">
        <v>17.338259551431999</v>
      </c>
      <c r="Q121" s="6">
        <v>17.892990643365099</v>
      </c>
    </row>
    <row r="122" spans="1:17">
      <c r="A122" s="6" t="s">
        <v>6585</v>
      </c>
      <c r="B122" s="6" t="s">
        <v>6585</v>
      </c>
      <c r="C122" s="6" t="s">
        <v>6586</v>
      </c>
      <c r="D122" s="6" t="s">
        <v>6587</v>
      </c>
      <c r="E122" s="6" t="s">
        <v>6587</v>
      </c>
      <c r="F122" s="6">
        <v>16.523224659598299</v>
      </c>
      <c r="G122" s="6">
        <v>17.479096839513598</v>
      </c>
      <c r="H122" s="6">
        <v>17.383641672755701</v>
      </c>
      <c r="I122" s="6">
        <v>17.457411309620699</v>
      </c>
      <c r="J122" s="6">
        <v>17.268039271750901</v>
      </c>
      <c r="K122" s="6">
        <v>17.410227982563701</v>
      </c>
      <c r="L122" s="6">
        <v>17.396989766774599</v>
      </c>
      <c r="M122" s="6">
        <v>18.144596814244299</v>
      </c>
      <c r="N122" s="6">
        <v>17.7714339259804</v>
      </c>
      <c r="O122" s="6">
        <v>17.7460812647799</v>
      </c>
      <c r="P122" s="6" t="s">
        <v>6254</v>
      </c>
      <c r="Q122" s="6">
        <v>17.106546331792099</v>
      </c>
    </row>
    <row r="123" spans="1:17">
      <c r="A123" s="6" t="s">
        <v>6588</v>
      </c>
      <c r="B123" s="6" t="s">
        <v>6588</v>
      </c>
      <c r="C123" s="6" t="s">
        <v>6589</v>
      </c>
      <c r="D123" s="6" t="s">
        <v>6590</v>
      </c>
      <c r="E123" s="6" t="s">
        <v>6590</v>
      </c>
      <c r="F123" s="6" t="s">
        <v>6254</v>
      </c>
      <c r="G123" s="6">
        <v>15.0263020214683</v>
      </c>
      <c r="H123" s="6">
        <v>17.210946503146801</v>
      </c>
      <c r="I123" s="6">
        <v>16.5024021698543</v>
      </c>
      <c r="J123" s="6">
        <v>17.607330329431299</v>
      </c>
      <c r="K123" s="6">
        <v>16.066939017012</v>
      </c>
      <c r="L123" s="6">
        <v>17.5257481907067</v>
      </c>
      <c r="M123" s="6">
        <v>16.6869393920386</v>
      </c>
      <c r="N123" s="6">
        <v>15.9619605170566</v>
      </c>
      <c r="O123" s="6">
        <v>17.5810535918006</v>
      </c>
      <c r="P123" s="6">
        <v>17.2278337821432</v>
      </c>
      <c r="Q123" s="6">
        <v>17.9834510810777</v>
      </c>
    </row>
    <row r="124" spans="1:17">
      <c r="A124" s="6" t="s">
        <v>6591</v>
      </c>
      <c r="B124" s="6" t="s">
        <v>6592</v>
      </c>
      <c r="C124" s="6" t="s">
        <v>6593</v>
      </c>
      <c r="D124" s="6" t="s">
        <v>6594</v>
      </c>
      <c r="E124" s="6" t="s">
        <v>6595</v>
      </c>
      <c r="F124" s="6">
        <v>17.519222049960501</v>
      </c>
      <c r="G124" s="6">
        <v>17.515258689778001</v>
      </c>
      <c r="H124" s="6">
        <v>17.215398214492101</v>
      </c>
      <c r="I124" s="6">
        <v>17.414400088633599</v>
      </c>
      <c r="J124" s="6">
        <v>17.5716474649569</v>
      </c>
      <c r="K124" s="6">
        <v>18.4070003765293</v>
      </c>
      <c r="L124" s="6">
        <v>16.0797562079089</v>
      </c>
      <c r="M124" s="6">
        <v>17.882932812021799</v>
      </c>
      <c r="N124" s="6">
        <v>17.2155113214836</v>
      </c>
      <c r="O124" s="6">
        <v>17.920566972657301</v>
      </c>
      <c r="P124" s="6">
        <v>17.2962597470259</v>
      </c>
      <c r="Q124" s="6">
        <v>17.654199423451001</v>
      </c>
    </row>
    <row r="125" spans="1:17">
      <c r="A125" s="6" t="s">
        <v>80</v>
      </c>
      <c r="B125" s="6" t="s">
        <v>80</v>
      </c>
      <c r="C125" s="6" t="s">
        <v>6596</v>
      </c>
      <c r="D125" s="6" t="s">
        <v>6597</v>
      </c>
      <c r="E125" s="6" t="s">
        <v>6597</v>
      </c>
      <c r="F125" s="6">
        <v>16.743711935750301</v>
      </c>
      <c r="G125" s="6">
        <v>17.586608950351099</v>
      </c>
      <c r="H125" s="6">
        <v>17.435146041442</v>
      </c>
      <c r="I125" s="6">
        <v>17.767887549329402</v>
      </c>
      <c r="J125" s="6">
        <v>17.734811124530498</v>
      </c>
      <c r="K125" s="6">
        <v>17.857508270322199</v>
      </c>
      <c r="L125" s="6">
        <v>17.403087204492198</v>
      </c>
      <c r="M125" s="6">
        <v>18.1649509893337</v>
      </c>
      <c r="N125" s="6">
        <v>17.339637824435599</v>
      </c>
      <c r="O125" s="6">
        <v>17.719601876060899</v>
      </c>
      <c r="P125" s="6">
        <v>17.680215839917</v>
      </c>
      <c r="Q125" s="6">
        <v>17.266829487968899</v>
      </c>
    </row>
    <row r="126" spans="1:17">
      <c r="A126" s="6" t="s">
        <v>724</v>
      </c>
      <c r="B126" s="6" t="s">
        <v>724</v>
      </c>
      <c r="C126" s="6" t="s">
        <v>6598</v>
      </c>
      <c r="D126" s="6" t="s">
        <v>6599</v>
      </c>
      <c r="E126" s="6" t="s">
        <v>6599</v>
      </c>
      <c r="F126" s="6">
        <v>17.847586319273301</v>
      </c>
      <c r="G126" s="6">
        <v>18.0702780294699</v>
      </c>
      <c r="H126" s="6">
        <v>18.247372696639999</v>
      </c>
      <c r="I126" s="6">
        <v>15.583925685398301</v>
      </c>
      <c r="J126" s="6">
        <v>18.5782682708663</v>
      </c>
      <c r="K126" s="6">
        <v>17.0881294511167</v>
      </c>
      <c r="L126" s="6">
        <v>17.1650254049691</v>
      </c>
      <c r="M126" s="6">
        <v>17.8283788869117</v>
      </c>
      <c r="N126" s="6">
        <v>17.417763584842799</v>
      </c>
      <c r="O126" s="6">
        <v>17.990693819278899</v>
      </c>
      <c r="P126" s="6">
        <v>17.423653278082799</v>
      </c>
      <c r="Q126" s="6">
        <v>18.1191301347639</v>
      </c>
    </row>
    <row r="127" spans="1:17">
      <c r="A127" s="6" t="s">
        <v>49</v>
      </c>
      <c r="B127" s="6" t="s">
        <v>49</v>
      </c>
      <c r="C127" s="6" t="s">
        <v>6600</v>
      </c>
      <c r="D127" s="6" t="s">
        <v>6601</v>
      </c>
      <c r="E127" s="6" t="s">
        <v>6601</v>
      </c>
      <c r="F127" s="6">
        <v>17.802350352008201</v>
      </c>
      <c r="G127" s="6">
        <v>17.1385549379082</v>
      </c>
      <c r="H127" s="6">
        <v>17.474788967158499</v>
      </c>
      <c r="I127" s="6">
        <v>18.0825291502554</v>
      </c>
      <c r="J127" s="6">
        <v>16.869782300904198</v>
      </c>
      <c r="K127" s="6">
        <v>17.301989100365901</v>
      </c>
      <c r="L127" s="6">
        <v>17.848211766422899</v>
      </c>
      <c r="M127" s="6">
        <v>16.745585164737701</v>
      </c>
      <c r="N127" s="6">
        <v>17.065690931077999</v>
      </c>
      <c r="O127" s="6">
        <v>17.859038399005001</v>
      </c>
      <c r="P127" s="6">
        <v>17.9279694520528</v>
      </c>
      <c r="Q127" s="6">
        <v>16.256390964993098</v>
      </c>
    </row>
    <row r="128" spans="1:17">
      <c r="A128" s="6" t="s">
        <v>6602</v>
      </c>
      <c r="B128" s="6" t="s">
        <v>6602</v>
      </c>
      <c r="C128" s="6" t="s">
        <v>6603</v>
      </c>
      <c r="D128" s="6" t="s">
        <v>6604</v>
      </c>
      <c r="E128" s="6" t="s">
        <v>6604</v>
      </c>
      <c r="F128" s="6" t="s">
        <v>6254</v>
      </c>
      <c r="G128" s="6">
        <v>17.402429208051199</v>
      </c>
      <c r="H128" s="6">
        <v>17.812465567177899</v>
      </c>
      <c r="I128" s="6">
        <v>18.516065532261798</v>
      </c>
      <c r="J128" s="6">
        <v>16.4504225367603</v>
      </c>
      <c r="K128" s="6">
        <v>17.733771278697901</v>
      </c>
      <c r="L128" s="6">
        <v>17.269048182238802</v>
      </c>
      <c r="M128" s="6">
        <v>16.3000490501576</v>
      </c>
      <c r="N128" s="6">
        <v>16.414101961364398</v>
      </c>
      <c r="O128" s="6">
        <v>18.359862480671499</v>
      </c>
      <c r="P128" s="6">
        <v>17.1749442597125</v>
      </c>
      <c r="Q128" s="6">
        <v>16.315735338513701</v>
      </c>
    </row>
    <row r="129" spans="1:17">
      <c r="A129" s="6" t="s">
        <v>6605</v>
      </c>
      <c r="B129" s="6" t="s">
        <v>6605</v>
      </c>
      <c r="C129" s="6" t="s">
        <v>6605</v>
      </c>
      <c r="D129" s="6" t="s">
        <v>6605</v>
      </c>
      <c r="E129" s="6" t="s">
        <v>6605</v>
      </c>
      <c r="F129" s="6">
        <v>16.541221419716599</v>
      </c>
      <c r="G129" s="6" t="s">
        <v>6254</v>
      </c>
      <c r="H129" s="6">
        <v>18.064765905981499</v>
      </c>
      <c r="I129" s="6">
        <v>16.4865775831809</v>
      </c>
      <c r="J129" s="6">
        <v>17.1635386672626</v>
      </c>
      <c r="K129" s="6">
        <v>16.185613302567699</v>
      </c>
      <c r="L129" s="6">
        <v>16.773114251121001</v>
      </c>
      <c r="M129" s="6">
        <v>16.6372236847971</v>
      </c>
      <c r="N129" s="6">
        <v>17.417798994170901</v>
      </c>
      <c r="O129" s="6">
        <v>16.946911467778399</v>
      </c>
      <c r="P129" s="6" t="s">
        <v>6254</v>
      </c>
      <c r="Q129" s="6">
        <v>17.691162142789398</v>
      </c>
    </row>
    <row r="130" spans="1:17">
      <c r="A130" s="6" t="s">
        <v>6606</v>
      </c>
      <c r="B130" s="6" t="s">
        <v>6607</v>
      </c>
      <c r="C130" s="6" t="s">
        <v>6608</v>
      </c>
      <c r="D130" s="6" t="s">
        <v>6609</v>
      </c>
      <c r="E130" s="6" t="s">
        <v>6610</v>
      </c>
      <c r="F130" s="6">
        <v>17.5518172506996</v>
      </c>
      <c r="G130" s="6">
        <v>17.528765994691199</v>
      </c>
      <c r="H130" s="6">
        <v>17.265869631898301</v>
      </c>
      <c r="I130" s="6">
        <v>17.963782178238802</v>
      </c>
      <c r="J130" s="6">
        <v>17.043737890171801</v>
      </c>
      <c r="K130" s="6">
        <v>17.739659221727901</v>
      </c>
      <c r="L130" s="6">
        <v>17.5860343716732</v>
      </c>
      <c r="M130" s="6">
        <v>17.486047519573098</v>
      </c>
      <c r="N130" s="6">
        <v>17.772558764551</v>
      </c>
      <c r="O130" s="6">
        <v>17.553399620885799</v>
      </c>
      <c r="P130" s="6">
        <v>17.576860793375001</v>
      </c>
      <c r="Q130" s="6">
        <v>16.446356320101099</v>
      </c>
    </row>
    <row r="131" spans="1:17">
      <c r="A131" s="6" t="s">
        <v>6611</v>
      </c>
      <c r="B131" s="6" t="s">
        <v>6611</v>
      </c>
      <c r="C131" s="6" t="s">
        <v>6612</v>
      </c>
      <c r="D131" s="6" t="s">
        <v>6613</v>
      </c>
      <c r="E131" s="6" t="s">
        <v>6613</v>
      </c>
      <c r="F131" s="6">
        <v>18.001801470689799</v>
      </c>
      <c r="G131" s="6">
        <v>17.139938707295698</v>
      </c>
      <c r="H131" s="6">
        <v>17.496686914146299</v>
      </c>
      <c r="I131" s="6">
        <v>17.880669014511302</v>
      </c>
      <c r="J131" s="6">
        <v>16.709894555796001</v>
      </c>
      <c r="K131" s="6">
        <v>17.2763397835738</v>
      </c>
      <c r="L131" s="6">
        <v>18.025041652705799</v>
      </c>
      <c r="M131" s="6">
        <v>16.317739193273699</v>
      </c>
      <c r="N131" s="6">
        <v>16.7098739417101</v>
      </c>
      <c r="O131" s="6">
        <v>17.902497450175201</v>
      </c>
      <c r="P131" s="6">
        <v>17.603000700000798</v>
      </c>
      <c r="Q131" s="6">
        <v>16.755446341816199</v>
      </c>
    </row>
    <row r="132" spans="1:17">
      <c r="A132" s="6" t="s">
        <v>98</v>
      </c>
      <c r="B132" s="6" t="s">
        <v>98</v>
      </c>
      <c r="C132" s="6" t="s">
        <v>6614</v>
      </c>
      <c r="D132" s="6" t="s">
        <v>6615</v>
      </c>
      <c r="E132" s="6" t="s">
        <v>6615</v>
      </c>
      <c r="F132" s="6">
        <v>17.610842726146998</v>
      </c>
      <c r="G132" s="6">
        <v>17.242570440060302</v>
      </c>
      <c r="H132" s="6">
        <v>17.479217391863902</v>
      </c>
      <c r="I132" s="6">
        <v>17.905344578203501</v>
      </c>
      <c r="J132" s="6">
        <v>16.761707987213899</v>
      </c>
      <c r="K132" s="6">
        <v>17.495797650651198</v>
      </c>
      <c r="L132" s="6">
        <v>17.923844508159</v>
      </c>
      <c r="M132" s="6">
        <v>16.576055626842798</v>
      </c>
      <c r="N132" s="6">
        <v>17.0777700969089</v>
      </c>
      <c r="O132" s="6">
        <v>17.729265922181298</v>
      </c>
      <c r="P132" s="6">
        <v>17.586566204217799</v>
      </c>
      <c r="Q132" s="6">
        <v>16.237812446508599</v>
      </c>
    </row>
    <row r="133" spans="1:17">
      <c r="A133" s="6" t="s">
        <v>6616</v>
      </c>
      <c r="B133" s="6" t="s">
        <v>6616</v>
      </c>
      <c r="C133" s="6" t="s">
        <v>6617</v>
      </c>
      <c r="D133" s="6" t="s">
        <v>6618</v>
      </c>
      <c r="E133" s="6" t="s">
        <v>6618</v>
      </c>
      <c r="F133" s="6" t="s">
        <v>6254</v>
      </c>
      <c r="G133" s="6">
        <v>17.2315570305731</v>
      </c>
      <c r="H133" s="6">
        <v>17.080954748402199</v>
      </c>
      <c r="I133" s="6" t="s">
        <v>6254</v>
      </c>
      <c r="J133" s="6">
        <v>17.6841164602329</v>
      </c>
      <c r="K133" s="6">
        <v>15.525161752039899</v>
      </c>
      <c r="L133" s="6">
        <v>17.385875898482102</v>
      </c>
      <c r="M133" s="6">
        <v>17.741545226149299</v>
      </c>
      <c r="N133" s="6">
        <v>17.2417939192738</v>
      </c>
      <c r="O133" s="6">
        <v>17.264936495618301</v>
      </c>
      <c r="P133" s="6" t="s">
        <v>6254</v>
      </c>
      <c r="Q133" s="6" t="s">
        <v>6254</v>
      </c>
    </row>
    <row r="134" spans="1:17">
      <c r="A134" s="6" t="s">
        <v>6619</v>
      </c>
      <c r="B134" s="6" t="s">
        <v>6620</v>
      </c>
      <c r="C134" s="6" t="s">
        <v>6621</v>
      </c>
      <c r="D134" s="6" t="s">
        <v>6622</v>
      </c>
      <c r="E134" s="6" t="s">
        <v>6623</v>
      </c>
      <c r="F134" s="6">
        <v>17.8552738613316</v>
      </c>
      <c r="G134" s="6">
        <v>17.467651087957702</v>
      </c>
      <c r="H134" s="6">
        <v>17.4059127631572</v>
      </c>
      <c r="I134" s="6">
        <v>17.982157383647699</v>
      </c>
      <c r="J134" s="6">
        <v>16.584845067205901</v>
      </c>
      <c r="K134" s="6">
        <v>17.091102181692801</v>
      </c>
      <c r="L134" s="6" t="s">
        <v>6254</v>
      </c>
      <c r="M134" s="6">
        <v>16.378584498942399</v>
      </c>
      <c r="N134" s="6">
        <v>17.909070448667201</v>
      </c>
      <c r="O134" s="6">
        <v>17.680446782967199</v>
      </c>
      <c r="P134" s="6">
        <v>17.597767746637199</v>
      </c>
      <c r="Q134" s="6" t="s">
        <v>6254</v>
      </c>
    </row>
    <row r="135" spans="1:17">
      <c r="A135" s="6" t="s">
        <v>6624</v>
      </c>
      <c r="B135" s="6" t="s">
        <v>6625</v>
      </c>
      <c r="C135" s="6" t="s">
        <v>6626</v>
      </c>
      <c r="D135" s="6" t="s">
        <v>6627</v>
      </c>
      <c r="E135" s="6" t="s">
        <v>6628</v>
      </c>
      <c r="F135" s="6">
        <v>17.925097249592099</v>
      </c>
      <c r="G135" s="6">
        <v>17.157171404645801</v>
      </c>
      <c r="H135" s="6">
        <v>17.5674130633349</v>
      </c>
      <c r="I135" s="6">
        <v>18.003539186770599</v>
      </c>
      <c r="J135" s="6">
        <v>16.7555076353717</v>
      </c>
      <c r="K135" s="6">
        <v>17.221423646670399</v>
      </c>
      <c r="L135" s="6">
        <v>17.995837444240099</v>
      </c>
      <c r="M135" s="6">
        <v>16.5955857296284</v>
      </c>
      <c r="N135" s="6">
        <v>17.3707495049266</v>
      </c>
      <c r="O135" s="6">
        <v>17.737515503897502</v>
      </c>
      <c r="P135" s="6">
        <v>17.6046805451615</v>
      </c>
      <c r="Q135" s="6">
        <v>16.2378615547631</v>
      </c>
    </row>
    <row r="136" spans="1:17">
      <c r="A136" s="6" t="s">
        <v>213</v>
      </c>
      <c r="B136" s="6" t="s">
        <v>213</v>
      </c>
      <c r="C136" s="6" t="s">
        <v>6629</v>
      </c>
      <c r="D136" s="6" t="s">
        <v>6630</v>
      </c>
      <c r="E136" s="6" t="s">
        <v>6630</v>
      </c>
      <c r="F136" s="6">
        <v>17.796415565917599</v>
      </c>
      <c r="G136" s="6">
        <v>17.1433884784539</v>
      </c>
      <c r="H136" s="6">
        <v>17.392525493729799</v>
      </c>
      <c r="I136" s="6">
        <v>18.076215812439798</v>
      </c>
      <c r="J136" s="6">
        <v>16.729048864550599</v>
      </c>
      <c r="K136" s="6">
        <v>17.119989792824299</v>
      </c>
      <c r="L136" s="6">
        <v>17.786301334129998</v>
      </c>
      <c r="M136" s="6">
        <v>16.633559914730299</v>
      </c>
      <c r="N136" s="6">
        <v>17.149355331441601</v>
      </c>
      <c r="O136" s="6">
        <v>17.860345506203501</v>
      </c>
      <c r="P136" s="6">
        <v>17.592729560131399</v>
      </c>
      <c r="Q136" s="6">
        <v>15.995574218111599</v>
      </c>
    </row>
    <row r="137" spans="1:17">
      <c r="A137" s="6" t="s">
        <v>1082</v>
      </c>
      <c r="B137" s="6" t="s">
        <v>1082</v>
      </c>
      <c r="C137" s="6" t="s">
        <v>6631</v>
      </c>
      <c r="D137" s="6" t="s">
        <v>6632</v>
      </c>
      <c r="E137" s="6" t="s">
        <v>6632</v>
      </c>
      <c r="F137" s="6">
        <v>17.518176253957702</v>
      </c>
      <c r="G137" s="6">
        <v>17.318036624856099</v>
      </c>
      <c r="H137" s="6">
        <v>17.416906224553699</v>
      </c>
      <c r="I137" s="6">
        <v>18.3244551059264</v>
      </c>
      <c r="J137" s="6">
        <v>17.062199133879702</v>
      </c>
      <c r="K137" s="6">
        <v>17.481454437099401</v>
      </c>
      <c r="L137" s="6">
        <v>18.1351986602767</v>
      </c>
      <c r="M137" s="6">
        <v>16.929424076643699</v>
      </c>
      <c r="N137" s="6">
        <v>17.098683750679101</v>
      </c>
      <c r="O137" s="6">
        <v>17.221200528486001</v>
      </c>
      <c r="P137" s="6">
        <v>17.4352841329721</v>
      </c>
      <c r="Q137" s="6">
        <v>16.244524740177699</v>
      </c>
    </row>
    <row r="138" spans="1:17">
      <c r="A138" s="6" t="s">
        <v>124</v>
      </c>
      <c r="B138" s="6" t="s">
        <v>124</v>
      </c>
      <c r="C138" s="6" t="s">
        <v>6633</v>
      </c>
      <c r="D138" s="6" t="s">
        <v>6634</v>
      </c>
      <c r="E138" s="6" t="s">
        <v>6634</v>
      </c>
      <c r="F138" s="6">
        <v>17.512055227910601</v>
      </c>
      <c r="G138" s="6">
        <v>17.265763913671702</v>
      </c>
      <c r="H138" s="6">
        <v>17.298504113396099</v>
      </c>
      <c r="I138" s="6">
        <v>17.968753722894199</v>
      </c>
      <c r="J138" s="6">
        <v>16.625480891956698</v>
      </c>
      <c r="K138" s="6">
        <v>17.313217445909299</v>
      </c>
      <c r="L138" s="6">
        <v>17.946265756524401</v>
      </c>
      <c r="M138" s="6">
        <v>16.552293632463901</v>
      </c>
      <c r="N138" s="6">
        <v>16.7155401090067</v>
      </c>
      <c r="O138" s="6">
        <v>17.643710660610001</v>
      </c>
      <c r="P138" s="6">
        <v>17.391962883242499</v>
      </c>
      <c r="Q138" s="6">
        <v>16.188488259882501</v>
      </c>
    </row>
    <row r="139" spans="1:17">
      <c r="A139" s="6" t="s">
        <v>306</v>
      </c>
      <c r="B139" s="6" t="s">
        <v>306</v>
      </c>
      <c r="C139" s="6" t="s">
        <v>6635</v>
      </c>
      <c r="D139" s="6" t="s">
        <v>6636</v>
      </c>
      <c r="E139" s="6" t="s">
        <v>6636</v>
      </c>
      <c r="F139" s="6">
        <v>16.112749674830798</v>
      </c>
      <c r="G139" s="6">
        <v>18.125547843616602</v>
      </c>
      <c r="H139" s="6">
        <v>17.926154132546799</v>
      </c>
      <c r="I139" s="6">
        <v>16.460008180930501</v>
      </c>
      <c r="J139" s="6">
        <v>17.773274527019201</v>
      </c>
      <c r="K139" s="6">
        <v>17.3010341312701</v>
      </c>
      <c r="L139" s="6">
        <v>16.870534926774901</v>
      </c>
      <c r="M139" s="6">
        <v>17.840956492367098</v>
      </c>
      <c r="N139" s="6">
        <v>17.2028491431399</v>
      </c>
      <c r="O139" s="6">
        <v>17.225588860942398</v>
      </c>
      <c r="P139" s="6">
        <v>17.036213884101599</v>
      </c>
      <c r="Q139" s="6">
        <v>17.435545054982398</v>
      </c>
    </row>
    <row r="140" spans="1:17">
      <c r="A140" s="6" t="s">
        <v>313</v>
      </c>
      <c r="B140" s="6" t="s">
        <v>313</v>
      </c>
      <c r="C140" s="6" t="s">
        <v>6637</v>
      </c>
      <c r="D140" s="6" t="s">
        <v>6638</v>
      </c>
      <c r="E140" s="6" t="s">
        <v>6638</v>
      </c>
      <c r="F140" s="6">
        <v>17.789440399281499</v>
      </c>
      <c r="G140" s="6">
        <v>17.220129549572199</v>
      </c>
      <c r="H140" s="6">
        <v>17.3858067175751</v>
      </c>
      <c r="I140" s="6">
        <v>17.940657180927399</v>
      </c>
      <c r="J140" s="6">
        <v>16.778475749555302</v>
      </c>
      <c r="K140" s="6">
        <v>17.469841154139498</v>
      </c>
      <c r="L140" s="6">
        <v>17.8555046887457</v>
      </c>
      <c r="M140" s="6">
        <v>16.661135626014499</v>
      </c>
      <c r="N140" s="6">
        <v>17.088381181147799</v>
      </c>
      <c r="O140" s="6">
        <v>17.380500663999602</v>
      </c>
      <c r="P140" s="6">
        <v>17.376066429654699</v>
      </c>
      <c r="Q140" s="6">
        <v>15.992377572707101</v>
      </c>
    </row>
    <row r="141" spans="1:17">
      <c r="A141" s="6" t="s">
        <v>6639</v>
      </c>
      <c r="B141" s="6" t="s">
        <v>6640</v>
      </c>
      <c r="C141" s="6" t="s">
        <v>6641</v>
      </c>
      <c r="D141" s="6" t="s">
        <v>6642</v>
      </c>
      <c r="E141" s="6" t="s">
        <v>6643</v>
      </c>
      <c r="F141" s="6">
        <v>16.483771034837801</v>
      </c>
      <c r="G141" s="6">
        <v>17.2220231917868</v>
      </c>
      <c r="H141" s="6">
        <v>17.907164180511199</v>
      </c>
      <c r="I141" s="6">
        <v>17.198202575846601</v>
      </c>
      <c r="J141" s="6">
        <v>16.911993962324299</v>
      </c>
      <c r="K141" s="6">
        <v>16.588902852783299</v>
      </c>
      <c r="L141" s="6">
        <v>17.6134721090284</v>
      </c>
      <c r="M141" s="6">
        <v>17.048952574668501</v>
      </c>
      <c r="N141" s="6">
        <v>18.195949755254901</v>
      </c>
      <c r="O141" s="6">
        <v>17.2764318069575</v>
      </c>
      <c r="P141" s="6">
        <v>17.007739753935802</v>
      </c>
      <c r="Q141" s="6">
        <v>16.248466671341198</v>
      </c>
    </row>
    <row r="142" spans="1:17">
      <c r="A142" s="6" t="s">
        <v>858</v>
      </c>
      <c r="B142" s="6" t="s">
        <v>858</v>
      </c>
      <c r="C142" s="6" t="s">
        <v>6644</v>
      </c>
      <c r="D142" s="6" t="s">
        <v>6645</v>
      </c>
      <c r="E142" s="6" t="s">
        <v>6645</v>
      </c>
      <c r="F142" s="6">
        <v>17.792331876794801</v>
      </c>
      <c r="G142" s="6">
        <v>17.0876527583968</v>
      </c>
      <c r="H142" s="6">
        <v>17.2569777965331</v>
      </c>
      <c r="I142" s="6">
        <v>17.858098673975999</v>
      </c>
      <c r="J142" s="6">
        <v>16.8351377235165</v>
      </c>
      <c r="K142" s="6">
        <v>17.2294682574646</v>
      </c>
      <c r="L142" s="6">
        <v>17.8717691373399</v>
      </c>
      <c r="M142" s="6">
        <v>16.600222974663001</v>
      </c>
      <c r="N142" s="6">
        <v>16.8481532714225</v>
      </c>
      <c r="O142" s="6">
        <v>17.453422799029202</v>
      </c>
      <c r="P142" s="6">
        <v>17.5268248662647</v>
      </c>
      <c r="Q142" s="6">
        <v>16.430107348681801</v>
      </c>
    </row>
    <row r="143" spans="1:17">
      <c r="A143" s="6" t="s">
        <v>6646</v>
      </c>
      <c r="B143" s="6" t="s">
        <v>6646</v>
      </c>
      <c r="C143" s="6" t="s">
        <v>6647</v>
      </c>
      <c r="D143" s="6" t="s">
        <v>6648</v>
      </c>
      <c r="E143" s="6" t="s">
        <v>6648</v>
      </c>
      <c r="F143" s="6">
        <v>17.157524890326499</v>
      </c>
      <c r="G143" s="6">
        <v>17.7940880709561</v>
      </c>
      <c r="H143" s="6">
        <v>17.5421289918072</v>
      </c>
      <c r="I143" s="6">
        <v>16.337510506387702</v>
      </c>
      <c r="J143" s="6">
        <v>17.282270454906001</v>
      </c>
      <c r="K143" s="6">
        <v>16.3918643757988</v>
      </c>
      <c r="L143" s="6">
        <v>17.309847087553599</v>
      </c>
      <c r="M143" s="6">
        <v>18.283435952195301</v>
      </c>
      <c r="N143" s="6">
        <v>18.873014180517</v>
      </c>
      <c r="O143" s="6">
        <v>17.552977915749501</v>
      </c>
      <c r="P143" s="6">
        <v>17.186997218885299</v>
      </c>
      <c r="Q143" s="6" t="s">
        <v>6254</v>
      </c>
    </row>
    <row r="144" spans="1:17">
      <c r="A144" s="6" t="s">
        <v>6649</v>
      </c>
      <c r="B144" s="6" t="s">
        <v>6649</v>
      </c>
      <c r="C144" s="6" t="s">
        <v>6650</v>
      </c>
      <c r="D144" s="6" t="s">
        <v>6651</v>
      </c>
      <c r="E144" s="6" t="s">
        <v>6651</v>
      </c>
      <c r="F144" s="6">
        <v>17.854910463571201</v>
      </c>
      <c r="G144" s="6">
        <v>17.4184612008067</v>
      </c>
      <c r="H144" s="6">
        <v>17.3074025377095</v>
      </c>
      <c r="I144" s="6">
        <v>18.206673129105798</v>
      </c>
      <c r="J144" s="6">
        <v>17.091716591208598</v>
      </c>
      <c r="K144" s="6">
        <v>17.4737927414469</v>
      </c>
      <c r="L144" s="6">
        <v>17.969018386378501</v>
      </c>
      <c r="M144" s="6">
        <v>16.321606843057001</v>
      </c>
      <c r="N144" s="6">
        <v>16.800099336231799</v>
      </c>
      <c r="O144" s="6">
        <v>16.918847322069901</v>
      </c>
      <c r="P144" s="6">
        <v>16.600418493753502</v>
      </c>
      <c r="Q144" s="6">
        <v>16.5964254496315</v>
      </c>
    </row>
    <row r="145" spans="1:17">
      <c r="A145" s="6" t="s">
        <v>144</v>
      </c>
      <c r="B145" s="6" t="s">
        <v>144</v>
      </c>
      <c r="C145" s="6" t="s">
        <v>6652</v>
      </c>
      <c r="D145" s="6" t="s">
        <v>6653</v>
      </c>
      <c r="E145" s="6" t="s">
        <v>6653</v>
      </c>
      <c r="F145" s="6">
        <v>17.599096060608201</v>
      </c>
      <c r="G145" s="6">
        <v>16.949207581668801</v>
      </c>
      <c r="H145" s="6">
        <v>17.305747281403001</v>
      </c>
      <c r="I145" s="6">
        <v>18.0404208649583</v>
      </c>
      <c r="J145" s="6">
        <v>16.495093287089698</v>
      </c>
      <c r="K145" s="6">
        <v>16.772002132039201</v>
      </c>
      <c r="L145" s="6">
        <v>17.994520855329899</v>
      </c>
      <c r="M145" s="6">
        <v>16.1938050913596</v>
      </c>
      <c r="N145" s="6">
        <v>17.020010074287999</v>
      </c>
      <c r="O145" s="6">
        <v>17.453406268099101</v>
      </c>
      <c r="P145" s="6">
        <v>16.729857827298201</v>
      </c>
      <c r="Q145" s="6">
        <v>16.126265651102699</v>
      </c>
    </row>
    <row r="146" spans="1:17">
      <c r="A146" s="6" t="s">
        <v>6654</v>
      </c>
      <c r="B146" s="6" t="s">
        <v>6655</v>
      </c>
      <c r="C146" s="6" t="s">
        <v>6656</v>
      </c>
      <c r="D146" s="6" t="s">
        <v>6657</v>
      </c>
      <c r="E146" s="6" t="s">
        <v>6658</v>
      </c>
      <c r="F146" s="6">
        <v>16.425850821170702</v>
      </c>
      <c r="G146" s="6">
        <v>14.844113935311899</v>
      </c>
      <c r="H146" s="6">
        <v>19.0259660056029</v>
      </c>
      <c r="I146" s="6">
        <v>19.859588131730099</v>
      </c>
      <c r="J146" s="6">
        <v>19.209921944693601</v>
      </c>
      <c r="K146" s="6">
        <v>19.173425407820702</v>
      </c>
      <c r="L146" s="6">
        <v>18.637493766328401</v>
      </c>
      <c r="M146" s="6">
        <v>19.271512715807098</v>
      </c>
      <c r="N146" s="6">
        <v>18.268092213158202</v>
      </c>
      <c r="O146" s="6">
        <v>16.8402573706752</v>
      </c>
      <c r="P146" s="6">
        <v>17.128849775357398</v>
      </c>
      <c r="Q146" s="6">
        <v>16.598612963538798</v>
      </c>
    </row>
    <row r="147" spans="1:17">
      <c r="A147" s="6" t="s">
        <v>6659</v>
      </c>
      <c r="B147" s="6" t="s">
        <v>6659</v>
      </c>
      <c r="C147" s="6" t="s">
        <v>6660</v>
      </c>
      <c r="D147" s="6" t="s">
        <v>6661</v>
      </c>
      <c r="E147" s="6" t="s">
        <v>6661</v>
      </c>
      <c r="F147" s="6">
        <v>18.242356116713701</v>
      </c>
      <c r="G147" s="6">
        <v>17.379694827931601</v>
      </c>
      <c r="H147" s="6">
        <v>16.745877814885201</v>
      </c>
      <c r="I147" s="6">
        <v>18.429261650404399</v>
      </c>
      <c r="J147" s="6">
        <v>16.326205484138701</v>
      </c>
      <c r="K147" s="6">
        <v>17.784411992027799</v>
      </c>
      <c r="L147" s="6">
        <v>17.663873069603302</v>
      </c>
      <c r="M147" s="6" t="s">
        <v>6254</v>
      </c>
      <c r="N147" s="6">
        <v>16.720174099078001</v>
      </c>
      <c r="O147" s="6" t="s">
        <v>6254</v>
      </c>
      <c r="P147" s="6">
        <v>17.166698187911599</v>
      </c>
      <c r="Q147" s="6">
        <v>15.619112987477999</v>
      </c>
    </row>
    <row r="148" spans="1:17">
      <c r="A148" s="6" t="s">
        <v>1256</v>
      </c>
      <c r="B148" s="6" t="s">
        <v>1256</v>
      </c>
      <c r="C148" s="6" t="s">
        <v>6662</v>
      </c>
      <c r="D148" s="6" t="s">
        <v>6663</v>
      </c>
      <c r="E148" s="6" t="s">
        <v>6663</v>
      </c>
      <c r="F148" s="6">
        <v>14.8111612988563</v>
      </c>
      <c r="G148" s="6">
        <v>16.212343578022399</v>
      </c>
      <c r="H148" s="6">
        <v>16.9121532949056</v>
      </c>
      <c r="I148" s="6">
        <v>18.403714240359601</v>
      </c>
      <c r="J148" s="6">
        <v>17.076636560570201</v>
      </c>
      <c r="K148" s="6">
        <v>18.1732477382619</v>
      </c>
      <c r="L148" s="6">
        <v>19.9018856261842</v>
      </c>
      <c r="M148" s="6">
        <v>17.449436193743299</v>
      </c>
      <c r="N148" s="6">
        <v>18.745652750384401</v>
      </c>
      <c r="O148" s="6">
        <v>16.5068189244355</v>
      </c>
      <c r="P148" s="6">
        <v>16.093433394221201</v>
      </c>
      <c r="Q148" s="6">
        <v>15.959602487073701</v>
      </c>
    </row>
    <row r="149" spans="1:17">
      <c r="A149" s="6" t="s">
        <v>3563</v>
      </c>
      <c r="B149" s="6" t="s">
        <v>3563</v>
      </c>
      <c r="C149" s="6" t="s">
        <v>6664</v>
      </c>
      <c r="D149" s="6" t="s">
        <v>6665</v>
      </c>
      <c r="E149" s="6" t="s">
        <v>6665</v>
      </c>
      <c r="F149" s="6">
        <v>15.5551070446454</v>
      </c>
      <c r="G149" s="6">
        <v>15.9388732985171</v>
      </c>
      <c r="H149" s="6">
        <v>17.9385577986565</v>
      </c>
      <c r="I149" s="6">
        <v>18.9461360436093</v>
      </c>
      <c r="J149" s="6">
        <v>17.157604473152599</v>
      </c>
      <c r="K149" s="6">
        <v>17.809851850617001</v>
      </c>
      <c r="L149" s="6">
        <v>18.853700111967498</v>
      </c>
      <c r="M149" s="6">
        <v>17.185657476301099</v>
      </c>
      <c r="N149" s="6">
        <v>17.557000707426901</v>
      </c>
      <c r="O149" s="6">
        <v>16.5437946127131</v>
      </c>
      <c r="P149" s="6">
        <v>16.318836171360999</v>
      </c>
      <c r="Q149" s="6">
        <v>15.7191362708962</v>
      </c>
    </row>
    <row r="150" spans="1:17">
      <c r="A150" s="6" t="s">
        <v>6666</v>
      </c>
      <c r="B150" s="6" t="s">
        <v>855</v>
      </c>
      <c r="C150" s="6" t="s">
        <v>6667</v>
      </c>
      <c r="D150" s="6" t="s">
        <v>6668</v>
      </c>
      <c r="E150" s="6" t="s">
        <v>6669</v>
      </c>
      <c r="F150" s="6">
        <v>18.529976091140799</v>
      </c>
      <c r="G150" s="6" t="s">
        <v>6254</v>
      </c>
      <c r="H150" s="6">
        <v>19.094691321026598</v>
      </c>
      <c r="I150" s="6">
        <v>18.582100576238201</v>
      </c>
      <c r="J150" s="6">
        <v>17.735132200698999</v>
      </c>
      <c r="K150" s="6">
        <v>18.318277478492</v>
      </c>
      <c r="L150" s="6">
        <v>18.996953661661198</v>
      </c>
      <c r="M150" s="6">
        <v>17.604019284487102</v>
      </c>
      <c r="N150" s="6">
        <v>17.664109632408898</v>
      </c>
      <c r="O150" s="6">
        <v>16.8178309875229</v>
      </c>
      <c r="P150" s="6">
        <v>17.338570993345201</v>
      </c>
      <c r="Q150" s="6">
        <v>15.3137848331677</v>
      </c>
    </row>
    <row r="151" spans="1:17">
      <c r="A151" s="6" t="s">
        <v>6670</v>
      </c>
      <c r="B151" s="6" t="s">
        <v>6670</v>
      </c>
      <c r="C151" s="6" t="s">
        <v>6671</v>
      </c>
      <c r="D151" s="6" t="s">
        <v>6672</v>
      </c>
      <c r="E151" s="6" t="s">
        <v>6672</v>
      </c>
      <c r="F151" s="6">
        <v>16.409568658512701</v>
      </c>
      <c r="G151" s="6">
        <v>17.328803800201499</v>
      </c>
      <c r="H151" s="6">
        <v>17.3448848530936</v>
      </c>
      <c r="I151" s="6">
        <v>16.2424284583808</v>
      </c>
      <c r="J151" s="6">
        <v>17.144709400852499</v>
      </c>
      <c r="K151" s="6">
        <v>16.0160096473717</v>
      </c>
      <c r="L151" s="6">
        <v>17.373634052641702</v>
      </c>
      <c r="M151" s="6">
        <v>16.8305219462016</v>
      </c>
      <c r="N151" s="6">
        <v>17.7512136694174</v>
      </c>
      <c r="O151" s="6">
        <v>17.754337437562</v>
      </c>
      <c r="P151" s="6">
        <v>17.123914747870199</v>
      </c>
      <c r="Q151" s="6">
        <v>17.104043493815499</v>
      </c>
    </row>
    <row r="152" spans="1:17">
      <c r="A152" s="6" t="s">
        <v>6673</v>
      </c>
      <c r="B152" s="6" t="s">
        <v>6673</v>
      </c>
      <c r="C152" s="6" t="s">
        <v>6674</v>
      </c>
      <c r="D152" s="6" t="s">
        <v>6675</v>
      </c>
      <c r="E152" s="6" t="s">
        <v>6675</v>
      </c>
      <c r="F152" s="6">
        <v>17.3821222560439</v>
      </c>
      <c r="G152" s="6">
        <v>16.345900232942402</v>
      </c>
      <c r="H152" s="6">
        <v>16.288808463220299</v>
      </c>
      <c r="I152" s="6">
        <v>16.627782993719698</v>
      </c>
      <c r="J152" s="6">
        <v>17.264738057100899</v>
      </c>
      <c r="K152" s="6">
        <v>16.0290999369848</v>
      </c>
      <c r="L152" s="6">
        <v>17.586802371090599</v>
      </c>
      <c r="M152" s="6">
        <v>17.817551191210502</v>
      </c>
      <c r="N152" s="6">
        <v>17.832885475443799</v>
      </c>
      <c r="O152" s="6">
        <v>18.127414695816</v>
      </c>
      <c r="P152" s="6">
        <v>17.278243875528901</v>
      </c>
      <c r="Q152" s="6">
        <v>16.5889897591817</v>
      </c>
    </row>
    <row r="153" spans="1:17">
      <c r="A153" s="6" t="s">
        <v>1567</v>
      </c>
      <c r="B153" s="6" t="s">
        <v>1567</v>
      </c>
      <c r="C153" s="6" t="s">
        <v>6676</v>
      </c>
      <c r="D153" s="6" t="s">
        <v>6677</v>
      </c>
      <c r="E153" s="6" t="s">
        <v>6677</v>
      </c>
      <c r="F153" s="6">
        <v>17.159764366879401</v>
      </c>
      <c r="G153" s="6">
        <v>17.9395520800405</v>
      </c>
      <c r="H153" s="6">
        <v>17.306367639240701</v>
      </c>
      <c r="I153" s="6">
        <v>17.969541344809802</v>
      </c>
      <c r="J153" s="6">
        <v>17.656005064470801</v>
      </c>
      <c r="K153" s="6">
        <v>18.1033025849311</v>
      </c>
      <c r="L153" s="6">
        <v>16.730737394447701</v>
      </c>
      <c r="M153" s="6">
        <v>18.267078722898201</v>
      </c>
      <c r="N153" s="6">
        <v>16.570885259393702</v>
      </c>
      <c r="O153" s="6">
        <v>17.984190826549199</v>
      </c>
      <c r="P153" s="6">
        <v>17.854826344808799</v>
      </c>
      <c r="Q153" s="6">
        <v>15.7729248169987</v>
      </c>
    </row>
    <row r="154" spans="1:17">
      <c r="A154" s="6" t="s">
        <v>6678</v>
      </c>
      <c r="B154" s="6" t="s">
        <v>6679</v>
      </c>
      <c r="C154" s="6" t="s">
        <v>6680</v>
      </c>
      <c r="D154" s="6" t="s">
        <v>6681</v>
      </c>
      <c r="E154" s="6" t="s">
        <v>6682</v>
      </c>
      <c r="F154" s="6">
        <v>17.021235995295001</v>
      </c>
      <c r="G154" s="6">
        <v>17.437779045518301</v>
      </c>
      <c r="H154" s="6">
        <v>16.928668306893499</v>
      </c>
      <c r="I154" s="6">
        <v>17.497787979506299</v>
      </c>
      <c r="J154" s="6">
        <v>16.8074368045611</v>
      </c>
      <c r="K154" s="6">
        <v>16.677463985274901</v>
      </c>
      <c r="L154" s="6">
        <v>17.325660992887499</v>
      </c>
      <c r="M154" s="6">
        <v>16.246705081123</v>
      </c>
      <c r="N154" s="6">
        <v>16.333247738553201</v>
      </c>
      <c r="O154" s="6">
        <v>17.485610465569199</v>
      </c>
      <c r="P154" s="6">
        <v>17.495880539471599</v>
      </c>
      <c r="Q154" s="6" t="s">
        <v>6254</v>
      </c>
    </row>
    <row r="155" spans="1:17">
      <c r="A155" s="6" t="s">
        <v>39</v>
      </c>
      <c r="B155" s="6" t="s">
        <v>39</v>
      </c>
      <c r="C155" s="6" t="s">
        <v>6683</v>
      </c>
      <c r="D155" s="6" t="s">
        <v>6684</v>
      </c>
      <c r="E155" s="6" t="s">
        <v>6684</v>
      </c>
      <c r="F155" s="6">
        <v>16.7549911065388</v>
      </c>
      <c r="G155" s="6">
        <v>17.417125460994502</v>
      </c>
      <c r="H155" s="6">
        <v>17.6434472369885</v>
      </c>
      <c r="I155" s="6">
        <v>18.244868568890201</v>
      </c>
      <c r="J155" s="6">
        <v>17.0074222056653</v>
      </c>
      <c r="K155" s="6">
        <v>17.325800219906199</v>
      </c>
      <c r="L155" s="6">
        <v>16.3353401027586</v>
      </c>
      <c r="M155" s="6">
        <v>17.3836858321636</v>
      </c>
      <c r="N155" s="6">
        <v>16.855794102712601</v>
      </c>
      <c r="O155" s="6">
        <v>16.660136103539202</v>
      </c>
      <c r="P155" s="6">
        <v>17.737707181519099</v>
      </c>
      <c r="Q155" s="6">
        <v>17.657694626989699</v>
      </c>
    </row>
    <row r="156" spans="1:17">
      <c r="A156" s="6" t="s">
        <v>6685</v>
      </c>
      <c r="B156" s="6" t="s">
        <v>6685</v>
      </c>
      <c r="C156" s="6" t="s">
        <v>6686</v>
      </c>
      <c r="D156" s="6" t="s">
        <v>6687</v>
      </c>
      <c r="E156" s="6" t="s">
        <v>6687</v>
      </c>
      <c r="F156" s="6">
        <v>16.112048032583001</v>
      </c>
      <c r="G156" s="6">
        <v>15.4427119005673</v>
      </c>
      <c r="H156" s="6">
        <v>17.593919999922502</v>
      </c>
      <c r="I156" s="6">
        <v>17.2471250034496</v>
      </c>
      <c r="J156" s="6">
        <v>17.454310690198099</v>
      </c>
      <c r="K156" s="6">
        <v>16.9904227872894</v>
      </c>
      <c r="L156" s="6">
        <v>16.9560287756109</v>
      </c>
      <c r="M156" s="6">
        <v>17.4373663776577</v>
      </c>
      <c r="N156" s="6">
        <v>16.347468680043399</v>
      </c>
      <c r="O156" s="6">
        <v>16.846515698887401</v>
      </c>
      <c r="P156" s="6">
        <v>16.088497952340301</v>
      </c>
      <c r="Q156" s="6">
        <v>16.773364594316899</v>
      </c>
    </row>
    <row r="157" spans="1:17">
      <c r="A157" s="6" t="s">
        <v>6688</v>
      </c>
      <c r="B157" s="6" t="s">
        <v>6688</v>
      </c>
      <c r="C157" s="6" t="s">
        <v>6689</v>
      </c>
      <c r="D157" s="6" t="s">
        <v>6690</v>
      </c>
      <c r="E157" s="6" t="s">
        <v>6690</v>
      </c>
      <c r="F157" s="6">
        <v>17.3264517093195</v>
      </c>
      <c r="G157" s="6">
        <v>16.755894643199699</v>
      </c>
      <c r="H157" s="6">
        <v>18.4516189700322</v>
      </c>
      <c r="I157" s="6">
        <v>17.5481739281892</v>
      </c>
      <c r="J157" s="6" t="s">
        <v>6254</v>
      </c>
      <c r="K157" s="6" t="s">
        <v>6254</v>
      </c>
      <c r="L157" s="6" t="s">
        <v>6254</v>
      </c>
      <c r="M157" s="6" t="s">
        <v>6254</v>
      </c>
      <c r="N157" s="6">
        <v>17.3692793780654</v>
      </c>
      <c r="O157" s="6">
        <v>18.817646618474701</v>
      </c>
      <c r="P157" s="6">
        <v>17.515252596652299</v>
      </c>
      <c r="Q157" s="6" t="s">
        <v>6254</v>
      </c>
    </row>
    <row r="158" spans="1:17">
      <c r="A158" s="6" t="s">
        <v>3760</v>
      </c>
      <c r="B158" s="6" t="s">
        <v>3760</v>
      </c>
      <c r="C158" s="6" t="s">
        <v>6691</v>
      </c>
      <c r="D158" s="6" t="s">
        <v>6692</v>
      </c>
      <c r="E158" s="6" t="s">
        <v>6692</v>
      </c>
      <c r="F158" s="6">
        <v>17.657065329640801</v>
      </c>
      <c r="G158" s="6">
        <v>17.367840121961901</v>
      </c>
      <c r="H158" s="6">
        <v>17.381881597762099</v>
      </c>
      <c r="I158" s="6">
        <v>17.6220072199642</v>
      </c>
      <c r="J158" s="6">
        <v>16.6328162260724</v>
      </c>
      <c r="K158" s="6">
        <v>17.2078902279655</v>
      </c>
      <c r="L158" s="6">
        <v>17.593313077462302</v>
      </c>
      <c r="M158" s="6">
        <v>15.220781134707</v>
      </c>
      <c r="N158" s="6">
        <v>16.819855419004298</v>
      </c>
      <c r="O158" s="6">
        <v>16.990745762447901</v>
      </c>
      <c r="P158" s="6">
        <v>16.888474111388199</v>
      </c>
      <c r="Q158" s="6">
        <v>16.191574450671901</v>
      </c>
    </row>
    <row r="159" spans="1:17">
      <c r="A159" s="6" t="s">
        <v>5977</v>
      </c>
      <c r="B159" s="6" t="s">
        <v>5977</v>
      </c>
      <c r="C159" s="6" t="s">
        <v>6693</v>
      </c>
      <c r="D159" s="6" t="s">
        <v>6694</v>
      </c>
      <c r="E159" s="6" t="s">
        <v>6694</v>
      </c>
      <c r="F159" s="6">
        <v>16.832200514941601</v>
      </c>
      <c r="G159" s="6">
        <v>16.298881172405601</v>
      </c>
      <c r="H159" s="6">
        <v>17.263721818671598</v>
      </c>
      <c r="I159" s="6">
        <v>17.327954606073501</v>
      </c>
      <c r="J159" s="6">
        <v>16.8201185537689</v>
      </c>
      <c r="K159" s="6">
        <v>16.412593046194399</v>
      </c>
      <c r="L159" s="6">
        <v>17.768283948711002</v>
      </c>
      <c r="M159" s="6">
        <v>16.914859299798302</v>
      </c>
      <c r="N159" s="6">
        <v>16.4155357628904</v>
      </c>
      <c r="O159" s="6" t="s">
        <v>6254</v>
      </c>
      <c r="P159" s="6">
        <v>17.770189843971099</v>
      </c>
      <c r="Q159" s="6">
        <v>16.916962434674399</v>
      </c>
    </row>
    <row r="160" spans="1:17">
      <c r="A160" s="6" t="s">
        <v>200</v>
      </c>
      <c r="B160" s="6" t="s">
        <v>200</v>
      </c>
      <c r="C160" s="6" t="s">
        <v>6695</v>
      </c>
      <c r="D160" s="6" t="s">
        <v>6696</v>
      </c>
      <c r="E160" s="6" t="s">
        <v>6696</v>
      </c>
      <c r="F160" s="6">
        <v>17.201272112755699</v>
      </c>
      <c r="G160" s="6">
        <v>17.4736435253804</v>
      </c>
      <c r="H160" s="6">
        <v>17.169972257097299</v>
      </c>
      <c r="I160" s="6">
        <v>17.4475624497538</v>
      </c>
      <c r="J160" s="6">
        <v>17.0439047214923</v>
      </c>
      <c r="K160" s="6">
        <v>17.636583250051</v>
      </c>
      <c r="L160" s="6">
        <v>17.166059616568401</v>
      </c>
      <c r="M160" s="6">
        <v>17.6252705657026</v>
      </c>
      <c r="N160" s="6">
        <v>17.0432337763772</v>
      </c>
      <c r="O160" s="6">
        <v>17.612919131333701</v>
      </c>
      <c r="P160" s="6">
        <v>17.140226285693899</v>
      </c>
      <c r="Q160" s="6">
        <v>17.252605509176099</v>
      </c>
    </row>
    <row r="161" spans="1:17">
      <c r="A161" s="6" t="s">
        <v>220</v>
      </c>
      <c r="B161" s="6" t="s">
        <v>220</v>
      </c>
      <c r="C161" s="6" t="s">
        <v>6697</v>
      </c>
      <c r="D161" s="6" t="s">
        <v>6698</v>
      </c>
      <c r="E161" s="6" t="s">
        <v>6698</v>
      </c>
      <c r="F161" s="6">
        <v>17.138726433298</v>
      </c>
      <c r="G161" s="6">
        <v>17.706530661800599</v>
      </c>
      <c r="H161" s="6">
        <v>17.237310708163999</v>
      </c>
      <c r="I161" s="6">
        <v>16.952587226013801</v>
      </c>
      <c r="J161" s="6">
        <v>17.1010452753697</v>
      </c>
      <c r="K161" s="6">
        <v>17.9501942913361</v>
      </c>
      <c r="L161" s="6">
        <v>16.384503167688699</v>
      </c>
      <c r="M161" s="6">
        <v>17.219471280941001</v>
      </c>
      <c r="N161" s="6">
        <v>17.140219308769499</v>
      </c>
      <c r="O161" s="6">
        <v>16.888214887042398</v>
      </c>
      <c r="P161" s="6">
        <v>17.043814912603398</v>
      </c>
      <c r="Q161" s="6">
        <v>17.402053705543601</v>
      </c>
    </row>
    <row r="162" spans="1:17">
      <c r="A162" s="6" t="s">
        <v>6699</v>
      </c>
      <c r="B162" s="6" t="s">
        <v>6699</v>
      </c>
      <c r="C162" s="6" t="s">
        <v>6700</v>
      </c>
      <c r="D162" s="6" t="s">
        <v>6701</v>
      </c>
      <c r="E162" s="6" t="s">
        <v>6701</v>
      </c>
      <c r="F162" s="6">
        <v>17.5188702682158</v>
      </c>
      <c r="G162" s="6">
        <v>16.824958661858201</v>
      </c>
      <c r="H162" s="6">
        <v>16.992612472951802</v>
      </c>
      <c r="I162" s="6">
        <v>17.5400546499129</v>
      </c>
      <c r="J162" s="6">
        <v>16.522358819151599</v>
      </c>
      <c r="K162" s="6" t="s">
        <v>6254</v>
      </c>
      <c r="L162" s="6">
        <v>17.245606247403</v>
      </c>
      <c r="M162" s="6">
        <v>16.3924057636623</v>
      </c>
      <c r="N162" s="6">
        <v>16.728781482482201</v>
      </c>
      <c r="O162" s="6">
        <v>17.4550491057662</v>
      </c>
      <c r="P162" s="6">
        <v>17.7173661286207</v>
      </c>
      <c r="Q162" s="6">
        <v>15.928341630684301</v>
      </c>
    </row>
    <row r="163" spans="1:17">
      <c r="A163" s="6" t="s">
        <v>691</v>
      </c>
      <c r="B163" s="6" t="s">
        <v>691</v>
      </c>
      <c r="C163" s="6" t="s">
        <v>6702</v>
      </c>
      <c r="D163" s="6" t="s">
        <v>6703</v>
      </c>
      <c r="E163" s="6" t="s">
        <v>6703</v>
      </c>
      <c r="F163" s="6">
        <v>17.047974337075701</v>
      </c>
      <c r="G163" s="6">
        <v>16.4150111807344</v>
      </c>
      <c r="H163" s="6">
        <v>17.565695269421401</v>
      </c>
      <c r="I163" s="6">
        <v>18.0677536228016</v>
      </c>
      <c r="J163" s="6">
        <v>16.824676636052001</v>
      </c>
      <c r="K163" s="6">
        <v>17.291952703992798</v>
      </c>
      <c r="L163" s="6">
        <v>18.328512808474301</v>
      </c>
      <c r="M163" s="6">
        <v>16.857671615330499</v>
      </c>
      <c r="N163" s="6">
        <v>17.399989065073701</v>
      </c>
      <c r="O163" s="6">
        <v>17.1243761656598</v>
      </c>
      <c r="P163" s="6">
        <v>16.898548642569299</v>
      </c>
      <c r="Q163" s="6">
        <v>15.804522961873101</v>
      </c>
    </row>
    <row r="164" spans="1:17">
      <c r="A164" s="6" t="s">
        <v>454</v>
      </c>
      <c r="B164" s="6" t="s">
        <v>454</v>
      </c>
      <c r="C164" s="6" t="s">
        <v>6704</v>
      </c>
      <c r="D164" s="6" t="s">
        <v>6705</v>
      </c>
      <c r="E164" s="6" t="s">
        <v>6705</v>
      </c>
      <c r="F164" s="6">
        <v>17.615661820402799</v>
      </c>
      <c r="G164" s="6">
        <v>16.738835927886999</v>
      </c>
      <c r="H164" s="6">
        <v>17.248927831284298</v>
      </c>
      <c r="I164" s="6">
        <v>17.8846582895296</v>
      </c>
      <c r="J164" s="6">
        <v>16.641869732829502</v>
      </c>
      <c r="K164" s="6">
        <v>17.231576279752598</v>
      </c>
      <c r="L164" s="6">
        <v>17.5525487261466</v>
      </c>
      <c r="M164" s="6">
        <v>16.2292814072655</v>
      </c>
      <c r="N164" s="6">
        <v>16.825959628164799</v>
      </c>
      <c r="O164" s="6">
        <v>17.384914652287002</v>
      </c>
      <c r="P164" s="6">
        <v>17.416712078646</v>
      </c>
      <c r="Q164" s="6">
        <v>15.9261240011786</v>
      </c>
    </row>
    <row r="165" spans="1:17">
      <c r="A165" s="6" t="s">
        <v>6706</v>
      </c>
      <c r="B165" s="6" t="s">
        <v>6706</v>
      </c>
      <c r="C165" s="6" t="s">
        <v>6707</v>
      </c>
      <c r="D165" s="6" t="s">
        <v>6708</v>
      </c>
      <c r="E165" s="6" t="s">
        <v>6708</v>
      </c>
      <c r="F165" s="6">
        <v>16.2755043907441</v>
      </c>
      <c r="G165" s="6">
        <v>17.5441004858891</v>
      </c>
      <c r="H165" s="6">
        <v>17.2250651287568</v>
      </c>
      <c r="I165" s="6">
        <v>16.096981645551701</v>
      </c>
      <c r="J165" s="6">
        <v>16.496200444193398</v>
      </c>
      <c r="K165" s="6">
        <v>15.9605759342806</v>
      </c>
      <c r="L165" s="6">
        <v>17.205205789902699</v>
      </c>
      <c r="M165" s="6">
        <v>16.962492371061298</v>
      </c>
      <c r="N165" s="6">
        <v>17.560924419229998</v>
      </c>
      <c r="O165" s="6">
        <v>17.680416661231501</v>
      </c>
      <c r="P165" s="6">
        <v>16.173885117927501</v>
      </c>
      <c r="Q165" s="6">
        <v>16.504774675185701</v>
      </c>
    </row>
    <row r="166" spans="1:17">
      <c r="A166" s="6" t="s">
        <v>224</v>
      </c>
      <c r="B166" s="6" t="s">
        <v>224</v>
      </c>
      <c r="C166" s="6" t="s">
        <v>6709</v>
      </c>
      <c r="D166" s="6" t="s">
        <v>6710</v>
      </c>
      <c r="E166" s="6" t="s">
        <v>6710</v>
      </c>
      <c r="F166" s="6">
        <v>17.6379157852692</v>
      </c>
      <c r="G166" s="6">
        <v>16.999666634211898</v>
      </c>
      <c r="H166" s="6">
        <v>16.988552734208</v>
      </c>
      <c r="I166" s="6">
        <v>17.677833112179801</v>
      </c>
      <c r="J166" s="6">
        <v>16.319375085384898</v>
      </c>
      <c r="K166" s="6">
        <v>16.84758178237</v>
      </c>
      <c r="L166" s="6">
        <v>17.602843751361</v>
      </c>
      <c r="M166" s="6">
        <v>16.22673625937</v>
      </c>
      <c r="N166" s="6">
        <v>16.8508254347866</v>
      </c>
      <c r="O166" s="6">
        <v>17.2841526309115</v>
      </c>
      <c r="P166" s="6">
        <v>16.883266323921799</v>
      </c>
      <c r="Q166" s="6">
        <v>15.824982182226099</v>
      </c>
    </row>
    <row r="167" spans="1:17">
      <c r="A167" s="6" t="s">
        <v>267</v>
      </c>
      <c r="B167" s="6" t="s">
        <v>267</v>
      </c>
      <c r="C167" s="6" t="s">
        <v>6711</v>
      </c>
      <c r="D167" s="6" t="s">
        <v>6712</v>
      </c>
      <c r="E167" s="6" t="s">
        <v>6712</v>
      </c>
      <c r="F167" s="6">
        <v>17.744743057932101</v>
      </c>
      <c r="G167" s="6">
        <v>16.882558882365899</v>
      </c>
      <c r="H167" s="6">
        <v>17.339479583435601</v>
      </c>
      <c r="I167" s="6">
        <v>17.873575982836901</v>
      </c>
      <c r="J167" s="6">
        <v>16.406501092611901</v>
      </c>
      <c r="K167" s="6">
        <v>16.715463365189802</v>
      </c>
      <c r="L167" s="6">
        <v>17.480940375564199</v>
      </c>
      <c r="M167" s="6">
        <v>16.4151772063761</v>
      </c>
      <c r="N167" s="6">
        <v>17.321087474034101</v>
      </c>
      <c r="O167" s="6">
        <v>17.432596838166599</v>
      </c>
      <c r="P167" s="6">
        <v>17.5258440170368</v>
      </c>
      <c r="Q167" s="6">
        <v>15.453881259389901</v>
      </c>
    </row>
    <row r="168" spans="1:17">
      <c r="A168" s="6" t="s">
        <v>5406</v>
      </c>
      <c r="B168" s="6" t="s">
        <v>5406</v>
      </c>
      <c r="C168" s="6" t="s">
        <v>6713</v>
      </c>
      <c r="D168" s="6" t="s">
        <v>6604</v>
      </c>
      <c r="E168" s="6" t="s">
        <v>6604</v>
      </c>
      <c r="F168" s="6" t="s">
        <v>6254</v>
      </c>
      <c r="G168" s="6" t="s">
        <v>6254</v>
      </c>
      <c r="H168" s="6" t="s">
        <v>6254</v>
      </c>
      <c r="I168" s="6" t="s">
        <v>6254</v>
      </c>
      <c r="J168" s="6" t="s">
        <v>6254</v>
      </c>
      <c r="K168" s="6">
        <v>16.3820417379887</v>
      </c>
      <c r="L168" s="6">
        <v>16.994424536164999</v>
      </c>
      <c r="M168" s="6">
        <v>15.771341210326099</v>
      </c>
      <c r="N168" s="6" t="s">
        <v>6254</v>
      </c>
      <c r="O168" s="6" t="s">
        <v>6254</v>
      </c>
      <c r="P168" s="6">
        <v>17.755996541369601</v>
      </c>
      <c r="Q168" s="6" t="s">
        <v>6254</v>
      </c>
    </row>
    <row r="169" spans="1:17">
      <c r="A169" s="6" t="s">
        <v>84</v>
      </c>
      <c r="B169" s="6" t="s">
        <v>84</v>
      </c>
      <c r="C169" s="6" t="s">
        <v>6714</v>
      </c>
      <c r="D169" s="6" t="s">
        <v>6715</v>
      </c>
      <c r="E169" s="6" t="s">
        <v>6715</v>
      </c>
      <c r="F169" s="6">
        <v>17.2949280351928</v>
      </c>
      <c r="G169" s="6">
        <v>17.0539496882473</v>
      </c>
      <c r="H169" s="6">
        <v>17.136532843252098</v>
      </c>
      <c r="I169" s="6">
        <v>17.566111500595799</v>
      </c>
      <c r="J169" s="6">
        <v>16.477355988646298</v>
      </c>
      <c r="K169" s="6">
        <v>16.7218964445679</v>
      </c>
      <c r="L169" s="6">
        <v>17.3138924356121</v>
      </c>
      <c r="M169" s="6">
        <v>16.600401497780499</v>
      </c>
      <c r="N169" s="6">
        <v>17.198885417996301</v>
      </c>
      <c r="O169" s="6">
        <v>17.4654839085138</v>
      </c>
      <c r="P169" s="6">
        <v>17.431704947761499</v>
      </c>
      <c r="Q169" s="6">
        <v>15.841771268025299</v>
      </c>
    </row>
    <row r="170" spans="1:17">
      <c r="A170" s="6" t="s">
        <v>305</v>
      </c>
      <c r="B170" s="6" t="s">
        <v>305</v>
      </c>
      <c r="C170" s="6" t="s">
        <v>6716</v>
      </c>
      <c r="D170" s="6" t="s">
        <v>6717</v>
      </c>
      <c r="E170" s="6" t="s">
        <v>6717</v>
      </c>
      <c r="F170" s="6">
        <v>17.426656352636101</v>
      </c>
      <c r="G170" s="6">
        <v>16.961838117272499</v>
      </c>
      <c r="H170" s="6">
        <v>17.1775682192714</v>
      </c>
      <c r="I170" s="6">
        <v>17.731689332369299</v>
      </c>
      <c r="J170" s="6">
        <v>16.3726044658262</v>
      </c>
      <c r="K170" s="6">
        <v>16.9991075478905</v>
      </c>
      <c r="L170" s="6">
        <v>17.682150713942502</v>
      </c>
      <c r="M170" s="6">
        <v>16.264461375906599</v>
      </c>
      <c r="N170" s="6">
        <v>16.9200619317164</v>
      </c>
      <c r="O170" s="6">
        <v>17.197841355424099</v>
      </c>
      <c r="P170" s="6">
        <v>17.019181770116301</v>
      </c>
      <c r="Q170" s="6">
        <v>15.8213475920509</v>
      </c>
    </row>
    <row r="171" spans="1:17">
      <c r="A171" s="6" t="s">
        <v>1049</v>
      </c>
      <c r="B171" s="6" t="s">
        <v>1049</v>
      </c>
      <c r="C171" s="6" t="s">
        <v>6718</v>
      </c>
      <c r="D171" s="6" t="s">
        <v>6719</v>
      </c>
      <c r="E171" s="6" t="s">
        <v>6719</v>
      </c>
      <c r="F171" s="6">
        <v>18.094048530064601</v>
      </c>
      <c r="G171" s="6">
        <v>17.635545452596599</v>
      </c>
      <c r="H171" s="6">
        <v>17.462503974727699</v>
      </c>
      <c r="I171" s="6">
        <v>17.881923559966999</v>
      </c>
      <c r="J171" s="6">
        <v>16.728495929826099</v>
      </c>
      <c r="K171" s="6">
        <v>16.7563235318155</v>
      </c>
      <c r="L171" s="6">
        <v>17.787534989858699</v>
      </c>
      <c r="M171" s="6">
        <v>16.545953029040099</v>
      </c>
      <c r="N171" s="6">
        <v>17.679626609364501</v>
      </c>
      <c r="O171" s="6">
        <v>16.713352818750099</v>
      </c>
      <c r="P171" s="6">
        <v>16.2830623067061</v>
      </c>
      <c r="Q171" s="6">
        <v>15.618849799706201</v>
      </c>
    </row>
    <row r="172" spans="1:17">
      <c r="A172" s="6" t="s">
        <v>2864</v>
      </c>
      <c r="B172" s="6" t="s">
        <v>2864</v>
      </c>
      <c r="C172" s="6" t="s">
        <v>6720</v>
      </c>
      <c r="D172" s="6" t="s">
        <v>6721</v>
      </c>
      <c r="E172" s="6" t="s">
        <v>6721</v>
      </c>
      <c r="F172" s="6">
        <v>17.612311367818702</v>
      </c>
      <c r="G172" s="6">
        <v>17.220699906030301</v>
      </c>
      <c r="H172" s="6">
        <v>16.908700557114699</v>
      </c>
      <c r="I172" s="6">
        <v>17.664089418804998</v>
      </c>
      <c r="J172" s="6">
        <v>16.193662083792201</v>
      </c>
      <c r="K172" s="6">
        <v>17.325938227878101</v>
      </c>
      <c r="L172" s="6">
        <v>17.3351878939926</v>
      </c>
      <c r="M172" s="6">
        <v>15.895912248098099</v>
      </c>
      <c r="N172" s="6" t="s">
        <v>6254</v>
      </c>
      <c r="O172" s="6">
        <v>17.448491440664601</v>
      </c>
      <c r="P172" s="6">
        <v>17.554626007485901</v>
      </c>
      <c r="Q172" s="6">
        <v>15.6825420610969</v>
      </c>
    </row>
    <row r="173" spans="1:17">
      <c r="A173" s="6" t="s">
        <v>392</v>
      </c>
      <c r="B173" s="6" t="s">
        <v>392</v>
      </c>
      <c r="C173" s="6" t="s">
        <v>6722</v>
      </c>
      <c r="D173" s="6" t="s">
        <v>6723</v>
      </c>
      <c r="E173" s="6" t="s">
        <v>6723</v>
      </c>
      <c r="F173" s="6">
        <v>16.208244648841301</v>
      </c>
      <c r="G173" s="6">
        <v>17.595463295568599</v>
      </c>
      <c r="H173" s="6">
        <v>17.062482465877899</v>
      </c>
      <c r="I173" s="6">
        <v>16.289808961327001</v>
      </c>
      <c r="J173" s="6">
        <v>17.335842352859199</v>
      </c>
      <c r="K173" s="6">
        <v>17.3184995741106</v>
      </c>
      <c r="L173" s="6">
        <v>16.605128127422098</v>
      </c>
      <c r="M173" s="6">
        <v>17.1193160797785</v>
      </c>
      <c r="N173" s="6">
        <v>17.1126250539048</v>
      </c>
      <c r="O173" s="6">
        <v>17.376193354821901</v>
      </c>
      <c r="P173" s="6">
        <v>17.122018620492799</v>
      </c>
      <c r="Q173" s="6">
        <v>17.078784579718398</v>
      </c>
    </row>
    <row r="174" spans="1:17">
      <c r="A174" s="6" t="s">
        <v>273</v>
      </c>
      <c r="B174" s="6" t="s">
        <v>273</v>
      </c>
      <c r="C174" s="6" t="s">
        <v>6724</v>
      </c>
      <c r="D174" s="6" t="s">
        <v>6725</v>
      </c>
      <c r="E174" s="6" t="s">
        <v>6725</v>
      </c>
      <c r="F174" s="6">
        <v>17.249952017806098</v>
      </c>
      <c r="G174" s="6">
        <v>16.857620905675098</v>
      </c>
      <c r="H174" s="6">
        <v>16.9343291818574</v>
      </c>
      <c r="I174" s="6">
        <v>17.766508678492698</v>
      </c>
      <c r="J174" s="6">
        <v>16.388687775511201</v>
      </c>
      <c r="K174" s="6">
        <v>17.0602729686785</v>
      </c>
      <c r="L174" s="6">
        <v>17.723700818816699</v>
      </c>
      <c r="M174" s="6">
        <v>16.207559176197499</v>
      </c>
      <c r="N174" s="6">
        <v>16.3624292149407</v>
      </c>
      <c r="O174" s="6">
        <v>17.2472090335452</v>
      </c>
      <c r="P174" s="6">
        <v>17.021405897408599</v>
      </c>
      <c r="Q174" s="6">
        <v>16.005072152726999</v>
      </c>
    </row>
    <row r="175" spans="1:17">
      <c r="A175" s="6" t="s">
        <v>6726</v>
      </c>
      <c r="B175" s="6" t="s">
        <v>6727</v>
      </c>
      <c r="C175" s="6" t="s">
        <v>6728</v>
      </c>
      <c r="D175" s="6" t="s">
        <v>6729</v>
      </c>
      <c r="E175" s="6" t="s">
        <v>6730</v>
      </c>
      <c r="F175" s="6">
        <v>17.2144256157451</v>
      </c>
      <c r="G175" s="6">
        <v>16.4440247242465</v>
      </c>
      <c r="H175" s="6">
        <v>16.887585603969299</v>
      </c>
      <c r="I175" s="6">
        <v>17.4855903068777</v>
      </c>
      <c r="J175" s="6">
        <v>15.814162237617399</v>
      </c>
      <c r="K175" s="6">
        <v>16.264053251499501</v>
      </c>
      <c r="L175" s="6">
        <v>17.542137442024199</v>
      </c>
      <c r="M175" s="6">
        <v>16.036364016369099</v>
      </c>
      <c r="N175" s="6">
        <v>17.444410271727399</v>
      </c>
      <c r="O175" s="6">
        <v>16.893672273397002</v>
      </c>
      <c r="P175" s="6">
        <v>16.9836820783269</v>
      </c>
      <c r="Q175" s="6" t="s">
        <v>6254</v>
      </c>
    </row>
    <row r="176" spans="1:17">
      <c r="A176" s="6" t="s">
        <v>6731</v>
      </c>
      <c r="B176" s="6" t="s">
        <v>2771</v>
      </c>
      <c r="C176" s="6" t="s">
        <v>6732</v>
      </c>
      <c r="D176" s="6" t="s">
        <v>6733</v>
      </c>
      <c r="E176" s="6" t="s">
        <v>2773</v>
      </c>
      <c r="F176" s="6">
        <v>16.744391365675298</v>
      </c>
      <c r="G176" s="6">
        <v>16.938443828484601</v>
      </c>
      <c r="H176" s="6">
        <v>16.6297985263962</v>
      </c>
      <c r="I176" s="6">
        <v>16.0363674563703</v>
      </c>
      <c r="J176" s="6">
        <v>16.444662073723499</v>
      </c>
      <c r="K176" s="6">
        <v>16.670472609903499</v>
      </c>
      <c r="L176" s="6">
        <v>16.607360117393199</v>
      </c>
      <c r="M176" s="6">
        <v>17.749973770207699</v>
      </c>
      <c r="N176" s="6">
        <v>16.904106753884001</v>
      </c>
      <c r="O176" s="6">
        <v>16.9795281028358</v>
      </c>
      <c r="P176" s="6">
        <v>17.079093379823799</v>
      </c>
      <c r="Q176" s="6">
        <v>17.500998577690101</v>
      </c>
    </row>
    <row r="177" spans="1:17">
      <c r="A177" s="6" t="s">
        <v>26</v>
      </c>
      <c r="B177" s="6" t="s">
        <v>26</v>
      </c>
      <c r="C177" s="6" t="s">
        <v>6734</v>
      </c>
      <c r="D177" s="6" t="s">
        <v>6735</v>
      </c>
      <c r="E177" s="6" t="s">
        <v>6735</v>
      </c>
      <c r="F177" s="6">
        <v>17.433753915322701</v>
      </c>
      <c r="G177" s="6">
        <v>16.781329826492399</v>
      </c>
      <c r="H177" s="6">
        <v>17.085750431598399</v>
      </c>
      <c r="I177" s="6">
        <v>17.645577921351698</v>
      </c>
      <c r="J177" s="6">
        <v>16.323644017455099</v>
      </c>
      <c r="K177" s="6">
        <v>16.700097966783499</v>
      </c>
      <c r="L177" s="6">
        <v>17.5454953349081</v>
      </c>
      <c r="M177" s="6">
        <v>16.348824480504401</v>
      </c>
      <c r="N177" s="6">
        <v>17.107387411741701</v>
      </c>
      <c r="O177" s="6">
        <v>17.339555516521202</v>
      </c>
      <c r="P177" s="6">
        <v>17.345642367116799</v>
      </c>
      <c r="Q177" s="6">
        <v>15.7060228583666</v>
      </c>
    </row>
    <row r="178" spans="1:17">
      <c r="A178" s="6" t="s">
        <v>415</v>
      </c>
      <c r="B178" s="6" t="s">
        <v>415</v>
      </c>
      <c r="C178" s="6" t="s">
        <v>6736</v>
      </c>
      <c r="D178" s="6" t="s">
        <v>6737</v>
      </c>
      <c r="E178" s="6" t="s">
        <v>6737</v>
      </c>
      <c r="F178" s="6">
        <v>17.558646220295799</v>
      </c>
      <c r="G178" s="6">
        <v>16.9497803476259</v>
      </c>
      <c r="H178" s="6">
        <v>16.892907919425099</v>
      </c>
      <c r="I178" s="6">
        <v>17.287508297532099</v>
      </c>
      <c r="J178" s="6">
        <v>16.7556913877842</v>
      </c>
      <c r="K178" s="6">
        <v>17.245617935502601</v>
      </c>
      <c r="L178" s="6">
        <v>17.9334291245843</v>
      </c>
      <c r="M178" s="6">
        <v>16.203849153795701</v>
      </c>
      <c r="N178" s="6">
        <v>16.726686182998801</v>
      </c>
      <c r="O178" s="6">
        <v>17.513521119189601</v>
      </c>
      <c r="P178" s="6">
        <v>17.774964932722</v>
      </c>
      <c r="Q178" s="6">
        <v>15.885560674350801</v>
      </c>
    </row>
    <row r="179" spans="1:17">
      <c r="A179" s="6" t="s">
        <v>3970</v>
      </c>
      <c r="B179" s="6" t="s">
        <v>3970</v>
      </c>
      <c r="C179" s="6" t="s">
        <v>6738</v>
      </c>
      <c r="D179" s="6" t="s">
        <v>6739</v>
      </c>
      <c r="E179" s="6" t="s">
        <v>6739</v>
      </c>
      <c r="F179" s="6">
        <v>17.503656607151299</v>
      </c>
      <c r="G179" s="6">
        <v>17.259325888185899</v>
      </c>
      <c r="H179" s="6">
        <v>16.778854024241301</v>
      </c>
      <c r="I179" s="6">
        <v>17.424526488923501</v>
      </c>
      <c r="J179" s="6">
        <v>16.617949044981099</v>
      </c>
      <c r="K179" s="6">
        <v>16.961719280392401</v>
      </c>
      <c r="L179" s="6">
        <v>17.178640273962898</v>
      </c>
      <c r="M179" s="6">
        <v>16.114151143855</v>
      </c>
      <c r="N179" s="6">
        <v>15.8944854683026</v>
      </c>
      <c r="O179" s="6">
        <v>17.363453978499599</v>
      </c>
      <c r="P179" s="6">
        <v>17.393050086329598</v>
      </c>
      <c r="Q179" s="6">
        <v>16.116999961744401</v>
      </c>
    </row>
    <row r="180" spans="1:17">
      <c r="A180" s="6" t="s">
        <v>184</v>
      </c>
      <c r="B180" s="6" t="s">
        <v>184</v>
      </c>
      <c r="C180" s="6" t="s">
        <v>6740</v>
      </c>
      <c r="D180" s="6" t="s">
        <v>6741</v>
      </c>
      <c r="E180" s="6" t="s">
        <v>6741</v>
      </c>
      <c r="F180" s="6">
        <v>16.008091876371399</v>
      </c>
      <c r="G180" s="6">
        <v>17.070408000197801</v>
      </c>
      <c r="H180" s="6">
        <v>17.0001186395546</v>
      </c>
      <c r="I180" s="6">
        <v>17.1342310430129</v>
      </c>
      <c r="J180" s="6">
        <v>17.069921576628399</v>
      </c>
      <c r="K180" s="6">
        <v>17.45872223816</v>
      </c>
      <c r="L180" s="6">
        <v>16.908245776463101</v>
      </c>
      <c r="M180" s="6">
        <v>17.2611490668179</v>
      </c>
      <c r="N180" s="6">
        <v>16.703960535681698</v>
      </c>
      <c r="O180" s="6">
        <v>16.8354989681396</v>
      </c>
      <c r="P180" s="6">
        <v>17.045107879667299</v>
      </c>
      <c r="Q180" s="6">
        <v>17.378683439126402</v>
      </c>
    </row>
    <row r="181" spans="1:17">
      <c r="A181" s="6" t="s">
        <v>6742</v>
      </c>
      <c r="B181" s="6" t="s">
        <v>6742</v>
      </c>
      <c r="C181" s="6" t="s">
        <v>6742</v>
      </c>
      <c r="D181" s="6" t="s">
        <v>6742</v>
      </c>
      <c r="E181" s="6" t="s">
        <v>6742</v>
      </c>
      <c r="F181" s="6" t="s">
        <v>6254</v>
      </c>
      <c r="G181" s="6" t="s">
        <v>6254</v>
      </c>
      <c r="H181" s="6" t="s">
        <v>6254</v>
      </c>
      <c r="I181" s="6">
        <v>16.998741318516</v>
      </c>
      <c r="J181" s="6" t="s">
        <v>6254</v>
      </c>
      <c r="K181" s="6" t="s">
        <v>6254</v>
      </c>
      <c r="L181" s="6" t="s">
        <v>6254</v>
      </c>
      <c r="M181" s="6" t="s">
        <v>6254</v>
      </c>
      <c r="N181" s="6" t="s">
        <v>6254</v>
      </c>
      <c r="O181" s="6" t="s">
        <v>6254</v>
      </c>
      <c r="P181" s="6" t="s">
        <v>6254</v>
      </c>
      <c r="Q181" s="6" t="s">
        <v>6254</v>
      </c>
    </row>
    <row r="182" spans="1:17">
      <c r="A182" s="6" t="s">
        <v>6743</v>
      </c>
      <c r="B182" s="6" t="s">
        <v>1167</v>
      </c>
      <c r="C182" s="6" t="s">
        <v>6744</v>
      </c>
      <c r="D182" s="6" t="s">
        <v>6745</v>
      </c>
      <c r="E182" s="6" t="s">
        <v>6746</v>
      </c>
      <c r="F182" s="6">
        <v>17.531608096330601</v>
      </c>
      <c r="G182" s="6">
        <v>16.918723135430199</v>
      </c>
      <c r="H182" s="6">
        <v>16.922674363362098</v>
      </c>
      <c r="I182" s="6">
        <v>17.1770899030507</v>
      </c>
      <c r="J182" s="6">
        <v>16.418532548726699</v>
      </c>
      <c r="K182" s="6">
        <v>16.6055850257343</v>
      </c>
      <c r="L182" s="6">
        <v>17.146227177473801</v>
      </c>
      <c r="M182" s="6">
        <v>16.1485235728174</v>
      </c>
      <c r="N182" s="6">
        <v>16.878348622122498</v>
      </c>
      <c r="O182" s="6">
        <v>17.0060915106552</v>
      </c>
      <c r="P182" s="6">
        <v>16.944244050352399</v>
      </c>
      <c r="Q182" s="6">
        <v>15.801667393059899</v>
      </c>
    </row>
    <row r="183" spans="1:17">
      <c r="A183" s="6" t="s">
        <v>6747</v>
      </c>
      <c r="B183" s="6" t="s">
        <v>6747</v>
      </c>
      <c r="C183" s="6" t="s">
        <v>6748</v>
      </c>
      <c r="D183" s="6" t="s">
        <v>6749</v>
      </c>
      <c r="E183" s="6" t="s">
        <v>6749</v>
      </c>
      <c r="F183" s="6">
        <v>14.8329558109335</v>
      </c>
      <c r="G183" s="6">
        <v>17.723773912625798</v>
      </c>
      <c r="H183" s="6">
        <v>17.864393845048799</v>
      </c>
      <c r="I183" s="6">
        <v>15.2047789296037</v>
      </c>
      <c r="J183" s="6">
        <v>17.234660673124498</v>
      </c>
      <c r="K183" s="6">
        <v>17.8659327232659</v>
      </c>
      <c r="L183" s="6">
        <v>15.4904510060761</v>
      </c>
      <c r="M183" s="6">
        <v>16.9137210574855</v>
      </c>
      <c r="N183" s="6">
        <v>13.643392804645901</v>
      </c>
      <c r="O183" s="6">
        <v>18.093574138544799</v>
      </c>
      <c r="P183" s="6">
        <v>14.521949817208</v>
      </c>
      <c r="Q183" s="6">
        <v>16.360997661444799</v>
      </c>
    </row>
    <row r="184" spans="1:17">
      <c r="A184" s="6" t="s">
        <v>6750</v>
      </c>
      <c r="B184" s="6" t="s">
        <v>6750</v>
      </c>
      <c r="C184" s="6" t="s">
        <v>6750</v>
      </c>
      <c r="D184" s="6" t="s">
        <v>6750</v>
      </c>
      <c r="E184" s="6" t="s">
        <v>6750</v>
      </c>
      <c r="F184" s="6" t="s">
        <v>6254</v>
      </c>
      <c r="G184" s="6" t="s">
        <v>6254</v>
      </c>
      <c r="H184" s="6">
        <v>16.118163164852199</v>
      </c>
      <c r="I184" s="6">
        <v>15.405942206188801</v>
      </c>
      <c r="J184" s="6">
        <v>18.097400511665501</v>
      </c>
      <c r="K184" s="6" t="s">
        <v>6254</v>
      </c>
      <c r="L184" s="6" t="s">
        <v>6254</v>
      </c>
      <c r="M184" s="6" t="s">
        <v>6254</v>
      </c>
      <c r="N184" s="6" t="s">
        <v>6254</v>
      </c>
      <c r="O184" s="6" t="s">
        <v>6254</v>
      </c>
      <c r="P184" s="6" t="s">
        <v>6254</v>
      </c>
      <c r="Q184" s="6" t="s">
        <v>6254</v>
      </c>
    </row>
    <row r="185" spans="1:17">
      <c r="A185" s="6" t="s">
        <v>382</v>
      </c>
      <c r="B185" s="6" t="s">
        <v>382</v>
      </c>
      <c r="C185" s="6" t="s">
        <v>6751</v>
      </c>
      <c r="D185" s="6" t="s">
        <v>6752</v>
      </c>
      <c r="E185" s="6" t="s">
        <v>6752</v>
      </c>
      <c r="F185" s="6">
        <v>17.317969080253601</v>
      </c>
      <c r="G185" s="6">
        <v>16.9355089903449</v>
      </c>
      <c r="H185" s="6">
        <v>16.952270362470799</v>
      </c>
      <c r="I185" s="6">
        <v>17.604041607214501</v>
      </c>
      <c r="J185" s="6">
        <v>16.414054245448899</v>
      </c>
      <c r="K185" s="6">
        <v>16.9216082033603</v>
      </c>
      <c r="L185" s="6">
        <v>17.361160917291901</v>
      </c>
      <c r="M185" s="6">
        <v>16.035223350885602</v>
      </c>
      <c r="N185" s="6">
        <v>16.750977666078398</v>
      </c>
      <c r="O185" s="6">
        <v>17.2383014541502</v>
      </c>
      <c r="P185" s="6">
        <v>17.206508271970499</v>
      </c>
      <c r="Q185" s="6">
        <v>15.630510317028</v>
      </c>
    </row>
    <row r="186" spans="1:17">
      <c r="A186" s="6" t="s">
        <v>1168</v>
      </c>
      <c r="B186" s="6" t="s">
        <v>1168</v>
      </c>
      <c r="C186" s="6" t="s">
        <v>6753</v>
      </c>
      <c r="D186" s="6" t="s">
        <v>6754</v>
      </c>
      <c r="E186" s="6" t="s">
        <v>6754</v>
      </c>
      <c r="F186" s="6">
        <v>16.626637654663799</v>
      </c>
      <c r="G186" s="6">
        <v>16.156878095191399</v>
      </c>
      <c r="H186" s="6">
        <v>17.0198325859308</v>
      </c>
      <c r="I186" s="6">
        <v>17.385785451448101</v>
      </c>
      <c r="J186" s="6">
        <v>16.014573011286402</v>
      </c>
      <c r="K186" s="6">
        <v>16.896852244663901</v>
      </c>
      <c r="L186" s="6">
        <v>16.9425896682325</v>
      </c>
      <c r="M186" s="6">
        <v>16.202771675535001</v>
      </c>
      <c r="N186" s="6">
        <v>15.912607637569399</v>
      </c>
      <c r="O186" s="6">
        <v>17.4451426107534</v>
      </c>
      <c r="P186" s="6">
        <v>17.551075328544599</v>
      </c>
      <c r="Q186" s="6">
        <v>16.463474288912199</v>
      </c>
    </row>
    <row r="187" spans="1:17">
      <c r="A187" s="6" t="s">
        <v>5482</v>
      </c>
      <c r="B187" s="6" t="s">
        <v>5482</v>
      </c>
      <c r="C187" s="6" t="s">
        <v>6755</v>
      </c>
      <c r="D187" s="6" t="s">
        <v>6756</v>
      </c>
      <c r="E187" s="6" t="s">
        <v>6756</v>
      </c>
      <c r="F187" s="6">
        <v>10.6714720129753</v>
      </c>
      <c r="G187" s="6">
        <v>18.747703270183099</v>
      </c>
      <c r="H187" s="6">
        <v>18.7817337895485</v>
      </c>
      <c r="I187" s="6">
        <v>11.5968381065973</v>
      </c>
      <c r="J187" s="6">
        <v>18.1507949179727</v>
      </c>
      <c r="K187" s="6" t="s">
        <v>6254</v>
      </c>
      <c r="L187" s="6">
        <v>18.4578274617316</v>
      </c>
      <c r="M187" s="6">
        <v>17.673990751824899</v>
      </c>
      <c r="N187" s="6">
        <v>13.106909509241101</v>
      </c>
      <c r="O187" s="6">
        <v>19.0801710082314</v>
      </c>
      <c r="P187" s="6">
        <v>19.431275577882801</v>
      </c>
      <c r="Q187" s="6">
        <v>17.661340471825799</v>
      </c>
    </row>
    <row r="188" spans="1:17">
      <c r="A188" s="6" t="s">
        <v>2383</v>
      </c>
      <c r="B188" s="6" t="s">
        <v>2383</v>
      </c>
      <c r="C188" s="6" t="s">
        <v>6757</v>
      </c>
      <c r="D188" s="6" t="s">
        <v>2385</v>
      </c>
      <c r="E188" s="6" t="s">
        <v>2385</v>
      </c>
      <c r="F188" s="6">
        <v>15.9482880294764</v>
      </c>
      <c r="G188" s="6">
        <v>17.302692311892901</v>
      </c>
      <c r="H188" s="6">
        <v>16.947327157967202</v>
      </c>
      <c r="I188" s="6">
        <v>16.204461128015701</v>
      </c>
      <c r="J188" s="6">
        <v>17.086644020414699</v>
      </c>
      <c r="K188" s="6">
        <v>16.1022517689258</v>
      </c>
      <c r="L188" s="6">
        <v>16.671449878262901</v>
      </c>
      <c r="M188" s="6">
        <v>17.002519339457301</v>
      </c>
      <c r="N188" s="6">
        <v>17.403882332192602</v>
      </c>
      <c r="O188" s="6">
        <v>17.5173012933694</v>
      </c>
      <c r="P188" s="6">
        <v>15.8121281727569</v>
      </c>
      <c r="Q188" s="6">
        <v>16.673612847937399</v>
      </c>
    </row>
    <row r="189" spans="1:17">
      <c r="A189" s="6" t="s">
        <v>6758</v>
      </c>
      <c r="B189" s="6" t="s">
        <v>453</v>
      </c>
      <c r="C189" s="6" t="s">
        <v>6759</v>
      </c>
      <c r="D189" s="6" t="s">
        <v>6760</v>
      </c>
      <c r="E189" s="6" t="s">
        <v>6761</v>
      </c>
      <c r="F189" s="6">
        <v>17.3724392820364</v>
      </c>
      <c r="G189" s="6">
        <v>16.896245754336501</v>
      </c>
      <c r="H189" s="6">
        <v>16.9621823227824</v>
      </c>
      <c r="I189" s="6">
        <v>17.6361020992689</v>
      </c>
      <c r="J189" s="6">
        <v>16.222058935920099</v>
      </c>
      <c r="K189" s="6">
        <v>16.6472890163862</v>
      </c>
      <c r="L189" s="6">
        <v>17.310340910728101</v>
      </c>
      <c r="M189" s="6">
        <v>16.119368371638799</v>
      </c>
      <c r="N189" s="6">
        <v>16.773204348664802</v>
      </c>
      <c r="O189" s="6">
        <v>17.399892591196998</v>
      </c>
      <c r="P189" s="6">
        <v>17.339993833577601</v>
      </c>
      <c r="Q189" s="6">
        <v>15.7123750992974</v>
      </c>
    </row>
    <row r="190" spans="1:17">
      <c r="A190" s="6" t="s">
        <v>108</v>
      </c>
      <c r="B190" s="6" t="s">
        <v>108</v>
      </c>
      <c r="C190" s="6" t="s">
        <v>6762</v>
      </c>
      <c r="D190" s="6" t="s">
        <v>6763</v>
      </c>
      <c r="E190" s="6" t="s">
        <v>6763</v>
      </c>
      <c r="F190" s="6">
        <v>17.325384319156701</v>
      </c>
      <c r="G190" s="6">
        <v>16.907825832890101</v>
      </c>
      <c r="H190" s="6">
        <v>16.9772190634358</v>
      </c>
      <c r="I190" s="6">
        <v>17.643631960504599</v>
      </c>
      <c r="J190" s="6">
        <v>16.3887167624532</v>
      </c>
      <c r="K190" s="6">
        <v>16.898646715897801</v>
      </c>
      <c r="L190" s="6">
        <v>17.379514655527</v>
      </c>
      <c r="M190" s="6">
        <v>16.147921313172201</v>
      </c>
      <c r="N190" s="6">
        <v>16.622790111541601</v>
      </c>
      <c r="O190" s="6">
        <v>17.128598876174198</v>
      </c>
      <c r="P190" s="6">
        <v>17.159380207005398</v>
      </c>
      <c r="Q190" s="6">
        <v>15.622756625886099</v>
      </c>
    </row>
    <row r="191" spans="1:17">
      <c r="A191" s="6" t="s">
        <v>324</v>
      </c>
      <c r="B191" s="6" t="s">
        <v>324</v>
      </c>
      <c r="C191" s="6" t="s">
        <v>6764</v>
      </c>
      <c r="D191" s="6" t="s">
        <v>6765</v>
      </c>
      <c r="E191" s="6" t="s">
        <v>6765</v>
      </c>
      <c r="F191" s="6">
        <v>17.425069989993801</v>
      </c>
      <c r="G191" s="6">
        <v>17.065266771184501</v>
      </c>
      <c r="H191" s="6">
        <v>16.833869720781699</v>
      </c>
      <c r="I191" s="6">
        <v>17.692333268806099</v>
      </c>
      <c r="J191" s="6">
        <v>16.248151489700799</v>
      </c>
      <c r="K191" s="6">
        <v>17.086421267662299</v>
      </c>
      <c r="L191" s="6">
        <v>17.4190198679463</v>
      </c>
      <c r="M191" s="6">
        <v>15.9894864173631</v>
      </c>
      <c r="N191" s="6">
        <v>16.360538515718002</v>
      </c>
      <c r="O191" s="6">
        <v>17.0930575917988</v>
      </c>
      <c r="P191" s="6">
        <v>16.7717302382569</v>
      </c>
      <c r="Q191" s="6">
        <v>16.297040702057298</v>
      </c>
    </row>
    <row r="192" spans="1:17">
      <c r="A192" s="6" t="s">
        <v>2603</v>
      </c>
      <c r="B192" s="6" t="s">
        <v>2603</v>
      </c>
      <c r="C192" s="6" t="s">
        <v>6766</v>
      </c>
      <c r="D192" s="6" t="s">
        <v>6767</v>
      </c>
      <c r="E192" s="6" t="s">
        <v>6767</v>
      </c>
      <c r="F192" s="6">
        <v>16.990730552702701</v>
      </c>
      <c r="G192" s="6">
        <v>16.849011590886899</v>
      </c>
      <c r="H192" s="6">
        <v>16.973305577823599</v>
      </c>
      <c r="I192" s="6">
        <v>17.419408085197102</v>
      </c>
      <c r="J192" s="6">
        <v>16.4593640509501</v>
      </c>
      <c r="K192" s="6">
        <v>16.877925058838301</v>
      </c>
      <c r="L192" s="6">
        <v>17.657215188254501</v>
      </c>
      <c r="M192" s="6">
        <v>16.229343753238901</v>
      </c>
      <c r="N192" s="6">
        <v>15.900835206334399</v>
      </c>
      <c r="O192" s="6">
        <v>16.964336904386499</v>
      </c>
      <c r="P192" s="6">
        <v>17.075246935489801</v>
      </c>
      <c r="Q192" s="6">
        <v>15.9463549168855</v>
      </c>
    </row>
    <row r="193" spans="1:17">
      <c r="A193" s="6" t="s">
        <v>169</v>
      </c>
      <c r="B193" s="6" t="s">
        <v>169</v>
      </c>
      <c r="C193" s="6" t="s">
        <v>6768</v>
      </c>
      <c r="D193" s="6" t="s">
        <v>6769</v>
      </c>
      <c r="E193" s="6" t="s">
        <v>6769</v>
      </c>
      <c r="F193" s="6">
        <v>16.437354971953599</v>
      </c>
      <c r="G193" s="6">
        <v>17.379097517398499</v>
      </c>
      <c r="H193" s="6">
        <v>17.1414984184924</v>
      </c>
      <c r="I193" s="6">
        <v>17.172407635432901</v>
      </c>
      <c r="J193" s="6">
        <v>17.180924770197301</v>
      </c>
      <c r="K193" s="6">
        <v>17.193561163773801</v>
      </c>
      <c r="L193" s="6">
        <v>16.546644530416</v>
      </c>
      <c r="M193" s="6">
        <v>17.157462484602799</v>
      </c>
      <c r="N193" s="6">
        <v>17.210982784838301</v>
      </c>
      <c r="O193" s="6">
        <v>17.119545780338498</v>
      </c>
      <c r="P193" s="6">
        <v>16.967462936010701</v>
      </c>
      <c r="Q193" s="6">
        <v>17.1777713056719</v>
      </c>
    </row>
    <row r="194" spans="1:17">
      <c r="A194" s="6" t="s">
        <v>141</v>
      </c>
      <c r="B194" s="6" t="s">
        <v>141</v>
      </c>
      <c r="C194" s="6" t="s">
        <v>6770</v>
      </c>
      <c r="D194" s="6" t="s">
        <v>6771</v>
      </c>
      <c r="E194" s="6" t="s">
        <v>6771</v>
      </c>
      <c r="F194" s="6">
        <v>17.3854072766126</v>
      </c>
      <c r="G194" s="6">
        <v>16.623505342925402</v>
      </c>
      <c r="H194" s="6">
        <v>16.840663330986398</v>
      </c>
      <c r="I194" s="6">
        <v>17.437143764934699</v>
      </c>
      <c r="J194" s="6">
        <v>16.259440661430201</v>
      </c>
      <c r="K194" s="6">
        <v>16.735226494884198</v>
      </c>
      <c r="L194" s="6">
        <v>17.250050580789601</v>
      </c>
      <c r="M194" s="6">
        <v>15.9956109815781</v>
      </c>
      <c r="N194" s="6">
        <v>16.479675889446899</v>
      </c>
      <c r="O194" s="6">
        <v>17.299083897174601</v>
      </c>
      <c r="P194" s="6">
        <v>17.377710526145101</v>
      </c>
      <c r="Q194" s="6">
        <v>15.663418473242601</v>
      </c>
    </row>
    <row r="195" spans="1:17">
      <c r="A195" s="6" t="s">
        <v>524</v>
      </c>
      <c r="B195" s="6" t="s">
        <v>524</v>
      </c>
      <c r="C195" s="6" t="s">
        <v>6772</v>
      </c>
      <c r="D195" s="6" t="s">
        <v>6773</v>
      </c>
      <c r="E195" s="6" t="s">
        <v>6773</v>
      </c>
      <c r="F195" s="6">
        <v>17.369059342652601</v>
      </c>
      <c r="G195" s="6">
        <v>16.686944810090001</v>
      </c>
      <c r="H195" s="6">
        <v>17.217339772467199</v>
      </c>
      <c r="I195" s="6">
        <v>17.677217854941802</v>
      </c>
      <c r="J195" s="6">
        <v>16.578838957215901</v>
      </c>
      <c r="K195" s="6">
        <v>16.9331442662731</v>
      </c>
      <c r="L195" s="6">
        <v>17.3946347270467</v>
      </c>
      <c r="M195" s="6">
        <v>16.175123307069299</v>
      </c>
      <c r="N195" s="6">
        <v>16.364867032432901</v>
      </c>
      <c r="O195" s="6">
        <v>17.059085901305</v>
      </c>
      <c r="P195" s="6">
        <v>17.000723349038498</v>
      </c>
      <c r="Q195" s="6">
        <v>16.3511759941679</v>
      </c>
    </row>
    <row r="196" spans="1:17">
      <c r="A196" s="6" t="s">
        <v>320</v>
      </c>
      <c r="B196" s="6" t="s">
        <v>320</v>
      </c>
      <c r="C196" s="6" t="s">
        <v>6774</v>
      </c>
      <c r="D196" s="6" t="s">
        <v>6775</v>
      </c>
      <c r="E196" s="6" t="s">
        <v>6775</v>
      </c>
      <c r="F196" s="6">
        <v>17.503282977535701</v>
      </c>
      <c r="G196" s="6">
        <v>16.592434186505098</v>
      </c>
      <c r="H196" s="6">
        <v>16.811272175937599</v>
      </c>
      <c r="I196" s="6">
        <v>17.637748178202202</v>
      </c>
      <c r="J196" s="6">
        <v>15.9584068594377</v>
      </c>
      <c r="K196" s="6">
        <v>16.647365631039399</v>
      </c>
      <c r="L196" s="6">
        <v>17.2923300222382</v>
      </c>
      <c r="M196" s="6">
        <v>15.8929506719883</v>
      </c>
      <c r="N196" s="6">
        <v>16.7881686864364</v>
      </c>
      <c r="O196" s="6">
        <v>17.008523212539501</v>
      </c>
      <c r="P196" s="6">
        <v>16.699989920856599</v>
      </c>
      <c r="Q196" s="6">
        <v>15.6606908289929</v>
      </c>
    </row>
    <row r="197" spans="1:17">
      <c r="A197" s="6" t="s">
        <v>6776</v>
      </c>
      <c r="B197" s="6" t="s">
        <v>6776</v>
      </c>
      <c r="C197" s="6" t="s">
        <v>6777</v>
      </c>
      <c r="D197" s="6" t="s">
        <v>6778</v>
      </c>
      <c r="E197" s="6" t="s">
        <v>6778</v>
      </c>
      <c r="F197" s="6">
        <v>17.087514613793299</v>
      </c>
      <c r="G197" s="6">
        <v>16.912227090195199</v>
      </c>
      <c r="H197" s="6">
        <v>16.7831313161034</v>
      </c>
      <c r="I197" s="6">
        <v>17.576870540921298</v>
      </c>
      <c r="J197" s="6">
        <v>16.412647361024302</v>
      </c>
      <c r="K197" s="6">
        <v>17.126394943797699</v>
      </c>
      <c r="L197" s="6">
        <v>17.3579735179373</v>
      </c>
      <c r="M197" s="6">
        <v>16.103256865199299</v>
      </c>
      <c r="N197" s="6">
        <v>16.451195144348802</v>
      </c>
      <c r="O197" s="6">
        <v>17.175757132725899</v>
      </c>
      <c r="P197" s="6">
        <v>17.173424892913602</v>
      </c>
      <c r="Q197" s="6">
        <v>15.813420714739101</v>
      </c>
    </row>
    <row r="198" spans="1:17">
      <c r="A198" s="6" t="s">
        <v>181</v>
      </c>
      <c r="B198" s="6" t="s">
        <v>181</v>
      </c>
      <c r="C198" s="6" t="s">
        <v>6779</v>
      </c>
      <c r="D198" s="6" t="s">
        <v>6780</v>
      </c>
      <c r="E198" s="6" t="s">
        <v>6780</v>
      </c>
      <c r="F198" s="6">
        <v>17.331196887354398</v>
      </c>
      <c r="G198" s="6">
        <v>16.6614664904032</v>
      </c>
      <c r="H198" s="6">
        <v>16.969117227070999</v>
      </c>
      <c r="I198" s="6">
        <v>17.455594952531001</v>
      </c>
      <c r="J198" s="6">
        <v>15.920390531779301</v>
      </c>
      <c r="K198" s="6">
        <v>16.525823443853199</v>
      </c>
      <c r="L198" s="6">
        <v>17.3306829879227</v>
      </c>
      <c r="M198" s="6">
        <v>15.655300650502101</v>
      </c>
      <c r="N198" s="6">
        <v>17.439305776055001</v>
      </c>
      <c r="O198" s="6">
        <v>17.615768122444202</v>
      </c>
      <c r="P198" s="6">
        <v>17.198584079139501</v>
      </c>
      <c r="Q198" s="6">
        <v>15.442695758655001</v>
      </c>
    </row>
    <row r="199" spans="1:17">
      <c r="A199" s="6" t="s">
        <v>1471</v>
      </c>
      <c r="B199" s="6" t="s">
        <v>1471</v>
      </c>
      <c r="C199" s="6" t="s">
        <v>6781</v>
      </c>
      <c r="D199" s="6" t="s">
        <v>6715</v>
      </c>
      <c r="E199" s="6" t="s">
        <v>6715</v>
      </c>
      <c r="F199" s="6">
        <v>17.0863851730502</v>
      </c>
      <c r="G199" s="6">
        <v>16.8404808748794</v>
      </c>
      <c r="H199" s="6">
        <v>17.321444944631502</v>
      </c>
      <c r="I199" s="6">
        <v>17.6011181888612</v>
      </c>
      <c r="J199" s="6">
        <v>16.209835770151699</v>
      </c>
      <c r="K199" s="6">
        <v>16.526869039723699</v>
      </c>
      <c r="L199" s="6">
        <v>17.458083860971701</v>
      </c>
      <c r="M199" s="6">
        <v>16.3448578488</v>
      </c>
      <c r="N199" s="6">
        <v>17.6634595079178</v>
      </c>
      <c r="O199" s="6">
        <v>17.1679627951988</v>
      </c>
      <c r="P199" s="6">
        <v>17.050673445853899</v>
      </c>
      <c r="Q199" s="6">
        <v>15.102313032491599</v>
      </c>
    </row>
    <row r="200" spans="1:17">
      <c r="A200" s="6" t="s">
        <v>1101</v>
      </c>
      <c r="B200" s="6" t="s">
        <v>1101</v>
      </c>
      <c r="C200" s="6" t="s">
        <v>6782</v>
      </c>
      <c r="D200" s="6" t="s">
        <v>6783</v>
      </c>
      <c r="E200" s="6" t="s">
        <v>6783</v>
      </c>
      <c r="F200" s="6">
        <v>17.546256172839801</v>
      </c>
      <c r="G200" s="6">
        <v>17.1351610361233</v>
      </c>
      <c r="H200" s="6">
        <v>17.0109152121398</v>
      </c>
      <c r="I200" s="6">
        <v>17.221183681640898</v>
      </c>
      <c r="J200" s="6">
        <v>17.066234060960401</v>
      </c>
      <c r="K200" s="6">
        <v>17.255001729278</v>
      </c>
      <c r="L200" s="6">
        <v>16.797778657327701</v>
      </c>
      <c r="M200" s="6">
        <v>17.273604128623699</v>
      </c>
      <c r="N200" s="6">
        <v>16.2225638691908</v>
      </c>
      <c r="O200" s="6">
        <v>17.0356153697598</v>
      </c>
      <c r="P200" s="6">
        <v>16.526016254436801</v>
      </c>
      <c r="Q200" s="6">
        <v>17.102219280821199</v>
      </c>
    </row>
    <row r="201" spans="1:17">
      <c r="A201" s="6" t="s">
        <v>485</v>
      </c>
      <c r="B201" s="6" t="s">
        <v>485</v>
      </c>
      <c r="C201" s="6" t="s">
        <v>6784</v>
      </c>
      <c r="D201" s="6" t="s">
        <v>6784</v>
      </c>
      <c r="E201" s="6" t="s">
        <v>6784</v>
      </c>
      <c r="F201" s="6">
        <v>17.578428149300699</v>
      </c>
      <c r="G201" s="6">
        <v>16.724437678566101</v>
      </c>
      <c r="H201" s="6">
        <v>17.356946833395799</v>
      </c>
      <c r="I201" s="6">
        <v>17.250962576690998</v>
      </c>
      <c r="J201" s="6">
        <v>16.0251440090451</v>
      </c>
      <c r="K201" s="6">
        <v>16.281176333720801</v>
      </c>
      <c r="L201" s="6">
        <v>17.621241747301301</v>
      </c>
      <c r="M201" s="6">
        <v>16.403925906531601</v>
      </c>
      <c r="N201" s="6">
        <v>17.064589106850999</v>
      </c>
      <c r="O201" s="6">
        <v>17.133951970422299</v>
      </c>
      <c r="P201" s="6">
        <v>16.9306322630549</v>
      </c>
      <c r="Q201" s="6">
        <v>14.6717968115342</v>
      </c>
    </row>
    <row r="202" spans="1:17">
      <c r="A202" s="6" t="s">
        <v>6785</v>
      </c>
      <c r="B202" s="6" t="s">
        <v>6785</v>
      </c>
      <c r="C202" s="6" t="s">
        <v>6786</v>
      </c>
      <c r="D202" s="6" t="s">
        <v>6787</v>
      </c>
      <c r="E202" s="6" t="s">
        <v>6787</v>
      </c>
      <c r="F202" s="6">
        <v>16.286117789034499</v>
      </c>
      <c r="G202" s="6">
        <v>16.0475612950261</v>
      </c>
      <c r="H202" s="6">
        <v>16.742576645750599</v>
      </c>
      <c r="I202" s="6">
        <v>18.085229168414301</v>
      </c>
      <c r="J202" s="6" t="s">
        <v>6254</v>
      </c>
      <c r="K202" s="6">
        <v>17.118309251835999</v>
      </c>
      <c r="L202" s="6">
        <v>17.616042170330498</v>
      </c>
      <c r="M202" s="6" t="s">
        <v>6254</v>
      </c>
      <c r="N202" s="6">
        <v>15.7178254600163</v>
      </c>
      <c r="O202" s="6">
        <v>16.964002776212901</v>
      </c>
      <c r="P202" s="6">
        <v>17.275492732695799</v>
      </c>
      <c r="Q202" s="6" t="s">
        <v>6254</v>
      </c>
    </row>
    <row r="203" spans="1:17">
      <c r="A203" s="6" t="s">
        <v>495</v>
      </c>
      <c r="B203" s="6" t="s">
        <v>495</v>
      </c>
      <c r="C203" s="6" t="s">
        <v>6788</v>
      </c>
      <c r="D203" s="6" t="s">
        <v>6789</v>
      </c>
      <c r="E203" s="6" t="s">
        <v>6789</v>
      </c>
      <c r="F203" s="6">
        <v>17.080327224034601</v>
      </c>
      <c r="G203" s="6">
        <v>17.1302998336933</v>
      </c>
      <c r="H203" s="6">
        <v>15.9811611946163</v>
      </c>
      <c r="I203" s="6">
        <v>17.2464946104737</v>
      </c>
      <c r="J203" s="6">
        <v>16.499571411311202</v>
      </c>
      <c r="K203" s="6">
        <v>16.768192730743898</v>
      </c>
      <c r="L203" s="6">
        <v>17.586724171629999</v>
      </c>
      <c r="M203" s="6">
        <v>15.1484339767311</v>
      </c>
      <c r="N203" s="6">
        <v>16.8301120031756</v>
      </c>
      <c r="O203" s="6">
        <v>17.2049625985346</v>
      </c>
      <c r="P203" s="6">
        <v>17.043490706613401</v>
      </c>
      <c r="Q203" s="6">
        <v>16.523685713228499</v>
      </c>
    </row>
    <row r="204" spans="1:17">
      <c r="A204" s="6" t="s">
        <v>1302</v>
      </c>
      <c r="B204" s="6" t="s">
        <v>1302</v>
      </c>
      <c r="C204" s="6" t="s">
        <v>6790</v>
      </c>
      <c r="D204" s="6" t="s">
        <v>6791</v>
      </c>
      <c r="E204" s="6" t="s">
        <v>6791</v>
      </c>
      <c r="F204" s="6">
        <v>17.096034251845801</v>
      </c>
      <c r="G204" s="6">
        <v>15.7739730403131</v>
      </c>
      <c r="H204" s="6">
        <v>19.117640576763399</v>
      </c>
      <c r="I204" s="6">
        <v>17.8171178307886</v>
      </c>
      <c r="J204" s="6">
        <v>19.983861746203999</v>
      </c>
      <c r="K204" s="6">
        <v>18.140531842303101</v>
      </c>
      <c r="L204" s="6">
        <v>18.160056413007599</v>
      </c>
      <c r="M204" s="6">
        <v>19.622748852480999</v>
      </c>
      <c r="N204" s="6">
        <v>18.0998063275612</v>
      </c>
      <c r="O204" s="6">
        <v>14.362626218064101</v>
      </c>
      <c r="P204" s="6">
        <v>15.0127804406241</v>
      </c>
      <c r="Q204" s="6">
        <v>16.3254062531804</v>
      </c>
    </row>
    <row r="205" spans="1:17">
      <c r="A205" s="6" t="s">
        <v>104</v>
      </c>
      <c r="B205" s="6" t="s">
        <v>104</v>
      </c>
      <c r="C205" s="6" t="s">
        <v>6792</v>
      </c>
      <c r="D205" s="6" t="s">
        <v>6793</v>
      </c>
      <c r="E205" s="6" t="s">
        <v>6793</v>
      </c>
      <c r="F205" s="6">
        <v>17.741250864529501</v>
      </c>
      <c r="G205" s="6">
        <v>16.955759950507499</v>
      </c>
      <c r="H205" s="6">
        <v>16.592058849907399</v>
      </c>
      <c r="I205" s="6">
        <v>17.5489678948882</v>
      </c>
      <c r="J205" s="6">
        <v>16.685098196553199</v>
      </c>
      <c r="K205" s="6">
        <v>17.1940799267723</v>
      </c>
      <c r="L205" s="6">
        <v>16.875796275861301</v>
      </c>
      <c r="M205" s="6">
        <v>17.3781832108549</v>
      </c>
      <c r="N205" s="6">
        <v>17.096727102118599</v>
      </c>
      <c r="O205" s="6">
        <v>17.323234936630801</v>
      </c>
      <c r="P205" s="6">
        <v>16.9998559540918</v>
      </c>
      <c r="Q205" s="6">
        <v>16.648044941101698</v>
      </c>
    </row>
    <row r="206" spans="1:17">
      <c r="A206" s="6" t="s">
        <v>6794</v>
      </c>
      <c r="B206" s="6" t="s">
        <v>6795</v>
      </c>
      <c r="C206" s="6" t="s">
        <v>6796</v>
      </c>
      <c r="D206" s="6" t="s">
        <v>6797</v>
      </c>
      <c r="E206" s="6" t="s">
        <v>6798</v>
      </c>
      <c r="F206" s="6">
        <v>17.436057784667799</v>
      </c>
      <c r="G206" s="6">
        <v>16.732130444405001</v>
      </c>
      <c r="H206" s="6">
        <v>16.755263943811801</v>
      </c>
      <c r="I206" s="6">
        <v>17.612536814757998</v>
      </c>
      <c r="J206" s="6">
        <v>16.051215937162901</v>
      </c>
      <c r="K206" s="6">
        <v>16.955171667290202</v>
      </c>
      <c r="L206" s="6">
        <v>17.385510271022</v>
      </c>
      <c r="M206" s="6">
        <v>15.856246572048599</v>
      </c>
      <c r="N206" s="6">
        <v>16.348858612841099</v>
      </c>
      <c r="O206" s="6">
        <v>17.321049949428801</v>
      </c>
      <c r="P206" s="6">
        <v>17.135186681596899</v>
      </c>
      <c r="Q206" s="6">
        <v>15.710046754109699</v>
      </c>
    </row>
    <row r="207" spans="1:17">
      <c r="A207" s="6" t="s">
        <v>6799</v>
      </c>
      <c r="B207" s="6" t="s">
        <v>6799</v>
      </c>
      <c r="C207" s="6" t="s">
        <v>6800</v>
      </c>
      <c r="D207" s="6" t="s">
        <v>6801</v>
      </c>
      <c r="E207" s="6" t="s">
        <v>6801</v>
      </c>
      <c r="F207" s="6">
        <v>17.068343685376</v>
      </c>
      <c r="G207" s="6" t="s">
        <v>6254</v>
      </c>
      <c r="H207" s="6">
        <v>16.874081603073201</v>
      </c>
      <c r="I207" s="6">
        <v>17.200976358833699</v>
      </c>
      <c r="J207" s="6">
        <v>16.0870419843368</v>
      </c>
      <c r="K207" s="6">
        <v>16.717751035323602</v>
      </c>
      <c r="L207" s="6">
        <v>17.069795339090199</v>
      </c>
      <c r="M207" s="6" t="s">
        <v>6254</v>
      </c>
      <c r="N207" s="6">
        <v>16.3749253958335</v>
      </c>
      <c r="O207" s="6" t="s">
        <v>6254</v>
      </c>
      <c r="P207" s="6">
        <v>17.0462038869148</v>
      </c>
      <c r="Q207" s="6" t="s">
        <v>6254</v>
      </c>
    </row>
    <row r="208" spans="1:17">
      <c r="A208" s="6" t="s">
        <v>6802</v>
      </c>
      <c r="B208" s="6" t="s">
        <v>6803</v>
      </c>
      <c r="C208" s="6" t="s">
        <v>6804</v>
      </c>
      <c r="D208" s="6" t="s">
        <v>6805</v>
      </c>
      <c r="E208" s="6" t="s">
        <v>6806</v>
      </c>
      <c r="F208" s="6">
        <v>17.228598395106101</v>
      </c>
      <c r="G208" s="6">
        <v>16.436292012648</v>
      </c>
      <c r="H208" s="6">
        <v>17.3150695713787</v>
      </c>
      <c r="I208" s="6">
        <v>17.280515683303602</v>
      </c>
      <c r="J208" s="6">
        <v>16.943048353977499</v>
      </c>
      <c r="K208" s="6">
        <v>16.6524527219444</v>
      </c>
      <c r="L208" s="6">
        <v>17.2553563786546</v>
      </c>
      <c r="M208" s="6">
        <v>17.231271830582799</v>
      </c>
      <c r="N208" s="6">
        <v>17.830581972421001</v>
      </c>
      <c r="O208" s="6">
        <v>16.030513416330201</v>
      </c>
      <c r="P208" s="6">
        <v>16.106012205439299</v>
      </c>
      <c r="Q208" s="6">
        <v>16.6474205322464</v>
      </c>
    </row>
    <row r="209" spans="1:17">
      <c r="A209" s="6" t="s">
        <v>6807</v>
      </c>
      <c r="B209" s="6" t="s">
        <v>6808</v>
      </c>
      <c r="C209" s="6" t="s">
        <v>6809</v>
      </c>
      <c r="D209" s="6" t="s">
        <v>6810</v>
      </c>
      <c r="E209" s="6" t="s">
        <v>6811</v>
      </c>
      <c r="F209" s="6">
        <v>17.805502242387298</v>
      </c>
      <c r="G209" s="6" t="s">
        <v>6254</v>
      </c>
      <c r="H209" s="6">
        <v>17.452472759353199</v>
      </c>
      <c r="I209" s="6">
        <v>18.534005655685998</v>
      </c>
      <c r="J209" s="6">
        <v>16.870941360828301</v>
      </c>
      <c r="K209" s="6">
        <v>17.418337000312601</v>
      </c>
      <c r="L209" s="6">
        <v>18.079219469202901</v>
      </c>
      <c r="M209" s="6">
        <v>16.987529486434699</v>
      </c>
      <c r="N209" s="6">
        <v>18.056844379643898</v>
      </c>
      <c r="O209" s="6">
        <v>15.798758093209001</v>
      </c>
      <c r="P209" s="6">
        <v>15.9068713904998</v>
      </c>
      <c r="Q209" s="6">
        <v>14.2571601184187</v>
      </c>
    </row>
    <row r="210" spans="1:17">
      <c r="A210" s="6" t="s">
        <v>6812</v>
      </c>
      <c r="B210" s="6" t="s">
        <v>6812</v>
      </c>
      <c r="C210" s="6" t="s">
        <v>6813</v>
      </c>
      <c r="D210" s="6" t="s">
        <v>6814</v>
      </c>
      <c r="E210" s="6" t="s">
        <v>6814</v>
      </c>
      <c r="F210" s="6">
        <v>17.252751122242302</v>
      </c>
      <c r="G210" s="6">
        <v>15.9532263633737</v>
      </c>
      <c r="H210" s="6">
        <v>17.216379695326498</v>
      </c>
      <c r="I210" s="6">
        <v>17.430523963050401</v>
      </c>
      <c r="J210" s="6">
        <v>16.3125689354477</v>
      </c>
      <c r="K210" s="6">
        <v>16.7531036793402</v>
      </c>
      <c r="L210" s="6">
        <v>17.099295251213899</v>
      </c>
      <c r="M210" s="6">
        <v>16.889024234417899</v>
      </c>
      <c r="N210" s="6">
        <v>17.042303817433702</v>
      </c>
      <c r="O210" s="6">
        <v>16.887002363311201</v>
      </c>
      <c r="P210" s="6">
        <v>17.198086364950299</v>
      </c>
      <c r="Q210" s="6">
        <v>15.5218522851128</v>
      </c>
    </row>
    <row r="211" spans="1:17">
      <c r="A211" s="6" t="s">
        <v>120</v>
      </c>
      <c r="B211" s="6" t="s">
        <v>120</v>
      </c>
      <c r="C211" s="6" t="s">
        <v>6815</v>
      </c>
      <c r="D211" s="6" t="s">
        <v>6816</v>
      </c>
      <c r="E211" s="6" t="s">
        <v>6816</v>
      </c>
      <c r="F211" s="6">
        <v>17.2639298532259</v>
      </c>
      <c r="G211" s="6">
        <v>16.4874528986591</v>
      </c>
      <c r="H211" s="6">
        <v>16.745399856719999</v>
      </c>
      <c r="I211" s="6">
        <v>17.131113844430601</v>
      </c>
      <c r="J211" s="6">
        <v>15.9220046034406</v>
      </c>
      <c r="K211" s="6">
        <v>15.919468958920101</v>
      </c>
      <c r="L211" s="6">
        <v>17.330988297455701</v>
      </c>
      <c r="M211" s="6">
        <v>15.916715365866001</v>
      </c>
      <c r="N211" s="6">
        <v>17.363366035750701</v>
      </c>
      <c r="O211" s="6">
        <v>17.001128227010099</v>
      </c>
      <c r="P211" s="6">
        <v>16.918040472844702</v>
      </c>
      <c r="Q211" s="6">
        <v>15.4118772775488</v>
      </c>
    </row>
    <row r="212" spans="1:17">
      <c r="A212" s="6" t="s">
        <v>6817</v>
      </c>
      <c r="B212" s="6" t="s">
        <v>6818</v>
      </c>
      <c r="C212" s="6" t="s">
        <v>6819</v>
      </c>
      <c r="D212" s="6" t="s">
        <v>6820</v>
      </c>
      <c r="E212" s="6" t="s">
        <v>6821</v>
      </c>
      <c r="F212" s="6">
        <v>17.3855115556489</v>
      </c>
      <c r="G212" s="6">
        <v>16.816006573052999</v>
      </c>
      <c r="H212" s="6">
        <v>16.980912193230498</v>
      </c>
      <c r="I212" s="6">
        <v>17.476517682997901</v>
      </c>
      <c r="J212" s="6">
        <v>15.5838894187112</v>
      </c>
      <c r="K212" s="6">
        <v>16.671925653699301</v>
      </c>
      <c r="L212" s="6">
        <v>17.3667307904377</v>
      </c>
      <c r="M212" s="6">
        <v>16.082926681842402</v>
      </c>
      <c r="N212" s="6">
        <v>16.4347741418776</v>
      </c>
      <c r="O212" s="6">
        <v>16.643601999914601</v>
      </c>
      <c r="P212" s="6">
        <v>16.5298159643093</v>
      </c>
      <c r="Q212" s="6" t="s">
        <v>6254</v>
      </c>
    </row>
    <row r="213" spans="1:17">
      <c r="A213" s="6" t="s">
        <v>6822</v>
      </c>
      <c r="B213" s="6" t="s">
        <v>6822</v>
      </c>
      <c r="C213" s="6" t="s">
        <v>6823</v>
      </c>
      <c r="D213" s="6" t="s">
        <v>6824</v>
      </c>
      <c r="E213" s="6" t="s">
        <v>6824</v>
      </c>
      <c r="F213" s="6">
        <v>16.663079074237402</v>
      </c>
      <c r="G213" s="6">
        <v>18.304740539177999</v>
      </c>
      <c r="H213" s="6">
        <v>16.868447389567599</v>
      </c>
      <c r="I213" s="6">
        <v>17.277196735860599</v>
      </c>
      <c r="J213" s="6">
        <v>17.2936297813214</v>
      </c>
      <c r="K213" s="6">
        <v>16.517863480394102</v>
      </c>
      <c r="L213" s="6">
        <v>16.592072440839502</v>
      </c>
      <c r="M213" s="6">
        <v>17.505164138919099</v>
      </c>
      <c r="N213" s="6">
        <v>17.255912259496899</v>
      </c>
      <c r="O213" s="6">
        <v>17.084511731673501</v>
      </c>
      <c r="P213" s="6">
        <v>16.544384673968999</v>
      </c>
      <c r="Q213" s="6">
        <v>14.296841554478601</v>
      </c>
    </row>
    <row r="214" spans="1:17">
      <c r="A214" s="6" t="s">
        <v>2423</v>
      </c>
      <c r="B214" s="6" t="s">
        <v>2423</v>
      </c>
      <c r="C214" s="6" t="s">
        <v>6825</v>
      </c>
      <c r="D214" s="6" t="s">
        <v>6826</v>
      </c>
      <c r="E214" s="6" t="s">
        <v>6826</v>
      </c>
      <c r="F214" s="6">
        <v>15.5587831597906</v>
      </c>
      <c r="G214" s="6">
        <v>15.5684327283693</v>
      </c>
      <c r="H214" s="6">
        <v>17.086049741164999</v>
      </c>
      <c r="I214" s="6">
        <v>17.7162802710939</v>
      </c>
      <c r="J214" s="6">
        <v>16.545986788235201</v>
      </c>
      <c r="K214" s="6">
        <v>16.917980068485399</v>
      </c>
      <c r="L214" s="6">
        <v>17.234435676076099</v>
      </c>
      <c r="M214" s="6">
        <v>16.257624962112398</v>
      </c>
      <c r="N214" s="6">
        <v>16.4550755849043</v>
      </c>
      <c r="O214" s="6">
        <v>17.229244088969299</v>
      </c>
      <c r="P214" s="6">
        <v>16.922901854331101</v>
      </c>
      <c r="Q214" s="6">
        <v>15.9298748621959</v>
      </c>
    </row>
    <row r="215" spans="1:17">
      <c r="A215" s="6" t="s">
        <v>132</v>
      </c>
      <c r="B215" s="6" t="s">
        <v>132</v>
      </c>
      <c r="C215" s="6" t="s">
        <v>6827</v>
      </c>
      <c r="D215" s="6" t="s">
        <v>6828</v>
      </c>
      <c r="E215" s="6" t="s">
        <v>6828</v>
      </c>
      <c r="F215" s="6">
        <v>17.248737534933699</v>
      </c>
      <c r="G215" s="6">
        <v>16.543948894654498</v>
      </c>
      <c r="H215" s="6">
        <v>16.9155019816498</v>
      </c>
      <c r="I215" s="6">
        <v>17.4427661336589</v>
      </c>
      <c r="J215" s="6">
        <v>15.9270931430456</v>
      </c>
      <c r="K215" s="6">
        <v>16.7119009582856</v>
      </c>
      <c r="L215" s="6">
        <v>17.289824670434001</v>
      </c>
      <c r="M215" s="6">
        <v>15.967540399759301</v>
      </c>
      <c r="N215" s="6">
        <v>16.477009669952601</v>
      </c>
      <c r="O215" s="6">
        <v>17.123246781436698</v>
      </c>
      <c r="P215" s="6">
        <v>17.141194805479799</v>
      </c>
      <c r="Q215" s="6">
        <v>15.546032460038299</v>
      </c>
    </row>
    <row r="216" spans="1:17">
      <c r="A216" s="6" t="s">
        <v>217</v>
      </c>
      <c r="B216" s="6" t="s">
        <v>217</v>
      </c>
      <c r="C216" s="6" t="s">
        <v>6829</v>
      </c>
      <c r="D216" s="6" t="s">
        <v>6830</v>
      </c>
      <c r="E216" s="6" t="s">
        <v>6830</v>
      </c>
      <c r="F216" s="6">
        <v>16.229860627380599</v>
      </c>
      <c r="G216" s="6">
        <v>16.849760757700899</v>
      </c>
      <c r="H216" s="6">
        <v>17.237378517515602</v>
      </c>
      <c r="I216" s="6">
        <v>16.707506404824201</v>
      </c>
      <c r="J216" s="6">
        <v>16.990485460927299</v>
      </c>
      <c r="K216" s="6">
        <v>16.948407739255401</v>
      </c>
      <c r="L216" s="6">
        <v>16.5498565912863</v>
      </c>
      <c r="M216" s="6">
        <v>17.461368998763898</v>
      </c>
      <c r="N216" s="6">
        <v>16.992392282205699</v>
      </c>
      <c r="O216" s="6">
        <v>16.798191429750801</v>
      </c>
      <c r="P216" s="6">
        <v>16.432819249204801</v>
      </c>
      <c r="Q216" s="6">
        <v>17.2526537559649</v>
      </c>
    </row>
    <row r="217" spans="1:17">
      <c r="A217" s="6" t="s">
        <v>245</v>
      </c>
      <c r="B217" s="6" t="s">
        <v>245</v>
      </c>
      <c r="C217" s="6" t="s">
        <v>6831</v>
      </c>
      <c r="D217" s="6" t="s">
        <v>6832</v>
      </c>
      <c r="E217" s="6" t="s">
        <v>6832</v>
      </c>
      <c r="F217" s="6">
        <v>17.259913832232201</v>
      </c>
      <c r="G217" s="6">
        <v>16.711214735546601</v>
      </c>
      <c r="H217" s="6">
        <v>16.643876015949999</v>
      </c>
      <c r="I217" s="6">
        <v>17.307444559743601</v>
      </c>
      <c r="J217" s="6">
        <v>15.9470842144376</v>
      </c>
      <c r="K217" s="6">
        <v>16.594102467319299</v>
      </c>
      <c r="L217" s="6">
        <v>17.282066677357399</v>
      </c>
      <c r="M217" s="6">
        <v>15.9679228397604</v>
      </c>
      <c r="N217" s="6">
        <v>16.483509285674199</v>
      </c>
      <c r="O217" s="6">
        <v>17.082861135175499</v>
      </c>
      <c r="P217" s="6">
        <v>16.858154110457502</v>
      </c>
      <c r="Q217" s="6">
        <v>15.6268133368363</v>
      </c>
    </row>
    <row r="218" spans="1:17">
      <c r="A218" s="6" t="s">
        <v>539</v>
      </c>
      <c r="B218" s="6" t="s">
        <v>539</v>
      </c>
      <c r="C218" s="6" t="s">
        <v>6833</v>
      </c>
      <c r="D218" s="6" t="s">
        <v>6834</v>
      </c>
      <c r="E218" s="6" t="s">
        <v>6834</v>
      </c>
      <c r="F218" s="6">
        <v>17.3494808995307</v>
      </c>
      <c r="G218" s="6">
        <v>16.850472992112898</v>
      </c>
      <c r="H218" s="6">
        <v>16.730568213596001</v>
      </c>
      <c r="I218" s="6">
        <v>17.330722702749998</v>
      </c>
      <c r="J218" s="6">
        <v>16.239616536364601</v>
      </c>
      <c r="K218" s="6">
        <v>16.6602614460454</v>
      </c>
      <c r="L218" s="6">
        <v>17.115734877156701</v>
      </c>
      <c r="M218" s="6">
        <v>16.10218619978</v>
      </c>
      <c r="N218" s="6">
        <v>16.334675604936201</v>
      </c>
      <c r="O218" s="6">
        <v>16.902690618647899</v>
      </c>
      <c r="P218" s="6">
        <v>16.860813025592702</v>
      </c>
      <c r="Q218" s="6">
        <v>15.7370055710596</v>
      </c>
    </row>
    <row r="219" spans="1:17">
      <c r="A219" s="6" t="s">
        <v>678</v>
      </c>
      <c r="B219" s="6" t="s">
        <v>680</v>
      </c>
      <c r="C219" s="6" t="s">
        <v>6835</v>
      </c>
      <c r="D219" s="6" t="s">
        <v>6836</v>
      </c>
      <c r="E219" s="6" t="s">
        <v>6837</v>
      </c>
      <c r="F219" s="6">
        <v>18.167318921387199</v>
      </c>
      <c r="G219" s="6">
        <v>19.354840298804501</v>
      </c>
      <c r="H219" s="6">
        <v>17.865693441320001</v>
      </c>
      <c r="I219" s="6">
        <v>15.551583138998399</v>
      </c>
      <c r="J219" s="6">
        <v>14.608713539829701</v>
      </c>
      <c r="K219" s="6">
        <v>14.723579194542699</v>
      </c>
      <c r="L219" s="6">
        <v>15.113013745748701</v>
      </c>
      <c r="M219" s="6">
        <v>14.8011249744692</v>
      </c>
      <c r="N219" s="6">
        <v>18.988025268507901</v>
      </c>
      <c r="O219" s="6">
        <v>18.0767772133383</v>
      </c>
      <c r="P219" s="6">
        <v>14.0200457916145</v>
      </c>
      <c r="Q219" s="6">
        <v>17.029364736963</v>
      </c>
    </row>
    <row r="220" spans="1:17">
      <c r="A220" s="6" t="s">
        <v>254</v>
      </c>
      <c r="B220" s="6" t="s">
        <v>254</v>
      </c>
      <c r="C220" s="6" t="s">
        <v>6838</v>
      </c>
      <c r="D220" s="6" t="s">
        <v>6839</v>
      </c>
      <c r="E220" s="6" t="s">
        <v>6839</v>
      </c>
      <c r="F220" s="6">
        <v>17.059418520718399</v>
      </c>
      <c r="G220" s="6">
        <v>16.621109497016299</v>
      </c>
      <c r="H220" s="6">
        <v>16.852177578135301</v>
      </c>
      <c r="I220" s="6">
        <v>17.390342233285999</v>
      </c>
      <c r="J220" s="6">
        <v>15.9797211495985</v>
      </c>
      <c r="K220" s="6">
        <v>16.659032750592001</v>
      </c>
      <c r="L220" s="6">
        <v>17.2866551745681</v>
      </c>
      <c r="M220" s="6">
        <v>15.984221055598599</v>
      </c>
      <c r="N220" s="6">
        <v>16.324251159485801</v>
      </c>
      <c r="O220" s="6">
        <v>17.016203881880099</v>
      </c>
      <c r="P220" s="6">
        <v>16.708349581149299</v>
      </c>
      <c r="Q220" s="6">
        <v>15.5609656787367</v>
      </c>
    </row>
    <row r="221" spans="1:17">
      <c r="A221" s="6" t="s">
        <v>6840</v>
      </c>
      <c r="B221" s="6" t="s">
        <v>6840</v>
      </c>
      <c r="C221" s="6" t="s">
        <v>6841</v>
      </c>
      <c r="D221" s="6" t="s">
        <v>6842</v>
      </c>
      <c r="E221" s="6" t="s">
        <v>6842</v>
      </c>
      <c r="F221" s="6">
        <v>16.8340234752791</v>
      </c>
      <c r="G221" s="6" t="s">
        <v>6254</v>
      </c>
      <c r="H221" s="6">
        <v>16.989129120000499</v>
      </c>
      <c r="I221" s="6" t="s">
        <v>6254</v>
      </c>
      <c r="J221" s="6" t="s">
        <v>6254</v>
      </c>
      <c r="K221" s="6" t="s">
        <v>6254</v>
      </c>
      <c r="L221" s="6">
        <v>17.777308941579399</v>
      </c>
      <c r="M221" s="6" t="s">
        <v>6254</v>
      </c>
      <c r="N221" s="6" t="s">
        <v>6254</v>
      </c>
      <c r="O221" s="6" t="s">
        <v>6254</v>
      </c>
      <c r="P221" s="6">
        <v>16.6395277334375</v>
      </c>
      <c r="Q221" s="6" t="s">
        <v>6254</v>
      </c>
    </row>
    <row r="222" spans="1:17">
      <c r="A222" s="6" t="s">
        <v>510</v>
      </c>
      <c r="B222" s="6" t="s">
        <v>510</v>
      </c>
      <c r="C222" s="6" t="s">
        <v>6843</v>
      </c>
      <c r="D222" s="6" t="s">
        <v>6844</v>
      </c>
      <c r="E222" s="6" t="s">
        <v>6844</v>
      </c>
      <c r="F222" s="6">
        <v>15.962428455419699</v>
      </c>
      <c r="G222" s="6">
        <v>16.936093005489099</v>
      </c>
      <c r="H222" s="6">
        <v>17.302715580313802</v>
      </c>
      <c r="I222" s="6">
        <v>16.6202595490007</v>
      </c>
      <c r="J222" s="6">
        <v>16.5927895143307</v>
      </c>
      <c r="K222" s="6">
        <v>16.8647882534834</v>
      </c>
      <c r="L222" s="6">
        <v>16.7295572649749</v>
      </c>
      <c r="M222" s="6">
        <v>17.263491115799798</v>
      </c>
      <c r="N222" s="6">
        <v>16.422921932228299</v>
      </c>
      <c r="O222" s="6">
        <v>16.183353978192802</v>
      </c>
      <c r="P222" s="6">
        <v>16.710096794889001</v>
      </c>
      <c r="Q222" s="6">
        <v>17.005417207289199</v>
      </c>
    </row>
    <row r="223" spans="1:17">
      <c r="A223" s="6" t="s">
        <v>366</v>
      </c>
      <c r="B223" s="6" t="s">
        <v>366</v>
      </c>
      <c r="C223" s="6" t="s">
        <v>6845</v>
      </c>
      <c r="D223" s="6" t="s">
        <v>6846</v>
      </c>
      <c r="E223" s="6" t="s">
        <v>6846</v>
      </c>
      <c r="F223" s="6">
        <v>17.260346877289098</v>
      </c>
      <c r="G223" s="6">
        <v>16.5462965984369</v>
      </c>
      <c r="H223" s="6">
        <v>16.5313644408178</v>
      </c>
      <c r="I223" s="6">
        <v>17.642764001385999</v>
      </c>
      <c r="J223" s="6">
        <v>15.837328792462801</v>
      </c>
      <c r="K223" s="6">
        <v>16.679615619607201</v>
      </c>
      <c r="L223" s="6">
        <v>17.317648377872299</v>
      </c>
      <c r="M223" s="6">
        <v>15.5258795240617</v>
      </c>
      <c r="N223" s="6">
        <v>16.288091281796</v>
      </c>
      <c r="O223" s="6">
        <v>17.212091660771801</v>
      </c>
      <c r="P223" s="6">
        <v>16.8626009578104</v>
      </c>
      <c r="Q223" s="6">
        <v>15.4713117241122</v>
      </c>
    </row>
    <row r="224" spans="1:17">
      <c r="A224" s="6" t="s">
        <v>5923</v>
      </c>
      <c r="B224" s="6" t="s">
        <v>5923</v>
      </c>
      <c r="C224" s="6" t="s">
        <v>6847</v>
      </c>
      <c r="D224" s="6" t="s">
        <v>6848</v>
      </c>
      <c r="E224" s="6" t="s">
        <v>6848</v>
      </c>
      <c r="F224" s="6">
        <v>16.397146848399899</v>
      </c>
      <c r="G224" s="6">
        <v>16.751084690036102</v>
      </c>
      <c r="H224" s="6">
        <v>16.750984851959</v>
      </c>
      <c r="I224" s="6">
        <v>16.626680536560698</v>
      </c>
      <c r="J224" s="6">
        <v>15.2175157277913</v>
      </c>
      <c r="K224" s="6">
        <v>15.784138971600999</v>
      </c>
      <c r="L224" s="6">
        <v>16.921840863446501</v>
      </c>
      <c r="M224" s="6">
        <v>15.5102857039636</v>
      </c>
      <c r="N224" s="6">
        <v>17.3836965197316</v>
      </c>
      <c r="O224" s="6">
        <v>16.766208680791401</v>
      </c>
      <c r="P224" s="6">
        <v>16.701515855189601</v>
      </c>
      <c r="Q224" s="6">
        <v>15.6511732772221</v>
      </c>
    </row>
    <row r="225" spans="1:17">
      <c r="A225" s="6" t="s">
        <v>2516</v>
      </c>
      <c r="B225" s="6" t="s">
        <v>2516</v>
      </c>
      <c r="C225" s="6" t="s">
        <v>6849</v>
      </c>
      <c r="D225" s="6" t="s">
        <v>6850</v>
      </c>
      <c r="E225" s="6" t="s">
        <v>6850</v>
      </c>
      <c r="F225" s="6">
        <v>16.4250281183364</v>
      </c>
      <c r="G225" s="6">
        <v>15.753854669593901</v>
      </c>
      <c r="H225" s="6">
        <v>15.645761798101899</v>
      </c>
      <c r="I225" s="6">
        <v>15.9989541617801</v>
      </c>
      <c r="J225" s="6">
        <v>16.4622777764578</v>
      </c>
      <c r="K225" s="6">
        <v>16.675587674331499</v>
      </c>
      <c r="L225" s="6">
        <v>17.389810765951101</v>
      </c>
      <c r="M225" s="6">
        <v>15.7783233107047</v>
      </c>
      <c r="N225" s="6">
        <v>15.6490450424276</v>
      </c>
      <c r="O225" s="6">
        <v>17.546616308712299</v>
      </c>
      <c r="P225" s="6">
        <v>16.760168519010801</v>
      </c>
      <c r="Q225" s="6">
        <v>16.1590495930241</v>
      </c>
    </row>
    <row r="226" spans="1:17">
      <c r="A226" s="6" t="s">
        <v>6851</v>
      </c>
      <c r="B226" s="6" t="s">
        <v>6851</v>
      </c>
      <c r="C226" s="6" t="s">
        <v>6852</v>
      </c>
      <c r="D226" s="6" t="s">
        <v>6853</v>
      </c>
      <c r="E226" s="6" t="s">
        <v>6853</v>
      </c>
      <c r="F226" s="6">
        <v>17.7540589319233</v>
      </c>
      <c r="G226" s="6">
        <v>17.154563056918601</v>
      </c>
      <c r="H226" s="6">
        <v>17.150184251624101</v>
      </c>
      <c r="I226" s="6">
        <v>17.948578577644</v>
      </c>
      <c r="J226" s="6">
        <v>16.6176213624783</v>
      </c>
      <c r="K226" s="6">
        <v>17.255934556304101</v>
      </c>
      <c r="L226" s="6">
        <v>14.9053771712355</v>
      </c>
      <c r="M226" s="6">
        <v>16.356040913763799</v>
      </c>
      <c r="N226" s="6">
        <v>16.875586524088099</v>
      </c>
      <c r="O226" s="6">
        <v>17.469023029190598</v>
      </c>
      <c r="P226" s="6">
        <v>17.025980155978701</v>
      </c>
      <c r="Q226" s="6">
        <v>15.0917793216458</v>
      </c>
    </row>
    <row r="227" spans="1:17">
      <c r="A227" s="6" t="s">
        <v>203</v>
      </c>
      <c r="B227" s="6" t="s">
        <v>203</v>
      </c>
      <c r="C227" s="6" t="s">
        <v>6854</v>
      </c>
      <c r="D227" s="6" t="s">
        <v>6855</v>
      </c>
      <c r="E227" s="6" t="s">
        <v>6855</v>
      </c>
      <c r="F227" s="6">
        <v>17.070259270097701</v>
      </c>
      <c r="G227" s="6">
        <v>16.4071387828103</v>
      </c>
      <c r="H227" s="6">
        <v>16.677520889294001</v>
      </c>
      <c r="I227" s="6">
        <v>17.363650239517</v>
      </c>
      <c r="J227" s="6">
        <v>15.8243932296865</v>
      </c>
      <c r="K227" s="6">
        <v>16.395733319006101</v>
      </c>
      <c r="L227" s="6">
        <v>17.1757676682153</v>
      </c>
      <c r="M227" s="6">
        <v>15.9109266474343</v>
      </c>
      <c r="N227" s="6">
        <v>16.0123083113326</v>
      </c>
      <c r="O227" s="6">
        <v>17.040349044806899</v>
      </c>
      <c r="P227" s="6">
        <v>16.915119776237699</v>
      </c>
      <c r="Q227" s="6">
        <v>15.529039756631301</v>
      </c>
    </row>
    <row r="228" spans="1:17">
      <c r="A228" s="6" t="s">
        <v>891</v>
      </c>
      <c r="B228" s="6" t="s">
        <v>891</v>
      </c>
      <c r="C228" s="6" t="s">
        <v>6856</v>
      </c>
      <c r="D228" s="6" t="s">
        <v>6857</v>
      </c>
      <c r="E228" s="6" t="s">
        <v>6857</v>
      </c>
      <c r="F228" s="6">
        <v>16.240423485476299</v>
      </c>
      <c r="G228" s="6">
        <v>17.173522466259499</v>
      </c>
      <c r="H228" s="6">
        <v>16.758880424441799</v>
      </c>
      <c r="I228" s="6">
        <v>16.4166162936645</v>
      </c>
      <c r="J228" s="6">
        <v>16.679225863537098</v>
      </c>
      <c r="K228" s="6">
        <v>16.3692718229074</v>
      </c>
      <c r="L228" s="6">
        <v>16.249842793137699</v>
      </c>
      <c r="M228" s="6">
        <v>16.888382690810001</v>
      </c>
      <c r="N228" s="6">
        <v>16.387840541105898</v>
      </c>
      <c r="O228" s="6">
        <v>17.064842386577801</v>
      </c>
      <c r="P228" s="6">
        <v>16.633415413007199</v>
      </c>
      <c r="Q228" s="6">
        <v>16.570683193826898</v>
      </c>
    </row>
    <row r="229" spans="1:17">
      <c r="A229" s="6" t="s">
        <v>6858</v>
      </c>
      <c r="B229" s="6" t="s">
        <v>1406</v>
      </c>
      <c r="C229" s="6" t="s">
        <v>6859</v>
      </c>
      <c r="D229" s="6" t="s">
        <v>6860</v>
      </c>
      <c r="E229" s="6" t="s">
        <v>6861</v>
      </c>
      <c r="F229" s="6">
        <v>17.234820278076999</v>
      </c>
      <c r="G229" s="6">
        <v>16.243731684348401</v>
      </c>
      <c r="H229" s="6">
        <v>17.102075098373302</v>
      </c>
      <c r="I229" s="6">
        <v>17.295317834315</v>
      </c>
      <c r="J229" s="6">
        <v>16.229224773982502</v>
      </c>
      <c r="K229" s="6">
        <v>16.7750051432057</v>
      </c>
      <c r="L229" s="6">
        <v>17.2132328865675</v>
      </c>
      <c r="M229" s="6">
        <v>15.829680065061501</v>
      </c>
      <c r="N229" s="6">
        <v>16.479826594194101</v>
      </c>
      <c r="O229" s="6">
        <v>16.731313784106</v>
      </c>
      <c r="P229" s="6">
        <v>17.417604943453401</v>
      </c>
      <c r="Q229" s="6">
        <v>15.282729362035299</v>
      </c>
    </row>
    <row r="230" spans="1:17">
      <c r="A230" s="6" t="s">
        <v>1526</v>
      </c>
      <c r="B230" s="6" t="s">
        <v>1526</v>
      </c>
      <c r="C230" s="6" t="s">
        <v>6862</v>
      </c>
      <c r="D230" s="6" t="s">
        <v>6863</v>
      </c>
      <c r="E230" s="6" t="s">
        <v>6863</v>
      </c>
      <c r="F230" s="6">
        <v>17.122103933258199</v>
      </c>
      <c r="G230" s="6">
        <v>16.2203559259131</v>
      </c>
      <c r="H230" s="6">
        <v>16.6595865671563</v>
      </c>
      <c r="I230" s="6">
        <v>17.266068347913102</v>
      </c>
      <c r="J230" s="6">
        <v>16.0981684037816</v>
      </c>
      <c r="K230" s="6">
        <v>16.808910149364198</v>
      </c>
      <c r="L230" s="6">
        <v>17.174956764439099</v>
      </c>
      <c r="M230" s="6">
        <v>16.060998703442099</v>
      </c>
      <c r="N230" s="6">
        <v>16.2532664226989</v>
      </c>
      <c r="O230" s="6">
        <v>16.849375404731799</v>
      </c>
      <c r="P230" s="6">
        <v>16.681593495955902</v>
      </c>
      <c r="Q230" s="6">
        <v>15.0984035010169</v>
      </c>
    </row>
    <row r="231" spans="1:17">
      <c r="A231" s="6" t="s">
        <v>190</v>
      </c>
      <c r="B231" s="6" t="s">
        <v>190</v>
      </c>
      <c r="C231" s="6" t="s">
        <v>6864</v>
      </c>
      <c r="D231" s="6" t="s">
        <v>6865</v>
      </c>
      <c r="E231" s="6" t="s">
        <v>6865</v>
      </c>
      <c r="F231" s="6">
        <v>17.023950304552699</v>
      </c>
      <c r="G231" s="6">
        <v>17.3810050935591</v>
      </c>
      <c r="H231" s="6">
        <v>16.481316569044299</v>
      </c>
      <c r="I231" s="6">
        <v>17.255056461311199</v>
      </c>
      <c r="J231" s="6">
        <v>16.133900726405098</v>
      </c>
      <c r="K231" s="6">
        <v>17.110318632505201</v>
      </c>
      <c r="L231" s="6">
        <v>16.353957901028799</v>
      </c>
      <c r="M231" s="6">
        <v>17.1125987971539</v>
      </c>
      <c r="N231" s="6">
        <v>17.0140090247247</v>
      </c>
      <c r="O231" s="6">
        <v>17.280072824833798</v>
      </c>
      <c r="P231" s="6">
        <v>17.123573135771998</v>
      </c>
      <c r="Q231" s="6">
        <v>16.202209847704498</v>
      </c>
    </row>
    <row r="232" spans="1:17">
      <c r="A232" s="6" t="s">
        <v>558</v>
      </c>
      <c r="B232" s="6" t="s">
        <v>558</v>
      </c>
      <c r="C232" s="6" t="s">
        <v>6866</v>
      </c>
      <c r="D232" s="6" t="s">
        <v>6867</v>
      </c>
      <c r="E232" s="6" t="s">
        <v>6867</v>
      </c>
      <c r="F232" s="6">
        <v>17.235554278579698</v>
      </c>
      <c r="G232" s="6">
        <v>16.760144202741099</v>
      </c>
      <c r="H232" s="6">
        <v>16.6229977385726</v>
      </c>
      <c r="I232" s="6">
        <v>17.014296450599801</v>
      </c>
      <c r="J232" s="6">
        <v>15.8792226072772</v>
      </c>
      <c r="K232" s="6">
        <v>16.285268238243699</v>
      </c>
      <c r="L232" s="6">
        <v>16.920807535563601</v>
      </c>
      <c r="M232" s="6">
        <v>15.665584277225699</v>
      </c>
      <c r="N232" s="6">
        <v>16.173182812652598</v>
      </c>
      <c r="O232" s="6">
        <v>17.043867413129998</v>
      </c>
      <c r="P232" s="6">
        <v>16.8952661945861</v>
      </c>
      <c r="Q232" s="6">
        <v>15.4995632320667</v>
      </c>
    </row>
    <row r="233" spans="1:17">
      <c r="A233" s="6" t="s">
        <v>534</v>
      </c>
      <c r="B233" s="6" t="s">
        <v>536</v>
      </c>
      <c r="C233" s="6" t="s">
        <v>6868</v>
      </c>
      <c r="D233" s="6" t="s">
        <v>6869</v>
      </c>
      <c r="E233" s="6" t="s">
        <v>6870</v>
      </c>
      <c r="F233" s="6">
        <v>17.057937949134601</v>
      </c>
      <c r="G233" s="6">
        <v>16.6304799058992</v>
      </c>
      <c r="H233" s="6">
        <v>16.513715784666001</v>
      </c>
      <c r="I233" s="6">
        <v>17.054517376642799</v>
      </c>
      <c r="J233" s="6">
        <v>15.9207560196883</v>
      </c>
      <c r="K233" s="6">
        <v>16.662146405431201</v>
      </c>
      <c r="L233" s="6">
        <v>16.989039936886002</v>
      </c>
      <c r="M233" s="6">
        <v>15.7054508226698</v>
      </c>
      <c r="N233" s="6">
        <v>15.859385487306801</v>
      </c>
      <c r="O233" s="6">
        <v>16.9910632672836</v>
      </c>
      <c r="P233" s="6">
        <v>17.193916610994702</v>
      </c>
      <c r="Q233" s="6">
        <v>15.6943608771813</v>
      </c>
    </row>
    <row r="234" spans="1:17">
      <c r="A234" s="6" t="s">
        <v>6871</v>
      </c>
      <c r="B234" s="6" t="s">
        <v>6872</v>
      </c>
      <c r="C234" s="6" t="s">
        <v>6873</v>
      </c>
      <c r="D234" s="6" t="s">
        <v>6874</v>
      </c>
      <c r="E234" s="6" t="s">
        <v>6875</v>
      </c>
      <c r="F234" s="6">
        <v>16.043379359601499</v>
      </c>
      <c r="G234" s="6">
        <v>14.388096423198901</v>
      </c>
      <c r="H234" s="6" t="s">
        <v>6254</v>
      </c>
      <c r="I234" s="6">
        <v>18.2634346941981</v>
      </c>
      <c r="J234" s="6" t="s">
        <v>6254</v>
      </c>
      <c r="K234" s="6" t="s">
        <v>6254</v>
      </c>
      <c r="L234" s="6">
        <v>15.641388535046399</v>
      </c>
      <c r="M234" s="6" t="s">
        <v>6254</v>
      </c>
      <c r="N234" s="6">
        <v>16.763378969147801</v>
      </c>
      <c r="O234" s="6">
        <v>17.4327769060815</v>
      </c>
      <c r="P234" s="6" t="s">
        <v>6254</v>
      </c>
      <c r="Q234" s="6" t="s">
        <v>6254</v>
      </c>
    </row>
    <row r="235" spans="1:17">
      <c r="A235" s="6" t="s">
        <v>6876</v>
      </c>
      <c r="B235" s="6" t="s">
        <v>6877</v>
      </c>
      <c r="C235" s="6" t="s">
        <v>6878</v>
      </c>
      <c r="D235" s="6" t="s">
        <v>6879</v>
      </c>
      <c r="E235" s="6" t="s">
        <v>6880</v>
      </c>
      <c r="F235" s="6" t="s">
        <v>6254</v>
      </c>
      <c r="G235" s="6">
        <v>16.7672087460958</v>
      </c>
      <c r="H235" s="6">
        <v>16.024807062459601</v>
      </c>
      <c r="I235" s="6">
        <v>17.669707390882699</v>
      </c>
      <c r="J235" s="6">
        <v>15.717153887710699</v>
      </c>
      <c r="K235" s="6">
        <v>15.8752765063015</v>
      </c>
      <c r="L235" s="6" t="s">
        <v>6254</v>
      </c>
      <c r="M235" s="6">
        <v>15.4579585884977</v>
      </c>
      <c r="N235" s="6">
        <v>16.7857790098039</v>
      </c>
      <c r="O235" s="6" t="s">
        <v>6254</v>
      </c>
      <c r="P235" s="6">
        <v>16.328240883564</v>
      </c>
      <c r="Q235" s="6" t="s">
        <v>6254</v>
      </c>
    </row>
    <row r="236" spans="1:17">
      <c r="A236" s="6" t="s">
        <v>629</v>
      </c>
      <c r="B236" s="6" t="s">
        <v>629</v>
      </c>
      <c r="C236" s="6" t="s">
        <v>6881</v>
      </c>
      <c r="D236" s="6" t="s">
        <v>6882</v>
      </c>
      <c r="E236" s="6" t="s">
        <v>6882</v>
      </c>
      <c r="F236" s="6">
        <v>16.9143338715946</v>
      </c>
      <c r="G236" s="6">
        <v>16.593859541997901</v>
      </c>
      <c r="H236" s="6">
        <v>16.602330976605302</v>
      </c>
      <c r="I236" s="6">
        <v>17.0058662841809</v>
      </c>
      <c r="J236" s="6">
        <v>15.7962231224114</v>
      </c>
      <c r="K236" s="6">
        <v>16.320845404836</v>
      </c>
      <c r="L236" s="6">
        <v>17.175675059909501</v>
      </c>
      <c r="M236" s="6">
        <v>15.5790603624688</v>
      </c>
      <c r="N236" s="6">
        <v>16.8245021963981</v>
      </c>
      <c r="O236" s="6">
        <v>17.070565368352199</v>
      </c>
      <c r="P236" s="6">
        <v>16.735908760405</v>
      </c>
      <c r="Q236" s="6">
        <v>15.5014930207715</v>
      </c>
    </row>
    <row r="237" spans="1:17">
      <c r="A237" s="6" t="s">
        <v>6883</v>
      </c>
      <c r="B237" s="6" t="s">
        <v>6884</v>
      </c>
      <c r="C237" s="6" t="s">
        <v>6885</v>
      </c>
      <c r="D237" s="6" t="s">
        <v>6886</v>
      </c>
      <c r="E237" s="6" t="s">
        <v>6887</v>
      </c>
      <c r="F237" s="6">
        <v>17.0674496017579</v>
      </c>
      <c r="G237" s="6">
        <v>16.503007015741701</v>
      </c>
      <c r="H237" s="6">
        <v>16.509362297435</v>
      </c>
      <c r="I237" s="6">
        <v>17.2859619586511</v>
      </c>
      <c r="J237" s="6">
        <v>16.049651399971701</v>
      </c>
      <c r="K237" s="6">
        <v>16.480230130403399</v>
      </c>
      <c r="L237" s="6">
        <v>16.9285041154635</v>
      </c>
      <c r="M237" s="6">
        <v>15.757784062060299</v>
      </c>
      <c r="N237" s="6">
        <v>15.979168265367701</v>
      </c>
      <c r="O237" s="6">
        <v>16.8295649232467</v>
      </c>
      <c r="P237" s="6">
        <v>16.594600409248098</v>
      </c>
      <c r="Q237" s="6">
        <v>15.590406913282299</v>
      </c>
    </row>
    <row r="238" spans="1:17">
      <c r="A238" s="6" t="s">
        <v>1103</v>
      </c>
      <c r="B238" s="6" t="s">
        <v>1103</v>
      </c>
      <c r="C238" s="6" t="s">
        <v>6888</v>
      </c>
      <c r="D238" s="6" t="s">
        <v>6889</v>
      </c>
      <c r="E238" s="6" t="s">
        <v>6889</v>
      </c>
      <c r="F238" s="6">
        <v>16.857902027663499</v>
      </c>
      <c r="G238" s="6">
        <v>16.862988563286301</v>
      </c>
      <c r="H238" s="6">
        <v>17.159723407866899</v>
      </c>
      <c r="I238" s="6">
        <v>16.1616994495241</v>
      </c>
      <c r="J238" s="6">
        <v>16.553345611665801</v>
      </c>
      <c r="K238" s="6">
        <v>16.630364604842999</v>
      </c>
      <c r="L238" s="6">
        <v>16.467431715591299</v>
      </c>
      <c r="M238" s="6">
        <v>17.008009555759401</v>
      </c>
      <c r="N238" s="6">
        <v>17.006431755425901</v>
      </c>
      <c r="O238" s="6">
        <v>16.6786346659263</v>
      </c>
      <c r="P238" s="6">
        <v>16.182037620647399</v>
      </c>
      <c r="Q238" s="6">
        <v>16.326245506729698</v>
      </c>
    </row>
    <row r="239" spans="1:17">
      <c r="A239" s="6" t="s">
        <v>2670</v>
      </c>
      <c r="B239" s="6" t="s">
        <v>2670</v>
      </c>
      <c r="C239" s="6" t="s">
        <v>6890</v>
      </c>
      <c r="D239" s="6" t="s">
        <v>6891</v>
      </c>
      <c r="E239" s="6" t="s">
        <v>6891</v>
      </c>
      <c r="F239" s="6">
        <v>17.041553334753299</v>
      </c>
      <c r="G239" s="6">
        <v>16.464715430923398</v>
      </c>
      <c r="H239" s="6">
        <v>16.5480729310624</v>
      </c>
      <c r="I239" s="6">
        <v>17.3378193056359</v>
      </c>
      <c r="J239" s="6">
        <v>16.064810155758</v>
      </c>
      <c r="K239" s="6">
        <v>16.645894184279399</v>
      </c>
      <c r="L239" s="6">
        <v>16.999524708986701</v>
      </c>
      <c r="M239" s="6">
        <v>15.9365113617361</v>
      </c>
      <c r="N239" s="6">
        <v>15.9432182760807</v>
      </c>
      <c r="O239" s="6">
        <v>17.025646095285602</v>
      </c>
      <c r="P239" s="6">
        <v>16.8556275655124</v>
      </c>
      <c r="Q239" s="6">
        <v>15.2511475749364</v>
      </c>
    </row>
    <row r="240" spans="1:17">
      <c r="A240" s="6" t="s">
        <v>6892</v>
      </c>
      <c r="B240" s="6" t="s">
        <v>6892</v>
      </c>
      <c r="C240" s="6" t="s">
        <v>6892</v>
      </c>
      <c r="D240" s="6" t="s">
        <v>6892</v>
      </c>
      <c r="E240" s="6" t="s">
        <v>6892</v>
      </c>
      <c r="F240" s="6">
        <v>16.548972873422301</v>
      </c>
      <c r="G240" s="6">
        <v>16.995145690718399</v>
      </c>
      <c r="H240" s="6">
        <v>12.8330970516564</v>
      </c>
      <c r="I240" s="6">
        <v>17.845763048505901</v>
      </c>
      <c r="J240" s="6">
        <v>16.335029240548099</v>
      </c>
      <c r="K240" s="6">
        <v>16.5095979977323</v>
      </c>
      <c r="L240" s="6">
        <v>15.9671147423003</v>
      </c>
      <c r="M240" s="6">
        <v>16.779457230046699</v>
      </c>
      <c r="N240" s="6">
        <v>17.274750831543201</v>
      </c>
      <c r="O240" s="6">
        <v>16.560920436503899</v>
      </c>
      <c r="P240" s="6">
        <v>17.226898002453201</v>
      </c>
      <c r="Q240" s="6">
        <v>15.925991229773301</v>
      </c>
    </row>
    <row r="241" spans="1:17">
      <c r="A241" s="6" t="s">
        <v>212</v>
      </c>
      <c r="B241" s="6" t="s">
        <v>212</v>
      </c>
      <c r="C241" s="6" t="s">
        <v>6893</v>
      </c>
      <c r="D241" s="6" t="s">
        <v>6894</v>
      </c>
      <c r="E241" s="6" t="s">
        <v>6894</v>
      </c>
      <c r="F241" s="6">
        <v>15.824230720272199</v>
      </c>
      <c r="G241" s="6">
        <v>17.1145301000949</v>
      </c>
      <c r="H241" s="6">
        <v>17.770443604985601</v>
      </c>
      <c r="I241" s="6">
        <v>15.027488268151799</v>
      </c>
      <c r="J241" s="6">
        <v>16.478149403324299</v>
      </c>
      <c r="K241" s="6">
        <v>17.513789887599</v>
      </c>
      <c r="L241" s="6">
        <v>16.916487151069902</v>
      </c>
      <c r="M241" s="6">
        <v>16.8973085874979</v>
      </c>
      <c r="N241" s="6">
        <v>16.408376402516101</v>
      </c>
      <c r="O241" s="6">
        <v>16.613462928619001</v>
      </c>
      <c r="P241" s="6">
        <v>15.7088077474847</v>
      </c>
      <c r="Q241" s="6">
        <v>17.1778995460629</v>
      </c>
    </row>
    <row r="242" spans="1:17">
      <c r="A242" s="6" t="s">
        <v>6895</v>
      </c>
      <c r="B242" s="6" t="s">
        <v>6896</v>
      </c>
      <c r="C242" s="6" t="s">
        <v>6897</v>
      </c>
      <c r="D242" s="6" t="s">
        <v>6898</v>
      </c>
      <c r="E242" s="6" t="s">
        <v>6899</v>
      </c>
      <c r="F242" s="6">
        <v>16.835604744879099</v>
      </c>
      <c r="G242" s="6">
        <v>16.220577257760699</v>
      </c>
      <c r="H242" s="6">
        <v>16.2417904978739</v>
      </c>
      <c r="I242" s="6">
        <v>16.921415124134501</v>
      </c>
      <c r="J242" s="6" t="s">
        <v>6254</v>
      </c>
      <c r="K242" s="6">
        <v>16.134124909785299</v>
      </c>
      <c r="L242" s="6">
        <v>16.9375409798166</v>
      </c>
      <c r="M242" s="6">
        <v>15.284369099466099</v>
      </c>
      <c r="N242" s="6">
        <v>16.146921015095501</v>
      </c>
      <c r="O242" s="6">
        <v>16.947232884343101</v>
      </c>
      <c r="P242" s="6">
        <v>16.798488545935701</v>
      </c>
      <c r="Q242" s="6" t="s">
        <v>6254</v>
      </c>
    </row>
    <row r="243" spans="1:17">
      <c r="A243" s="6" t="s">
        <v>152</v>
      </c>
      <c r="B243" s="6" t="s">
        <v>152</v>
      </c>
      <c r="C243" s="6" t="s">
        <v>6900</v>
      </c>
      <c r="D243" s="6" t="s">
        <v>6901</v>
      </c>
      <c r="E243" s="6" t="s">
        <v>6901</v>
      </c>
      <c r="F243" s="6">
        <v>16.798163163062199</v>
      </c>
      <c r="G243" s="6">
        <v>15.358157049128399</v>
      </c>
      <c r="H243" s="6">
        <v>17.264924702292198</v>
      </c>
      <c r="I243" s="6">
        <v>17.567381476031699</v>
      </c>
      <c r="J243" s="6">
        <v>16.1455643520937</v>
      </c>
      <c r="K243" s="6">
        <v>16.611133521288998</v>
      </c>
      <c r="L243" s="6">
        <v>17.225849429438298</v>
      </c>
      <c r="M243" s="6">
        <v>16.613179630634502</v>
      </c>
      <c r="N243" s="6">
        <v>16.7059256911216</v>
      </c>
      <c r="O243" s="6">
        <v>16.399647829156301</v>
      </c>
      <c r="P243" s="6">
        <v>16.197001652300301</v>
      </c>
      <c r="Q243" s="6">
        <v>15.562523305626399</v>
      </c>
    </row>
    <row r="244" spans="1:17">
      <c r="A244" s="6" t="s">
        <v>262</v>
      </c>
      <c r="B244" s="6" t="s">
        <v>262</v>
      </c>
      <c r="C244" s="6" t="s">
        <v>6902</v>
      </c>
      <c r="D244" s="6" t="s">
        <v>6903</v>
      </c>
      <c r="E244" s="6" t="s">
        <v>6903</v>
      </c>
      <c r="F244" s="6">
        <v>17.155882317848999</v>
      </c>
      <c r="G244" s="6">
        <v>16.710422891835901</v>
      </c>
      <c r="H244" s="6">
        <v>16.573572710596402</v>
      </c>
      <c r="I244" s="6">
        <v>17.2981028077762</v>
      </c>
      <c r="J244" s="6">
        <v>15.640032214263799</v>
      </c>
      <c r="K244" s="6">
        <v>15.9527225298785</v>
      </c>
      <c r="L244" s="6">
        <v>16.915595043487301</v>
      </c>
      <c r="M244" s="6">
        <v>15.852614417518801</v>
      </c>
      <c r="N244" s="6">
        <v>16.029554836303401</v>
      </c>
      <c r="O244" s="6">
        <v>16.895469069608801</v>
      </c>
      <c r="P244" s="6">
        <v>16.875286859988702</v>
      </c>
      <c r="Q244" s="6">
        <v>15.573253788076199</v>
      </c>
    </row>
    <row r="245" spans="1:17">
      <c r="A245" s="6" t="s">
        <v>837</v>
      </c>
      <c r="B245" s="6" t="s">
        <v>837</v>
      </c>
      <c r="C245" s="6" t="s">
        <v>6904</v>
      </c>
      <c r="D245" s="6" t="s">
        <v>6905</v>
      </c>
      <c r="E245" s="6" t="s">
        <v>6905</v>
      </c>
      <c r="F245" s="6">
        <v>15.8504701558383</v>
      </c>
      <c r="G245" s="6">
        <v>16.9492061511774</v>
      </c>
      <c r="H245" s="6">
        <v>16.885712359240902</v>
      </c>
      <c r="I245" s="6">
        <v>16.470618512637301</v>
      </c>
      <c r="J245" s="6">
        <v>16.702606868826699</v>
      </c>
      <c r="K245" s="6">
        <v>16.495857781552399</v>
      </c>
      <c r="L245" s="6">
        <v>16.4705907615445</v>
      </c>
      <c r="M245" s="6">
        <v>16.431698448917601</v>
      </c>
      <c r="N245" s="6">
        <v>16.678438701925302</v>
      </c>
      <c r="O245" s="6">
        <v>16.933174802011099</v>
      </c>
      <c r="P245" s="6">
        <v>16.5342491513026</v>
      </c>
      <c r="Q245" s="6">
        <v>17.1773258525294</v>
      </c>
    </row>
    <row r="246" spans="1:17">
      <c r="A246" s="6" t="s">
        <v>1267</v>
      </c>
      <c r="B246" s="6" t="s">
        <v>1267</v>
      </c>
      <c r="C246" s="6" t="s">
        <v>6906</v>
      </c>
      <c r="D246" s="6" t="s">
        <v>6907</v>
      </c>
      <c r="E246" s="6" t="s">
        <v>6907</v>
      </c>
      <c r="F246" s="6">
        <v>16.135875088323498</v>
      </c>
      <c r="G246" s="6">
        <v>16.6375894938854</v>
      </c>
      <c r="H246" s="6">
        <v>16.739420672913202</v>
      </c>
      <c r="I246" s="6">
        <v>16.2525955102229</v>
      </c>
      <c r="J246" s="6">
        <v>16.368918174325199</v>
      </c>
      <c r="K246" s="6">
        <v>15.9116527848436</v>
      </c>
      <c r="L246" s="6">
        <v>16.614116558103799</v>
      </c>
      <c r="M246" s="6">
        <v>16.799417405226301</v>
      </c>
      <c r="N246" s="6">
        <v>17.147605680649601</v>
      </c>
      <c r="O246" s="6">
        <v>17.035461817731001</v>
      </c>
      <c r="P246" s="6">
        <v>16.103173502702798</v>
      </c>
      <c r="Q246" s="6">
        <v>16.313839726360101</v>
      </c>
    </row>
    <row r="247" spans="1:17">
      <c r="A247" s="6" t="s">
        <v>6908</v>
      </c>
      <c r="B247" s="6" t="s">
        <v>6908</v>
      </c>
      <c r="C247" s="6" t="s">
        <v>6908</v>
      </c>
      <c r="D247" s="6" t="s">
        <v>6908</v>
      </c>
      <c r="E247" s="6" t="s">
        <v>6908</v>
      </c>
      <c r="F247" s="6">
        <v>17.799274964311898</v>
      </c>
      <c r="G247" s="6">
        <v>16.489635507730299</v>
      </c>
      <c r="H247" s="6">
        <v>15.8441176480181</v>
      </c>
      <c r="I247" s="6">
        <v>16.742738585740302</v>
      </c>
      <c r="J247" s="6">
        <v>16.050894637768799</v>
      </c>
      <c r="K247" s="6">
        <v>16.145345659817998</v>
      </c>
      <c r="L247" s="6">
        <v>15.3301323602783</v>
      </c>
      <c r="M247" s="6">
        <v>16.0211136057858</v>
      </c>
      <c r="N247" s="6">
        <v>16.115113804836898</v>
      </c>
      <c r="O247" s="6" t="s">
        <v>6254</v>
      </c>
      <c r="P247" s="6">
        <v>18.339282489775599</v>
      </c>
      <c r="Q247" s="6">
        <v>18.141085696511901</v>
      </c>
    </row>
    <row r="248" spans="1:17">
      <c r="A248" s="6" t="s">
        <v>3411</v>
      </c>
      <c r="B248" s="6" t="s">
        <v>3411</v>
      </c>
      <c r="C248" s="6" t="s">
        <v>6909</v>
      </c>
      <c r="D248" s="6" t="s">
        <v>6910</v>
      </c>
      <c r="E248" s="6" t="s">
        <v>6910</v>
      </c>
      <c r="F248" s="6">
        <v>14.9446350470064</v>
      </c>
      <c r="G248" s="6">
        <v>15.029069259720901</v>
      </c>
      <c r="H248" s="6">
        <v>17.589869463953399</v>
      </c>
      <c r="I248" s="6">
        <v>17.749432206698799</v>
      </c>
      <c r="J248" s="6">
        <v>16.7090549869977</v>
      </c>
      <c r="K248" s="6">
        <v>17.728338176937498</v>
      </c>
      <c r="L248" s="6">
        <v>18.498492297215201</v>
      </c>
      <c r="M248" s="6">
        <v>16.792174240370201</v>
      </c>
      <c r="N248" s="6">
        <v>16.1427296413653</v>
      </c>
      <c r="O248" s="6">
        <v>15.6603529646098</v>
      </c>
      <c r="P248" s="6">
        <v>15.626383685897499</v>
      </c>
      <c r="Q248" s="6">
        <v>15.4189239673488</v>
      </c>
    </row>
    <row r="249" spans="1:17">
      <c r="A249" s="6" t="s">
        <v>436</v>
      </c>
      <c r="B249" s="6" t="s">
        <v>436</v>
      </c>
      <c r="C249" s="6" t="s">
        <v>6911</v>
      </c>
      <c r="D249" s="6" t="s">
        <v>6912</v>
      </c>
      <c r="E249" s="6" t="s">
        <v>6912</v>
      </c>
      <c r="F249" s="6">
        <v>17.0253360085674</v>
      </c>
      <c r="G249" s="6">
        <v>16.650986104494098</v>
      </c>
      <c r="H249" s="6">
        <v>16.049409833331801</v>
      </c>
      <c r="I249" s="6">
        <v>17.058473626489</v>
      </c>
      <c r="J249" s="6">
        <v>15.8148512086716</v>
      </c>
      <c r="K249" s="6">
        <v>16.510899245192999</v>
      </c>
      <c r="L249" s="6">
        <v>17.366760575667001</v>
      </c>
      <c r="M249" s="6">
        <v>15.7252732118087</v>
      </c>
      <c r="N249" s="6">
        <v>16.424093687120301</v>
      </c>
      <c r="O249" s="6">
        <v>16.750227283873301</v>
      </c>
      <c r="P249" s="6">
        <v>16.5440125499555</v>
      </c>
      <c r="Q249" s="6">
        <v>15.3930146484307</v>
      </c>
    </row>
    <row r="250" spans="1:17">
      <c r="A250" s="6" t="s">
        <v>2876</v>
      </c>
      <c r="B250" s="6" t="s">
        <v>2876</v>
      </c>
      <c r="C250" s="6" t="s">
        <v>6913</v>
      </c>
      <c r="D250" s="6" t="s">
        <v>6914</v>
      </c>
      <c r="E250" s="6" t="s">
        <v>6914</v>
      </c>
      <c r="F250" s="6">
        <v>19.113066041914799</v>
      </c>
      <c r="G250" s="6">
        <v>16.323487032401101</v>
      </c>
      <c r="H250" s="6" t="s">
        <v>6254</v>
      </c>
      <c r="I250" s="6">
        <v>16.629978494250999</v>
      </c>
      <c r="J250" s="6" t="s">
        <v>6254</v>
      </c>
      <c r="K250" s="6">
        <v>17.634777447193098</v>
      </c>
      <c r="L250" s="6">
        <v>16.167405857658299</v>
      </c>
      <c r="M250" s="6">
        <v>14.546466443182201</v>
      </c>
      <c r="N250" s="6" t="s">
        <v>6254</v>
      </c>
      <c r="O250" s="6" t="s">
        <v>6254</v>
      </c>
      <c r="P250" s="6">
        <v>15.9917206283016</v>
      </c>
      <c r="Q250" s="6" t="s">
        <v>6254</v>
      </c>
    </row>
    <row r="251" spans="1:17">
      <c r="A251" s="6" t="s">
        <v>103</v>
      </c>
      <c r="B251" s="6" t="s">
        <v>103</v>
      </c>
      <c r="C251" s="6" t="s">
        <v>6915</v>
      </c>
      <c r="D251" s="6" t="s">
        <v>6916</v>
      </c>
      <c r="E251" s="6" t="s">
        <v>6916</v>
      </c>
      <c r="F251" s="6">
        <v>16.4614217267765</v>
      </c>
      <c r="G251" s="6">
        <v>16.8518824802617</v>
      </c>
      <c r="H251" s="6">
        <v>16.303787731787001</v>
      </c>
      <c r="I251" s="6">
        <v>16.889012076254801</v>
      </c>
      <c r="J251" s="6">
        <v>16.2428503866992</v>
      </c>
      <c r="K251" s="6">
        <v>16.637248599258001</v>
      </c>
      <c r="L251" s="6">
        <v>16.623772132340001</v>
      </c>
      <c r="M251" s="6">
        <v>17.047624635376401</v>
      </c>
      <c r="N251" s="6">
        <v>16.783090654503301</v>
      </c>
      <c r="O251" s="6">
        <v>16.497926634421301</v>
      </c>
      <c r="P251" s="6">
        <v>16.519580048431699</v>
      </c>
      <c r="Q251" s="6">
        <v>16.309497890442302</v>
      </c>
    </row>
    <row r="252" spans="1:17">
      <c r="A252" s="6" t="s">
        <v>172</v>
      </c>
      <c r="B252" s="6" t="s">
        <v>172</v>
      </c>
      <c r="C252" s="6" t="s">
        <v>6917</v>
      </c>
      <c r="D252" s="6" t="s">
        <v>6918</v>
      </c>
      <c r="E252" s="6" t="s">
        <v>6918</v>
      </c>
      <c r="F252" s="6">
        <v>16.960998652233702</v>
      </c>
      <c r="G252" s="6">
        <v>16.335948692350399</v>
      </c>
      <c r="H252" s="6">
        <v>16.4918476819274</v>
      </c>
      <c r="I252" s="6">
        <v>17.223453631103101</v>
      </c>
      <c r="J252" s="6">
        <v>15.9627335168149</v>
      </c>
      <c r="K252" s="6">
        <v>16.480708079939799</v>
      </c>
      <c r="L252" s="6">
        <v>17.1581540728512</v>
      </c>
      <c r="M252" s="6">
        <v>15.916351830490299</v>
      </c>
      <c r="N252" s="6">
        <v>16.388529413378699</v>
      </c>
      <c r="O252" s="6">
        <v>16.7635561913063</v>
      </c>
      <c r="P252" s="6">
        <v>16.687895838116599</v>
      </c>
      <c r="Q252" s="6">
        <v>15.3224699503123</v>
      </c>
    </row>
    <row r="253" spans="1:17">
      <c r="A253" s="6" t="s">
        <v>6919</v>
      </c>
      <c r="B253" s="6" t="s">
        <v>6919</v>
      </c>
      <c r="C253" s="6" t="s">
        <v>6920</v>
      </c>
      <c r="D253" s="6" t="s">
        <v>6921</v>
      </c>
      <c r="E253" s="6" t="s">
        <v>6921</v>
      </c>
      <c r="F253" s="6">
        <v>15.5728360290215</v>
      </c>
      <c r="G253" s="6">
        <v>18.492562884496401</v>
      </c>
      <c r="H253" s="6">
        <v>16.527553431216798</v>
      </c>
      <c r="I253" s="6">
        <v>16.861182464397601</v>
      </c>
      <c r="J253" s="6">
        <v>17.1934925055645</v>
      </c>
      <c r="K253" s="6">
        <v>16.254490603006701</v>
      </c>
      <c r="L253" s="6">
        <v>16.396339149677001</v>
      </c>
      <c r="M253" s="6">
        <v>16.888392426950698</v>
      </c>
      <c r="N253" s="6">
        <v>17.6021325839925</v>
      </c>
      <c r="O253" s="6">
        <v>15.7171461674913</v>
      </c>
      <c r="P253" s="6">
        <v>16.235540360053701</v>
      </c>
      <c r="Q253" s="6">
        <v>15.2288661158313</v>
      </c>
    </row>
    <row r="254" spans="1:17">
      <c r="A254" s="6" t="s">
        <v>6922</v>
      </c>
      <c r="B254" s="6" t="s">
        <v>6923</v>
      </c>
      <c r="C254" s="6" t="s">
        <v>6924</v>
      </c>
      <c r="D254" s="6" t="s">
        <v>6925</v>
      </c>
      <c r="E254" s="6" t="s">
        <v>6926</v>
      </c>
      <c r="F254" s="6">
        <v>15.845699412879799</v>
      </c>
      <c r="G254" s="6">
        <v>15.2707276574821</v>
      </c>
      <c r="H254" s="6">
        <v>17.364662704411302</v>
      </c>
      <c r="I254" s="6">
        <v>19.4902720750753</v>
      </c>
      <c r="J254" s="6">
        <v>13.7982612649398</v>
      </c>
      <c r="K254" s="6">
        <v>18.042138688692798</v>
      </c>
      <c r="L254" s="6">
        <v>20.992907827551601</v>
      </c>
      <c r="M254" s="6">
        <v>15.8695402979591</v>
      </c>
      <c r="N254" s="6">
        <v>15.291749959466401</v>
      </c>
      <c r="O254" s="6">
        <v>14.784240404555</v>
      </c>
      <c r="P254" s="6">
        <v>14.8661064794703</v>
      </c>
      <c r="Q254" s="6">
        <v>13.9596973080999</v>
      </c>
    </row>
    <row r="255" spans="1:17">
      <c r="A255" s="6" t="s">
        <v>6927</v>
      </c>
      <c r="B255" s="6" t="s">
        <v>831</v>
      </c>
      <c r="C255" s="6" t="s">
        <v>6928</v>
      </c>
      <c r="D255" s="6" t="s">
        <v>6929</v>
      </c>
      <c r="E255" s="6" t="s">
        <v>6930</v>
      </c>
      <c r="F255" s="6">
        <v>15.754376523203501</v>
      </c>
      <c r="G255" s="6">
        <v>16.754987918400499</v>
      </c>
      <c r="H255" s="6">
        <v>17.2288738128935</v>
      </c>
      <c r="I255" s="6">
        <v>15.412248457445299</v>
      </c>
      <c r="J255" s="6">
        <v>16.7251846158021</v>
      </c>
      <c r="K255" s="6">
        <v>16.066484735962501</v>
      </c>
      <c r="L255" s="6">
        <v>16.153716522350798</v>
      </c>
      <c r="M255" s="6">
        <v>17.4724152970423</v>
      </c>
      <c r="N255" s="6">
        <v>16.821507291810001</v>
      </c>
      <c r="O255" s="6">
        <v>17.225824276761902</v>
      </c>
      <c r="P255" s="6">
        <v>16.149705631905501</v>
      </c>
      <c r="Q255" s="6">
        <v>16.833167974353302</v>
      </c>
    </row>
    <row r="256" spans="1:17">
      <c r="A256" s="6" t="s">
        <v>6931</v>
      </c>
      <c r="B256" s="6" t="s">
        <v>6931</v>
      </c>
      <c r="C256" s="6" t="s">
        <v>6931</v>
      </c>
      <c r="D256" s="6" t="s">
        <v>6931</v>
      </c>
      <c r="E256" s="6" t="s">
        <v>6931</v>
      </c>
      <c r="F256" s="6">
        <v>17.791576702603301</v>
      </c>
      <c r="G256" s="6" t="s">
        <v>6254</v>
      </c>
      <c r="H256" s="6">
        <v>14.8306502085895</v>
      </c>
      <c r="I256" s="6" t="s">
        <v>6254</v>
      </c>
      <c r="J256" s="6" t="s">
        <v>6254</v>
      </c>
      <c r="K256" s="6" t="s">
        <v>6254</v>
      </c>
      <c r="L256" s="6" t="s">
        <v>6254</v>
      </c>
      <c r="M256" s="6" t="s">
        <v>6254</v>
      </c>
      <c r="N256" s="6" t="s">
        <v>6254</v>
      </c>
      <c r="O256" s="6" t="s">
        <v>6254</v>
      </c>
      <c r="P256" s="6">
        <v>16.981152992693701</v>
      </c>
      <c r="Q256" s="6" t="s">
        <v>6254</v>
      </c>
    </row>
    <row r="257" spans="1:17">
      <c r="A257" s="6" t="s">
        <v>6932</v>
      </c>
      <c r="B257" s="6" t="s">
        <v>6932</v>
      </c>
      <c r="C257" s="6" t="s">
        <v>6932</v>
      </c>
      <c r="D257" s="6" t="s">
        <v>6932</v>
      </c>
      <c r="E257" s="6" t="s">
        <v>6932</v>
      </c>
      <c r="F257" s="6" t="s">
        <v>6254</v>
      </c>
      <c r="G257" s="6" t="s">
        <v>6254</v>
      </c>
      <c r="H257" s="6" t="s">
        <v>6254</v>
      </c>
      <c r="I257" s="6" t="s">
        <v>6254</v>
      </c>
      <c r="J257" s="6" t="s">
        <v>6254</v>
      </c>
      <c r="K257" s="6" t="s">
        <v>6254</v>
      </c>
      <c r="L257" s="6" t="s">
        <v>6254</v>
      </c>
      <c r="M257" s="6" t="s">
        <v>6254</v>
      </c>
      <c r="N257" s="6" t="s">
        <v>6254</v>
      </c>
      <c r="O257" s="6" t="s">
        <v>6254</v>
      </c>
      <c r="P257" s="6" t="s">
        <v>6254</v>
      </c>
      <c r="Q257" s="6" t="s">
        <v>6254</v>
      </c>
    </row>
    <row r="258" spans="1:17">
      <c r="A258" s="6" t="s">
        <v>6933</v>
      </c>
      <c r="B258" s="6" t="s">
        <v>702</v>
      </c>
      <c r="C258" s="6" t="s">
        <v>6934</v>
      </c>
      <c r="D258" s="6" t="s">
        <v>6935</v>
      </c>
      <c r="E258" s="6" t="s">
        <v>6936</v>
      </c>
      <c r="F258" s="6">
        <v>16.942666580931402</v>
      </c>
      <c r="G258" s="6">
        <v>16.477753761729701</v>
      </c>
      <c r="H258" s="6">
        <v>16.527737933799699</v>
      </c>
      <c r="I258" s="6">
        <v>17.020417018580801</v>
      </c>
      <c r="J258" s="6">
        <v>15.707153669547299</v>
      </c>
      <c r="K258" s="6">
        <v>16.120236742230301</v>
      </c>
      <c r="L258" s="6">
        <v>17.154546915484101</v>
      </c>
      <c r="M258" s="6">
        <v>15.6761799159039</v>
      </c>
      <c r="N258" s="6">
        <v>16.550700261039399</v>
      </c>
      <c r="O258" s="6">
        <v>16.498637429595099</v>
      </c>
      <c r="P258" s="6">
        <v>16.251633317598099</v>
      </c>
      <c r="Q258" s="6">
        <v>15.2276162717265</v>
      </c>
    </row>
    <row r="259" spans="1:17">
      <c r="A259" s="6" t="s">
        <v>234</v>
      </c>
      <c r="B259" s="6" t="s">
        <v>234</v>
      </c>
      <c r="C259" s="6" t="s">
        <v>6937</v>
      </c>
      <c r="D259" s="6" t="s">
        <v>6938</v>
      </c>
      <c r="E259" s="6" t="s">
        <v>6938</v>
      </c>
      <c r="F259" s="6">
        <v>17.143920960493102</v>
      </c>
      <c r="G259" s="6">
        <v>16.585603638160901</v>
      </c>
      <c r="H259" s="6">
        <v>16.558264455705899</v>
      </c>
      <c r="I259" s="6">
        <v>17.022561973962301</v>
      </c>
      <c r="J259" s="6">
        <v>15.5607372577521</v>
      </c>
      <c r="K259" s="6">
        <v>15.953018783854001</v>
      </c>
      <c r="L259" s="6">
        <v>16.939722979465401</v>
      </c>
      <c r="M259" s="6">
        <v>15.4166936247075</v>
      </c>
      <c r="N259" s="6">
        <v>16.484158974436699</v>
      </c>
      <c r="O259" s="6">
        <v>16.949639348259002</v>
      </c>
      <c r="P259" s="6">
        <v>16.5277139419251</v>
      </c>
      <c r="Q259" s="6">
        <v>14.9584414020817</v>
      </c>
    </row>
    <row r="260" spans="1:17">
      <c r="A260" s="6" t="s">
        <v>287</v>
      </c>
      <c r="B260" s="6" t="s">
        <v>287</v>
      </c>
      <c r="C260" s="6" t="s">
        <v>6939</v>
      </c>
      <c r="D260" s="6" t="s">
        <v>6940</v>
      </c>
      <c r="E260" s="6" t="s">
        <v>6940</v>
      </c>
      <c r="F260" s="6">
        <v>16.2762629896927</v>
      </c>
      <c r="G260" s="6">
        <v>16.437561559694402</v>
      </c>
      <c r="H260" s="6">
        <v>16.839900688311701</v>
      </c>
      <c r="I260" s="6">
        <v>16.379310948211099</v>
      </c>
      <c r="J260" s="6">
        <v>16.704579034412301</v>
      </c>
      <c r="K260" s="6">
        <v>16.721062252264201</v>
      </c>
      <c r="L260" s="6">
        <v>16.223535336469599</v>
      </c>
      <c r="M260" s="6">
        <v>17.051714942432199</v>
      </c>
      <c r="N260" s="6">
        <v>16.697917271652599</v>
      </c>
      <c r="O260" s="6">
        <v>16.854209263047501</v>
      </c>
      <c r="P260" s="6">
        <v>16.0527624829265</v>
      </c>
      <c r="Q260" s="6">
        <v>16.967189243737401</v>
      </c>
    </row>
    <row r="261" spans="1:17">
      <c r="A261" s="6" t="s">
        <v>6029</v>
      </c>
      <c r="B261" s="6" t="s">
        <v>6029</v>
      </c>
      <c r="C261" s="6" t="s">
        <v>6941</v>
      </c>
      <c r="D261" s="6" t="s">
        <v>6942</v>
      </c>
      <c r="E261" s="6" t="s">
        <v>6942</v>
      </c>
      <c r="F261" s="6">
        <v>16.494945019629601</v>
      </c>
      <c r="G261" s="6">
        <v>16.4080635095813</v>
      </c>
      <c r="H261" s="6">
        <v>16.449554093590599</v>
      </c>
      <c r="I261" s="6">
        <v>17.002307500709499</v>
      </c>
      <c r="J261" s="6">
        <v>16.171584787871002</v>
      </c>
      <c r="K261" s="6">
        <v>16.645677924130499</v>
      </c>
      <c r="L261" s="6">
        <v>16.779003937262001</v>
      </c>
      <c r="M261" s="6">
        <v>15.6925221638941</v>
      </c>
      <c r="N261" s="6">
        <v>16.032147960337898</v>
      </c>
      <c r="O261" s="6">
        <v>17.025607504083201</v>
      </c>
      <c r="P261" s="6">
        <v>16.927501399108301</v>
      </c>
      <c r="Q261" s="6">
        <v>15.532308831605301</v>
      </c>
    </row>
    <row r="262" spans="1:17">
      <c r="A262" s="6" t="s">
        <v>6943</v>
      </c>
      <c r="B262" s="6" t="s">
        <v>448</v>
      </c>
      <c r="C262" s="6" t="s">
        <v>6944</v>
      </c>
      <c r="D262" s="6" t="s">
        <v>6945</v>
      </c>
      <c r="E262" s="6" t="s">
        <v>6946</v>
      </c>
      <c r="F262" s="6">
        <v>16.366475886797399</v>
      </c>
      <c r="G262" s="6">
        <v>17.0154998236981</v>
      </c>
      <c r="H262" s="6">
        <v>16.611017001674501</v>
      </c>
      <c r="I262" s="6">
        <v>15.937449943511099</v>
      </c>
      <c r="J262" s="6">
        <v>16.524634448260599</v>
      </c>
      <c r="K262" s="6">
        <v>16.435094697739299</v>
      </c>
      <c r="L262" s="6">
        <v>16.0478878049584</v>
      </c>
      <c r="M262" s="6">
        <v>16.9701750183097</v>
      </c>
      <c r="N262" s="6">
        <v>16.7790441425994</v>
      </c>
      <c r="O262" s="6">
        <v>16.178291867683601</v>
      </c>
      <c r="P262" s="6">
        <v>16.0529859386887</v>
      </c>
      <c r="Q262" s="6">
        <v>16.8236742170151</v>
      </c>
    </row>
    <row r="263" spans="1:17">
      <c r="A263" s="6" t="s">
        <v>6947</v>
      </c>
      <c r="B263" s="6" t="s">
        <v>389</v>
      </c>
      <c r="C263" s="6" t="s">
        <v>6948</v>
      </c>
      <c r="D263" s="6" t="s">
        <v>6949</v>
      </c>
      <c r="E263" s="6" t="s">
        <v>6950</v>
      </c>
      <c r="F263" s="6">
        <v>16.932881598695602</v>
      </c>
      <c r="G263" s="6">
        <v>16.437710633106999</v>
      </c>
      <c r="H263" s="6">
        <v>16.374827900846999</v>
      </c>
      <c r="I263" s="6">
        <v>17.2608767565088</v>
      </c>
      <c r="J263" s="6">
        <v>15.8153972435617</v>
      </c>
      <c r="K263" s="6">
        <v>16.509834546606299</v>
      </c>
      <c r="L263" s="6">
        <v>16.9212253084834</v>
      </c>
      <c r="M263" s="6">
        <v>15.2058060082941</v>
      </c>
      <c r="N263" s="6">
        <v>16.334267989236199</v>
      </c>
      <c r="O263" s="6">
        <v>16.651923009498599</v>
      </c>
      <c r="P263" s="6">
        <v>16.701557378149399</v>
      </c>
      <c r="Q263" s="6">
        <v>15.330632742098899</v>
      </c>
    </row>
    <row r="264" spans="1:17">
      <c r="A264" s="6" t="s">
        <v>6951</v>
      </c>
      <c r="B264" s="6" t="s">
        <v>6952</v>
      </c>
      <c r="C264" s="6" t="s">
        <v>6953</v>
      </c>
      <c r="D264" s="6" t="s">
        <v>6954</v>
      </c>
      <c r="E264" s="6" t="s">
        <v>6955</v>
      </c>
      <c r="F264" s="6">
        <v>17.031641239745699</v>
      </c>
      <c r="G264" s="6">
        <v>16.176340942694399</v>
      </c>
      <c r="H264" s="6">
        <v>16.502022727170498</v>
      </c>
      <c r="I264" s="6">
        <v>16.976932346798499</v>
      </c>
      <c r="J264" s="6">
        <v>15.804393164901001</v>
      </c>
      <c r="K264" s="6">
        <v>16.5402345406014</v>
      </c>
      <c r="L264" s="6">
        <v>17.062877895542702</v>
      </c>
      <c r="M264" s="6">
        <v>15.821553936025699</v>
      </c>
      <c r="N264" s="6">
        <v>16.111103863161201</v>
      </c>
      <c r="O264" s="6">
        <v>16.7370978426055</v>
      </c>
      <c r="P264" s="6">
        <v>16.884952079001501</v>
      </c>
      <c r="Q264" s="6">
        <v>15.2203228726039</v>
      </c>
    </row>
    <row r="265" spans="1:17">
      <c r="A265" s="6" t="s">
        <v>6956</v>
      </c>
      <c r="B265" s="6" t="s">
        <v>6956</v>
      </c>
      <c r="C265" s="6" t="s">
        <v>6957</v>
      </c>
      <c r="D265" s="6" t="s">
        <v>6958</v>
      </c>
      <c r="E265" s="6" t="s">
        <v>6958</v>
      </c>
      <c r="F265" s="6" t="s">
        <v>6254</v>
      </c>
      <c r="G265" s="6" t="s">
        <v>6254</v>
      </c>
      <c r="H265" s="6">
        <v>15.988189784880401</v>
      </c>
      <c r="I265" s="6" t="s">
        <v>6254</v>
      </c>
      <c r="J265" s="6" t="s">
        <v>6254</v>
      </c>
      <c r="K265" s="6" t="s">
        <v>6254</v>
      </c>
      <c r="L265" s="6" t="s">
        <v>6254</v>
      </c>
      <c r="M265" s="6" t="s">
        <v>6254</v>
      </c>
      <c r="N265" s="6">
        <v>15.7908115748782</v>
      </c>
      <c r="O265" s="6" t="s">
        <v>6254</v>
      </c>
      <c r="P265" s="6" t="s">
        <v>6254</v>
      </c>
      <c r="Q265" s="6" t="s">
        <v>6254</v>
      </c>
    </row>
    <row r="266" spans="1:17">
      <c r="A266" s="6" t="s">
        <v>6959</v>
      </c>
      <c r="B266" s="6" t="s">
        <v>6959</v>
      </c>
      <c r="C266" s="6" t="s">
        <v>6960</v>
      </c>
      <c r="D266" s="6" t="s">
        <v>6961</v>
      </c>
      <c r="E266" s="6" t="s">
        <v>6961</v>
      </c>
      <c r="F266" s="6">
        <v>15.9617943457745</v>
      </c>
      <c r="G266" s="6">
        <v>15.115176751988701</v>
      </c>
      <c r="H266" s="6">
        <v>15.4525215196195</v>
      </c>
      <c r="I266" s="6">
        <v>14.1064023207741</v>
      </c>
      <c r="J266" s="6">
        <v>17.2605813794457</v>
      </c>
      <c r="K266" s="6">
        <v>14.593164525797199</v>
      </c>
      <c r="L266" s="6">
        <v>17.614821957781899</v>
      </c>
      <c r="M266" s="6">
        <v>16.692201126396899</v>
      </c>
      <c r="N266" s="6">
        <v>15.236219531273701</v>
      </c>
      <c r="O266" s="6">
        <v>16.764813528287299</v>
      </c>
      <c r="P266" s="6">
        <v>13.988257099680499</v>
      </c>
      <c r="Q266" s="6">
        <v>17.2270274283246</v>
      </c>
    </row>
    <row r="267" spans="1:17">
      <c r="A267" s="6" t="s">
        <v>240</v>
      </c>
      <c r="B267" s="6" t="s">
        <v>240</v>
      </c>
      <c r="C267" s="6" t="s">
        <v>6962</v>
      </c>
      <c r="D267" s="6" t="s">
        <v>6963</v>
      </c>
      <c r="E267" s="6" t="s">
        <v>6963</v>
      </c>
      <c r="F267" s="6">
        <v>16.994111019225599</v>
      </c>
      <c r="G267" s="6">
        <v>16.4232694633988</v>
      </c>
      <c r="H267" s="6">
        <v>16.541920795181301</v>
      </c>
      <c r="I267" s="6">
        <v>17.1055298077126</v>
      </c>
      <c r="J267" s="6">
        <v>15.8233941655183</v>
      </c>
      <c r="K267" s="6">
        <v>16.416231416679999</v>
      </c>
      <c r="L267" s="6">
        <v>17.0961995536356</v>
      </c>
      <c r="M267" s="6">
        <v>15.8137907143684</v>
      </c>
      <c r="N267" s="6">
        <v>16.284221309455301</v>
      </c>
      <c r="O267" s="6">
        <v>16.5811805729596</v>
      </c>
      <c r="P267" s="6">
        <v>16.4844058211083</v>
      </c>
      <c r="Q267" s="6">
        <v>15.1286476004442</v>
      </c>
    </row>
    <row r="268" spans="1:17">
      <c r="A268" s="6" t="s">
        <v>6964</v>
      </c>
      <c r="B268" s="6" t="s">
        <v>6964</v>
      </c>
      <c r="C268" s="6" t="s">
        <v>6965</v>
      </c>
      <c r="D268" s="6" t="s">
        <v>6966</v>
      </c>
      <c r="E268" s="6" t="s">
        <v>6966</v>
      </c>
      <c r="F268" s="6">
        <v>17.018603508276001</v>
      </c>
      <c r="G268" s="6">
        <v>16.652526505430899</v>
      </c>
      <c r="H268" s="6">
        <v>16.388888771798999</v>
      </c>
      <c r="I268" s="6">
        <v>17.255252460536902</v>
      </c>
      <c r="J268" s="6" t="s">
        <v>6254</v>
      </c>
      <c r="K268" s="6">
        <v>16.561831118768701</v>
      </c>
      <c r="L268" s="6">
        <v>17.357107003845101</v>
      </c>
      <c r="M268" s="6">
        <v>14.8615985052153</v>
      </c>
      <c r="N268" s="6">
        <v>15.9262335470497</v>
      </c>
      <c r="O268" s="6">
        <v>16.587298662563299</v>
      </c>
      <c r="P268" s="6">
        <v>16.659063935269099</v>
      </c>
      <c r="Q268" s="6" t="s">
        <v>6254</v>
      </c>
    </row>
    <row r="269" spans="1:17">
      <c r="A269" s="6" t="s">
        <v>6967</v>
      </c>
      <c r="B269" s="6" t="s">
        <v>6968</v>
      </c>
      <c r="C269" s="6" t="s">
        <v>6969</v>
      </c>
      <c r="D269" s="6" t="s">
        <v>6970</v>
      </c>
      <c r="E269" s="6" t="s">
        <v>6971</v>
      </c>
      <c r="F269" s="6">
        <v>17.007546100366898</v>
      </c>
      <c r="G269" s="6">
        <v>16.477986245879102</v>
      </c>
      <c r="H269" s="6">
        <v>16.547350695757601</v>
      </c>
      <c r="I269" s="6">
        <v>17.3469415363924</v>
      </c>
      <c r="J269" s="6">
        <v>16.034512939858399</v>
      </c>
      <c r="K269" s="6">
        <v>16.692518553512802</v>
      </c>
      <c r="L269" s="6">
        <v>17.012351060737799</v>
      </c>
      <c r="M269" s="6">
        <v>16.047200253848398</v>
      </c>
      <c r="N269" s="6">
        <v>16.1870736073259</v>
      </c>
      <c r="O269" s="6">
        <v>15.884589728564301</v>
      </c>
      <c r="P269" s="6">
        <v>15.779499104349201</v>
      </c>
      <c r="Q269" s="6">
        <v>15.650957116633499</v>
      </c>
    </row>
    <row r="270" spans="1:17">
      <c r="A270" s="6" t="s">
        <v>6972</v>
      </c>
      <c r="B270" s="6" t="s">
        <v>6973</v>
      </c>
      <c r="C270" s="6" t="s">
        <v>6974</v>
      </c>
      <c r="D270" s="6" t="s">
        <v>6975</v>
      </c>
      <c r="E270" s="6" t="s">
        <v>6976</v>
      </c>
      <c r="F270" s="6" t="s">
        <v>6254</v>
      </c>
      <c r="G270" s="6" t="s">
        <v>6254</v>
      </c>
      <c r="H270" s="6">
        <v>15.909806746934899</v>
      </c>
      <c r="I270" s="6" t="s">
        <v>6254</v>
      </c>
      <c r="J270" s="6" t="s">
        <v>6254</v>
      </c>
      <c r="K270" s="6" t="s">
        <v>6254</v>
      </c>
      <c r="L270" s="6">
        <v>15.208758749526</v>
      </c>
      <c r="M270" s="6" t="s">
        <v>6254</v>
      </c>
      <c r="N270" s="6" t="s">
        <v>6254</v>
      </c>
      <c r="O270" s="6">
        <v>15.5038380968585</v>
      </c>
      <c r="P270" s="6">
        <v>15.0536624069828</v>
      </c>
      <c r="Q270" s="6" t="s">
        <v>6254</v>
      </c>
    </row>
    <row r="271" spans="1:17">
      <c r="A271" s="6" t="s">
        <v>412</v>
      </c>
      <c r="B271" s="6" t="s">
        <v>412</v>
      </c>
      <c r="C271" s="6" t="s">
        <v>6977</v>
      </c>
      <c r="D271" s="6" t="s">
        <v>6978</v>
      </c>
      <c r="E271" s="6" t="s">
        <v>6978</v>
      </c>
      <c r="F271" s="6">
        <v>16.8664758865552</v>
      </c>
      <c r="G271" s="6">
        <v>16.503013971166901</v>
      </c>
      <c r="H271" s="6">
        <v>16.336320712849702</v>
      </c>
      <c r="I271" s="6">
        <v>16.936705559754198</v>
      </c>
      <c r="J271" s="6">
        <v>15.911781306796399</v>
      </c>
      <c r="K271" s="6">
        <v>16.273191585266499</v>
      </c>
      <c r="L271" s="6">
        <v>16.862773536194101</v>
      </c>
      <c r="M271" s="6">
        <v>15.6207468752871</v>
      </c>
      <c r="N271" s="6">
        <v>15.811949780734301</v>
      </c>
      <c r="O271" s="6">
        <v>16.922324080248</v>
      </c>
      <c r="P271" s="6">
        <v>16.627512488284701</v>
      </c>
      <c r="Q271" s="6">
        <v>15.476873389937399</v>
      </c>
    </row>
    <row r="272" spans="1:17">
      <c r="A272" s="6" t="s">
        <v>2278</v>
      </c>
      <c r="B272" s="6" t="s">
        <v>2278</v>
      </c>
      <c r="C272" s="6" t="s">
        <v>6979</v>
      </c>
      <c r="D272" s="6" t="s">
        <v>6980</v>
      </c>
      <c r="E272" s="6" t="s">
        <v>6980</v>
      </c>
      <c r="F272" s="6">
        <v>16.444384243494898</v>
      </c>
      <c r="G272" s="6">
        <v>16.252664495668999</v>
      </c>
      <c r="H272" s="6">
        <v>16.583316519180698</v>
      </c>
      <c r="I272" s="6">
        <v>16.887729528693601</v>
      </c>
      <c r="J272" s="6">
        <v>15.4126969934565</v>
      </c>
      <c r="K272" s="6">
        <v>16.021580945484299</v>
      </c>
      <c r="L272" s="6">
        <v>16.755970776059598</v>
      </c>
      <c r="M272" s="6">
        <v>15.6186249824705</v>
      </c>
      <c r="N272" s="6">
        <v>16.902949219058101</v>
      </c>
      <c r="O272" s="6">
        <v>16.964495763372</v>
      </c>
      <c r="P272" s="6">
        <v>16.691441900233599</v>
      </c>
      <c r="Q272" s="6">
        <v>14.9682167257518</v>
      </c>
    </row>
    <row r="273" spans="1:17">
      <c r="A273" s="6" t="s">
        <v>166</v>
      </c>
      <c r="B273" s="6" t="s">
        <v>166</v>
      </c>
      <c r="C273" s="6" t="s">
        <v>6981</v>
      </c>
      <c r="D273" s="6" t="s">
        <v>6982</v>
      </c>
      <c r="E273" s="6" t="s">
        <v>6982</v>
      </c>
      <c r="F273" s="6">
        <v>16.969760297522502</v>
      </c>
      <c r="G273" s="6">
        <v>16.360206758173</v>
      </c>
      <c r="H273" s="6">
        <v>16.376108087476599</v>
      </c>
      <c r="I273" s="6">
        <v>16.9268450510436</v>
      </c>
      <c r="J273" s="6">
        <v>15.7345251105027</v>
      </c>
      <c r="K273" s="6">
        <v>16.220876697230899</v>
      </c>
      <c r="L273" s="6">
        <v>16.8611843978053</v>
      </c>
      <c r="M273" s="6">
        <v>15.7732299873974</v>
      </c>
      <c r="N273" s="6">
        <v>16.454486426390101</v>
      </c>
      <c r="O273" s="6">
        <v>16.802373836818099</v>
      </c>
      <c r="P273" s="6">
        <v>16.4939012557209</v>
      </c>
      <c r="Q273" s="6">
        <v>15.254926695406301</v>
      </c>
    </row>
    <row r="274" spans="1:17">
      <c r="A274" s="6" t="s">
        <v>6983</v>
      </c>
      <c r="B274" s="6" t="s">
        <v>6984</v>
      </c>
      <c r="C274" s="6" t="s">
        <v>6983</v>
      </c>
      <c r="D274" s="6" t="s">
        <v>6983</v>
      </c>
      <c r="E274" s="6" t="s">
        <v>6983</v>
      </c>
      <c r="F274" s="6">
        <v>13.9786943957026</v>
      </c>
      <c r="G274" s="6">
        <v>17.204451784391701</v>
      </c>
      <c r="H274" s="6" t="s">
        <v>6254</v>
      </c>
      <c r="I274" s="6">
        <v>16.549346294460101</v>
      </c>
      <c r="J274" s="6" t="s">
        <v>6254</v>
      </c>
      <c r="K274" s="6" t="s">
        <v>6254</v>
      </c>
      <c r="L274" s="6">
        <v>16.583623691145799</v>
      </c>
      <c r="M274" s="6">
        <v>18.005680005867401</v>
      </c>
      <c r="N274" s="6">
        <v>16.5550889162764</v>
      </c>
      <c r="O274" s="6" t="s">
        <v>6254</v>
      </c>
      <c r="P274" s="6" t="s">
        <v>6254</v>
      </c>
      <c r="Q274" s="6" t="s">
        <v>6254</v>
      </c>
    </row>
    <row r="275" spans="1:17">
      <c r="A275" s="6" t="s">
        <v>6985</v>
      </c>
      <c r="B275" s="6" t="s">
        <v>6986</v>
      </c>
      <c r="C275" s="6" t="s">
        <v>6987</v>
      </c>
      <c r="D275" s="6" t="s">
        <v>6988</v>
      </c>
      <c r="E275" s="6" t="s">
        <v>6989</v>
      </c>
      <c r="F275" s="6">
        <v>16.888921935226399</v>
      </c>
      <c r="G275" s="6">
        <v>16.292402143234199</v>
      </c>
      <c r="H275" s="6">
        <v>16.049502732274199</v>
      </c>
      <c r="I275" s="6">
        <v>17.222532334524299</v>
      </c>
      <c r="J275" s="6">
        <v>15.723465615661601</v>
      </c>
      <c r="K275" s="6">
        <v>16.133890736821002</v>
      </c>
      <c r="L275" s="6">
        <v>16.654922862151199</v>
      </c>
      <c r="M275" s="6">
        <v>15.6230288593539</v>
      </c>
      <c r="N275" s="6">
        <v>16.326491951041</v>
      </c>
      <c r="O275" s="6">
        <v>16.512078081771499</v>
      </c>
      <c r="P275" s="6">
        <v>16.394259696383401</v>
      </c>
      <c r="Q275" s="6">
        <v>15.33976056379</v>
      </c>
    </row>
    <row r="276" spans="1:17">
      <c r="A276" s="6" t="s">
        <v>964</v>
      </c>
      <c r="B276" s="6" t="s">
        <v>964</v>
      </c>
      <c r="C276" s="6" t="s">
        <v>6990</v>
      </c>
      <c r="D276" s="6" t="s">
        <v>6991</v>
      </c>
      <c r="E276" s="6" t="s">
        <v>6991</v>
      </c>
      <c r="F276" s="6">
        <v>15.8866322996571</v>
      </c>
      <c r="G276" s="6">
        <v>14.981480478882</v>
      </c>
      <c r="H276" s="6">
        <v>18.624581011718899</v>
      </c>
      <c r="I276" s="6">
        <v>17.3964117450234</v>
      </c>
      <c r="J276" s="6">
        <v>19.354661763186801</v>
      </c>
      <c r="K276" s="6">
        <v>18.1479244324644</v>
      </c>
      <c r="L276" s="6">
        <v>17.710698278253801</v>
      </c>
      <c r="M276" s="6">
        <v>19.390549946380901</v>
      </c>
      <c r="N276" s="6">
        <v>16.942033313386101</v>
      </c>
      <c r="O276" s="6">
        <v>13.039435966212499</v>
      </c>
      <c r="P276" s="6">
        <v>14.9121927571497</v>
      </c>
      <c r="Q276" s="6">
        <v>15.7373076616297</v>
      </c>
    </row>
    <row r="277" spans="1:17">
      <c r="A277" s="6" t="s">
        <v>2782</v>
      </c>
      <c r="B277" s="6" t="s">
        <v>2782</v>
      </c>
      <c r="C277" s="6" t="s">
        <v>6992</v>
      </c>
      <c r="D277" s="6" t="s">
        <v>6993</v>
      </c>
      <c r="E277" s="6" t="s">
        <v>6993</v>
      </c>
      <c r="F277" s="6">
        <v>16.949143508376</v>
      </c>
      <c r="G277" s="6">
        <v>17.002001221534499</v>
      </c>
      <c r="H277" s="6">
        <v>16.411441748657399</v>
      </c>
      <c r="I277" s="6">
        <v>16.910876346691801</v>
      </c>
      <c r="J277" s="6">
        <v>15.3721186371596</v>
      </c>
      <c r="K277" s="6">
        <v>16.033964296520399</v>
      </c>
      <c r="L277" s="6">
        <v>16.501005741292399</v>
      </c>
      <c r="M277" s="6">
        <v>15.510042377053299</v>
      </c>
      <c r="N277" s="6">
        <v>15.456248210117</v>
      </c>
      <c r="O277" s="6">
        <v>16.699917927060699</v>
      </c>
      <c r="P277" s="6">
        <v>16.6251879602349</v>
      </c>
      <c r="Q277" s="6">
        <v>15.914215659293999</v>
      </c>
    </row>
    <row r="278" spans="1:17">
      <c r="A278" s="6" t="s">
        <v>6994</v>
      </c>
      <c r="B278" s="6" t="s">
        <v>276</v>
      </c>
      <c r="C278" s="6" t="s">
        <v>6995</v>
      </c>
      <c r="D278" s="6" t="s">
        <v>6996</v>
      </c>
      <c r="E278" s="6" t="s">
        <v>6997</v>
      </c>
      <c r="F278" s="6">
        <v>16.8800991825123</v>
      </c>
      <c r="G278" s="6">
        <v>16.236823064044</v>
      </c>
      <c r="H278" s="6">
        <v>16.2145588138237</v>
      </c>
      <c r="I278" s="6">
        <v>16.839541712536199</v>
      </c>
      <c r="J278" s="6">
        <v>15.757159504307101</v>
      </c>
      <c r="K278" s="6">
        <v>16.137748477289399</v>
      </c>
      <c r="L278" s="6">
        <v>16.9654688667305</v>
      </c>
      <c r="M278" s="6">
        <v>15.514864144780301</v>
      </c>
      <c r="N278" s="6">
        <v>16.0850528455716</v>
      </c>
      <c r="O278" s="6">
        <v>16.694464415567001</v>
      </c>
      <c r="P278" s="6">
        <v>16.882964479159099</v>
      </c>
      <c r="Q278" s="6">
        <v>15.177788499492801</v>
      </c>
    </row>
    <row r="279" spans="1:17">
      <c r="A279" s="6" t="s">
        <v>6998</v>
      </c>
      <c r="B279" s="6" t="s">
        <v>6998</v>
      </c>
      <c r="C279" s="6" t="s">
        <v>6998</v>
      </c>
      <c r="D279" s="6" t="s">
        <v>6998</v>
      </c>
      <c r="E279" s="6" t="s">
        <v>6998</v>
      </c>
      <c r="F279" s="6">
        <v>15.915626442974499</v>
      </c>
      <c r="G279" s="6">
        <v>13.349490158881601</v>
      </c>
      <c r="H279" s="6">
        <v>17.319236979328899</v>
      </c>
      <c r="I279" s="6">
        <v>18.097935407285799</v>
      </c>
      <c r="J279" s="6" t="s">
        <v>6254</v>
      </c>
      <c r="K279" s="6" t="s">
        <v>6254</v>
      </c>
      <c r="L279" s="6">
        <v>17.077331360896402</v>
      </c>
      <c r="M279" s="6" t="s">
        <v>6254</v>
      </c>
      <c r="N279" s="6">
        <v>11.4515066647943</v>
      </c>
      <c r="O279" s="6" t="s">
        <v>6254</v>
      </c>
      <c r="P279" s="6">
        <v>18.159898184848601</v>
      </c>
      <c r="Q279" s="6" t="s">
        <v>6254</v>
      </c>
    </row>
    <row r="280" spans="1:17">
      <c r="A280" s="6" t="s">
        <v>147</v>
      </c>
      <c r="B280" s="6" t="s">
        <v>147</v>
      </c>
      <c r="C280" s="6" t="s">
        <v>6999</v>
      </c>
      <c r="D280" s="6" t="s">
        <v>7000</v>
      </c>
      <c r="E280" s="6" t="s">
        <v>7000</v>
      </c>
      <c r="F280" s="6">
        <v>16.436632562026801</v>
      </c>
      <c r="G280" s="6">
        <v>16.846420544417199</v>
      </c>
      <c r="H280" s="6">
        <v>16.464918614714801</v>
      </c>
      <c r="I280" s="6">
        <v>16.024929266559401</v>
      </c>
      <c r="J280" s="6">
        <v>15.9123049160319</v>
      </c>
      <c r="K280" s="6">
        <v>16.029097910821999</v>
      </c>
      <c r="L280" s="6">
        <v>16.013972250037401</v>
      </c>
      <c r="M280" s="6">
        <v>16.471492084104501</v>
      </c>
      <c r="N280" s="6">
        <v>16.514492334060201</v>
      </c>
      <c r="O280" s="6">
        <v>16.578612819304201</v>
      </c>
      <c r="P280" s="6">
        <v>16.450691092160799</v>
      </c>
      <c r="Q280" s="6">
        <v>16.537930211594801</v>
      </c>
    </row>
    <row r="281" spans="1:17">
      <c r="A281" s="6" t="s">
        <v>2135</v>
      </c>
      <c r="B281" s="6" t="s">
        <v>2135</v>
      </c>
      <c r="C281" s="6" t="s">
        <v>7001</v>
      </c>
      <c r="D281" s="6" t="s">
        <v>7002</v>
      </c>
      <c r="E281" s="6" t="s">
        <v>7002</v>
      </c>
      <c r="F281" s="6">
        <v>16.919606891335899</v>
      </c>
      <c r="G281" s="6">
        <v>16.4963285220757</v>
      </c>
      <c r="H281" s="6">
        <v>16.2914190771703</v>
      </c>
      <c r="I281" s="6">
        <v>17.162737714384399</v>
      </c>
      <c r="J281" s="6">
        <v>15.737656942838401</v>
      </c>
      <c r="K281" s="6">
        <v>16.481138601560399</v>
      </c>
      <c r="L281" s="6">
        <v>17.021610489157801</v>
      </c>
      <c r="M281" s="6">
        <v>15.2987983927357</v>
      </c>
      <c r="N281" s="6">
        <v>15.7601984792993</v>
      </c>
      <c r="O281" s="6">
        <v>15.6297303948656</v>
      </c>
      <c r="P281" s="6">
        <v>15.960875348366701</v>
      </c>
      <c r="Q281" s="6">
        <v>15.7436572908111</v>
      </c>
    </row>
    <row r="282" spans="1:17">
      <c r="A282" s="6" t="s">
        <v>7003</v>
      </c>
      <c r="B282" s="6" t="s">
        <v>7003</v>
      </c>
      <c r="C282" s="6" t="s">
        <v>7003</v>
      </c>
      <c r="D282" s="6" t="s">
        <v>7003</v>
      </c>
      <c r="E282" s="6" t="s">
        <v>7003</v>
      </c>
      <c r="F282" s="6">
        <v>16.607574637557398</v>
      </c>
      <c r="G282" s="6">
        <v>16.228529415046999</v>
      </c>
      <c r="H282" s="6">
        <v>16.2338124519537</v>
      </c>
      <c r="I282" s="6">
        <v>16.995855729006799</v>
      </c>
      <c r="J282" s="6">
        <v>15.874577113192601</v>
      </c>
      <c r="K282" s="6">
        <v>16.5391220043403</v>
      </c>
      <c r="L282" s="6">
        <v>16.858600847502899</v>
      </c>
      <c r="M282" s="6">
        <v>15.372347539238</v>
      </c>
      <c r="N282" s="6">
        <v>15.5957100751005</v>
      </c>
      <c r="O282" s="6">
        <v>16.686652673358601</v>
      </c>
      <c r="P282" s="6">
        <v>16.4116780837135</v>
      </c>
      <c r="Q282" s="6" t="s">
        <v>6254</v>
      </c>
    </row>
    <row r="283" spans="1:17">
      <c r="A283" s="6" t="s">
        <v>7004</v>
      </c>
      <c r="B283" s="6" t="s">
        <v>7005</v>
      </c>
      <c r="C283" s="6" t="s">
        <v>7006</v>
      </c>
      <c r="D283" s="6" t="s">
        <v>7007</v>
      </c>
      <c r="E283" s="6" t="s">
        <v>7008</v>
      </c>
      <c r="F283" s="6">
        <v>17.115883954919301</v>
      </c>
      <c r="G283" s="6">
        <v>16.483069576594801</v>
      </c>
      <c r="H283" s="6">
        <v>16.444933223794099</v>
      </c>
      <c r="I283" s="6">
        <v>17.320395622459401</v>
      </c>
      <c r="J283" s="6">
        <v>15.691558364417499</v>
      </c>
      <c r="K283" s="6">
        <v>16.242313040871998</v>
      </c>
      <c r="L283" s="6">
        <v>16.653051172019602</v>
      </c>
      <c r="M283" s="6">
        <v>15.586358661841899</v>
      </c>
      <c r="N283" s="6">
        <v>15.7635041781942</v>
      </c>
      <c r="O283" s="6">
        <v>16.5422479431111</v>
      </c>
      <c r="P283" s="6">
        <v>17.183031345809699</v>
      </c>
      <c r="Q283" s="6">
        <v>14.964323235295501</v>
      </c>
    </row>
    <row r="284" spans="1:17">
      <c r="A284" s="6" t="s">
        <v>7009</v>
      </c>
      <c r="B284" s="6" t="s">
        <v>7010</v>
      </c>
      <c r="C284" s="6" t="s">
        <v>7011</v>
      </c>
      <c r="D284" s="6" t="s">
        <v>7012</v>
      </c>
      <c r="E284" s="6" t="s">
        <v>7013</v>
      </c>
      <c r="F284" s="6">
        <v>15.983784861706001</v>
      </c>
      <c r="G284" s="6">
        <v>15.164461124129399</v>
      </c>
      <c r="H284" s="6">
        <v>16.7089245138122</v>
      </c>
      <c r="I284" s="6">
        <v>18.8604348909282</v>
      </c>
      <c r="J284" s="6" t="s">
        <v>6254</v>
      </c>
      <c r="K284" s="6">
        <v>17.301736924406899</v>
      </c>
      <c r="L284" s="6">
        <v>20.138044227348701</v>
      </c>
      <c r="M284" s="6">
        <v>15.7759994615073</v>
      </c>
      <c r="N284" s="6">
        <v>13.243699055232399</v>
      </c>
      <c r="O284" s="6">
        <v>13.5131538017118</v>
      </c>
      <c r="P284" s="6">
        <v>15.161864290873201</v>
      </c>
      <c r="Q284" s="6" t="s">
        <v>6254</v>
      </c>
    </row>
    <row r="285" spans="1:17">
      <c r="A285" s="6" t="s">
        <v>2720</v>
      </c>
      <c r="B285" s="6" t="s">
        <v>2720</v>
      </c>
      <c r="C285" s="6" t="s">
        <v>7014</v>
      </c>
      <c r="D285" s="6" t="s">
        <v>7015</v>
      </c>
      <c r="E285" s="6" t="s">
        <v>7015</v>
      </c>
      <c r="F285" s="6">
        <v>14.460970436184599</v>
      </c>
      <c r="G285" s="6">
        <v>14.855927257299401</v>
      </c>
      <c r="H285" s="6">
        <v>17.4243664298528</v>
      </c>
      <c r="I285" s="6">
        <v>17.729221448987801</v>
      </c>
      <c r="J285" s="6">
        <v>16.563650885376401</v>
      </c>
      <c r="K285" s="6">
        <v>17.265464759275801</v>
      </c>
      <c r="L285" s="6">
        <v>17.6243908818469</v>
      </c>
      <c r="M285" s="6">
        <v>16.384113957248399</v>
      </c>
      <c r="N285" s="6">
        <v>16.573174041901499</v>
      </c>
      <c r="O285" s="6">
        <v>15.8779985217932</v>
      </c>
      <c r="P285" s="6" t="s">
        <v>6254</v>
      </c>
      <c r="Q285" s="6">
        <v>15.304686155785699</v>
      </c>
    </row>
    <row r="286" spans="1:17">
      <c r="A286" s="6" t="s">
        <v>1067</v>
      </c>
      <c r="B286" s="6" t="s">
        <v>1067</v>
      </c>
      <c r="C286" s="6" t="s">
        <v>7016</v>
      </c>
      <c r="D286" s="6" t="s">
        <v>7017</v>
      </c>
      <c r="E286" s="6" t="s">
        <v>7017</v>
      </c>
      <c r="F286" s="6">
        <v>16.957296482923301</v>
      </c>
      <c r="G286" s="6">
        <v>15.9755914735077</v>
      </c>
      <c r="H286" s="6">
        <v>16.515394829495499</v>
      </c>
      <c r="I286" s="6">
        <v>17.1707722140236</v>
      </c>
      <c r="J286" s="6">
        <v>15.784477540698701</v>
      </c>
      <c r="K286" s="6">
        <v>16.0256602419581</v>
      </c>
      <c r="L286" s="6">
        <v>17.0077275010024</v>
      </c>
      <c r="M286" s="6">
        <v>15.6583361266075</v>
      </c>
      <c r="N286" s="6">
        <v>16.159464392891401</v>
      </c>
      <c r="O286" s="6">
        <v>16.385572279915898</v>
      </c>
      <c r="P286" s="6">
        <v>16.556818560062599</v>
      </c>
      <c r="Q286" s="6">
        <v>15.1608723678131</v>
      </c>
    </row>
    <row r="287" spans="1:17">
      <c r="A287" s="6" t="s">
        <v>1588</v>
      </c>
      <c r="B287" s="6" t="s">
        <v>1588</v>
      </c>
      <c r="C287" s="6" t="s">
        <v>7018</v>
      </c>
      <c r="D287" s="6" t="s">
        <v>7019</v>
      </c>
      <c r="E287" s="6" t="s">
        <v>7019</v>
      </c>
      <c r="F287" s="6">
        <v>16.482091060643501</v>
      </c>
      <c r="G287" s="6">
        <v>16.2156652225523</v>
      </c>
      <c r="H287" s="6">
        <v>16.3408451445368</v>
      </c>
      <c r="I287" s="6">
        <v>16.960821788166999</v>
      </c>
      <c r="J287" s="6">
        <v>15.7471730882773</v>
      </c>
      <c r="K287" s="6">
        <v>16.376860493081701</v>
      </c>
      <c r="L287" s="6">
        <v>16.978309854357299</v>
      </c>
      <c r="M287" s="6">
        <v>15.646281974939001</v>
      </c>
      <c r="N287" s="6">
        <v>15.9475008727428</v>
      </c>
      <c r="O287" s="6">
        <v>16.695900470739101</v>
      </c>
      <c r="P287" s="6">
        <v>16.7024605657252</v>
      </c>
      <c r="Q287" s="6">
        <v>15.246589570502801</v>
      </c>
    </row>
    <row r="288" spans="1:17">
      <c r="A288" s="6" t="s">
        <v>7020</v>
      </c>
      <c r="B288" s="6" t="s">
        <v>7020</v>
      </c>
      <c r="C288" s="6" t="s">
        <v>7021</v>
      </c>
      <c r="D288" s="6" t="s">
        <v>7022</v>
      </c>
      <c r="E288" s="6" t="s">
        <v>7022</v>
      </c>
      <c r="F288" s="6" t="s">
        <v>6254</v>
      </c>
      <c r="G288" s="6" t="s">
        <v>6254</v>
      </c>
      <c r="H288" s="6">
        <v>16.697380357366701</v>
      </c>
      <c r="I288" s="6">
        <v>16.703232631770302</v>
      </c>
      <c r="J288" s="6" t="s">
        <v>6254</v>
      </c>
      <c r="K288" s="6" t="s">
        <v>6254</v>
      </c>
      <c r="L288" s="6" t="s">
        <v>6254</v>
      </c>
      <c r="M288" s="6" t="s">
        <v>6254</v>
      </c>
      <c r="N288" s="6">
        <v>16.9820951152482</v>
      </c>
      <c r="O288" s="6" t="s">
        <v>6254</v>
      </c>
      <c r="P288" s="6" t="s">
        <v>6254</v>
      </c>
      <c r="Q288" s="6" t="s">
        <v>6254</v>
      </c>
    </row>
    <row r="289" spans="1:17">
      <c r="A289" s="6" t="s">
        <v>7023</v>
      </c>
      <c r="B289" s="6" t="s">
        <v>7024</v>
      </c>
      <c r="C289" s="6" t="s">
        <v>7025</v>
      </c>
      <c r="D289" s="6" t="s">
        <v>7026</v>
      </c>
      <c r="E289" s="6" t="s">
        <v>7027</v>
      </c>
      <c r="F289" s="6">
        <v>15.7075709924405</v>
      </c>
      <c r="G289" s="6">
        <v>16.686597957956799</v>
      </c>
      <c r="H289" s="6">
        <v>16.1362785242851</v>
      </c>
      <c r="I289" s="6">
        <v>14.7900849127825</v>
      </c>
      <c r="J289" s="6" t="s">
        <v>6254</v>
      </c>
      <c r="K289" s="6" t="s">
        <v>6254</v>
      </c>
      <c r="L289" s="6">
        <v>15.3162763191789</v>
      </c>
      <c r="M289" s="6">
        <v>16.310435598974799</v>
      </c>
      <c r="N289" s="6">
        <v>13.753237050767099</v>
      </c>
      <c r="O289" s="6">
        <v>17.817561785388399</v>
      </c>
      <c r="P289" s="6">
        <v>17.049113300478599</v>
      </c>
      <c r="Q289" s="6">
        <v>17.887368776352101</v>
      </c>
    </row>
    <row r="290" spans="1:17">
      <c r="A290" s="6" t="s">
        <v>7028</v>
      </c>
      <c r="B290" s="6" t="s">
        <v>7029</v>
      </c>
      <c r="C290" s="6" t="s">
        <v>7030</v>
      </c>
      <c r="D290" s="6" t="s">
        <v>7031</v>
      </c>
      <c r="E290" s="6" t="s">
        <v>7032</v>
      </c>
      <c r="F290" s="6">
        <v>17.173189720840998</v>
      </c>
      <c r="G290" s="6" t="s">
        <v>6254</v>
      </c>
      <c r="H290" s="6">
        <v>16.608191657712698</v>
      </c>
      <c r="I290" s="6">
        <v>17.231384249285998</v>
      </c>
      <c r="J290" s="6" t="s">
        <v>6254</v>
      </c>
      <c r="K290" s="6">
        <v>16.351175266917799</v>
      </c>
      <c r="L290" s="6" t="s">
        <v>6254</v>
      </c>
      <c r="M290" s="6">
        <v>16.173418700047101</v>
      </c>
      <c r="N290" s="6">
        <v>16.492849582694198</v>
      </c>
      <c r="O290" s="6">
        <v>16.544372086329101</v>
      </c>
      <c r="P290" s="6">
        <v>16.851458022202099</v>
      </c>
      <c r="Q290" s="6" t="s">
        <v>6254</v>
      </c>
    </row>
    <row r="291" spans="1:17">
      <c r="A291" s="6" t="s">
        <v>1029</v>
      </c>
      <c r="B291" s="6" t="s">
        <v>1029</v>
      </c>
      <c r="C291" s="6" t="s">
        <v>7033</v>
      </c>
      <c r="D291" s="6" t="s">
        <v>7034</v>
      </c>
      <c r="E291" s="6" t="s">
        <v>7034</v>
      </c>
      <c r="F291" s="6">
        <v>16.682201077675199</v>
      </c>
      <c r="G291" s="6">
        <v>16.122075433841101</v>
      </c>
      <c r="H291" s="6">
        <v>16.173199826639902</v>
      </c>
      <c r="I291" s="6">
        <v>16.893193252421302</v>
      </c>
      <c r="J291" s="6">
        <v>15.8441682676089</v>
      </c>
      <c r="K291" s="6">
        <v>16.269980538561502</v>
      </c>
      <c r="L291" s="6">
        <v>16.518503497858799</v>
      </c>
      <c r="M291" s="6">
        <v>15.5068059635786</v>
      </c>
      <c r="N291" s="6">
        <v>15.814237438226099</v>
      </c>
      <c r="O291" s="6">
        <v>16.632088845984399</v>
      </c>
      <c r="P291" s="6">
        <v>16.5675351288067</v>
      </c>
      <c r="Q291" s="6">
        <v>15.351776070981799</v>
      </c>
    </row>
    <row r="292" spans="1:17">
      <c r="A292" s="6" t="s">
        <v>7035</v>
      </c>
      <c r="B292" s="6" t="s">
        <v>7035</v>
      </c>
      <c r="C292" s="6" t="s">
        <v>7035</v>
      </c>
      <c r="D292" s="6" t="s">
        <v>7035</v>
      </c>
      <c r="E292" s="6" t="s">
        <v>7035</v>
      </c>
      <c r="F292" s="6">
        <v>15.7972180867592</v>
      </c>
      <c r="G292" s="6">
        <v>15.8114761922927</v>
      </c>
      <c r="H292" s="6">
        <v>16.364406495983602</v>
      </c>
      <c r="I292" s="6">
        <v>15.8669509979787</v>
      </c>
      <c r="J292" s="6">
        <v>17.331671398952199</v>
      </c>
      <c r="K292" s="6">
        <v>17.060698576755399</v>
      </c>
      <c r="L292" s="6">
        <v>16.571488262222001</v>
      </c>
      <c r="M292" s="6">
        <v>17.204665073609601</v>
      </c>
      <c r="N292" s="6">
        <v>16.673760406931802</v>
      </c>
      <c r="O292" s="6">
        <v>15.091308201451699</v>
      </c>
      <c r="P292" s="6">
        <v>15.2217545280627</v>
      </c>
      <c r="Q292" s="6">
        <v>17.135219047788901</v>
      </c>
    </row>
    <row r="293" spans="1:17">
      <c r="A293" s="6" t="s">
        <v>1896</v>
      </c>
      <c r="B293" s="6" t="s">
        <v>1896</v>
      </c>
      <c r="C293" s="6" t="s">
        <v>7036</v>
      </c>
      <c r="D293" s="6" t="s">
        <v>7037</v>
      </c>
      <c r="E293" s="6" t="s">
        <v>7037</v>
      </c>
      <c r="F293" s="6">
        <v>17.080768523823998</v>
      </c>
      <c r="G293" s="6">
        <v>16.0615373959821</v>
      </c>
      <c r="H293" s="6">
        <v>16.513250939148602</v>
      </c>
      <c r="I293" s="6">
        <v>17.161284282860901</v>
      </c>
      <c r="J293" s="6">
        <v>15.9330279560162</v>
      </c>
      <c r="K293" s="6">
        <v>16.3679478219128</v>
      </c>
      <c r="L293" s="6">
        <v>16.983155960852301</v>
      </c>
      <c r="M293" s="6">
        <v>15.643677886844699</v>
      </c>
      <c r="N293" s="6">
        <v>16.086849578743902</v>
      </c>
      <c r="O293" s="6">
        <v>16.381102954452601</v>
      </c>
      <c r="P293" s="6">
        <v>16.911547725264899</v>
      </c>
      <c r="Q293" s="6">
        <v>15.3201114481461</v>
      </c>
    </row>
    <row r="294" spans="1:17">
      <c r="A294" s="6" t="s">
        <v>1901</v>
      </c>
      <c r="B294" s="6" t="s">
        <v>1901</v>
      </c>
      <c r="C294" s="6" t="s">
        <v>7038</v>
      </c>
      <c r="D294" s="6" t="s">
        <v>1903</v>
      </c>
      <c r="E294" s="6" t="s">
        <v>1903</v>
      </c>
      <c r="F294" s="6">
        <v>14.004073428764601</v>
      </c>
      <c r="G294" s="6">
        <v>15.771539995536999</v>
      </c>
      <c r="H294" s="6">
        <v>16.355228015936401</v>
      </c>
      <c r="I294" s="6">
        <v>15.2988157404644</v>
      </c>
      <c r="J294" s="6">
        <v>16.725564789374602</v>
      </c>
      <c r="K294" s="6">
        <v>15.8110712204343</v>
      </c>
      <c r="L294" s="6">
        <v>17.735433186637401</v>
      </c>
      <c r="M294" s="6">
        <v>16.4361543624163</v>
      </c>
      <c r="N294" s="6">
        <v>17.758928884340001</v>
      </c>
      <c r="O294" s="6">
        <v>15.441252018825599</v>
      </c>
      <c r="P294" s="6">
        <v>14.820003829729</v>
      </c>
      <c r="Q294" s="6">
        <v>15.5009151751663</v>
      </c>
    </row>
    <row r="295" spans="1:17">
      <c r="A295" s="6" t="s">
        <v>1572</v>
      </c>
      <c r="B295" s="6" t="s">
        <v>1572</v>
      </c>
      <c r="C295" s="6" t="s">
        <v>7039</v>
      </c>
      <c r="D295" s="6" t="s">
        <v>7040</v>
      </c>
      <c r="E295" s="6" t="s">
        <v>7040</v>
      </c>
      <c r="F295" s="6" t="s">
        <v>6254</v>
      </c>
      <c r="G295" s="6">
        <v>17.180719958980799</v>
      </c>
      <c r="H295" s="6">
        <v>16.504384657927801</v>
      </c>
      <c r="I295" s="6">
        <v>14.3152407824064</v>
      </c>
      <c r="J295" s="6">
        <v>16.544886288714402</v>
      </c>
      <c r="K295" s="6">
        <v>16.401911947521999</v>
      </c>
      <c r="L295" s="6">
        <v>16.816279535570199</v>
      </c>
      <c r="M295" s="6" t="s">
        <v>6254</v>
      </c>
      <c r="N295" s="6" t="s">
        <v>6254</v>
      </c>
      <c r="O295" s="6">
        <v>16.888846348510999</v>
      </c>
      <c r="P295" s="6">
        <v>14.116106412500599</v>
      </c>
      <c r="Q295" s="6">
        <v>16.379251626590101</v>
      </c>
    </row>
    <row r="296" spans="1:17">
      <c r="A296" s="6" t="s">
        <v>7041</v>
      </c>
      <c r="B296" s="6" t="s">
        <v>362</v>
      </c>
      <c r="C296" s="6" t="s">
        <v>7042</v>
      </c>
      <c r="D296" s="6" t="s">
        <v>7043</v>
      </c>
      <c r="E296" s="6" t="s">
        <v>7044</v>
      </c>
      <c r="F296" s="6">
        <v>16.607584387938299</v>
      </c>
      <c r="G296" s="6">
        <v>16.2280066944198</v>
      </c>
      <c r="H296" s="6">
        <v>16.290429839564499</v>
      </c>
      <c r="I296" s="6">
        <v>16.970538714895302</v>
      </c>
      <c r="J296" s="6">
        <v>15.5143009506473</v>
      </c>
      <c r="K296" s="6">
        <v>16.432309785470899</v>
      </c>
      <c r="L296" s="6">
        <v>16.7768773164259</v>
      </c>
      <c r="M296" s="6">
        <v>15.478464716879101</v>
      </c>
      <c r="N296" s="6">
        <v>15.5401793860611</v>
      </c>
      <c r="O296" s="6">
        <v>16.680650285442699</v>
      </c>
      <c r="P296" s="6">
        <v>16.7906798481912</v>
      </c>
      <c r="Q296" s="6">
        <v>15.1019880467297</v>
      </c>
    </row>
    <row r="297" spans="1:17">
      <c r="A297" s="6" t="s">
        <v>7045</v>
      </c>
      <c r="B297" s="6" t="s">
        <v>7046</v>
      </c>
      <c r="C297" s="6" t="s">
        <v>7047</v>
      </c>
      <c r="D297" s="6" t="s">
        <v>7048</v>
      </c>
      <c r="E297" s="6" t="s">
        <v>7049</v>
      </c>
      <c r="F297" s="6">
        <v>16.4976884012389</v>
      </c>
      <c r="G297" s="6">
        <v>16.137903423758299</v>
      </c>
      <c r="H297" s="6">
        <v>16.435915758274898</v>
      </c>
      <c r="I297" s="6">
        <v>16.815293287640099</v>
      </c>
      <c r="J297" s="6">
        <v>15.6203071374694</v>
      </c>
      <c r="K297" s="6">
        <v>15.999060348317499</v>
      </c>
      <c r="L297" s="6">
        <v>16.877524008115302</v>
      </c>
      <c r="M297" s="6">
        <v>15.4827615346928</v>
      </c>
      <c r="N297" s="6">
        <v>16.034739245746501</v>
      </c>
      <c r="O297" s="6">
        <v>16.524220557941099</v>
      </c>
      <c r="P297" s="6">
        <v>16.430710809255</v>
      </c>
      <c r="Q297" s="6">
        <v>15.182783444871699</v>
      </c>
    </row>
    <row r="298" spans="1:17">
      <c r="A298" s="6" t="s">
        <v>4354</v>
      </c>
      <c r="B298" s="6" t="s">
        <v>4354</v>
      </c>
      <c r="C298" s="6" t="s">
        <v>7050</v>
      </c>
      <c r="D298" s="6" t="s">
        <v>7051</v>
      </c>
      <c r="E298" s="6" t="s">
        <v>7051</v>
      </c>
      <c r="F298" s="6" t="s">
        <v>6254</v>
      </c>
      <c r="G298" s="6" t="s">
        <v>6254</v>
      </c>
      <c r="H298" s="6" t="s">
        <v>6254</v>
      </c>
      <c r="I298" s="6" t="s">
        <v>6254</v>
      </c>
      <c r="J298" s="6">
        <v>16.095717223939801</v>
      </c>
      <c r="K298" s="6">
        <v>18.0543166532355</v>
      </c>
      <c r="L298" s="6" t="s">
        <v>6254</v>
      </c>
      <c r="M298" s="6" t="s">
        <v>6254</v>
      </c>
      <c r="N298" s="6">
        <v>15.8924150471838</v>
      </c>
      <c r="O298" s="6" t="s">
        <v>6254</v>
      </c>
      <c r="P298" s="6" t="s">
        <v>6254</v>
      </c>
      <c r="Q298" s="6">
        <v>14.884726731638301</v>
      </c>
    </row>
    <row r="299" spans="1:17">
      <c r="A299" s="6" t="s">
        <v>7052</v>
      </c>
      <c r="B299" s="6" t="s">
        <v>1530</v>
      </c>
      <c r="C299" s="6" t="s">
        <v>7053</v>
      </c>
      <c r="D299" s="6" t="s">
        <v>7054</v>
      </c>
      <c r="E299" s="6" t="s">
        <v>7055</v>
      </c>
      <c r="F299" s="6">
        <v>16.758770437024101</v>
      </c>
      <c r="G299" s="6">
        <v>16.255070689309601</v>
      </c>
      <c r="H299" s="6">
        <v>16.332382565187899</v>
      </c>
      <c r="I299" s="6">
        <v>17.015428865543299</v>
      </c>
      <c r="J299" s="6">
        <v>15.517768484508199</v>
      </c>
      <c r="K299" s="6">
        <v>16.129999027632799</v>
      </c>
      <c r="L299" s="6">
        <v>16.739879171910101</v>
      </c>
      <c r="M299" s="6">
        <v>15.3974680027574</v>
      </c>
      <c r="N299" s="6">
        <v>16.129885627584901</v>
      </c>
      <c r="O299" s="6">
        <v>16.808845957268701</v>
      </c>
      <c r="P299" s="6">
        <v>16.468979961107902</v>
      </c>
      <c r="Q299" s="6">
        <v>14.9171784093495</v>
      </c>
    </row>
    <row r="300" spans="1:17">
      <c r="A300" s="6" t="s">
        <v>7056</v>
      </c>
      <c r="B300" s="6" t="s">
        <v>7056</v>
      </c>
      <c r="C300" s="6" t="s">
        <v>7056</v>
      </c>
      <c r="D300" s="6" t="s">
        <v>7056</v>
      </c>
      <c r="E300" s="6" t="s">
        <v>7056</v>
      </c>
      <c r="F300" s="6">
        <v>16.516311854159699</v>
      </c>
      <c r="G300" s="6">
        <v>16.920283789541401</v>
      </c>
      <c r="H300" s="6">
        <v>16.620277243186798</v>
      </c>
      <c r="I300" s="6">
        <v>15.773738813853701</v>
      </c>
      <c r="J300" s="6">
        <v>17.122624524749401</v>
      </c>
      <c r="K300" s="6">
        <v>14.801066858410399</v>
      </c>
      <c r="L300" s="6">
        <v>15.013054789268599</v>
      </c>
      <c r="M300" s="6">
        <v>16.295185318702099</v>
      </c>
      <c r="N300" s="6">
        <v>16.585522870842698</v>
      </c>
      <c r="O300" s="6">
        <v>14.9057743161526</v>
      </c>
      <c r="P300" s="6">
        <v>14.930574169028899</v>
      </c>
      <c r="Q300" s="6">
        <v>15.8716525211524</v>
      </c>
    </row>
    <row r="301" spans="1:17">
      <c r="A301" s="6" t="s">
        <v>7057</v>
      </c>
      <c r="B301" s="6" t="s">
        <v>7058</v>
      </c>
      <c r="C301" s="6" t="s">
        <v>7059</v>
      </c>
      <c r="D301" s="6" t="s">
        <v>7060</v>
      </c>
      <c r="E301" s="6" t="s">
        <v>7061</v>
      </c>
      <c r="F301" s="6">
        <v>16.723700109039498</v>
      </c>
      <c r="G301" s="6">
        <v>16.053717410476199</v>
      </c>
      <c r="H301" s="6">
        <v>16.333648757856299</v>
      </c>
      <c r="I301" s="6">
        <v>16.8305366554183</v>
      </c>
      <c r="J301" s="6">
        <v>15.608183165365601</v>
      </c>
      <c r="K301" s="6">
        <v>16.4360481775152</v>
      </c>
      <c r="L301" s="6">
        <v>16.7793839594984</v>
      </c>
      <c r="M301" s="6">
        <v>15.5368512242819</v>
      </c>
      <c r="N301" s="6">
        <v>15.9120806637589</v>
      </c>
      <c r="O301" s="6">
        <v>16.286290031139899</v>
      </c>
      <c r="P301" s="6">
        <v>16.521837573507501</v>
      </c>
      <c r="Q301" s="6">
        <v>15.221137576582899</v>
      </c>
    </row>
    <row r="302" spans="1:17">
      <c r="A302" s="6" t="s">
        <v>7062</v>
      </c>
      <c r="B302" s="6" t="s">
        <v>88</v>
      </c>
      <c r="C302" s="6" t="s">
        <v>7063</v>
      </c>
      <c r="D302" s="6" t="s">
        <v>7064</v>
      </c>
      <c r="E302" s="6" t="s">
        <v>7065</v>
      </c>
      <c r="F302" s="6">
        <v>15.617070353651799</v>
      </c>
      <c r="G302" s="6">
        <v>16.6287462013821</v>
      </c>
      <c r="H302" s="6">
        <v>16.667280882357598</v>
      </c>
      <c r="I302" s="6">
        <v>15.9486371012595</v>
      </c>
      <c r="J302" s="6">
        <v>16.0818488064862</v>
      </c>
      <c r="K302" s="6">
        <v>15.723391332343001</v>
      </c>
      <c r="L302" s="6">
        <v>16.283760100791099</v>
      </c>
      <c r="M302" s="6">
        <v>16.635025030067201</v>
      </c>
      <c r="N302" s="6">
        <v>16.406971888865701</v>
      </c>
      <c r="O302" s="6">
        <v>16.329016302514201</v>
      </c>
      <c r="P302" s="6">
        <v>16.279815348820598</v>
      </c>
      <c r="Q302" s="6">
        <v>16.188234468197699</v>
      </c>
    </row>
    <row r="303" spans="1:17">
      <c r="A303" s="6" t="s">
        <v>775</v>
      </c>
      <c r="B303" s="6" t="s">
        <v>775</v>
      </c>
      <c r="C303" s="6" t="s">
        <v>7066</v>
      </c>
      <c r="D303" s="6" t="s">
        <v>7067</v>
      </c>
      <c r="E303" s="6" t="s">
        <v>7067</v>
      </c>
      <c r="F303" s="6">
        <v>16.578893786148399</v>
      </c>
      <c r="G303" s="6">
        <v>16.108272996031801</v>
      </c>
      <c r="H303" s="6">
        <v>16.300116664431599</v>
      </c>
      <c r="I303" s="6">
        <v>17.0780605424806</v>
      </c>
      <c r="J303" s="6">
        <v>15.911899310698701</v>
      </c>
      <c r="K303" s="6">
        <v>16.298273729519</v>
      </c>
      <c r="L303" s="6">
        <v>16.566936698643399</v>
      </c>
      <c r="M303" s="6">
        <v>15.5611553993322</v>
      </c>
      <c r="N303" s="6">
        <v>15.920528476775299</v>
      </c>
      <c r="O303" s="6">
        <v>16.5689589986066</v>
      </c>
      <c r="P303" s="6">
        <v>16.522461315045099</v>
      </c>
      <c r="Q303" s="6">
        <v>14.911581204057599</v>
      </c>
    </row>
    <row r="304" spans="1:17">
      <c r="A304" s="6" t="s">
        <v>7068</v>
      </c>
      <c r="B304" s="6" t="s">
        <v>7069</v>
      </c>
      <c r="C304" s="6" t="s">
        <v>7070</v>
      </c>
      <c r="D304" s="6" t="s">
        <v>7071</v>
      </c>
      <c r="E304" s="6" t="s">
        <v>7072</v>
      </c>
      <c r="F304" s="6">
        <v>16.400209100711798</v>
      </c>
      <c r="G304" s="6">
        <v>16.539740311834802</v>
      </c>
      <c r="H304" s="6">
        <v>16.1800987579362</v>
      </c>
      <c r="I304" s="6">
        <v>16.896082247669401</v>
      </c>
      <c r="J304" s="6">
        <v>15.3836930376265</v>
      </c>
      <c r="K304" s="6">
        <v>15.940346238606899</v>
      </c>
      <c r="L304" s="6">
        <v>16.940170749422201</v>
      </c>
      <c r="M304" s="6">
        <v>15.565917392908601</v>
      </c>
      <c r="N304" s="6">
        <v>16.8627606573504</v>
      </c>
      <c r="O304" s="6">
        <v>16.4422891121921</v>
      </c>
      <c r="P304" s="6">
        <v>16.340121589335102</v>
      </c>
      <c r="Q304" s="6">
        <v>14.8461111795342</v>
      </c>
    </row>
    <row r="305" spans="1:17">
      <c r="A305" s="6" t="s">
        <v>7073</v>
      </c>
      <c r="B305" s="6" t="s">
        <v>7073</v>
      </c>
      <c r="C305" s="6" t="s">
        <v>7074</v>
      </c>
      <c r="D305" s="6" t="s">
        <v>6604</v>
      </c>
      <c r="E305" s="6" t="s">
        <v>6604</v>
      </c>
      <c r="F305" s="6">
        <v>16.901097339999598</v>
      </c>
      <c r="G305" s="6">
        <v>15.2933157837858</v>
      </c>
      <c r="H305" s="6">
        <v>16.415791032567899</v>
      </c>
      <c r="I305" s="6">
        <v>17.064199638721998</v>
      </c>
      <c r="J305" s="6">
        <v>15.3813872290817</v>
      </c>
      <c r="K305" s="6">
        <v>16.028741379695902</v>
      </c>
      <c r="L305" s="6">
        <v>16.6845802838514</v>
      </c>
      <c r="M305" s="6">
        <v>14.631306215032399</v>
      </c>
      <c r="N305" s="6">
        <v>15.734538499394301</v>
      </c>
      <c r="O305" s="6">
        <v>16.782730982013199</v>
      </c>
      <c r="P305" s="6">
        <v>15.7215185429486</v>
      </c>
      <c r="Q305" s="6">
        <v>15.308699823720699</v>
      </c>
    </row>
    <row r="306" spans="1:17">
      <c r="A306" s="6" t="s">
        <v>7075</v>
      </c>
      <c r="B306" s="6" t="s">
        <v>7076</v>
      </c>
      <c r="C306" s="6" t="s">
        <v>7077</v>
      </c>
      <c r="D306" s="6" t="s">
        <v>7078</v>
      </c>
      <c r="E306" s="6" t="s">
        <v>7079</v>
      </c>
      <c r="F306" s="6">
        <v>16.8969252466093</v>
      </c>
      <c r="G306" s="6">
        <v>15.943679659181401</v>
      </c>
      <c r="H306" s="6">
        <v>16.1976146085272</v>
      </c>
      <c r="I306" s="6">
        <v>16.865220626663099</v>
      </c>
      <c r="J306" s="6">
        <v>15.7993431828108</v>
      </c>
      <c r="K306" s="6">
        <v>15.6892750827495</v>
      </c>
      <c r="L306" s="6">
        <v>16.6123612427597</v>
      </c>
      <c r="M306" s="6">
        <v>15.6753811160557</v>
      </c>
      <c r="N306" s="6">
        <v>17.395107534911102</v>
      </c>
      <c r="O306" s="6">
        <v>16.452647383031501</v>
      </c>
      <c r="P306" s="6">
        <v>16.569925524438698</v>
      </c>
      <c r="Q306" s="6" t="s">
        <v>6254</v>
      </c>
    </row>
    <row r="307" spans="1:17">
      <c r="A307" s="6" t="s">
        <v>810</v>
      </c>
      <c r="B307" s="6" t="s">
        <v>810</v>
      </c>
      <c r="C307" s="6" t="s">
        <v>7080</v>
      </c>
      <c r="D307" s="6" t="s">
        <v>7081</v>
      </c>
      <c r="E307" s="6" t="s">
        <v>7081</v>
      </c>
      <c r="F307" s="6">
        <v>16.3653428891432</v>
      </c>
      <c r="G307" s="6">
        <v>16.3949283076843</v>
      </c>
      <c r="H307" s="6">
        <v>16.552401837994299</v>
      </c>
      <c r="I307" s="6">
        <v>16.809845528584201</v>
      </c>
      <c r="J307" s="6">
        <v>15.5206553277228</v>
      </c>
      <c r="K307" s="6">
        <v>15.816998726268</v>
      </c>
      <c r="L307" s="6">
        <v>17.007116631040802</v>
      </c>
      <c r="M307" s="6">
        <v>15.4486451536886</v>
      </c>
      <c r="N307" s="6">
        <v>15.647578710501699</v>
      </c>
      <c r="O307" s="6">
        <v>16.164180394019901</v>
      </c>
      <c r="P307" s="6">
        <v>16.325728038473301</v>
      </c>
      <c r="Q307" s="6">
        <v>15.550560079030401</v>
      </c>
    </row>
    <row r="308" spans="1:17">
      <c r="A308" s="6" t="s">
        <v>1239</v>
      </c>
      <c r="B308" s="6" t="s">
        <v>1239</v>
      </c>
      <c r="C308" s="6" t="s">
        <v>7082</v>
      </c>
      <c r="D308" s="6" t="s">
        <v>7083</v>
      </c>
      <c r="E308" s="6" t="s">
        <v>7083</v>
      </c>
      <c r="F308" s="6">
        <v>16.701682004088699</v>
      </c>
      <c r="G308" s="6">
        <v>16.153803624854799</v>
      </c>
      <c r="H308" s="6">
        <v>16.345823622088499</v>
      </c>
      <c r="I308" s="6">
        <v>16.934435881826101</v>
      </c>
      <c r="J308" s="6">
        <v>15.510077146817601</v>
      </c>
      <c r="K308" s="6">
        <v>16.358411208300399</v>
      </c>
      <c r="L308" s="6">
        <v>16.602781732802701</v>
      </c>
      <c r="M308" s="6">
        <v>15.432952376466</v>
      </c>
      <c r="N308" s="6">
        <v>15.6186859303187</v>
      </c>
      <c r="O308" s="6">
        <v>16.450471942634501</v>
      </c>
      <c r="P308" s="6">
        <v>16.3240322437541</v>
      </c>
      <c r="Q308" s="6">
        <v>15.400263740534101</v>
      </c>
    </row>
    <row r="309" spans="1:17">
      <c r="A309" s="6" t="s">
        <v>7084</v>
      </c>
      <c r="B309" s="6" t="s">
        <v>7085</v>
      </c>
      <c r="C309" s="6" t="s">
        <v>7086</v>
      </c>
      <c r="D309" s="6" t="s">
        <v>7087</v>
      </c>
      <c r="E309" s="6" t="s">
        <v>7088</v>
      </c>
      <c r="F309" s="6">
        <v>16.906416658393901</v>
      </c>
      <c r="G309" s="6">
        <v>16.3563009956553</v>
      </c>
      <c r="H309" s="6">
        <v>16.336941589478599</v>
      </c>
      <c r="I309" s="6">
        <v>16.6554729745048</v>
      </c>
      <c r="J309" s="6">
        <v>15.1888409713612</v>
      </c>
      <c r="K309" s="6">
        <v>15.1651679549084</v>
      </c>
      <c r="L309" s="6">
        <v>16.565520985146801</v>
      </c>
      <c r="M309" s="6">
        <v>15.6588372842151</v>
      </c>
      <c r="N309" s="6">
        <v>17.3520370358581</v>
      </c>
      <c r="O309" s="6">
        <v>16.7218647611083</v>
      </c>
      <c r="P309" s="6">
        <v>16.2116965872073</v>
      </c>
      <c r="Q309" s="6">
        <v>14.9336993773824</v>
      </c>
    </row>
    <row r="310" spans="1:17">
      <c r="A310" s="6" t="s">
        <v>7089</v>
      </c>
      <c r="B310" s="6" t="s">
        <v>1403</v>
      </c>
      <c r="C310" s="6" t="s">
        <v>7090</v>
      </c>
      <c r="D310" s="6" t="s">
        <v>7091</v>
      </c>
      <c r="E310" s="6" t="s">
        <v>7092</v>
      </c>
      <c r="F310" s="6">
        <v>16.109813353249201</v>
      </c>
      <c r="G310" s="6">
        <v>16.369093716443501</v>
      </c>
      <c r="H310" s="6">
        <v>16.469317915408801</v>
      </c>
      <c r="I310" s="6">
        <v>16.622372200581101</v>
      </c>
      <c r="J310" s="6">
        <v>15.4859417856685</v>
      </c>
      <c r="K310" s="6">
        <v>16.3696028157703</v>
      </c>
      <c r="L310" s="6">
        <v>17.1999458509117</v>
      </c>
      <c r="M310" s="6">
        <v>15.6152856117707</v>
      </c>
      <c r="N310" s="6">
        <v>15.384224554708499</v>
      </c>
      <c r="O310" s="6">
        <v>16.212466160144899</v>
      </c>
      <c r="P310" s="6">
        <v>16.1033131740956</v>
      </c>
      <c r="Q310" s="6">
        <v>15.219382332416201</v>
      </c>
    </row>
    <row r="311" spans="1:17">
      <c r="A311" s="6" t="s">
        <v>378</v>
      </c>
      <c r="B311" s="6" t="s">
        <v>378</v>
      </c>
      <c r="C311" s="6" t="s">
        <v>7093</v>
      </c>
      <c r="D311" s="6" t="s">
        <v>7094</v>
      </c>
      <c r="E311" s="6" t="s">
        <v>7094</v>
      </c>
      <c r="F311" s="6">
        <v>16.5378844884725</v>
      </c>
      <c r="G311" s="6">
        <v>16.406809470319399</v>
      </c>
      <c r="H311" s="6">
        <v>16.3205489122589</v>
      </c>
      <c r="I311" s="6">
        <v>16.978132846734901</v>
      </c>
      <c r="J311" s="6">
        <v>15.6743027658098</v>
      </c>
      <c r="K311" s="6">
        <v>16.231676694545602</v>
      </c>
      <c r="L311" s="6">
        <v>16.586708604695598</v>
      </c>
      <c r="M311" s="6">
        <v>15.699795103886199</v>
      </c>
      <c r="N311" s="6">
        <v>15.7637167953944</v>
      </c>
      <c r="O311" s="6">
        <v>16.266705268091201</v>
      </c>
      <c r="P311" s="6">
        <v>16.095451896908799</v>
      </c>
      <c r="Q311" s="6">
        <v>15.167109695388699</v>
      </c>
    </row>
    <row r="312" spans="1:17">
      <c r="A312" s="6" t="s">
        <v>950</v>
      </c>
      <c r="B312" s="6" t="s">
        <v>950</v>
      </c>
      <c r="C312" s="6" t="s">
        <v>7095</v>
      </c>
      <c r="D312" s="6" t="s">
        <v>7096</v>
      </c>
      <c r="E312" s="6" t="s">
        <v>7096</v>
      </c>
      <c r="F312" s="6">
        <v>16.738865985516899</v>
      </c>
      <c r="G312" s="6">
        <v>16.133411794924498</v>
      </c>
      <c r="H312" s="6">
        <v>16.419835804016799</v>
      </c>
      <c r="I312" s="6">
        <v>16.888775802233098</v>
      </c>
      <c r="J312" s="6">
        <v>15.4754562417922</v>
      </c>
      <c r="K312" s="6">
        <v>16.026617822418899</v>
      </c>
      <c r="L312" s="6">
        <v>16.9356855979931</v>
      </c>
      <c r="M312" s="6">
        <v>15.638432280598201</v>
      </c>
      <c r="N312" s="6">
        <v>16.348444388282001</v>
      </c>
      <c r="O312" s="6">
        <v>16.2393747556984</v>
      </c>
      <c r="P312" s="6">
        <v>16.078173091263402</v>
      </c>
      <c r="Q312" s="6">
        <v>14.725611124748401</v>
      </c>
    </row>
    <row r="313" spans="1:17">
      <c r="A313" s="6" t="s">
        <v>7097</v>
      </c>
      <c r="B313" s="6" t="s">
        <v>1856</v>
      </c>
      <c r="C313" s="6" t="s">
        <v>7098</v>
      </c>
      <c r="D313" s="6" t="s">
        <v>7099</v>
      </c>
      <c r="E313" s="6" t="s">
        <v>7100</v>
      </c>
      <c r="F313" s="6">
        <v>16.703219199009698</v>
      </c>
      <c r="G313" s="6">
        <v>16.121534569586199</v>
      </c>
      <c r="H313" s="6">
        <v>16.715207344133098</v>
      </c>
      <c r="I313" s="6">
        <v>16.982719773953399</v>
      </c>
      <c r="J313" s="6">
        <v>15.621716003962399</v>
      </c>
      <c r="K313" s="6">
        <v>16.508587603697801</v>
      </c>
      <c r="L313" s="6">
        <v>16.898867688482699</v>
      </c>
      <c r="M313" s="6">
        <v>15.370806665950999</v>
      </c>
      <c r="N313" s="6">
        <v>15.9065290738847</v>
      </c>
      <c r="O313" s="6">
        <v>16.5923991918553</v>
      </c>
      <c r="P313" s="6">
        <v>16.6500962728432</v>
      </c>
      <c r="Q313" s="6">
        <v>14.9860477768229</v>
      </c>
    </row>
    <row r="314" spans="1:17">
      <c r="A314" s="6" t="s">
        <v>1391</v>
      </c>
      <c r="B314" s="6" t="s">
        <v>1391</v>
      </c>
      <c r="C314" s="6" t="s">
        <v>7101</v>
      </c>
      <c r="D314" s="7">
        <v>44079</v>
      </c>
      <c r="E314" s="7">
        <v>44079</v>
      </c>
      <c r="F314" s="6">
        <v>16.8332051941534</v>
      </c>
      <c r="G314" s="6">
        <v>16.1335909580357</v>
      </c>
      <c r="H314" s="6">
        <v>16.266243802607999</v>
      </c>
      <c r="I314" s="6">
        <v>16.907596233717801</v>
      </c>
      <c r="J314" s="6">
        <v>15.530157997936699</v>
      </c>
      <c r="K314" s="6">
        <v>16.231739071062101</v>
      </c>
      <c r="L314" s="6">
        <v>16.8817919591778</v>
      </c>
      <c r="M314" s="6">
        <v>15.7375653244807</v>
      </c>
      <c r="N314" s="6">
        <v>16.338831387183902</v>
      </c>
      <c r="O314" s="6">
        <v>16.4333903069302</v>
      </c>
      <c r="P314" s="6">
        <v>15.8712593477607</v>
      </c>
      <c r="Q314" s="6">
        <v>14.7406334567992</v>
      </c>
    </row>
    <row r="315" spans="1:17">
      <c r="A315" s="6" t="s">
        <v>7102</v>
      </c>
      <c r="B315" s="6" t="s">
        <v>7103</v>
      </c>
      <c r="C315" s="6" t="s">
        <v>7104</v>
      </c>
      <c r="D315" s="6" t="s">
        <v>7105</v>
      </c>
      <c r="E315" s="6" t="s">
        <v>7106</v>
      </c>
      <c r="F315" s="6">
        <v>16.5942752636326</v>
      </c>
      <c r="G315" s="6" t="s">
        <v>6254</v>
      </c>
      <c r="H315" s="6">
        <v>16.913645737948301</v>
      </c>
      <c r="I315" s="6">
        <v>17.948119866202401</v>
      </c>
      <c r="J315" s="6">
        <v>16.168864793375199</v>
      </c>
      <c r="K315" s="6">
        <v>16.935514412222801</v>
      </c>
      <c r="L315" s="6">
        <v>17.3614884342268</v>
      </c>
      <c r="M315" s="6">
        <v>16.356611754545298</v>
      </c>
      <c r="N315" s="6">
        <v>16.836605759227101</v>
      </c>
      <c r="O315" s="6">
        <v>15.445886403122101</v>
      </c>
      <c r="P315" s="6">
        <v>15.608195613497699</v>
      </c>
      <c r="Q315" s="6">
        <v>14.3381078323679</v>
      </c>
    </row>
    <row r="316" spans="1:17">
      <c r="A316" s="6" t="s">
        <v>373</v>
      </c>
      <c r="B316" s="6" t="s">
        <v>373</v>
      </c>
      <c r="C316" s="6" t="s">
        <v>7107</v>
      </c>
      <c r="D316" s="6" t="s">
        <v>7108</v>
      </c>
      <c r="E316" s="6" t="s">
        <v>7108</v>
      </c>
      <c r="F316" s="6">
        <v>14.8524208065074</v>
      </c>
      <c r="G316" s="6">
        <v>16.144661021268998</v>
      </c>
      <c r="H316" s="6">
        <v>15.958570149377101</v>
      </c>
      <c r="I316" s="6">
        <v>17.294005392145301</v>
      </c>
      <c r="J316" s="6">
        <v>15.582111111274299</v>
      </c>
      <c r="K316" s="6">
        <v>17.6812747236484</v>
      </c>
      <c r="L316" s="6">
        <v>15.5100307701424</v>
      </c>
      <c r="M316" s="6">
        <v>15.530262433736301</v>
      </c>
      <c r="N316" s="6">
        <v>16.570501625320201</v>
      </c>
      <c r="O316" s="6">
        <v>17.435525530825501</v>
      </c>
      <c r="P316" s="6">
        <v>16.609908524223901</v>
      </c>
      <c r="Q316" s="6">
        <v>15.8231607712022</v>
      </c>
    </row>
    <row r="317" spans="1:17">
      <c r="A317" s="6" t="s">
        <v>3932</v>
      </c>
      <c r="B317" s="6" t="s">
        <v>3932</v>
      </c>
      <c r="C317" s="6" t="s">
        <v>7109</v>
      </c>
      <c r="D317" s="6" t="s">
        <v>7110</v>
      </c>
      <c r="E317" s="6" t="s">
        <v>7110</v>
      </c>
      <c r="F317" s="6">
        <v>16.618339155056798</v>
      </c>
      <c r="G317" s="6">
        <v>16.340444460286498</v>
      </c>
      <c r="H317" s="6">
        <v>16.170061673590698</v>
      </c>
      <c r="I317" s="6">
        <v>16.928067430971801</v>
      </c>
      <c r="J317" s="6">
        <v>15.7626102815262</v>
      </c>
      <c r="K317" s="6">
        <v>15.9800792381377</v>
      </c>
      <c r="L317" s="6">
        <v>16.590987600411601</v>
      </c>
      <c r="M317" s="6">
        <v>15.2554873337959</v>
      </c>
      <c r="N317" s="6">
        <v>15.7055069380121</v>
      </c>
      <c r="O317" s="6">
        <v>16.582600252025699</v>
      </c>
      <c r="P317" s="6">
        <v>16.680738228793</v>
      </c>
      <c r="Q317" s="6">
        <v>14.9613755941677</v>
      </c>
    </row>
    <row r="318" spans="1:17">
      <c r="A318" s="6" t="s">
        <v>7111</v>
      </c>
      <c r="B318" s="6" t="s">
        <v>7112</v>
      </c>
      <c r="C318" s="6" t="s">
        <v>7113</v>
      </c>
      <c r="D318" s="6" t="s">
        <v>7114</v>
      </c>
      <c r="E318" s="6" t="s">
        <v>7115</v>
      </c>
      <c r="F318" s="6">
        <v>17.118245828843602</v>
      </c>
      <c r="G318" s="6">
        <v>15.7829746452128</v>
      </c>
      <c r="H318" s="6">
        <v>15.70507721739</v>
      </c>
      <c r="I318" s="6">
        <v>15.767057720518601</v>
      </c>
      <c r="J318" s="6">
        <v>17.153580115001599</v>
      </c>
      <c r="K318" s="6">
        <v>17.5297418376229</v>
      </c>
      <c r="L318" s="6">
        <v>16.631883951424602</v>
      </c>
      <c r="M318" s="6">
        <v>17.049554055940501</v>
      </c>
      <c r="N318" s="6">
        <v>17.219851569325701</v>
      </c>
      <c r="O318" s="6" t="s">
        <v>6254</v>
      </c>
      <c r="P318" s="6" t="s">
        <v>6254</v>
      </c>
      <c r="Q318" s="6">
        <v>16.538809184037</v>
      </c>
    </row>
    <row r="319" spans="1:17">
      <c r="A319" s="6" t="s">
        <v>945</v>
      </c>
      <c r="B319" s="6" t="s">
        <v>945</v>
      </c>
      <c r="C319" s="6" t="s">
        <v>7116</v>
      </c>
      <c r="D319" s="6" t="s">
        <v>7117</v>
      </c>
      <c r="E319" s="6" t="s">
        <v>7117</v>
      </c>
      <c r="F319" s="6">
        <v>16.538774038004298</v>
      </c>
      <c r="G319" s="6">
        <v>16.146573039502002</v>
      </c>
      <c r="H319" s="6">
        <v>16.139025637201499</v>
      </c>
      <c r="I319" s="6">
        <v>16.597900518832201</v>
      </c>
      <c r="J319" s="6">
        <v>15.4076603322981</v>
      </c>
      <c r="K319" s="6">
        <v>16.110489982043699</v>
      </c>
      <c r="L319" s="6">
        <v>16.632277208820302</v>
      </c>
      <c r="M319" s="6">
        <v>15.57611230665</v>
      </c>
      <c r="N319" s="6">
        <v>15.7630166225774</v>
      </c>
      <c r="O319" s="6">
        <v>16.448874759733499</v>
      </c>
      <c r="P319" s="6">
        <v>16.396411719820598</v>
      </c>
      <c r="Q319" s="6">
        <v>15.4665433257346</v>
      </c>
    </row>
    <row r="320" spans="1:17">
      <c r="A320" s="6" t="s">
        <v>191</v>
      </c>
      <c r="B320" s="6" t="s">
        <v>191</v>
      </c>
      <c r="C320" s="6" t="s">
        <v>7118</v>
      </c>
      <c r="D320" s="6" t="s">
        <v>7119</v>
      </c>
      <c r="E320" s="6" t="s">
        <v>7119</v>
      </c>
      <c r="F320" s="6">
        <v>16.6732220923898</v>
      </c>
      <c r="G320" s="6">
        <v>16.064063387318001</v>
      </c>
      <c r="H320" s="6">
        <v>16.255221979371999</v>
      </c>
      <c r="I320" s="6">
        <v>16.9192834273816</v>
      </c>
      <c r="J320" s="6">
        <v>15.4713590325489</v>
      </c>
      <c r="K320" s="6">
        <v>16.184015321003301</v>
      </c>
      <c r="L320" s="6">
        <v>16.823991086707402</v>
      </c>
      <c r="M320" s="6">
        <v>15.431914044321999</v>
      </c>
      <c r="N320" s="6">
        <v>16.296315298254999</v>
      </c>
      <c r="O320" s="6">
        <v>16.720617498627199</v>
      </c>
      <c r="P320" s="6">
        <v>16.473888222627501</v>
      </c>
      <c r="Q320" s="6">
        <v>15.0087118041018</v>
      </c>
    </row>
    <row r="321" spans="1:17">
      <c r="A321" s="6" t="s">
        <v>7120</v>
      </c>
      <c r="B321" s="6" t="s">
        <v>7121</v>
      </c>
      <c r="C321" s="6" t="s">
        <v>7122</v>
      </c>
      <c r="D321" s="6" t="s">
        <v>7123</v>
      </c>
      <c r="E321" s="6" t="s">
        <v>7124</v>
      </c>
      <c r="F321" s="6">
        <v>16.553319470152601</v>
      </c>
      <c r="G321" s="6">
        <v>16.410055709461499</v>
      </c>
      <c r="H321" s="6">
        <v>15.9589671797452</v>
      </c>
      <c r="I321" s="6">
        <v>16.684202809614099</v>
      </c>
      <c r="J321" s="6">
        <v>16.021632441966101</v>
      </c>
      <c r="K321" s="6">
        <v>16.358809366393402</v>
      </c>
      <c r="L321" s="6">
        <v>16.5302550396705</v>
      </c>
      <c r="M321" s="6">
        <v>15.4839038547605</v>
      </c>
      <c r="N321" s="6">
        <v>15.113460003237</v>
      </c>
      <c r="O321" s="6">
        <v>16.519716691998401</v>
      </c>
      <c r="P321" s="6">
        <v>16.733920867103201</v>
      </c>
      <c r="Q321" s="6">
        <v>15.253291289824499</v>
      </c>
    </row>
    <row r="322" spans="1:17">
      <c r="A322" s="6" t="s">
        <v>962</v>
      </c>
      <c r="B322" s="6" t="s">
        <v>962</v>
      </c>
      <c r="C322" s="6" t="s">
        <v>7125</v>
      </c>
      <c r="D322" s="6" t="s">
        <v>7126</v>
      </c>
      <c r="E322" s="6" t="s">
        <v>7126</v>
      </c>
      <c r="F322" s="6">
        <v>16.7787644566612</v>
      </c>
      <c r="G322" s="6">
        <v>16.223647106304501</v>
      </c>
      <c r="H322" s="6">
        <v>16.341844556471699</v>
      </c>
      <c r="I322" s="6">
        <v>16.828540803997299</v>
      </c>
      <c r="J322" s="6">
        <v>15.6647590091167</v>
      </c>
      <c r="K322" s="6">
        <v>16.393828604862399</v>
      </c>
      <c r="L322" s="6">
        <v>16.837018437238999</v>
      </c>
      <c r="M322" s="6">
        <v>15.7517958955744</v>
      </c>
      <c r="N322" s="6">
        <v>16.187984931452601</v>
      </c>
      <c r="O322" s="6">
        <v>16.155266556694801</v>
      </c>
      <c r="P322" s="6">
        <v>15.769007888736301</v>
      </c>
      <c r="Q322" s="6">
        <v>15.1608102384153</v>
      </c>
    </row>
    <row r="323" spans="1:17">
      <c r="A323" s="6" t="s">
        <v>909</v>
      </c>
      <c r="B323" s="6" t="s">
        <v>909</v>
      </c>
      <c r="C323" s="6" t="s">
        <v>909</v>
      </c>
      <c r="D323" s="6" t="s">
        <v>909</v>
      </c>
      <c r="E323" s="6" t="s">
        <v>909</v>
      </c>
      <c r="F323" s="6">
        <v>16.859302553894299</v>
      </c>
      <c r="G323" s="6">
        <v>16.2769955609349</v>
      </c>
      <c r="H323" s="6">
        <v>16.476814206776599</v>
      </c>
      <c r="I323" s="6">
        <v>16.5722463820908</v>
      </c>
      <c r="J323" s="6">
        <v>15.6086326745768</v>
      </c>
      <c r="K323" s="6">
        <v>15.9526399243176</v>
      </c>
      <c r="L323" s="6">
        <v>16.633716556276799</v>
      </c>
      <c r="M323" s="6">
        <v>15.7142715537105</v>
      </c>
      <c r="N323" s="6">
        <v>16.316134573278099</v>
      </c>
      <c r="O323" s="6">
        <v>16.598219566725</v>
      </c>
      <c r="P323" s="6">
        <v>16.3310168161055</v>
      </c>
      <c r="Q323" s="6">
        <v>14.6871495408763</v>
      </c>
    </row>
    <row r="324" spans="1:17">
      <c r="A324" s="6" t="s">
        <v>7127</v>
      </c>
      <c r="B324" s="6" t="s">
        <v>1908</v>
      </c>
      <c r="C324" s="6" t="s">
        <v>7128</v>
      </c>
      <c r="D324" s="6" t="s">
        <v>7129</v>
      </c>
      <c r="E324" s="6" t="s">
        <v>7130</v>
      </c>
      <c r="F324" s="6">
        <v>16.522892228003698</v>
      </c>
      <c r="G324" s="6">
        <v>15.8828147226179</v>
      </c>
      <c r="H324" s="6">
        <v>16.081895811591099</v>
      </c>
      <c r="I324" s="6">
        <v>16.9453426085826</v>
      </c>
      <c r="J324" s="6">
        <v>15.455993828176499</v>
      </c>
      <c r="K324" s="6">
        <v>16.1925640533529</v>
      </c>
      <c r="L324" s="6">
        <v>16.779872959525399</v>
      </c>
      <c r="M324" s="6">
        <v>15.2739807783095</v>
      </c>
      <c r="N324" s="6">
        <v>15.6680099102513</v>
      </c>
      <c r="O324" s="6">
        <v>16.2801961278645</v>
      </c>
      <c r="P324" s="6">
        <v>16.049353936866002</v>
      </c>
      <c r="Q324" s="6">
        <v>15.223051314417701</v>
      </c>
    </row>
    <row r="325" spans="1:17">
      <c r="A325" s="6" t="s">
        <v>7131</v>
      </c>
      <c r="B325" s="6" t="s">
        <v>7131</v>
      </c>
      <c r="C325" s="6" t="s">
        <v>7132</v>
      </c>
      <c r="D325" s="6" t="s">
        <v>7133</v>
      </c>
      <c r="E325" s="6" t="s">
        <v>7133</v>
      </c>
      <c r="F325" s="6" t="s">
        <v>6254</v>
      </c>
      <c r="G325" s="6">
        <v>14.686866002237601</v>
      </c>
      <c r="H325" s="6" t="s">
        <v>6254</v>
      </c>
      <c r="I325" s="6">
        <v>16.476969725488701</v>
      </c>
      <c r="J325" s="6">
        <v>16.243399630276599</v>
      </c>
      <c r="K325" s="6" t="s">
        <v>6254</v>
      </c>
      <c r="L325" s="6">
        <v>17.0705452462111</v>
      </c>
      <c r="M325" s="6" t="s">
        <v>6254</v>
      </c>
      <c r="N325" s="6" t="s">
        <v>6254</v>
      </c>
      <c r="O325" s="6">
        <v>14.408226656002499</v>
      </c>
      <c r="P325" s="6" t="s">
        <v>6254</v>
      </c>
      <c r="Q325" s="6" t="s">
        <v>6254</v>
      </c>
    </row>
    <row r="326" spans="1:17">
      <c r="A326" s="6" t="s">
        <v>7134</v>
      </c>
      <c r="B326" s="6" t="s">
        <v>7134</v>
      </c>
      <c r="C326" s="6" t="s">
        <v>7135</v>
      </c>
      <c r="D326" s="6" t="s">
        <v>7136</v>
      </c>
      <c r="E326" s="6" t="s">
        <v>7136</v>
      </c>
      <c r="F326" s="6">
        <v>16.379084538893</v>
      </c>
      <c r="G326" s="6" t="s">
        <v>6254</v>
      </c>
      <c r="H326" s="6" t="s">
        <v>6254</v>
      </c>
      <c r="I326" s="6">
        <v>10.925822413688101</v>
      </c>
      <c r="J326" s="6" t="s">
        <v>6254</v>
      </c>
      <c r="K326" s="6">
        <v>16.7317471503059</v>
      </c>
      <c r="L326" s="6">
        <v>17.236568452564899</v>
      </c>
      <c r="M326" s="6">
        <v>17.420879868539</v>
      </c>
      <c r="N326" s="6">
        <v>17.7099331013608</v>
      </c>
      <c r="O326" s="6" t="s">
        <v>6254</v>
      </c>
      <c r="P326" s="6" t="s">
        <v>6254</v>
      </c>
      <c r="Q326" s="6" t="s">
        <v>6254</v>
      </c>
    </row>
    <row r="327" spans="1:17">
      <c r="A327" s="6" t="s">
        <v>7137</v>
      </c>
      <c r="B327" s="6" t="s">
        <v>7138</v>
      </c>
      <c r="C327" s="6" t="s">
        <v>7139</v>
      </c>
      <c r="D327" s="6" t="s">
        <v>7140</v>
      </c>
      <c r="E327" s="6" t="s">
        <v>7141</v>
      </c>
      <c r="F327" s="6">
        <v>16.949440083271298</v>
      </c>
      <c r="G327" s="6">
        <v>16.269023314620298</v>
      </c>
      <c r="H327" s="6">
        <v>16.072389888305</v>
      </c>
      <c r="I327" s="6">
        <v>16.725001077778099</v>
      </c>
      <c r="J327" s="6">
        <v>15.7815239980209</v>
      </c>
      <c r="K327" s="6">
        <v>16.2445938327437</v>
      </c>
      <c r="L327" s="6">
        <v>16.586429553810099</v>
      </c>
      <c r="M327" s="6">
        <v>15.2623342846135</v>
      </c>
      <c r="N327" s="6">
        <v>15.5913073674466</v>
      </c>
      <c r="O327" s="6">
        <v>16.5996595038423</v>
      </c>
      <c r="P327" s="6">
        <v>16.609341475217299</v>
      </c>
      <c r="Q327" s="6">
        <v>14.936641182404101</v>
      </c>
    </row>
    <row r="328" spans="1:17">
      <c r="A328" s="6" t="s">
        <v>1230</v>
      </c>
      <c r="B328" s="6" t="s">
        <v>1230</v>
      </c>
      <c r="C328" s="6" t="s">
        <v>7142</v>
      </c>
      <c r="D328" s="6" t="s">
        <v>7143</v>
      </c>
      <c r="E328" s="6" t="s">
        <v>7143</v>
      </c>
      <c r="F328" s="6">
        <v>16.4549307267751</v>
      </c>
      <c r="G328" s="6">
        <v>15.3984588050594</v>
      </c>
      <c r="H328" s="6">
        <v>16.448155865772101</v>
      </c>
      <c r="I328" s="6">
        <v>16.709505437292499</v>
      </c>
      <c r="J328" s="6">
        <v>15.2440075755372</v>
      </c>
      <c r="K328" s="6" t="s">
        <v>6254</v>
      </c>
      <c r="L328" s="6">
        <v>16.701615443358801</v>
      </c>
      <c r="M328" s="6">
        <v>14.998624992846899</v>
      </c>
      <c r="N328" s="6" t="s">
        <v>6254</v>
      </c>
      <c r="O328" s="6">
        <v>16.750179154103702</v>
      </c>
      <c r="P328" s="6">
        <v>16.1975198210061</v>
      </c>
      <c r="Q328" s="6" t="s">
        <v>6254</v>
      </c>
    </row>
    <row r="329" spans="1:17">
      <c r="A329" s="6" t="s">
        <v>7144</v>
      </c>
      <c r="B329" s="6" t="s">
        <v>4164</v>
      </c>
      <c r="C329" s="6" t="s">
        <v>7145</v>
      </c>
      <c r="D329" s="6" t="s">
        <v>7146</v>
      </c>
      <c r="E329" s="6" t="s">
        <v>7147</v>
      </c>
      <c r="F329" s="6">
        <v>16.418946193145199</v>
      </c>
      <c r="G329" s="6">
        <v>16.081506149729702</v>
      </c>
      <c r="H329" s="6">
        <v>16.183171573163602</v>
      </c>
      <c r="I329" s="6">
        <v>16.803401011544299</v>
      </c>
      <c r="J329" s="6">
        <v>15.679397576728901</v>
      </c>
      <c r="K329" s="6">
        <v>16.315674035682399</v>
      </c>
      <c r="L329" s="6">
        <v>16.605826424193001</v>
      </c>
      <c r="M329" s="6">
        <v>15.4412524163622</v>
      </c>
      <c r="N329" s="6">
        <v>15.3072969762457</v>
      </c>
      <c r="O329" s="6">
        <v>16.432412852881001</v>
      </c>
      <c r="P329" s="6">
        <v>16.792606986520099</v>
      </c>
      <c r="Q329" s="6">
        <v>15.2210698426156</v>
      </c>
    </row>
    <row r="330" spans="1:17">
      <c r="A330" s="6" t="s">
        <v>748</v>
      </c>
      <c r="B330" s="6" t="s">
        <v>748</v>
      </c>
      <c r="C330" s="6" t="s">
        <v>7148</v>
      </c>
      <c r="D330" s="6" t="s">
        <v>7149</v>
      </c>
      <c r="E330" s="6" t="s">
        <v>7149</v>
      </c>
      <c r="F330" s="6">
        <v>16.7673801817932</v>
      </c>
      <c r="G330" s="6">
        <v>16.132608083035301</v>
      </c>
      <c r="H330" s="6">
        <v>16.088571774182402</v>
      </c>
      <c r="I330" s="6">
        <v>17.122373382985</v>
      </c>
      <c r="J330" s="6">
        <v>15.5367442247067</v>
      </c>
      <c r="K330" s="6">
        <v>15.921054873686501</v>
      </c>
      <c r="L330" s="6">
        <v>16.469754934859399</v>
      </c>
      <c r="M330" s="6">
        <v>15.2835441277693</v>
      </c>
      <c r="N330" s="6">
        <v>16.002420919593899</v>
      </c>
      <c r="O330" s="6">
        <v>16.639892221975401</v>
      </c>
      <c r="P330" s="6">
        <v>16.051853504676199</v>
      </c>
      <c r="Q330" s="6">
        <v>15.0299796929433</v>
      </c>
    </row>
    <row r="331" spans="1:17">
      <c r="A331" s="6" t="s">
        <v>7150</v>
      </c>
      <c r="B331" s="6" t="s">
        <v>7150</v>
      </c>
      <c r="C331" s="6" t="s">
        <v>7151</v>
      </c>
      <c r="D331" s="6" t="s">
        <v>7152</v>
      </c>
      <c r="E331" s="6" t="s">
        <v>7152</v>
      </c>
      <c r="F331" s="6">
        <v>16.8259612178908</v>
      </c>
      <c r="G331" s="6">
        <v>15.850406563501499</v>
      </c>
      <c r="H331" s="6">
        <v>16.368777408506698</v>
      </c>
      <c r="I331" s="6">
        <v>16.6660556037255</v>
      </c>
      <c r="J331" s="6">
        <v>15.5146379331121</v>
      </c>
      <c r="K331" s="6">
        <v>16.3267070881327</v>
      </c>
      <c r="L331" s="6">
        <v>16.673548888671998</v>
      </c>
      <c r="M331" s="6">
        <v>15.217266632979801</v>
      </c>
      <c r="N331" s="6">
        <v>16.022398107247199</v>
      </c>
      <c r="O331" s="6">
        <v>16.760734037147799</v>
      </c>
      <c r="P331" s="6">
        <v>16.380683170543101</v>
      </c>
      <c r="Q331" s="6">
        <v>14.859002620424601</v>
      </c>
    </row>
    <row r="332" spans="1:17">
      <c r="A332" s="6" t="s">
        <v>7153</v>
      </c>
      <c r="B332" s="6" t="s">
        <v>7153</v>
      </c>
      <c r="C332" s="6" t="s">
        <v>7154</v>
      </c>
      <c r="D332" s="6" t="s">
        <v>7155</v>
      </c>
      <c r="E332" s="6" t="s">
        <v>7155</v>
      </c>
      <c r="F332" s="6" t="s">
        <v>6254</v>
      </c>
      <c r="G332" s="6">
        <v>15.332352206623799</v>
      </c>
      <c r="H332" s="6" t="s">
        <v>6254</v>
      </c>
      <c r="I332" s="6" t="s">
        <v>6254</v>
      </c>
      <c r="J332" s="6" t="s">
        <v>6254</v>
      </c>
      <c r="K332" s="6" t="s">
        <v>6254</v>
      </c>
      <c r="L332" s="6">
        <v>15.6448059172952</v>
      </c>
      <c r="M332" s="6" t="s">
        <v>6254</v>
      </c>
      <c r="N332" s="6">
        <v>20.559781646346501</v>
      </c>
      <c r="O332" s="6">
        <v>16.189253129599098</v>
      </c>
      <c r="P332" s="6" t="s">
        <v>6254</v>
      </c>
      <c r="Q332" s="6" t="s">
        <v>6254</v>
      </c>
    </row>
    <row r="333" spans="1:17">
      <c r="A333" s="6" t="s">
        <v>7156</v>
      </c>
      <c r="B333" s="6" t="s">
        <v>328</v>
      </c>
      <c r="C333" s="6" t="s">
        <v>7157</v>
      </c>
      <c r="D333" s="6" t="s">
        <v>7158</v>
      </c>
      <c r="E333" s="6" t="s">
        <v>7159</v>
      </c>
      <c r="F333" s="6">
        <v>16.5284195978859</v>
      </c>
      <c r="G333" s="6">
        <v>16.119716764471001</v>
      </c>
      <c r="H333" s="6">
        <v>16.1421204232715</v>
      </c>
      <c r="I333" s="6">
        <v>16.757355699277099</v>
      </c>
      <c r="J333" s="6">
        <v>15.483162163053001</v>
      </c>
      <c r="K333" s="6">
        <v>16.066988899104199</v>
      </c>
      <c r="L333" s="6">
        <v>16.6774148663457</v>
      </c>
      <c r="M333" s="6">
        <v>15.4118835026032</v>
      </c>
      <c r="N333" s="6">
        <v>15.88025957288</v>
      </c>
      <c r="O333" s="6">
        <v>16.4131258497784</v>
      </c>
      <c r="P333" s="6">
        <v>16.377634665909699</v>
      </c>
      <c r="Q333" s="6">
        <v>14.9217813560849</v>
      </c>
    </row>
    <row r="334" spans="1:17">
      <c r="A334" s="6" t="s">
        <v>7160</v>
      </c>
      <c r="B334" s="6" t="s">
        <v>7160</v>
      </c>
      <c r="C334" s="6" t="s">
        <v>7161</v>
      </c>
      <c r="D334" s="6" t="s">
        <v>7162</v>
      </c>
      <c r="E334" s="6" t="s">
        <v>7162</v>
      </c>
      <c r="F334" s="6">
        <v>16.467243963264199</v>
      </c>
      <c r="G334" s="6">
        <v>16.128028139150199</v>
      </c>
      <c r="H334" s="6">
        <v>16.222356920465099</v>
      </c>
      <c r="I334" s="6">
        <v>16.962916309249</v>
      </c>
      <c r="J334" s="6">
        <v>15.6013512150335</v>
      </c>
      <c r="K334" s="6">
        <v>16.499909867418101</v>
      </c>
      <c r="L334" s="6">
        <v>16.6720443633569</v>
      </c>
      <c r="M334" s="6">
        <v>15.103240071799</v>
      </c>
      <c r="N334" s="6">
        <v>15.348945762979501</v>
      </c>
      <c r="O334" s="6">
        <v>16.619061333449</v>
      </c>
      <c r="P334" s="6">
        <v>16.463921939218</v>
      </c>
      <c r="Q334" s="6">
        <v>15.156200637555401</v>
      </c>
    </row>
    <row r="335" spans="1:17">
      <c r="A335" s="6" t="s">
        <v>356</v>
      </c>
      <c r="B335" s="6" t="s">
        <v>356</v>
      </c>
      <c r="C335" s="6" t="s">
        <v>7163</v>
      </c>
      <c r="D335" s="6" t="s">
        <v>7164</v>
      </c>
      <c r="E335" s="6" t="s">
        <v>7164</v>
      </c>
      <c r="F335" s="6">
        <v>16.952758627341101</v>
      </c>
      <c r="G335" s="6">
        <v>15.494358718639701</v>
      </c>
      <c r="H335" s="6">
        <v>15.92865326155</v>
      </c>
      <c r="I335" s="6">
        <v>16.033933335483599</v>
      </c>
      <c r="J335" s="6">
        <v>16.509149008729299</v>
      </c>
      <c r="K335" s="6">
        <v>14.7418045749104</v>
      </c>
      <c r="L335" s="6">
        <v>16.595039200308999</v>
      </c>
      <c r="M335" s="6">
        <v>17.651036986183001</v>
      </c>
      <c r="N335" s="6">
        <v>16.410003335861902</v>
      </c>
      <c r="O335" s="6">
        <v>17.2156721309088</v>
      </c>
      <c r="P335" s="6">
        <v>15.668093973526201</v>
      </c>
      <c r="Q335" s="6">
        <v>14.786854270293199</v>
      </c>
    </row>
    <row r="336" spans="1:17">
      <c r="A336" s="6" t="s">
        <v>694</v>
      </c>
      <c r="B336" s="6" t="s">
        <v>694</v>
      </c>
      <c r="C336" s="6" t="s">
        <v>7165</v>
      </c>
      <c r="D336" s="6" t="s">
        <v>7166</v>
      </c>
      <c r="E336" s="6" t="s">
        <v>7166</v>
      </c>
      <c r="F336" s="6">
        <v>16.319090337254099</v>
      </c>
      <c r="G336" s="6">
        <v>16.1267916425214</v>
      </c>
      <c r="H336" s="6">
        <v>16.588595566119899</v>
      </c>
      <c r="I336" s="6">
        <v>16.547343535284998</v>
      </c>
      <c r="J336" s="6">
        <v>16.075454489309099</v>
      </c>
      <c r="K336" s="6">
        <v>16.309367757999201</v>
      </c>
      <c r="L336" s="6">
        <v>15.879145026911401</v>
      </c>
      <c r="M336" s="6">
        <v>16.401645872861501</v>
      </c>
      <c r="N336" s="6">
        <v>15.901443761094701</v>
      </c>
      <c r="O336" s="6">
        <v>15.8818568714542</v>
      </c>
      <c r="P336" s="6">
        <v>15.6922797589742</v>
      </c>
      <c r="Q336" s="6">
        <v>15.633971124026401</v>
      </c>
    </row>
    <row r="337" spans="1:17">
      <c r="A337" s="6" t="s">
        <v>370</v>
      </c>
      <c r="B337" s="6" t="s">
        <v>370</v>
      </c>
      <c r="C337" s="6" t="s">
        <v>7167</v>
      </c>
      <c r="D337" s="6" t="s">
        <v>7168</v>
      </c>
      <c r="E337" s="6" t="s">
        <v>7168</v>
      </c>
      <c r="F337" s="6">
        <v>16.780840150083399</v>
      </c>
      <c r="G337" s="6">
        <v>16.161590004347399</v>
      </c>
      <c r="H337" s="6">
        <v>16.510541742626</v>
      </c>
      <c r="I337" s="6">
        <v>16.8317614103706</v>
      </c>
      <c r="J337" s="6">
        <v>15.5144314222806</v>
      </c>
      <c r="K337" s="6">
        <v>15.7980045152845</v>
      </c>
      <c r="L337" s="6">
        <v>16.735820164929901</v>
      </c>
      <c r="M337" s="6">
        <v>15.315827377877101</v>
      </c>
      <c r="N337" s="6">
        <v>16.009127129192098</v>
      </c>
      <c r="O337" s="6">
        <v>16.180453104043298</v>
      </c>
      <c r="P337" s="6">
        <v>16.2999910221763</v>
      </c>
      <c r="Q337" s="6">
        <v>14.969996850081399</v>
      </c>
    </row>
    <row r="338" spans="1:17">
      <c r="A338" s="6" t="s">
        <v>2290</v>
      </c>
      <c r="B338" s="6" t="s">
        <v>2290</v>
      </c>
      <c r="C338" s="6" t="s">
        <v>7169</v>
      </c>
      <c r="D338" s="6" t="s">
        <v>7170</v>
      </c>
      <c r="E338" s="6" t="s">
        <v>7170</v>
      </c>
      <c r="F338" s="6">
        <v>16.864060114048499</v>
      </c>
      <c r="G338" s="6">
        <v>15.268679016706701</v>
      </c>
      <c r="H338" s="6">
        <v>15.229022853520901</v>
      </c>
      <c r="I338" s="6">
        <v>16.157160040264699</v>
      </c>
      <c r="J338" s="6">
        <v>16.510631203328401</v>
      </c>
      <c r="K338" s="6">
        <v>16.7769964846192</v>
      </c>
      <c r="L338" s="6" t="s">
        <v>6254</v>
      </c>
      <c r="M338" s="6">
        <v>18.3434075148344</v>
      </c>
      <c r="N338" s="6">
        <v>19.3386236639247</v>
      </c>
      <c r="O338" s="6">
        <v>15.284485392904299</v>
      </c>
      <c r="P338" s="6">
        <v>17.205745506819799</v>
      </c>
      <c r="Q338" s="6" t="s">
        <v>6254</v>
      </c>
    </row>
    <row r="339" spans="1:17">
      <c r="A339" s="6" t="s">
        <v>4867</v>
      </c>
      <c r="B339" s="6" t="s">
        <v>4869</v>
      </c>
      <c r="C339" s="6" t="s">
        <v>7171</v>
      </c>
      <c r="D339" s="6" t="s">
        <v>7172</v>
      </c>
      <c r="E339" s="6" t="s">
        <v>7173</v>
      </c>
      <c r="F339" s="6">
        <v>16.737228154497799</v>
      </c>
      <c r="G339" s="6">
        <v>16.092874430124901</v>
      </c>
      <c r="H339" s="6">
        <v>16.156849493279299</v>
      </c>
      <c r="I339" s="6">
        <v>17.207991585268498</v>
      </c>
      <c r="J339" s="6">
        <v>15.665994755978099</v>
      </c>
      <c r="K339" s="6">
        <v>16.863848317471302</v>
      </c>
      <c r="L339" s="6">
        <v>17.074317846262598</v>
      </c>
      <c r="M339" s="6">
        <v>14.9075219728037</v>
      </c>
      <c r="N339" s="6">
        <v>15.520505926243001</v>
      </c>
      <c r="O339" s="6">
        <v>15.790857016105701</v>
      </c>
      <c r="P339" s="6">
        <v>16.606408523183799</v>
      </c>
      <c r="Q339" s="6">
        <v>14.908420835199401</v>
      </c>
    </row>
    <row r="340" spans="1:17">
      <c r="A340" s="6" t="s">
        <v>1698</v>
      </c>
      <c r="B340" s="6" t="s">
        <v>1698</v>
      </c>
      <c r="C340" s="6" t="s">
        <v>7174</v>
      </c>
      <c r="D340" s="6" t="s">
        <v>7175</v>
      </c>
      <c r="E340" s="6" t="s">
        <v>7175</v>
      </c>
      <c r="F340" s="6">
        <v>16.892159051496701</v>
      </c>
      <c r="G340" s="6">
        <v>16.2854876269298</v>
      </c>
      <c r="H340" s="6">
        <v>16.279288718158298</v>
      </c>
      <c r="I340" s="6">
        <v>16.812057785252101</v>
      </c>
      <c r="J340" s="6">
        <v>15.492664934810801</v>
      </c>
      <c r="K340" s="6">
        <v>16.252103918346702</v>
      </c>
      <c r="L340" s="6">
        <v>16.824039483874301</v>
      </c>
      <c r="M340" s="6">
        <v>15.553799806863999</v>
      </c>
      <c r="N340" s="6">
        <v>15.9188970443274</v>
      </c>
      <c r="O340" s="6">
        <v>15.853456451949899</v>
      </c>
      <c r="P340" s="6">
        <v>15.5892182731642</v>
      </c>
      <c r="Q340" s="6">
        <v>14.808124556925399</v>
      </c>
    </row>
    <row r="341" spans="1:17">
      <c r="A341" s="6" t="s">
        <v>7176</v>
      </c>
      <c r="B341" s="6" t="s">
        <v>7177</v>
      </c>
      <c r="C341" s="6" t="s">
        <v>7178</v>
      </c>
      <c r="D341" s="6" t="s">
        <v>7179</v>
      </c>
      <c r="E341" s="6" t="s">
        <v>7180</v>
      </c>
      <c r="F341" s="6" t="s">
        <v>6254</v>
      </c>
      <c r="G341" s="6">
        <v>17.025239970946402</v>
      </c>
      <c r="H341" s="6">
        <v>17.020531665071001</v>
      </c>
      <c r="I341" s="6">
        <v>10.158108185116999</v>
      </c>
      <c r="J341" s="6">
        <v>16.4344713470343</v>
      </c>
      <c r="K341" s="6">
        <v>16.774790385060999</v>
      </c>
      <c r="L341" s="6">
        <v>17.636091943303899</v>
      </c>
      <c r="M341" s="6">
        <v>16.281213119474799</v>
      </c>
      <c r="N341" s="6">
        <v>15.0952212821781</v>
      </c>
      <c r="O341" s="6" t="s">
        <v>6254</v>
      </c>
      <c r="P341" s="6" t="s">
        <v>6254</v>
      </c>
      <c r="Q341" s="6" t="s">
        <v>6254</v>
      </c>
    </row>
    <row r="342" spans="1:17">
      <c r="A342" s="6" t="s">
        <v>656</v>
      </c>
      <c r="B342" s="6" t="s">
        <v>656</v>
      </c>
      <c r="C342" s="6" t="s">
        <v>7181</v>
      </c>
      <c r="D342" s="6" t="s">
        <v>7182</v>
      </c>
      <c r="E342" s="6" t="s">
        <v>7182</v>
      </c>
      <c r="F342" s="6">
        <v>15.621453519798999</v>
      </c>
      <c r="G342" s="6">
        <v>16.3891704807304</v>
      </c>
      <c r="H342" s="6">
        <v>16.591263374819199</v>
      </c>
      <c r="I342" s="6">
        <v>15.829288698683801</v>
      </c>
      <c r="J342" s="6">
        <v>16.293441365926501</v>
      </c>
      <c r="K342" s="6">
        <v>16.2102344546553</v>
      </c>
      <c r="L342" s="6">
        <v>16.242142453987899</v>
      </c>
      <c r="M342" s="6">
        <v>16.444953274375901</v>
      </c>
      <c r="N342" s="6">
        <v>16.439382503512299</v>
      </c>
      <c r="O342" s="6">
        <v>16.1667843836894</v>
      </c>
      <c r="P342" s="6">
        <v>15.836311369724401</v>
      </c>
      <c r="Q342" s="6">
        <v>16.3188043562856</v>
      </c>
    </row>
    <row r="343" spans="1:17">
      <c r="A343" s="6" t="s">
        <v>2657</v>
      </c>
      <c r="B343" s="6" t="s">
        <v>2657</v>
      </c>
      <c r="C343" s="6" t="s">
        <v>7183</v>
      </c>
      <c r="D343" s="6" t="s">
        <v>7184</v>
      </c>
      <c r="E343" s="6" t="s">
        <v>7184</v>
      </c>
      <c r="F343" s="6">
        <v>16.787861980878699</v>
      </c>
      <c r="G343" s="6">
        <v>15.8312694787264</v>
      </c>
      <c r="H343" s="6">
        <v>15.9643315989212</v>
      </c>
      <c r="I343" s="6">
        <v>16.622122623775301</v>
      </c>
      <c r="J343" s="6">
        <v>15.3802320537333</v>
      </c>
      <c r="K343" s="6">
        <v>15.6409107424975</v>
      </c>
      <c r="L343" s="6">
        <v>16.823369508190101</v>
      </c>
      <c r="M343" s="6">
        <v>15.397656665443501</v>
      </c>
      <c r="N343" s="6">
        <v>16.2520013082143</v>
      </c>
      <c r="O343" s="6">
        <v>16.2407127927918</v>
      </c>
      <c r="P343" s="6">
        <v>16.357858251560199</v>
      </c>
      <c r="Q343" s="6">
        <v>14.826471669971101</v>
      </c>
    </row>
    <row r="344" spans="1:17">
      <c r="A344" s="6" t="s">
        <v>2397</v>
      </c>
      <c r="B344" s="6" t="s">
        <v>2397</v>
      </c>
      <c r="C344" s="6" t="s">
        <v>7185</v>
      </c>
      <c r="D344" s="6" t="s">
        <v>7186</v>
      </c>
      <c r="E344" s="6" t="s">
        <v>7186</v>
      </c>
      <c r="F344" s="6">
        <v>16.752557299470201</v>
      </c>
      <c r="G344" s="6">
        <v>16.161205908935099</v>
      </c>
      <c r="H344" s="6">
        <v>16.1692386573154</v>
      </c>
      <c r="I344" s="6">
        <v>16.988512538869099</v>
      </c>
      <c r="J344" s="6">
        <v>15.685492949546299</v>
      </c>
      <c r="K344" s="6">
        <v>16.0211916497537</v>
      </c>
      <c r="L344" s="6">
        <v>16.578901752821501</v>
      </c>
      <c r="M344" s="6">
        <v>15.5598101099818</v>
      </c>
      <c r="N344" s="6">
        <v>16.176001324891502</v>
      </c>
      <c r="O344" s="6">
        <v>16.134519348532798</v>
      </c>
      <c r="P344" s="6">
        <v>15.8596008352339</v>
      </c>
      <c r="Q344" s="6">
        <v>13.9106180323363</v>
      </c>
    </row>
    <row r="345" spans="1:17">
      <c r="A345" s="6" t="s">
        <v>231</v>
      </c>
      <c r="B345" s="6" t="s">
        <v>231</v>
      </c>
      <c r="C345" s="6" t="s">
        <v>7187</v>
      </c>
      <c r="D345" s="6" t="s">
        <v>6848</v>
      </c>
      <c r="E345" s="6" t="s">
        <v>6848</v>
      </c>
      <c r="F345" s="6">
        <v>16.518294920782601</v>
      </c>
      <c r="G345" s="6">
        <v>15.8248187715695</v>
      </c>
      <c r="H345" s="6">
        <v>16.0940948864585</v>
      </c>
      <c r="I345" s="6">
        <v>16.334265481866002</v>
      </c>
      <c r="J345" s="6">
        <v>15.0661160618541</v>
      </c>
      <c r="K345" s="6">
        <v>15.347451643888</v>
      </c>
      <c r="L345" s="6">
        <v>16.677183106174599</v>
      </c>
      <c r="M345" s="6">
        <v>15.297646673109501</v>
      </c>
      <c r="N345" s="6">
        <v>16.6591622825458</v>
      </c>
      <c r="O345" s="6">
        <v>16.204616178094401</v>
      </c>
      <c r="P345" s="6">
        <v>16.210360187696999</v>
      </c>
      <c r="Q345" s="6">
        <v>14.6975465717556</v>
      </c>
    </row>
    <row r="346" spans="1:17">
      <c r="A346" s="6" t="s">
        <v>1042</v>
      </c>
      <c r="B346" s="6" t="s">
        <v>1042</v>
      </c>
      <c r="C346" s="6" t="s">
        <v>7188</v>
      </c>
      <c r="D346" s="6" t="s">
        <v>7189</v>
      </c>
      <c r="E346" s="6" t="s">
        <v>7189</v>
      </c>
      <c r="F346" s="6">
        <v>15.8557209427979</v>
      </c>
      <c r="G346" s="6">
        <v>16.345175452140499</v>
      </c>
      <c r="H346" s="6">
        <v>15.9933654184356</v>
      </c>
      <c r="I346" s="6">
        <v>16.394083619918501</v>
      </c>
      <c r="J346" s="6">
        <v>15.384729752177501</v>
      </c>
      <c r="K346" s="6">
        <v>15.652047173977</v>
      </c>
      <c r="L346" s="6">
        <v>16.038580861075602</v>
      </c>
      <c r="M346" s="6">
        <v>14.857522613600899</v>
      </c>
      <c r="N346" s="6">
        <v>14.2869060395403</v>
      </c>
      <c r="O346" s="6">
        <v>17.170088780227601</v>
      </c>
      <c r="P346" s="6">
        <v>16.450662442011499</v>
      </c>
      <c r="Q346" s="6">
        <v>14.803156905030701</v>
      </c>
    </row>
    <row r="347" spans="1:17">
      <c r="A347" s="6" t="s">
        <v>722</v>
      </c>
      <c r="B347" s="6" t="s">
        <v>722</v>
      </c>
      <c r="C347" s="6" t="s">
        <v>7190</v>
      </c>
      <c r="D347" s="6" t="s">
        <v>7191</v>
      </c>
      <c r="E347" s="6" t="s">
        <v>7191</v>
      </c>
      <c r="F347" s="6">
        <v>17.804068415452299</v>
      </c>
      <c r="G347" s="6">
        <v>16.8264694579902</v>
      </c>
      <c r="H347" s="6">
        <v>16.256564983076899</v>
      </c>
      <c r="I347" s="6">
        <v>15.63285952993</v>
      </c>
      <c r="J347" s="6">
        <v>16.4870099481046</v>
      </c>
      <c r="K347" s="6">
        <v>15.9569571500965</v>
      </c>
      <c r="L347" s="6">
        <v>15.6218024199302</v>
      </c>
      <c r="M347" s="6">
        <v>16.084812497842801</v>
      </c>
      <c r="N347" s="6">
        <v>15.998641757368601</v>
      </c>
      <c r="O347" s="6">
        <v>16.4667921758729</v>
      </c>
      <c r="P347" s="6">
        <v>15.8605778526546</v>
      </c>
      <c r="Q347" s="6">
        <v>16.256512182135101</v>
      </c>
    </row>
    <row r="348" spans="1:17">
      <c r="A348" s="6" t="s">
        <v>7192</v>
      </c>
      <c r="B348" s="6" t="s">
        <v>7192</v>
      </c>
      <c r="C348" s="6" t="s">
        <v>7193</v>
      </c>
      <c r="D348" s="6" t="s">
        <v>7194</v>
      </c>
      <c r="E348" s="6" t="s">
        <v>7194</v>
      </c>
      <c r="F348" s="6">
        <v>16.530323698855899</v>
      </c>
      <c r="G348" s="6">
        <v>15.688543204431801</v>
      </c>
      <c r="H348" s="6">
        <v>11.687325495784799</v>
      </c>
      <c r="I348" s="6">
        <v>19.030277325660499</v>
      </c>
      <c r="J348" s="6">
        <v>16.003866656562199</v>
      </c>
      <c r="K348" s="6">
        <v>17.900738812787001</v>
      </c>
      <c r="L348" s="6">
        <v>14.122402162818601</v>
      </c>
      <c r="M348" s="6">
        <v>12.199537420212399</v>
      </c>
      <c r="N348" s="6">
        <v>16.928921418092401</v>
      </c>
      <c r="O348" s="6" t="s">
        <v>6254</v>
      </c>
      <c r="P348" s="6">
        <v>18.790186619063601</v>
      </c>
      <c r="Q348" s="6" t="s">
        <v>6254</v>
      </c>
    </row>
    <row r="349" spans="1:17">
      <c r="A349" s="6" t="s">
        <v>7195</v>
      </c>
      <c r="B349" s="6" t="s">
        <v>7195</v>
      </c>
      <c r="C349" s="6" t="s">
        <v>7196</v>
      </c>
      <c r="D349" s="6" t="s">
        <v>7197</v>
      </c>
      <c r="E349" s="6" t="s">
        <v>7197</v>
      </c>
      <c r="F349" s="6">
        <v>16.725105162697201</v>
      </c>
      <c r="G349" s="6">
        <v>16.1641992178957</v>
      </c>
      <c r="H349" s="6">
        <v>15.9540958885399</v>
      </c>
      <c r="I349" s="6">
        <v>16.789802217466899</v>
      </c>
      <c r="J349" s="6">
        <v>15.659862833198099</v>
      </c>
      <c r="K349" s="6">
        <v>16.401316616949899</v>
      </c>
      <c r="L349" s="6">
        <v>17.036017740348999</v>
      </c>
      <c r="M349" s="6">
        <v>15.467625516267301</v>
      </c>
      <c r="N349" s="6">
        <v>15.3901976024548</v>
      </c>
      <c r="O349" s="6">
        <v>15.449242008698</v>
      </c>
      <c r="P349" s="6">
        <v>15.997719725579801</v>
      </c>
      <c r="Q349" s="6">
        <v>15.4805725637039</v>
      </c>
    </row>
    <row r="350" spans="1:17">
      <c r="A350" s="6" t="s">
        <v>7198</v>
      </c>
      <c r="B350" s="6" t="s">
        <v>7199</v>
      </c>
      <c r="C350" s="6" t="s">
        <v>7200</v>
      </c>
      <c r="D350" s="6" t="s">
        <v>7201</v>
      </c>
      <c r="E350" s="6" t="s">
        <v>7202</v>
      </c>
      <c r="F350" s="6">
        <v>16.7563383906264</v>
      </c>
      <c r="G350" s="6">
        <v>16.326265319883099</v>
      </c>
      <c r="H350" s="6">
        <v>16.5439968703791</v>
      </c>
      <c r="I350" s="6">
        <v>17.124060019679799</v>
      </c>
      <c r="J350" s="6">
        <v>15.6614667717147</v>
      </c>
      <c r="K350" s="6">
        <v>16.473620440527601</v>
      </c>
      <c r="L350" s="6">
        <v>16.820351597454199</v>
      </c>
      <c r="M350" s="6">
        <v>14.9726493629906</v>
      </c>
      <c r="N350" s="6">
        <v>15.761098343397601</v>
      </c>
      <c r="O350" s="6">
        <v>16.689091155897799</v>
      </c>
      <c r="P350" s="6">
        <v>16.3866694952792</v>
      </c>
      <c r="Q350" s="6" t="s">
        <v>6254</v>
      </c>
    </row>
    <row r="351" spans="1:17">
      <c r="A351" s="6" t="s">
        <v>4575</v>
      </c>
      <c r="B351" s="6" t="s">
        <v>4575</v>
      </c>
      <c r="C351" s="6" t="s">
        <v>7203</v>
      </c>
      <c r="D351" s="6" t="s">
        <v>7204</v>
      </c>
      <c r="E351" s="6" t="s">
        <v>7204</v>
      </c>
      <c r="F351" s="6">
        <v>16.4527548590587</v>
      </c>
      <c r="G351" s="6">
        <v>16.297735345795498</v>
      </c>
      <c r="H351" s="6">
        <v>16.120218539590599</v>
      </c>
      <c r="I351" s="6">
        <v>16.489436361033899</v>
      </c>
      <c r="J351" s="6">
        <v>15.596796603842201</v>
      </c>
      <c r="K351" s="6">
        <v>15.951977802441901</v>
      </c>
      <c r="L351" s="6">
        <v>16.468740343785001</v>
      </c>
      <c r="M351" s="6">
        <v>15.3274111847304</v>
      </c>
      <c r="N351" s="6">
        <v>15.7716857516932</v>
      </c>
      <c r="O351" s="6">
        <v>16.396197708812299</v>
      </c>
      <c r="P351" s="6">
        <v>16.1000026679841</v>
      </c>
      <c r="Q351" s="6">
        <v>14.8061456186293</v>
      </c>
    </row>
    <row r="352" spans="1:17">
      <c r="A352" s="6" t="s">
        <v>2469</v>
      </c>
      <c r="B352" s="6" t="s">
        <v>2469</v>
      </c>
      <c r="C352" s="6" t="s">
        <v>7205</v>
      </c>
      <c r="D352" s="6" t="s">
        <v>7206</v>
      </c>
      <c r="E352" s="6" t="s">
        <v>7206</v>
      </c>
      <c r="F352" s="6">
        <v>16.6602332205957</v>
      </c>
      <c r="G352" s="6">
        <v>15.7545577544258</v>
      </c>
      <c r="H352" s="6">
        <v>15.9310104188006</v>
      </c>
      <c r="I352" s="6">
        <v>16.928124178417299</v>
      </c>
      <c r="J352" s="6">
        <v>15.603992211783201</v>
      </c>
      <c r="K352" s="6">
        <v>16.045744095875101</v>
      </c>
      <c r="L352" s="6">
        <v>16.4690683655692</v>
      </c>
      <c r="M352" s="6">
        <v>15.4297842857367</v>
      </c>
      <c r="N352" s="6">
        <v>15.648944652743699</v>
      </c>
      <c r="O352" s="6">
        <v>15.9624221796533</v>
      </c>
      <c r="P352" s="6">
        <v>15.397334749080301</v>
      </c>
      <c r="Q352" s="6">
        <v>15.2444007306065</v>
      </c>
    </row>
    <row r="353" spans="1:17">
      <c r="A353" s="6" t="s">
        <v>783</v>
      </c>
      <c r="B353" s="6" t="s">
        <v>783</v>
      </c>
      <c r="C353" s="6" t="s">
        <v>7207</v>
      </c>
      <c r="D353" s="6" t="s">
        <v>7208</v>
      </c>
      <c r="E353" s="6" t="s">
        <v>7208</v>
      </c>
      <c r="F353" s="6">
        <v>16.6332600085031</v>
      </c>
      <c r="G353" s="6">
        <v>15.9197699567931</v>
      </c>
      <c r="H353" s="6">
        <v>16.061963281350501</v>
      </c>
      <c r="I353" s="6">
        <v>16.697190907547402</v>
      </c>
      <c r="J353" s="6">
        <v>15.3333470292517</v>
      </c>
      <c r="K353" s="6">
        <v>15.7578204900024</v>
      </c>
      <c r="L353" s="6">
        <v>16.553580356344298</v>
      </c>
      <c r="M353" s="6">
        <v>15.1465120617886</v>
      </c>
      <c r="N353" s="6">
        <v>16.115102491961501</v>
      </c>
      <c r="O353" s="6">
        <v>16.5789991595515</v>
      </c>
      <c r="P353" s="6">
        <v>16.379557108954099</v>
      </c>
      <c r="Q353" s="6">
        <v>14.981196804933401</v>
      </c>
    </row>
    <row r="354" spans="1:17">
      <c r="A354" s="6" t="s">
        <v>7209</v>
      </c>
      <c r="B354" s="6" t="s">
        <v>7209</v>
      </c>
      <c r="C354" s="6" t="s">
        <v>7209</v>
      </c>
      <c r="D354" s="6" t="s">
        <v>7209</v>
      </c>
      <c r="E354" s="6" t="s">
        <v>7209</v>
      </c>
      <c r="F354" s="6">
        <v>15.2094328322659</v>
      </c>
      <c r="G354" s="6">
        <v>16.168583474510999</v>
      </c>
      <c r="H354" s="6">
        <v>16.506717290973999</v>
      </c>
      <c r="I354" s="6" t="s">
        <v>6254</v>
      </c>
      <c r="J354" s="6" t="s">
        <v>6254</v>
      </c>
      <c r="K354" s="6">
        <v>15.726071399386001</v>
      </c>
      <c r="L354" s="6" t="s">
        <v>6254</v>
      </c>
      <c r="M354" s="6" t="s">
        <v>6254</v>
      </c>
      <c r="N354" s="6">
        <v>15.646015588587099</v>
      </c>
      <c r="O354" s="6" t="s">
        <v>6254</v>
      </c>
      <c r="P354" s="6" t="s">
        <v>6254</v>
      </c>
      <c r="Q354" s="6">
        <v>16.6738547043194</v>
      </c>
    </row>
    <row r="355" spans="1:17">
      <c r="A355" s="6" t="s">
        <v>639</v>
      </c>
      <c r="B355" s="6" t="s">
        <v>639</v>
      </c>
      <c r="C355" s="6" t="s">
        <v>7210</v>
      </c>
      <c r="D355" s="6" t="s">
        <v>7211</v>
      </c>
      <c r="E355" s="6" t="s">
        <v>7211</v>
      </c>
      <c r="F355" s="6">
        <v>16.563452360020101</v>
      </c>
      <c r="G355" s="6">
        <v>16.150752497353398</v>
      </c>
      <c r="H355" s="6">
        <v>16.048285279469599</v>
      </c>
      <c r="I355" s="6">
        <v>16.6615919799215</v>
      </c>
      <c r="J355" s="6">
        <v>15.476692983843201</v>
      </c>
      <c r="K355" s="6">
        <v>15.8582177023774</v>
      </c>
      <c r="L355" s="6">
        <v>16.1658857764156</v>
      </c>
      <c r="M355" s="6">
        <v>15.2317231641075</v>
      </c>
      <c r="N355" s="6">
        <v>15.5915700659232</v>
      </c>
      <c r="O355" s="6">
        <v>16.5388724344796</v>
      </c>
      <c r="P355" s="6">
        <v>16.444540564095099</v>
      </c>
      <c r="Q355" s="6">
        <v>15.0139458082056</v>
      </c>
    </row>
    <row r="356" spans="1:17">
      <c r="A356" s="6" t="s">
        <v>5379</v>
      </c>
      <c r="B356" s="6" t="s">
        <v>5379</v>
      </c>
      <c r="C356" s="6" t="s">
        <v>7212</v>
      </c>
      <c r="D356" s="6" t="s">
        <v>6604</v>
      </c>
      <c r="E356" s="6" t="s">
        <v>6604</v>
      </c>
      <c r="F356" s="6" t="s">
        <v>6254</v>
      </c>
      <c r="G356" s="6">
        <v>13.1335749632045</v>
      </c>
      <c r="H356" s="6">
        <v>15.5897178638829</v>
      </c>
      <c r="I356" s="6">
        <v>16.790094406122101</v>
      </c>
      <c r="J356" s="6">
        <v>16.0284932020908</v>
      </c>
      <c r="K356" s="6" t="s">
        <v>6254</v>
      </c>
      <c r="L356" s="6">
        <v>16.840818132880401</v>
      </c>
      <c r="M356" s="6" t="s">
        <v>6254</v>
      </c>
      <c r="N356" s="6" t="s">
        <v>6254</v>
      </c>
      <c r="O356" s="6" t="s">
        <v>6254</v>
      </c>
      <c r="P356" s="6" t="s">
        <v>6254</v>
      </c>
      <c r="Q356" s="6">
        <v>16.326973831735899</v>
      </c>
    </row>
    <row r="357" spans="1:17">
      <c r="A357" s="6" t="s">
        <v>7213</v>
      </c>
      <c r="B357" s="6" t="s">
        <v>7214</v>
      </c>
      <c r="C357" s="6" t="s">
        <v>7215</v>
      </c>
      <c r="D357" s="6" t="s">
        <v>7216</v>
      </c>
      <c r="E357" s="6" t="s">
        <v>7217</v>
      </c>
      <c r="F357" s="6">
        <v>16.563583605987098</v>
      </c>
      <c r="G357" s="6">
        <v>15.6107420438691</v>
      </c>
      <c r="H357" s="6">
        <v>16.969355050241301</v>
      </c>
      <c r="I357" s="6">
        <v>17.5441135395285</v>
      </c>
      <c r="J357" s="6">
        <v>16.0825072059204</v>
      </c>
      <c r="K357" s="6">
        <v>16.156311472319899</v>
      </c>
      <c r="L357" s="6">
        <v>17.337468169348998</v>
      </c>
      <c r="M357" s="6">
        <v>15.592473619568</v>
      </c>
      <c r="N357" s="6">
        <v>17.149779483123002</v>
      </c>
      <c r="O357" s="6">
        <v>15.9444236693459</v>
      </c>
      <c r="P357" s="6">
        <v>15.7898338859671</v>
      </c>
      <c r="Q357" s="6" t="s">
        <v>6254</v>
      </c>
    </row>
    <row r="358" spans="1:17">
      <c r="A358" s="6" t="s">
        <v>1556</v>
      </c>
      <c r="B358" s="6" t="s">
        <v>1556</v>
      </c>
      <c r="C358" s="6" t="s">
        <v>7218</v>
      </c>
      <c r="D358" s="6" t="s">
        <v>7219</v>
      </c>
      <c r="E358" s="6" t="s">
        <v>7219</v>
      </c>
      <c r="F358" s="6">
        <v>15.242930743728101</v>
      </c>
      <c r="G358" s="6">
        <v>15.7152387682775</v>
      </c>
      <c r="H358" s="6">
        <v>15.4558908476835</v>
      </c>
      <c r="I358" s="6">
        <v>16.701731347952599</v>
      </c>
      <c r="J358" s="6">
        <v>15.533049952843401</v>
      </c>
      <c r="K358" s="6">
        <v>16.777096842598102</v>
      </c>
      <c r="L358" s="6">
        <v>17.789453126092099</v>
      </c>
      <c r="M358" s="6">
        <v>15.617209272130699</v>
      </c>
      <c r="N358" s="6">
        <v>16.6735401233252</v>
      </c>
      <c r="O358" s="6">
        <v>16.257495245473098</v>
      </c>
      <c r="P358" s="6">
        <v>16.325987715674199</v>
      </c>
      <c r="Q358" s="6">
        <v>14.4091736138153</v>
      </c>
    </row>
    <row r="359" spans="1:17">
      <c r="A359" s="6" t="s">
        <v>989</v>
      </c>
      <c r="B359" s="6" t="s">
        <v>989</v>
      </c>
      <c r="C359" s="6" t="s">
        <v>7220</v>
      </c>
      <c r="D359" s="6" t="s">
        <v>7221</v>
      </c>
      <c r="E359" s="6" t="s">
        <v>7221</v>
      </c>
      <c r="F359" s="6">
        <v>15.9209312875539</v>
      </c>
      <c r="G359" s="6">
        <v>16.5617504801323</v>
      </c>
      <c r="H359" s="6">
        <v>16.136317219440599</v>
      </c>
      <c r="I359" s="6">
        <v>15.846934052786001</v>
      </c>
      <c r="J359" s="6">
        <v>16.0911972744385</v>
      </c>
      <c r="K359" s="6">
        <v>16.187810843243899</v>
      </c>
      <c r="L359" s="6">
        <v>16.2138077664879</v>
      </c>
      <c r="M359" s="6">
        <v>16.309108175734899</v>
      </c>
      <c r="N359" s="6">
        <v>16.321917203148502</v>
      </c>
      <c r="O359" s="6">
        <v>15.7317482358609</v>
      </c>
      <c r="P359" s="6">
        <v>15.254719253719101</v>
      </c>
      <c r="Q359" s="6">
        <v>16.064810736319401</v>
      </c>
    </row>
    <row r="360" spans="1:17">
      <c r="A360" s="6" t="s">
        <v>7222</v>
      </c>
      <c r="B360" s="6" t="s">
        <v>7223</v>
      </c>
      <c r="C360" s="6" t="s">
        <v>7224</v>
      </c>
      <c r="D360" s="6" t="s">
        <v>7225</v>
      </c>
      <c r="E360" s="6" t="s">
        <v>7226</v>
      </c>
      <c r="F360" s="6">
        <v>16.0358887008774</v>
      </c>
      <c r="G360" s="6">
        <v>15.899980086034001</v>
      </c>
      <c r="H360" s="6">
        <v>16.017905717888599</v>
      </c>
      <c r="I360" s="6">
        <v>16.883337680150301</v>
      </c>
      <c r="J360" s="6">
        <v>15.713610072859099</v>
      </c>
      <c r="K360" s="6">
        <v>16.5937769630718</v>
      </c>
      <c r="L360" s="6">
        <v>16.708251628041701</v>
      </c>
      <c r="M360" s="6" t="s">
        <v>6254</v>
      </c>
      <c r="N360" s="6">
        <v>14.9446668300456</v>
      </c>
      <c r="O360" s="6">
        <v>16.085914272256701</v>
      </c>
      <c r="P360" s="6">
        <v>16.538874029149301</v>
      </c>
      <c r="Q360" s="6">
        <v>14.7860008031329</v>
      </c>
    </row>
    <row r="361" spans="1:17">
      <c r="A361" s="6" t="s">
        <v>7227</v>
      </c>
      <c r="B361" s="6" t="s">
        <v>7228</v>
      </c>
      <c r="C361" s="6" t="s">
        <v>7229</v>
      </c>
      <c r="D361" s="6" t="s">
        <v>7230</v>
      </c>
      <c r="E361" s="6" t="s">
        <v>7231</v>
      </c>
      <c r="F361" s="6">
        <v>14.441492152925701</v>
      </c>
      <c r="G361" s="6">
        <v>16.722699910658999</v>
      </c>
      <c r="H361" s="6">
        <v>16.144759023737901</v>
      </c>
      <c r="I361" s="6">
        <v>17.1771239231545</v>
      </c>
      <c r="J361" s="6">
        <v>15.9607429772238</v>
      </c>
      <c r="K361" s="6">
        <v>16.880866128127</v>
      </c>
      <c r="L361" s="6">
        <v>16.721540687306501</v>
      </c>
      <c r="M361" s="6">
        <v>15.813597447824799</v>
      </c>
      <c r="N361" s="6">
        <v>13.943214108285501</v>
      </c>
      <c r="O361" s="6">
        <v>14.449535347401101</v>
      </c>
      <c r="P361" s="6">
        <v>16.516731856238302</v>
      </c>
      <c r="Q361" s="6">
        <v>15.375133187461101</v>
      </c>
    </row>
    <row r="362" spans="1:17">
      <c r="A362" s="6" t="s">
        <v>7232</v>
      </c>
      <c r="B362" s="6" t="s">
        <v>7233</v>
      </c>
      <c r="C362" s="6" t="s">
        <v>7234</v>
      </c>
      <c r="D362" s="6" t="s">
        <v>7235</v>
      </c>
      <c r="E362" s="6" t="s">
        <v>7236</v>
      </c>
      <c r="F362" s="6">
        <v>14.0971227879387</v>
      </c>
      <c r="G362" s="6">
        <v>16.530017830497901</v>
      </c>
      <c r="H362" s="6">
        <v>16.553006987986802</v>
      </c>
      <c r="I362" s="6">
        <v>16.0478713000306</v>
      </c>
      <c r="J362" s="6">
        <v>15.099251738739699</v>
      </c>
      <c r="K362" s="6">
        <v>16.145962659276499</v>
      </c>
      <c r="L362" s="6" t="s">
        <v>6254</v>
      </c>
      <c r="M362" s="6" t="s">
        <v>6254</v>
      </c>
      <c r="N362" s="6" t="s">
        <v>6254</v>
      </c>
      <c r="O362" s="6">
        <v>16.2284049948322</v>
      </c>
      <c r="P362" s="6" t="s">
        <v>6254</v>
      </c>
      <c r="Q362" s="6" t="s">
        <v>6254</v>
      </c>
    </row>
    <row r="363" spans="1:17">
      <c r="A363" s="6" t="s">
        <v>7237</v>
      </c>
      <c r="B363" s="6" t="s">
        <v>7238</v>
      </c>
      <c r="C363" s="6" t="s">
        <v>7239</v>
      </c>
      <c r="D363" s="6" t="s">
        <v>7240</v>
      </c>
      <c r="E363" s="6" t="s">
        <v>7241</v>
      </c>
      <c r="F363" s="6">
        <v>17.238075282282701</v>
      </c>
      <c r="G363" s="6">
        <v>16.3842280717911</v>
      </c>
      <c r="H363" s="6">
        <v>16.039671660218499</v>
      </c>
      <c r="I363" s="6">
        <v>17.189919956018901</v>
      </c>
      <c r="J363" s="6" t="s">
        <v>6254</v>
      </c>
      <c r="K363" s="6">
        <v>17.075475304931501</v>
      </c>
      <c r="L363" s="6">
        <v>17.0775569482206</v>
      </c>
      <c r="M363" s="6">
        <v>16.5000372455312</v>
      </c>
      <c r="N363" s="6">
        <v>16.9744504852208</v>
      </c>
      <c r="O363" s="6">
        <v>16.973713856920099</v>
      </c>
      <c r="P363" s="6">
        <v>16.828704539205901</v>
      </c>
      <c r="Q363" s="6" t="s">
        <v>6254</v>
      </c>
    </row>
    <row r="364" spans="1:17">
      <c r="A364" s="6" t="s">
        <v>7242</v>
      </c>
      <c r="B364" s="6" t="s">
        <v>7242</v>
      </c>
      <c r="C364" s="6" t="s">
        <v>7243</v>
      </c>
      <c r="D364" s="6" t="s">
        <v>7244</v>
      </c>
      <c r="E364" s="6" t="s">
        <v>7244</v>
      </c>
      <c r="F364" s="6">
        <v>16.2569187951384</v>
      </c>
      <c r="G364" s="6">
        <v>16.0114888846831</v>
      </c>
      <c r="H364" s="6">
        <v>16.1324822989525</v>
      </c>
      <c r="I364" s="6">
        <v>16.424089750388202</v>
      </c>
      <c r="J364" s="6">
        <v>15.6228927029878</v>
      </c>
      <c r="K364" s="6" t="s">
        <v>6254</v>
      </c>
      <c r="L364" s="6">
        <v>16.491661603128598</v>
      </c>
      <c r="M364" s="6">
        <v>15.5798223852533</v>
      </c>
      <c r="N364" s="6">
        <v>15.378711667985399</v>
      </c>
      <c r="O364" s="6">
        <v>15.718567832924901</v>
      </c>
      <c r="P364" s="6">
        <v>16.633641822333399</v>
      </c>
      <c r="Q364" s="6">
        <v>15.0066793774396</v>
      </c>
    </row>
    <row r="365" spans="1:17">
      <c r="A365" s="6" t="s">
        <v>7245</v>
      </c>
      <c r="B365" s="6" t="s">
        <v>7246</v>
      </c>
      <c r="C365" s="6" t="s">
        <v>7247</v>
      </c>
      <c r="D365" s="6" t="s">
        <v>7248</v>
      </c>
      <c r="E365" s="6" t="s">
        <v>7249</v>
      </c>
      <c r="F365" s="6" t="s">
        <v>6254</v>
      </c>
      <c r="G365" s="6">
        <v>15.393689586747</v>
      </c>
      <c r="H365" s="6">
        <v>15.639832014602501</v>
      </c>
      <c r="I365" s="6">
        <v>16.1577154103901</v>
      </c>
      <c r="J365" s="6">
        <v>15.341214128657301</v>
      </c>
      <c r="K365" s="6">
        <v>15.5219793320188</v>
      </c>
      <c r="L365" s="6">
        <v>15.967360122800001</v>
      </c>
      <c r="M365" s="6" t="s">
        <v>6254</v>
      </c>
      <c r="N365" s="6">
        <v>17.276190086007201</v>
      </c>
      <c r="O365" s="6">
        <v>15.1852234833241</v>
      </c>
      <c r="P365" s="6">
        <v>18.211806147400601</v>
      </c>
      <c r="Q365" s="6" t="s">
        <v>6254</v>
      </c>
    </row>
    <row r="366" spans="1:17">
      <c r="A366" s="6" t="s">
        <v>7250</v>
      </c>
      <c r="B366" s="6" t="s">
        <v>7251</v>
      </c>
      <c r="C366" s="6" t="s">
        <v>7252</v>
      </c>
      <c r="D366" s="6" t="s">
        <v>7253</v>
      </c>
      <c r="E366" s="6" t="s">
        <v>7254</v>
      </c>
      <c r="F366" s="6">
        <v>15.679995970304899</v>
      </c>
      <c r="G366" s="6">
        <v>16.4717131730097</v>
      </c>
      <c r="H366" s="6">
        <v>17.967080000347</v>
      </c>
      <c r="I366" s="6">
        <v>14.8769717603173</v>
      </c>
      <c r="J366" s="6">
        <v>17.1186600868974</v>
      </c>
      <c r="K366" s="6">
        <v>14.789596535675001</v>
      </c>
      <c r="L366" s="6">
        <v>16.734678227098001</v>
      </c>
      <c r="M366" s="6">
        <v>15.6242319915743</v>
      </c>
      <c r="N366" s="6">
        <v>17.5571167167057</v>
      </c>
      <c r="O366" s="6">
        <v>15.9948669732273</v>
      </c>
      <c r="P366" s="6">
        <v>15.242428846029</v>
      </c>
      <c r="Q366" s="6">
        <v>16.812346027704301</v>
      </c>
    </row>
    <row r="367" spans="1:17">
      <c r="A367" s="6" t="s">
        <v>7255</v>
      </c>
      <c r="B367" s="6" t="s">
        <v>7256</v>
      </c>
      <c r="C367" s="6" t="s">
        <v>7257</v>
      </c>
      <c r="D367" s="6" t="s">
        <v>7258</v>
      </c>
      <c r="E367" s="6" t="s">
        <v>7259</v>
      </c>
      <c r="F367" s="6">
        <v>16.4397766364761</v>
      </c>
      <c r="G367" s="6">
        <v>15.8959719220996</v>
      </c>
      <c r="H367" s="6">
        <v>16.112272104493201</v>
      </c>
      <c r="I367" s="6">
        <v>16.806840903315798</v>
      </c>
      <c r="J367" s="6">
        <v>15.5933544122664</v>
      </c>
      <c r="K367" s="6">
        <v>15.963140997357799</v>
      </c>
      <c r="L367" s="6">
        <v>16.493875250126401</v>
      </c>
      <c r="M367" s="6">
        <v>15.3337900629387</v>
      </c>
      <c r="N367" s="6">
        <v>15.8887211571931</v>
      </c>
      <c r="O367" s="6">
        <v>16.450761124118799</v>
      </c>
      <c r="P367" s="6">
        <v>16.4916371277804</v>
      </c>
      <c r="Q367" s="6">
        <v>14.574147379937701</v>
      </c>
    </row>
    <row r="368" spans="1:17">
      <c r="A368" s="6" t="s">
        <v>7260</v>
      </c>
      <c r="B368" s="6" t="s">
        <v>7261</v>
      </c>
      <c r="C368" s="6" t="s">
        <v>7262</v>
      </c>
      <c r="D368" s="6" t="s">
        <v>7263</v>
      </c>
      <c r="E368" s="6" t="s">
        <v>7264</v>
      </c>
      <c r="F368" s="6">
        <v>16.501159637366801</v>
      </c>
      <c r="G368" s="6">
        <v>15.9115912127087</v>
      </c>
      <c r="H368" s="6">
        <v>16.3199906624505</v>
      </c>
      <c r="I368" s="6">
        <v>16.746668075253101</v>
      </c>
      <c r="J368" s="6">
        <v>15.2621818340593</v>
      </c>
      <c r="K368" s="6">
        <v>15.833924180736201</v>
      </c>
      <c r="L368" s="6">
        <v>16.572633048302901</v>
      </c>
      <c r="M368" s="6">
        <v>14.950630358808301</v>
      </c>
      <c r="N368" s="6">
        <v>16.180787565613599</v>
      </c>
      <c r="O368" s="6">
        <v>15.8680996157604</v>
      </c>
      <c r="P368" s="6">
        <v>15.463786950324801</v>
      </c>
      <c r="Q368" s="6">
        <v>14.4604761692033</v>
      </c>
    </row>
    <row r="369" spans="1:17">
      <c r="A369" s="6" t="s">
        <v>7265</v>
      </c>
      <c r="B369" s="6" t="s">
        <v>7265</v>
      </c>
      <c r="C369" s="6" t="s">
        <v>7266</v>
      </c>
      <c r="D369" s="6" t="s">
        <v>7267</v>
      </c>
      <c r="E369" s="6" t="s">
        <v>7267</v>
      </c>
      <c r="F369" s="6">
        <v>14.6679254607219</v>
      </c>
      <c r="G369" s="6">
        <v>15.5499051628047</v>
      </c>
      <c r="H369" s="6">
        <v>16.5573188057651</v>
      </c>
      <c r="I369" s="6">
        <v>16.1990692259449</v>
      </c>
      <c r="J369" s="6">
        <v>16.081088109874099</v>
      </c>
      <c r="K369" s="6">
        <v>15.5758926791249</v>
      </c>
      <c r="L369" s="6">
        <v>15.940964359590099</v>
      </c>
      <c r="M369" s="6">
        <v>15.528036298193101</v>
      </c>
      <c r="N369" s="6">
        <v>16.065416043696601</v>
      </c>
      <c r="O369" s="6">
        <v>16.455013396298401</v>
      </c>
      <c r="P369" s="6">
        <v>15.507669698740701</v>
      </c>
      <c r="Q369" s="6">
        <v>15.690671785484099</v>
      </c>
    </row>
    <row r="370" spans="1:17">
      <c r="A370" s="6" t="s">
        <v>196</v>
      </c>
      <c r="B370" s="6" t="s">
        <v>196</v>
      </c>
      <c r="C370" s="6" t="s">
        <v>7268</v>
      </c>
      <c r="D370" s="6" t="s">
        <v>7269</v>
      </c>
      <c r="E370" s="6" t="s">
        <v>7269</v>
      </c>
      <c r="F370" s="6">
        <v>16.633833337154599</v>
      </c>
      <c r="G370" s="6">
        <v>15.8869243722554</v>
      </c>
      <c r="H370" s="6">
        <v>16.0691950126423</v>
      </c>
      <c r="I370" s="6">
        <v>16.827883934886</v>
      </c>
      <c r="J370" s="6">
        <v>15.138363641869001</v>
      </c>
      <c r="K370" s="6">
        <v>16.064645813734</v>
      </c>
      <c r="L370" s="6">
        <v>16.500435243697702</v>
      </c>
      <c r="M370" s="6">
        <v>15.1045058346277</v>
      </c>
      <c r="N370" s="6">
        <v>15.6200801852843</v>
      </c>
      <c r="O370" s="6">
        <v>16.598989556211599</v>
      </c>
      <c r="P370" s="6">
        <v>16.348850142025299</v>
      </c>
      <c r="Q370" s="6">
        <v>14.738488841030801</v>
      </c>
    </row>
    <row r="371" spans="1:17">
      <c r="A371" s="6" t="s">
        <v>7270</v>
      </c>
      <c r="B371" s="6" t="s">
        <v>7270</v>
      </c>
      <c r="C371" s="6" t="s">
        <v>7271</v>
      </c>
      <c r="D371" s="6" t="s">
        <v>7272</v>
      </c>
      <c r="E371" s="6" t="s">
        <v>7272</v>
      </c>
      <c r="F371" s="6">
        <v>16.387087811183999</v>
      </c>
      <c r="G371" s="6">
        <v>15.771325305435001</v>
      </c>
      <c r="H371" s="6">
        <v>15.9590556232354</v>
      </c>
      <c r="I371" s="6">
        <v>16.632612520153302</v>
      </c>
      <c r="J371" s="6">
        <v>15.101827418398001</v>
      </c>
      <c r="K371" s="6">
        <v>15.6745084189005</v>
      </c>
      <c r="L371" s="6">
        <v>16.625225607008598</v>
      </c>
      <c r="M371" s="6">
        <v>15.079057606326399</v>
      </c>
      <c r="N371" s="6">
        <v>16.614429442329101</v>
      </c>
      <c r="O371" s="6">
        <v>15.9452497174226</v>
      </c>
      <c r="P371" s="6">
        <v>15.665016266606401</v>
      </c>
      <c r="Q371" s="6">
        <v>14.658984617665199</v>
      </c>
    </row>
    <row r="372" spans="1:17">
      <c r="A372" s="6" t="s">
        <v>906</v>
      </c>
      <c r="B372" s="6" t="s">
        <v>906</v>
      </c>
      <c r="C372" s="6" t="s">
        <v>7273</v>
      </c>
      <c r="D372" s="6" t="s">
        <v>7274</v>
      </c>
      <c r="E372" s="6" t="s">
        <v>7274</v>
      </c>
      <c r="F372" s="6">
        <v>16.742409887717798</v>
      </c>
      <c r="G372" s="6">
        <v>16.017233195604099</v>
      </c>
      <c r="H372" s="6">
        <v>16.080696424743198</v>
      </c>
      <c r="I372" s="6">
        <v>16.754201674838502</v>
      </c>
      <c r="J372" s="6">
        <v>15.470561620904901</v>
      </c>
      <c r="K372" s="6">
        <v>16.2158325486918</v>
      </c>
      <c r="L372" s="6">
        <v>16.592009558581001</v>
      </c>
      <c r="M372" s="6">
        <v>15.2380288621997</v>
      </c>
      <c r="N372" s="6">
        <v>15.820925273606701</v>
      </c>
      <c r="O372" s="6">
        <v>15.8796593710615</v>
      </c>
      <c r="P372" s="6">
        <v>15.8836732449167</v>
      </c>
      <c r="Q372" s="6">
        <v>14.6702013124495</v>
      </c>
    </row>
    <row r="373" spans="1:17">
      <c r="A373" s="6" t="s">
        <v>677</v>
      </c>
      <c r="B373" s="6" t="s">
        <v>677</v>
      </c>
      <c r="C373" s="6" t="s">
        <v>7275</v>
      </c>
      <c r="D373" s="6" t="s">
        <v>7276</v>
      </c>
      <c r="E373" s="6" t="s">
        <v>7276</v>
      </c>
      <c r="F373" s="6">
        <v>16.230813367349299</v>
      </c>
      <c r="G373" s="6">
        <v>15.963289908377</v>
      </c>
      <c r="H373" s="6">
        <v>15.940144639841201</v>
      </c>
      <c r="I373" s="6">
        <v>16.426143897800401</v>
      </c>
      <c r="J373" s="6">
        <v>15.4387426167199</v>
      </c>
      <c r="K373" s="6">
        <v>15.9484391761599</v>
      </c>
      <c r="L373" s="6">
        <v>16.354702232978799</v>
      </c>
      <c r="M373" s="6">
        <v>15.270942515933999</v>
      </c>
      <c r="N373" s="6">
        <v>15.555903234062701</v>
      </c>
      <c r="O373" s="6">
        <v>16.384260773402701</v>
      </c>
      <c r="P373" s="6">
        <v>16.229035118799398</v>
      </c>
      <c r="Q373" s="6">
        <v>15.263702518591501</v>
      </c>
    </row>
    <row r="374" spans="1:17">
      <c r="A374" s="6" t="s">
        <v>7277</v>
      </c>
      <c r="B374" s="6" t="s">
        <v>7277</v>
      </c>
      <c r="C374" s="6" t="s">
        <v>7278</v>
      </c>
      <c r="D374" s="6" t="s">
        <v>7279</v>
      </c>
      <c r="E374" s="6" t="s">
        <v>7279</v>
      </c>
      <c r="F374" s="6">
        <v>16.4894136057904</v>
      </c>
      <c r="G374" s="6">
        <v>15.842556258089401</v>
      </c>
      <c r="H374" s="6" t="s">
        <v>6254</v>
      </c>
      <c r="I374" s="6">
        <v>16.5981692323091</v>
      </c>
      <c r="J374" s="6" t="s">
        <v>6254</v>
      </c>
      <c r="K374" s="6">
        <v>15.725500756190501</v>
      </c>
      <c r="L374" s="6">
        <v>16.6595817242235</v>
      </c>
      <c r="M374" s="6">
        <v>14.903214979807499</v>
      </c>
      <c r="N374" s="6">
        <v>15.411847281916399</v>
      </c>
      <c r="O374" s="6">
        <v>16.0459463053344</v>
      </c>
      <c r="P374" s="6">
        <v>16.161927445734602</v>
      </c>
      <c r="Q374" s="6">
        <v>14.816212922187001</v>
      </c>
    </row>
    <row r="375" spans="1:17">
      <c r="A375" s="6" t="s">
        <v>934</v>
      </c>
      <c r="B375" s="6" t="s">
        <v>934</v>
      </c>
      <c r="C375" s="6" t="s">
        <v>7280</v>
      </c>
      <c r="D375" s="6" t="s">
        <v>7281</v>
      </c>
      <c r="E375" s="6" t="s">
        <v>7281</v>
      </c>
      <c r="F375" s="6">
        <v>16.539561719745201</v>
      </c>
      <c r="G375" s="6">
        <v>16.033560710718799</v>
      </c>
      <c r="H375" s="6">
        <v>16.061850357889501</v>
      </c>
      <c r="I375" s="6">
        <v>16.681024254099899</v>
      </c>
      <c r="J375" s="6">
        <v>15.3863074282597</v>
      </c>
      <c r="K375" s="6">
        <v>15.789717770265201</v>
      </c>
      <c r="L375" s="6">
        <v>16.5545449977758</v>
      </c>
      <c r="M375" s="6">
        <v>15.264736838659999</v>
      </c>
      <c r="N375" s="6">
        <v>15.8755997046985</v>
      </c>
      <c r="O375" s="6">
        <v>15.9227236290529</v>
      </c>
      <c r="P375" s="6">
        <v>15.7834502471342</v>
      </c>
      <c r="Q375" s="6">
        <v>14.7373645881298</v>
      </c>
    </row>
    <row r="376" spans="1:17">
      <c r="A376" s="6" t="s">
        <v>187</v>
      </c>
      <c r="B376" s="6" t="s">
        <v>187</v>
      </c>
      <c r="C376" s="6" t="s">
        <v>7282</v>
      </c>
      <c r="D376" s="6" t="s">
        <v>7283</v>
      </c>
      <c r="E376" s="6" t="s">
        <v>7283</v>
      </c>
      <c r="F376" s="6">
        <v>16.491177783516498</v>
      </c>
      <c r="G376" s="6">
        <v>15.563460346757299</v>
      </c>
      <c r="H376" s="6">
        <v>15.9283072905212</v>
      </c>
      <c r="I376" s="6">
        <v>16.477748284819398</v>
      </c>
      <c r="J376" s="6">
        <v>15.0153890933759</v>
      </c>
      <c r="K376" s="6">
        <v>15.6292674039939</v>
      </c>
      <c r="L376" s="6">
        <v>16.390037055534801</v>
      </c>
      <c r="M376" s="6">
        <v>15.0696879424637</v>
      </c>
      <c r="N376" s="6">
        <v>16.361370917439402</v>
      </c>
      <c r="O376" s="6">
        <v>16.4079180086066</v>
      </c>
      <c r="P376" s="6">
        <v>16.182885469064701</v>
      </c>
      <c r="Q376" s="6">
        <v>14.576233285569099</v>
      </c>
    </row>
    <row r="377" spans="1:17">
      <c r="A377" s="6" t="s">
        <v>7284</v>
      </c>
      <c r="B377" s="6" t="s">
        <v>7285</v>
      </c>
      <c r="C377" s="6" t="s">
        <v>7286</v>
      </c>
      <c r="D377" s="6" t="s">
        <v>7287</v>
      </c>
      <c r="E377" s="6" t="s">
        <v>7288</v>
      </c>
      <c r="F377" s="6">
        <v>18.698928518236698</v>
      </c>
      <c r="G377" s="6">
        <v>12.050450427627</v>
      </c>
      <c r="H377" s="6">
        <v>16.624921778726801</v>
      </c>
      <c r="I377" s="6">
        <v>12.164916398093199</v>
      </c>
      <c r="J377" s="6">
        <v>13.4507122028031</v>
      </c>
      <c r="K377" s="6">
        <v>16.8659653636435</v>
      </c>
      <c r="L377" s="6">
        <v>16.908452347618599</v>
      </c>
      <c r="M377" s="6">
        <v>16.921244872008799</v>
      </c>
      <c r="N377" s="6">
        <v>16.919906630526601</v>
      </c>
      <c r="O377" s="6">
        <v>15.907376677577499</v>
      </c>
      <c r="P377" s="6">
        <v>18.416828403268902</v>
      </c>
      <c r="Q377" s="6">
        <v>15.9397599150203</v>
      </c>
    </row>
    <row r="378" spans="1:17">
      <c r="A378" s="6" t="s">
        <v>7289</v>
      </c>
      <c r="B378" s="6" t="s">
        <v>331</v>
      </c>
      <c r="C378" s="6" t="s">
        <v>7290</v>
      </c>
      <c r="D378" s="6" t="s">
        <v>7291</v>
      </c>
      <c r="E378" s="6" t="s">
        <v>7292</v>
      </c>
      <c r="F378" s="6">
        <v>16.501278235086101</v>
      </c>
      <c r="G378" s="6">
        <v>15.9453926672569</v>
      </c>
      <c r="H378" s="6">
        <v>16.1027664043431</v>
      </c>
      <c r="I378" s="6">
        <v>16.632318827201502</v>
      </c>
      <c r="J378" s="6">
        <v>15.2085317723011</v>
      </c>
      <c r="K378" s="6">
        <v>15.808251695916701</v>
      </c>
      <c r="L378" s="6">
        <v>16.367131233654099</v>
      </c>
      <c r="M378" s="6">
        <v>15.114475716573899</v>
      </c>
      <c r="N378" s="6">
        <v>15.7467317188633</v>
      </c>
      <c r="O378" s="6">
        <v>16.375628023330702</v>
      </c>
      <c r="P378" s="6">
        <v>15.8700505174958</v>
      </c>
      <c r="Q378" s="6">
        <v>14.5734075476564</v>
      </c>
    </row>
    <row r="379" spans="1:17">
      <c r="A379" s="6" t="s">
        <v>2576</v>
      </c>
      <c r="B379" s="6" t="s">
        <v>2576</v>
      </c>
      <c r="C379" s="6" t="s">
        <v>7293</v>
      </c>
      <c r="D379" s="6" t="s">
        <v>7294</v>
      </c>
      <c r="E379" s="6" t="s">
        <v>7294</v>
      </c>
      <c r="F379" s="6">
        <v>16.267227774332898</v>
      </c>
      <c r="G379" s="6">
        <v>15.6352366070521</v>
      </c>
      <c r="H379" s="6">
        <v>15.856722471649199</v>
      </c>
      <c r="I379" s="6">
        <v>16.643573943961101</v>
      </c>
      <c r="J379" s="6">
        <v>15.4715705588034</v>
      </c>
      <c r="K379" s="6">
        <v>16.1247566073054</v>
      </c>
      <c r="L379" s="6">
        <v>16.617998556485201</v>
      </c>
      <c r="M379" s="6">
        <v>15.3947761862485</v>
      </c>
      <c r="N379" s="6">
        <v>15.408369380129701</v>
      </c>
      <c r="O379" s="6">
        <v>16.048029996328498</v>
      </c>
      <c r="P379" s="6">
        <v>15.776987909972</v>
      </c>
      <c r="Q379" s="6">
        <v>15.0083161998972</v>
      </c>
    </row>
    <row r="380" spans="1:17">
      <c r="A380" s="6" t="s">
        <v>616</v>
      </c>
      <c r="B380" s="6" t="s">
        <v>616</v>
      </c>
      <c r="C380" s="6" t="s">
        <v>7295</v>
      </c>
      <c r="D380" s="6" t="s">
        <v>7296</v>
      </c>
      <c r="E380" s="6" t="s">
        <v>7296</v>
      </c>
      <c r="F380" s="6">
        <v>16.393409397761801</v>
      </c>
      <c r="G380" s="6">
        <v>15.8191102709332</v>
      </c>
      <c r="H380" s="6">
        <v>15.939180364715201</v>
      </c>
      <c r="I380" s="6">
        <v>16.612739869867202</v>
      </c>
      <c r="J380" s="6">
        <v>15.4232249261409</v>
      </c>
      <c r="K380" s="6">
        <v>16.146234929745098</v>
      </c>
      <c r="L380" s="6">
        <v>16.5030411301146</v>
      </c>
      <c r="M380" s="6">
        <v>15.0727743673867</v>
      </c>
      <c r="N380" s="6">
        <v>15.4503706432091</v>
      </c>
      <c r="O380" s="6">
        <v>15.870932950410801</v>
      </c>
      <c r="P380" s="6">
        <v>15.754155667390799</v>
      </c>
      <c r="Q380" s="6">
        <v>15.0478582653398</v>
      </c>
    </row>
    <row r="381" spans="1:17">
      <c r="A381" s="6" t="s">
        <v>1364</v>
      </c>
      <c r="B381" s="6" t="s">
        <v>1366</v>
      </c>
      <c r="C381" s="6" t="s">
        <v>7297</v>
      </c>
      <c r="D381" s="6" t="s">
        <v>7298</v>
      </c>
      <c r="E381" s="6" t="s">
        <v>7299</v>
      </c>
      <c r="F381" s="6">
        <v>16.8056561426021</v>
      </c>
      <c r="G381" s="6">
        <v>17.025276932702901</v>
      </c>
      <c r="H381" s="6">
        <v>16.876934398998099</v>
      </c>
      <c r="I381" s="6">
        <v>14.4154294981895</v>
      </c>
      <c r="J381" s="6">
        <v>16.799723582288401</v>
      </c>
      <c r="K381" s="6">
        <v>15.4045759610035</v>
      </c>
      <c r="L381" s="6">
        <v>15.3975560301208</v>
      </c>
      <c r="M381" s="6">
        <v>16.016184716112001</v>
      </c>
      <c r="N381" s="6">
        <v>15.7172239958298</v>
      </c>
      <c r="O381" s="6">
        <v>15.4584031257028</v>
      </c>
      <c r="P381" s="6">
        <v>14.058719908208399</v>
      </c>
      <c r="Q381" s="6">
        <v>17.090404405799699</v>
      </c>
    </row>
    <row r="382" spans="1:17">
      <c r="A382" s="6" t="s">
        <v>551</v>
      </c>
      <c r="B382" s="6" t="s">
        <v>551</v>
      </c>
      <c r="C382" s="6" t="s">
        <v>7300</v>
      </c>
      <c r="D382" s="6" t="s">
        <v>7301</v>
      </c>
      <c r="E382" s="6" t="s">
        <v>7301</v>
      </c>
      <c r="F382" s="6">
        <v>16.335081292474399</v>
      </c>
      <c r="G382" s="6">
        <v>16.001294571200699</v>
      </c>
      <c r="H382" s="6">
        <v>15.943237883019201</v>
      </c>
      <c r="I382" s="6">
        <v>16.5734705942636</v>
      </c>
      <c r="J382" s="6">
        <v>15.0855905478425</v>
      </c>
      <c r="K382" s="6">
        <v>15.728047363975801</v>
      </c>
      <c r="L382" s="6">
        <v>16.507530742583601</v>
      </c>
      <c r="M382" s="6">
        <v>15.2221791511802</v>
      </c>
      <c r="N382" s="6">
        <v>15.5851719765433</v>
      </c>
      <c r="O382" s="6">
        <v>16.034609589312598</v>
      </c>
      <c r="P382" s="6">
        <v>15.732002335250099</v>
      </c>
      <c r="Q382" s="6">
        <v>14.7125031105892</v>
      </c>
    </row>
    <row r="383" spans="1:17">
      <c r="A383" s="6" t="s">
        <v>7302</v>
      </c>
      <c r="B383" s="6" t="s">
        <v>223</v>
      </c>
      <c r="C383" s="6" t="s">
        <v>7303</v>
      </c>
      <c r="D383" s="6" t="s">
        <v>7304</v>
      </c>
      <c r="E383" s="6" t="s">
        <v>7305</v>
      </c>
      <c r="F383" s="6">
        <v>16.626127377371901</v>
      </c>
      <c r="G383" s="6">
        <v>15.792673075601799</v>
      </c>
      <c r="H383" s="6">
        <v>15.9972962240405</v>
      </c>
      <c r="I383" s="6">
        <v>16.697501047311601</v>
      </c>
      <c r="J383" s="6">
        <v>15.113410894621</v>
      </c>
      <c r="K383" s="6">
        <v>16.1028304699323</v>
      </c>
      <c r="L383" s="6">
        <v>16.409881641778401</v>
      </c>
      <c r="M383" s="6">
        <v>15.1676198651333</v>
      </c>
      <c r="N383" s="6">
        <v>15.5175845410728</v>
      </c>
      <c r="O383" s="6">
        <v>16.1958057915475</v>
      </c>
      <c r="P383" s="6">
        <v>16.433048492383701</v>
      </c>
      <c r="Q383" s="6">
        <v>14.601687284668101</v>
      </c>
    </row>
    <row r="384" spans="1:17">
      <c r="A384" s="6" t="s">
        <v>1360</v>
      </c>
      <c r="B384" s="6" t="s">
        <v>1360</v>
      </c>
      <c r="C384" s="6" t="s">
        <v>7306</v>
      </c>
      <c r="D384" s="6" t="s">
        <v>7307</v>
      </c>
      <c r="E384" s="6" t="s">
        <v>7307</v>
      </c>
      <c r="F384" s="6">
        <v>16.612610472670301</v>
      </c>
      <c r="G384" s="6">
        <v>15.7290819728463</v>
      </c>
      <c r="H384" s="6">
        <v>15.806583327816099</v>
      </c>
      <c r="I384" s="6">
        <v>16.456538755214499</v>
      </c>
      <c r="J384" s="6">
        <v>14.9361326394889</v>
      </c>
      <c r="K384" s="6">
        <v>16.023506588407901</v>
      </c>
      <c r="L384" s="6">
        <v>16.632693312990099</v>
      </c>
      <c r="M384" s="6">
        <v>14.445912249519701</v>
      </c>
      <c r="N384" s="6">
        <v>15.9909804983738</v>
      </c>
      <c r="O384" s="6">
        <v>16.041583771587099</v>
      </c>
      <c r="P384" s="6">
        <v>16.4769180673741</v>
      </c>
      <c r="Q384" s="6" t="s">
        <v>6254</v>
      </c>
    </row>
    <row r="385" spans="1:17">
      <c r="A385" s="6" t="s">
        <v>5221</v>
      </c>
      <c r="B385" s="6" t="s">
        <v>5221</v>
      </c>
      <c r="C385" s="6" t="s">
        <v>7308</v>
      </c>
      <c r="D385" s="6" t="s">
        <v>7309</v>
      </c>
      <c r="E385" s="6" t="s">
        <v>7309</v>
      </c>
      <c r="F385" s="6">
        <v>16.423378097459999</v>
      </c>
      <c r="G385" s="6">
        <v>15.982913658470601</v>
      </c>
      <c r="H385" s="6">
        <v>15.894733179164501</v>
      </c>
      <c r="I385" s="6">
        <v>16.623371538157201</v>
      </c>
      <c r="J385" s="6">
        <v>15.2462996748308</v>
      </c>
      <c r="K385" s="6">
        <v>15.9235564056511</v>
      </c>
      <c r="L385" s="6">
        <v>16.542982504192601</v>
      </c>
      <c r="M385" s="6">
        <v>14.7169363036252</v>
      </c>
      <c r="N385" s="6">
        <v>15.1119420801923</v>
      </c>
      <c r="O385" s="6">
        <v>16.112401773798599</v>
      </c>
      <c r="P385" s="6">
        <v>16.365911704658298</v>
      </c>
      <c r="Q385" s="6">
        <v>14.8979425204907</v>
      </c>
    </row>
    <row r="386" spans="1:17">
      <c r="A386" s="6" t="s">
        <v>1447</v>
      </c>
      <c r="B386" s="6" t="s">
        <v>1447</v>
      </c>
      <c r="C386" s="6" t="s">
        <v>7310</v>
      </c>
      <c r="D386" s="6" t="s">
        <v>7311</v>
      </c>
      <c r="E386" s="6" t="s">
        <v>7311</v>
      </c>
      <c r="F386" s="6">
        <v>14.5729024009183</v>
      </c>
      <c r="G386" s="6">
        <v>16.4482895976005</v>
      </c>
      <c r="H386" s="6">
        <v>16.2518104116931</v>
      </c>
      <c r="I386" s="6">
        <v>15.0523750153972</v>
      </c>
      <c r="J386" s="6">
        <v>15.775469241967899</v>
      </c>
      <c r="K386" s="6">
        <v>15.3455493254123</v>
      </c>
      <c r="L386" s="6">
        <v>15.9113372960169</v>
      </c>
      <c r="M386" s="6">
        <v>16.009990155649302</v>
      </c>
      <c r="N386" s="6">
        <v>15.932860299983901</v>
      </c>
      <c r="O386" s="6">
        <v>15.3885715970197</v>
      </c>
      <c r="P386" s="6">
        <v>15.059567894632901</v>
      </c>
      <c r="Q386" s="6">
        <v>15.9257881199322</v>
      </c>
    </row>
    <row r="387" spans="1:17">
      <c r="A387" s="6" t="s">
        <v>1105</v>
      </c>
      <c r="B387" s="6" t="s">
        <v>1107</v>
      </c>
      <c r="C387" s="6" t="s">
        <v>7312</v>
      </c>
      <c r="D387" s="6" t="s">
        <v>7313</v>
      </c>
      <c r="E387" s="6" t="s">
        <v>7314</v>
      </c>
      <c r="F387" s="6">
        <v>16.552182095592201</v>
      </c>
      <c r="G387" s="6">
        <v>15.6051198323786</v>
      </c>
      <c r="H387" s="6">
        <v>15.9424268026474</v>
      </c>
      <c r="I387" s="6">
        <v>16.515096888424399</v>
      </c>
      <c r="J387" s="6">
        <v>15.121983848517001</v>
      </c>
      <c r="K387" s="6">
        <v>15.921570080765701</v>
      </c>
      <c r="L387" s="6">
        <v>16.333747054918302</v>
      </c>
      <c r="M387" s="6">
        <v>14.792195166925101</v>
      </c>
      <c r="N387" s="6">
        <v>15.6964816420852</v>
      </c>
      <c r="O387" s="6">
        <v>16.285015278727599</v>
      </c>
      <c r="P387" s="6">
        <v>16.356015537631201</v>
      </c>
      <c r="Q387" s="6">
        <v>14.713467195481099</v>
      </c>
    </row>
    <row r="388" spans="1:17">
      <c r="A388" s="6" t="s">
        <v>640</v>
      </c>
      <c r="B388" s="6" t="s">
        <v>640</v>
      </c>
      <c r="C388" s="6" t="s">
        <v>7315</v>
      </c>
      <c r="D388" s="6" t="s">
        <v>7316</v>
      </c>
      <c r="E388" s="6" t="s">
        <v>7316</v>
      </c>
      <c r="F388" s="6">
        <v>16.644055559527601</v>
      </c>
      <c r="G388" s="6">
        <v>15.8293339741116</v>
      </c>
      <c r="H388" s="6">
        <v>15.872128814221799</v>
      </c>
      <c r="I388" s="6">
        <v>16.5152030629466</v>
      </c>
      <c r="J388" s="6">
        <v>15.1872868939202</v>
      </c>
      <c r="K388" s="6">
        <v>15.4827614962981</v>
      </c>
      <c r="L388" s="6">
        <v>16.126378336426701</v>
      </c>
      <c r="M388" s="6">
        <v>15.108400802718601</v>
      </c>
      <c r="N388" s="6">
        <v>15.715456404091601</v>
      </c>
      <c r="O388" s="6">
        <v>16.509746152742299</v>
      </c>
      <c r="P388" s="6">
        <v>16.174631122247298</v>
      </c>
      <c r="Q388" s="6">
        <v>14.5885900592488</v>
      </c>
    </row>
    <row r="389" spans="1:17">
      <c r="A389" s="6" t="s">
        <v>7317</v>
      </c>
      <c r="B389" s="6" t="s">
        <v>7318</v>
      </c>
      <c r="C389" s="6" t="s">
        <v>7319</v>
      </c>
      <c r="D389" s="6" t="s">
        <v>7320</v>
      </c>
      <c r="E389" s="6" t="s">
        <v>7321</v>
      </c>
      <c r="F389" s="6">
        <v>16.731806119109301</v>
      </c>
      <c r="G389" s="6">
        <v>15.8817063791415</v>
      </c>
      <c r="H389" s="6">
        <v>16.223869424060499</v>
      </c>
      <c r="I389" s="6">
        <v>16.755786101971498</v>
      </c>
      <c r="J389" s="6">
        <v>15.664624507619401</v>
      </c>
      <c r="K389" s="6">
        <v>16.188480472522802</v>
      </c>
      <c r="L389" s="6">
        <v>16.442544626944802</v>
      </c>
      <c r="M389" s="6">
        <v>15.3111568375418</v>
      </c>
      <c r="N389" s="6">
        <v>15.5758919609217</v>
      </c>
      <c r="O389" s="6">
        <v>16.059838701242199</v>
      </c>
      <c r="P389" s="6">
        <v>15.956548567782001</v>
      </c>
      <c r="Q389" s="6">
        <v>14.637823041133901</v>
      </c>
    </row>
    <row r="390" spans="1:17">
      <c r="A390" s="6" t="s">
        <v>1023</v>
      </c>
      <c r="B390" s="6" t="s">
        <v>1023</v>
      </c>
      <c r="C390" s="6" t="s">
        <v>7322</v>
      </c>
      <c r="D390" s="6" t="s">
        <v>7323</v>
      </c>
      <c r="E390" s="6" t="s">
        <v>7323</v>
      </c>
      <c r="F390" s="6">
        <v>15.381379831487999</v>
      </c>
      <c r="G390" s="6">
        <v>16.574783688477901</v>
      </c>
      <c r="H390" s="6">
        <v>16.438532401198099</v>
      </c>
      <c r="I390" s="6">
        <v>16.063066416352601</v>
      </c>
      <c r="J390" s="6">
        <v>16.215220848593201</v>
      </c>
      <c r="K390" s="6">
        <v>16.185432234427399</v>
      </c>
      <c r="L390" s="6">
        <v>16.132452613137801</v>
      </c>
      <c r="M390" s="6">
        <v>16.2220650729003</v>
      </c>
      <c r="N390" s="6">
        <v>15.669151593854499</v>
      </c>
      <c r="O390" s="6">
        <v>16.2254722206571</v>
      </c>
      <c r="P390" s="6">
        <v>15.9594745441124</v>
      </c>
      <c r="Q390" s="6">
        <v>15.871592357488</v>
      </c>
    </row>
    <row r="391" spans="1:17">
      <c r="A391" s="6" t="s">
        <v>1072</v>
      </c>
      <c r="B391" s="6" t="s">
        <v>1072</v>
      </c>
      <c r="C391" s="6" t="s">
        <v>7324</v>
      </c>
      <c r="D391" s="6" t="s">
        <v>7325</v>
      </c>
      <c r="E391" s="6" t="s">
        <v>7325</v>
      </c>
      <c r="F391" s="6">
        <v>15.270421079582301</v>
      </c>
      <c r="G391" s="6">
        <v>16.424838340068401</v>
      </c>
      <c r="H391" s="6">
        <v>16.065096984463199</v>
      </c>
      <c r="I391" s="6">
        <v>15.979936419990899</v>
      </c>
      <c r="J391" s="6">
        <v>16.0295658146783</v>
      </c>
      <c r="K391" s="6">
        <v>16.255061869228999</v>
      </c>
      <c r="L391" s="6">
        <v>15.9271399607667</v>
      </c>
      <c r="M391" s="6">
        <v>15.904372533339</v>
      </c>
      <c r="N391" s="6">
        <v>15.35981116995</v>
      </c>
      <c r="O391" s="6">
        <v>16.054305968666</v>
      </c>
      <c r="P391" s="6">
        <v>16.135661798124602</v>
      </c>
      <c r="Q391" s="6">
        <v>16.3125784497723</v>
      </c>
    </row>
    <row r="392" spans="1:17">
      <c r="A392" s="6" t="s">
        <v>750</v>
      </c>
      <c r="B392" s="6" t="s">
        <v>750</v>
      </c>
      <c r="C392" s="6" t="s">
        <v>7326</v>
      </c>
      <c r="D392" s="6" t="s">
        <v>7327</v>
      </c>
      <c r="E392" s="6" t="s">
        <v>7327</v>
      </c>
      <c r="F392" s="6">
        <v>16.422106863021401</v>
      </c>
      <c r="G392" s="6">
        <v>15.7207947803333</v>
      </c>
      <c r="H392" s="6">
        <v>15.657447072567001</v>
      </c>
      <c r="I392" s="6">
        <v>16.5549467292274</v>
      </c>
      <c r="J392" s="6">
        <v>15.6149598038268</v>
      </c>
      <c r="K392" s="6">
        <v>16.261734505784901</v>
      </c>
      <c r="L392" s="6">
        <v>16.746158587967699</v>
      </c>
      <c r="M392" s="6">
        <v>14.7582605003513</v>
      </c>
      <c r="N392" s="6">
        <v>15.7974323493785</v>
      </c>
      <c r="O392" s="6">
        <v>16.290714888955499</v>
      </c>
      <c r="P392" s="6">
        <v>16.400010144929901</v>
      </c>
      <c r="Q392" s="6">
        <v>14.6350532375571</v>
      </c>
    </row>
    <row r="393" spans="1:17">
      <c r="A393" s="6" t="s">
        <v>1481</v>
      </c>
      <c r="B393" s="6" t="s">
        <v>1481</v>
      </c>
      <c r="C393" s="6" t="s">
        <v>7328</v>
      </c>
      <c r="D393" s="6" t="s">
        <v>7329</v>
      </c>
      <c r="E393" s="6" t="s">
        <v>7329</v>
      </c>
      <c r="F393" s="6">
        <v>16.40040106903</v>
      </c>
      <c r="G393" s="6">
        <v>16.0112951921983</v>
      </c>
      <c r="H393" s="6">
        <v>16.139887551805401</v>
      </c>
      <c r="I393" s="6">
        <v>16.9437044301017</v>
      </c>
      <c r="J393" s="6">
        <v>15.5071542147155</v>
      </c>
      <c r="K393" s="6">
        <v>16.1636419848465</v>
      </c>
      <c r="L393" s="6">
        <v>16.508835538691301</v>
      </c>
      <c r="M393" s="6">
        <v>15.283085703087901</v>
      </c>
      <c r="N393" s="6">
        <v>15.4450720434251</v>
      </c>
      <c r="O393" s="6">
        <v>15.4606140938454</v>
      </c>
      <c r="P393" s="6">
        <v>15.071295327055299</v>
      </c>
      <c r="Q393" s="6">
        <v>14.7611524934662</v>
      </c>
    </row>
    <row r="394" spans="1:17">
      <c r="A394" s="6" t="s">
        <v>4230</v>
      </c>
      <c r="B394" s="6" t="s">
        <v>4230</v>
      </c>
      <c r="C394" s="6" t="s">
        <v>7330</v>
      </c>
      <c r="D394" s="6" t="s">
        <v>7331</v>
      </c>
      <c r="E394" s="6" t="s">
        <v>7331</v>
      </c>
      <c r="F394" s="6" t="s">
        <v>6254</v>
      </c>
      <c r="G394" s="6" t="s">
        <v>6254</v>
      </c>
      <c r="H394" s="6">
        <v>16.3356202512335</v>
      </c>
      <c r="I394" s="6">
        <v>17.158943811315801</v>
      </c>
      <c r="J394" s="6">
        <v>15.595755611685099</v>
      </c>
      <c r="K394" s="6">
        <v>15.6714225773891</v>
      </c>
      <c r="L394" s="6">
        <v>16.673435814837301</v>
      </c>
      <c r="M394" s="6">
        <v>15.544390084636399</v>
      </c>
      <c r="N394" s="6">
        <v>16.045427220886801</v>
      </c>
      <c r="O394" s="6" t="s">
        <v>6254</v>
      </c>
      <c r="P394" s="6">
        <v>15.2759616377458</v>
      </c>
      <c r="Q394" s="6">
        <v>14.6994631513359</v>
      </c>
    </row>
    <row r="395" spans="1:17">
      <c r="A395" s="6" t="s">
        <v>7332</v>
      </c>
      <c r="B395" s="6" t="s">
        <v>7332</v>
      </c>
      <c r="C395" s="6" t="s">
        <v>7333</v>
      </c>
      <c r="D395" s="6" t="s">
        <v>7334</v>
      </c>
      <c r="E395" s="6" t="s">
        <v>7334</v>
      </c>
      <c r="F395" s="6">
        <v>16.384298538989</v>
      </c>
      <c r="G395" s="6">
        <v>15.560962116063401</v>
      </c>
      <c r="H395" s="6">
        <v>16.002571683481399</v>
      </c>
      <c r="I395" s="6">
        <v>16.204934515028899</v>
      </c>
      <c r="J395" s="6">
        <v>15.3129124712527</v>
      </c>
      <c r="K395" s="6">
        <v>15.453567201839</v>
      </c>
      <c r="L395" s="6">
        <v>15.9776671723261</v>
      </c>
      <c r="M395" s="6">
        <v>15.0107072267601</v>
      </c>
      <c r="N395" s="6">
        <v>15.2967852311711</v>
      </c>
      <c r="O395" s="6">
        <v>16.2718550099741</v>
      </c>
      <c r="P395" s="6">
        <v>16.813425953075001</v>
      </c>
      <c r="Q395" s="6">
        <v>15.0543546666101</v>
      </c>
    </row>
    <row r="396" spans="1:17">
      <c r="A396" s="6" t="s">
        <v>7335</v>
      </c>
      <c r="B396" s="6" t="s">
        <v>7336</v>
      </c>
      <c r="C396" s="6" t="s">
        <v>7337</v>
      </c>
      <c r="D396" s="6" t="s">
        <v>7338</v>
      </c>
      <c r="E396" s="6" t="s">
        <v>7339</v>
      </c>
      <c r="F396" s="6">
        <v>16.4076735481882</v>
      </c>
      <c r="G396" s="6">
        <v>16.165720420767599</v>
      </c>
      <c r="H396" s="6">
        <v>15.722405640085499</v>
      </c>
      <c r="I396" s="6">
        <v>16.6473529290448</v>
      </c>
      <c r="J396" s="6">
        <v>15.388265347276199</v>
      </c>
      <c r="K396" s="6">
        <v>15.9743985384158</v>
      </c>
      <c r="L396" s="6">
        <v>16.415474812217902</v>
      </c>
      <c r="M396" s="6">
        <v>15.202465518450101</v>
      </c>
      <c r="N396" s="6">
        <v>15.5666236578795</v>
      </c>
      <c r="O396" s="6">
        <v>16.088050513420299</v>
      </c>
      <c r="P396" s="6">
        <v>15.888985143084501</v>
      </c>
      <c r="Q396" s="6">
        <v>14.7531716257771</v>
      </c>
    </row>
    <row r="397" spans="1:17">
      <c r="A397" s="6" t="s">
        <v>7340</v>
      </c>
      <c r="B397" s="6" t="s">
        <v>7341</v>
      </c>
      <c r="C397" s="6" t="s">
        <v>7342</v>
      </c>
      <c r="D397" s="6" t="s">
        <v>7343</v>
      </c>
      <c r="E397" s="6" t="s">
        <v>7344</v>
      </c>
      <c r="F397" s="6">
        <v>16.5245022200262</v>
      </c>
      <c r="G397" s="6">
        <v>15.898057517865</v>
      </c>
      <c r="H397" s="6">
        <v>15.6905605602278</v>
      </c>
      <c r="I397" s="6">
        <v>16.5148761240585</v>
      </c>
      <c r="J397" s="6">
        <v>15.343944587388499</v>
      </c>
      <c r="K397" s="6">
        <v>15.676521539372199</v>
      </c>
      <c r="L397" s="6">
        <v>16.344665218502399</v>
      </c>
      <c r="M397" s="6">
        <v>14.887678235709201</v>
      </c>
      <c r="N397" s="6">
        <v>15.603981329896101</v>
      </c>
      <c r="O397" s="6">
        <v>16.091676410311699</v>
      </c>
      <c r="P397" s="6">
        <v>16.361045740860501</v>
      </c>
      <c r="Q397" s="6">
        <v>14.9641026475238</v>
      </c>
    </row>
    <row r="398" spans="1:17">
      <c r="A398" s="6" t="s">
        <v>548</v>
      </c>
      <c r="B398" s="6" t="s">
        <v>548</v>
      </c>
      <c r="C398" s="6" t="s">
        <v>7345</v>
      </c>
      <c r="D398" s="6" t="s">
        <v>7346</v>
      </c>
      <c r="E398" s="6" t="s">
        <v>7346</v>
      </c>
      <c r="F398" s="6">
        <v>16.363509931794699</v>
      </c>
      <c r="G398" s="6">
        <v>15.7497301495063</v>
      </c>
      <c r="H398" s="6">
        <v>15.872167055958601</v>
      </c>
      <c r="I398" s="6">
        <v>16.745896484654001</v>
      </c>
      <c r="J398" s="6">
        <v>15.097981777612899</v>
      </c>
      <c r="K398" s="6">
        <v>15.869619304435901</v>
      </c>
      <c r="L398" s="6">
        <v>16.481522455416499</v>
      </c>
      <c r="M398" s="6">
        <v>15.0137536618192</v>
      </c>
      <c r="N398" s="6">
        <v>15.5881334217319</v>
      </c>
      <c r="O398" s="6">
        <v>16.150754615311801</v>
      </c>
      <c r="P398" s="6">
        <v>16.246595344643598</v>
      </c>
      <c r="Q398" s="6">
        <v>14.573301164936799</v>
      </c>
    </row>
    <row r="399" spans="1:17">
      <c r="A399" s="6" t="s">
        <v>2313</v>
      </c>
      <c r="B399" s="6" t="s">
        <v>2313</v>
      </c>
      <c r="C399" s="6" t="s">
        <v>7347</v>
      </c>
      <c r="D399" s="6" t="s">
        <v>7348</v>
      </c>
      <c r="E399" s="6" t="s">
        <v>7348</v>
      </c>
      <c r="F399" s="6">
        <v>17.010277942926201</v>
      </c>
      <c r="G399" s="6">
        <v>15.3341360073895</v>
      </c>
      <c r="H399" s="6">
        <v>17.152985194457798</v>
      </c>
      <c r="I399" s="6">
        <v>16.079632355328599</v>
      </c>
      <c r="J399" s="6">
        <v>14.728240886464601</v>
      </c>
      <c r="K399" s="6">
        <v>17.683496229244501</v>
      </c>
      <c r="L399" s="6">
        <v>16.088411169419</v>
      </c>
      <c r="M399" s="6">
        <v>17.015652830031499</v>
      </c>
      <c r="N399" s="6">
        <v>13.3210517239854</v>
      </c>
      <c r="O399" s="6">
        <v>15.8886638727746</v>
      </c>
      <c r="P399" s="6">
        <v>15.2139625123861</v>
      </c>
      <c r="Q399" s="6" t="s">
        <v>6254</v>
      </c>
    </row>
    <row r="400" spans="1:17">
      <c r="A400" s="6" t="s">
        <v>585</v>
      </c>
      <c r="B400" s="6" t="s">
        <v>585</v>
      </c>
      <c r="C400" s="6" t="s">
        <v>7349</v>
      </c>
      <c r="D400" s="6" t="s">
        <v>7350</v>
      </c>
      <c r="E400" s="6" t="s">
        <v>7350</v>
      </c>
      <c r="F400" s="6">
        <v>16.562112656636401</v>
      </c>
      <c r="G400" s="6">
        <v>15.8362750882977</v>
      </c>
      <c r="H400" s="6">
        <v>15.8047246624034</v>
      </c>
      <c r="I400" s="6">
        <v>16.546054544614002</v>
      </c>
      <c r="J400" s="6">
        <v>14.9039292763701</v>
      </c>
      <c r="K400" s="6">
        <v>15.7616392773163</v>
      </c>
      <c r="L400" s="6">
        <v>16.477419239448</v>
      </c>
      <c r="M400" s="6">
        <v>15.0001873535328</v>
      </c>
      <c r="N400" s="6">
        <v>15.922968203184899</v>
      </c>
      <c r="O400" s="6">
        <v>16.255140515632998</v>
      </c>
      <c r="P400" s="6">
        <v>16.186553771647301</v>
      </c>
      <c r="Q400" s="6">
        <v>14.4792799413965</v>
      </c>
    </row>
    <row r="401" spans="1:17">
      <c r="A401" s="6" t="s">
        <v>566</v>
      </c>
      <c r="B401" s="6" t="s">
        <v>566</v>
      </c>
      <c r="C401" s="6" t="s">
        <v>7351</v>
      </c>
      <c r="D401" s="6" t="s">
        <v>7352</v>
      </c>
      <c r="E401" s="6" t="s">
        <v>7352</v>
      </c>
      <c r="F401" s="6">
        <v>16.2270788094343</v>
      </c>
      <c r="G401" s="6">
        <v>15.942038741075001</v>
      </c>
      <c r="H401" s="6">
        <v>15.905816879359</v>
      </c>
      <c r="I401" s="6">
        <v>16.4778015463537</v>
      </c>
      <c r="J401" s="6">
        <v>15.1808929352975</v>
      </c>
      <c r="K401" s="6">
        <v>15.752780307009701</v>
      </c>
      <c r="L401" s="6">
        <v>16.321912181234101</v>
      </c>
      <c r="M401" s="6">
        <v>15.1001294340856</v>
      </c>
      <c r="N401" s="6">
        <v>15.445530530015301</v>
      </c>
      <c r="O401" s="6">
        <v>16.2537548135052</v>
      </c>
      <c r="P401" s="6">
        <v>16.086237883760699</v>
      </c>
      <c r="Q401" s="6">
        <v>14.892791392709499</v>
      </c>
    </row>
    <row r="402" spans="1:17">
      <c r="A402" s="6" t="s">
        <v>1980</v>
      </c>
      <c r="B402" s="6" t="s">
        <v>1980</v>
      </c>
      <c r="C402" s="6" t="s">
        <v>7353</v>
      </c>
      <c r="D402" s="6" t="s">
        <v>7354</v>
      </c>
      <c r="E402" s="6" t="s">
        <v>7354</v>
      </c>
      <c r="F402" s="6">
        <v>15.4985850691597</v>
      </c>
      <c r="G402" s="6">
        <v>16.4914003852066</v>
      </c>
      <c r="H402" s="6">
        <v>16.4248459900511</v>
      </c>
      <c r="I402" s="6">
        <v>15.604109718143</v>
      </c>
      <c r="J402" s="6">
        <v>15.9086871873376</v>
      </c>
      <c r="K402" s="6">
        <v>15.258376668027401</v>
      </c>
      <c r="L402" s="6">
        <v>15.8440727036455</v>
      </c>
      <c r="M402" s="6">
        <v>16.449576485968201</v>
      </c>
      <c r="N402" s="6">
        <v>17.078637540927598</v>
      </c>
      <c r="O402" s="6">
        <v>15.8130646194516</v>
      </c>
      <c r="P402" s="6">
        <v>15.661103697546199</v>
      </c>
      <c r="Q402" s="6">
        <v>15.238000917778701</v>
      </c>
    </row>
    <row r="403" spans="1:17">
      <c r="A403" s="6" t="s">
        <v>569</v>
      </c>
      <c r="B403" s="6" t="s">
        <v>569</v>
      </c>
      <c r="C403" s="6" t="s">
        <v>7355</v>
      </c>
      <c r="D403" s="6" t="s">
        <v>7356</v>
      </c>
      <c r="E403" s="6" t="s">
        <v>7356</v>
      </c>
      <c r="F403" s="6">
        <v>16.521138795656</v>
      </c>
      <c r="G403" s="6">
        <v>15.678087819616501</v>
      </c>
      <c r="H403" s="6">
        <v>15.789353759670901</v>
      </c>
      <c r="I403" s="6">
        <v>16.4136811820049</v>
      </c>
      <c r="J403" s="6">
        <v>14.971704773386</v>
      </c>
      <c r="K403" s="6">
        <v>15.780001768239</v>
      </c>
      <c r="L403" s="6">
        <v>16.388130985743899</v>
      </c>
      <c r="M403" s="6">
        <v>15.186634193138</v>
      </c>
      <c r="N403" s="6">
        <v>15.976873329365199</v>
      </c>
      <c r="O403" s="6">
        <v>16.163661319268201</v>
      </c>
      <c r="P403" s="6">
        <v>16.030973363646499</v>
      </c>
      <c r="Q403" s="6">
        <v>14.4349428092187</v>
      </c>
    </row>
    <row r="404" spans="1:17">
      <c r="A404" s="6" t="s">
        <v>298</v>
      </c>
      <c r="B404" s="6" t="s">
        <v>298</v>
      </c>
      <c r="C404" s="6" t="s">
        <v>7357</v>
      </c>
      <c r="D404" s="6" t="s">
        <v>7358</v>
      </c>
      <c r="E404" s="6" t="s">
        <v>7358</v>
      </c>
      <c r="F404" s="6">
        <v>16.4622071416224</v>
      </c>
      <c r="G404" s="6">
        <v>15.808258239051501</v>
      </c>
      <c r="H404" s="6">
        <v>15.6912167887142</v>
      </c>
      <c r="I404" s="6">
        <v>16.495830419696802</v>
      </c>
      <c r="J404" s="6">
        <v>14.9750488850244</v>
      </c>
      <c r="K404" s="6">
        <v>15.6852767316661</v>
      </c>
      <c r="L404" s="6">
        <v>16.230676223697198</v>
      </c>
      <c r="M404" s="6">
        <v>15.0074689832598</v>
      </c>
      <c r="N404" s="6">
        <v>15.394909146239</v>
      </c>
      <c r="O404" s="6">
        <v>16.544684287405701</v>
      </c>
      <c r="P404" s="6">
        <v>16.1914278843734</v>
      </c>
      <c r="Q404" s="6">
        <v>14.6999676153302</v>
      </c>
    </row>
    <row r="405" spans="1:17">
      <c r="A405" s="6" t="s">
        <v>4605</v>
      </c>
      <c r="B405" s="6" t="s">
        <v>4605</v>
      </c>
      <c r="C405" s="6" t="s">
        <v>7359</v>
      </c>
      <c r="D405" s="6" t="s">
        <v>7360</v>
      </c>
      <c r="E405" s="6" t="s">
        <v>7360</v>
      </c>
      <c r="F405" s="6">
        <v>16.562646463737</v>
      </c>
      <c r="G405" s="6">
        <v>15.5882470460449</v>
      </c>
      <c r="H405" s="6">
        <v>16.3004693339327</v>
      </c>
      <c r="I405" s="6">
        <v>16.8049246109506</v>
      </c>
      <c r="J405" s="6">
        <v>15.297786988285701</v>
      </c>
      <c r="K405" s="6" t="s">
        <v>6254</v>
      </c>
      <c r="L405" s="6">
        <v>16.462840829995201</v>
      </c>
      <c r="M405" s="6">
        <v>15.501740871671201</v>
      </c>
      <c r="N405" s="6">
        <v>15.9512263207448</v>
      </c>
      <c r="O405" s="6">
        <v>16.505651633712599</v>
      </c>
      <c r="P405" s="6" t="s">
        <v>6254</v>
      </c>
      <c r="Q405" s="6">
        <v>13.8750801659664</v>
      </c>
    </row>
    <row r="406" spans="1:17">
      <c r="A406" s="6" t="s">
        <v>2938</v>
      </c>
      <c r="B406" s="6" t="s">
        <v>2938</v>
      </c>
      <c r="C406" s="6" t="s">
        <v>7361</v>
      </c>
      <c r="D406" s="6" t="s">
        <v>7362</v>
      </c>
      <c r="E406" s="6" t="s">
        <v>7362</v>
      </c>
      <c r="F406" s="6">
        <v>15.831232923452101</v>
      </c>
      <c r="G406" s="6">
        <v>15.2987592645918</v>
      </c>
      <c r="H406" s="6">
        <v>15.434115282752099</v>
      </c>
      <c r="I406" s="6">
        <v>17.7085727737472</v>
      </c>
      <c r="J406" s="6">
        <v>15.885328221604199</v>
      </c>
      <c r="K406" s="6">
        <v>16.487953866075902</v>
      </c>
      <c r="L406" s="6">
        <v>18.1863079446249</v>
      </c>
      <c r="M406" s="6">
        <v>14.989360775206499</v>
      </c>
      <c r="N406" s="6">
        <v>14.805194030467799</v>
      </c>
      <c r="O406" s="6">
        <v>14.8115554256912</v>
      </c>
      <c r="P406" s="6">
        <v>14.9538042159133</v>
      </c>
      <c r="Q406" s="6">
        <v>15.127306837166699</v>
      </c>
    </row>
    <row r="407" spans="1:17">
      <c r="A407" s="6" t="s">
        <v>1984</v>
      </c>
      <c r="B407" s="6" t="s">
        <v>1984</v>
      </c>
      <c r="C407" s="6" t="s">
        <v>7363</v>
      </c>
      <c r="D407" s="6" t="s">
        <v>7364</v>
      </c>
      <c r="E407" s="6" t="s">
        <v>7364</v>
      </c>
      <c r="F407" s="6">
        <v>16.372240384264401</v>
      </c>
      <c r="G407" s="6">
        <v>15.985166275941101</v>
      </c>
      <c r="H407" s="6">
        <v>15.5660042276716</v>
      </c>
      <c r="I407" s="6">
        <v>16.553926885506701</v>
      </c>
      <c r="J407" s="6">
        <v>15.2040578549865</v>
      </c>
      <c r="K407" s="6">
        <v>16.2378311030768</v>
      </c>
      <c r="L407" s="6">
        <v>16.217375576197998</v>
      </c>
      <c r="M407" s="6">
        <v>15.010870178765799</v>
      </c>
      <c r="N407" s="6">
        <v>15.368457005434699</v>
      </c>
      <c r="O407" s="6">
        <v>15.7863839625025</v>
      </c>
      <c r="P407" s="6">
        <v>15.820813376716201</v>
      </c>
      <c r="Q407" s="6">
        <v>14.8242197859804</v>
      </c>
    </row>
    <row r="408" spans="1:17">
      <c r="A408" s="6" t="s">
        <v>762</v>
      </c>
      <c r="B408" s="6" t="s">
        <v>762</v>
      </c>
      <c r="C408" s="6" t="s">
        <v>7365</v>
      </c>
      <c r="D408" s="6" t="s">
        <v>7366</v>
      </c>
      <c r="E408" s="6" t="s">
        <v>7366</v>
      </c>
      <c r="F408" s="6">
        <v>15.8938373978086</v>
      </c>
      <c r="G408" s="6">
        <v>15.7492625344712</v>
      </c>
      <c r="H408" s="6">
        <v>15.6958732460236</v>
      </c>
      <c r="I408" s="6">
        <v>16.5554347173133</v>
      </c>
      <c r="J408" s="6">
        <v>15.602352416672799</v>
      </c>
      <c r="K408" s="6">
        <v>15.590936977655801</v>
      </c>
      <c r="L408" s="6">
        <v>16.384253580490899</v>
      </c>
      <c r="M408" s="6">
        <v>15.201906098397201</v>
      </c>
      <c r="N408" s="6">
        <v>15.360608933603601</v>
      </c>
      <c r="O408" s="6">
        <v>16.473726130460999</v>
      </c>
      <c r="P408" s="6">
        <v>16.088338142280801</v>
      </c>
      <c r="Q408" s="6">
        <v>15.0327787748432</v>
      </c>
    </row>
    <row r="409" spans="1:17">
      <c r="A409" s="6" t="s">
        <v>3085</v>
      </c>
      <c r="B409" s="6" t="s">
        <v>3085</v>
      </c>
      <c r="C409" s="6" t="s">
        <v>7367</v>
      </c>
      <c r="D409" s="6" t="s">
        <v>7368</v>
      </c>
      <c r="E409" s="6" t="s">
        <v>7368</v>
      </c>
      <c r="F409" s="6">
        <v>15.7964569164561</v>
      </c>
      <c r="G409" s="6">
        <v>15.166335368830399</v>
      </c>
      <c r="H409" s="6">
        <v>16.322520549010999</v>
      </c>
      <c r="I409" s="6">
        <v>16.8074639719825</v>
      </c>
      <c r="J409" s="6">
        <v>15.494265384536201</v>
      </c>
      <c r="K409" s="6">
        <v>16.1790290930923</v>
      </c>
      <c r="L409" s="6">
        <v>16.674523500842799</v>
      </c>
      <c r="M409" s="6">
        <v>15.1244454668849</v>
      </c>
      <c r="N409" s="6">
        <v>15.656290589175001</v>
      </c>
      <c r="O409" s="6">
        <v>16.0593753972732</v>
      </c>
      <c r="P409" s="6">
        <v>15.694559708215801</v>
      </c>
      <c r="Q409" s="6">
        <v>14.670375711631401</v>
      </c>
    </row>
    <row r="410" spans="1:17">
      <c r="A410" s="6" t="s">
        <v>560</v>
      </c>
      <c r="B410" s="6" t="s">
        <v>560</v>
      </c>
      <c r="C410" s="6" t="s">
        <v>7369</v>
      </c>
      <c r="D410" s="6" t="s">
        <v>7370</v>
      </c>
      <c r="E410" s="6" t="s">
        <v>7370</v>
      </c>
      <c r="F410" s="6">
        <v>16.237021546705101</v>
      </c>
      <c r="G410" s="6">
        <v>15.7581539399589</v>
      </c>
      <c r="H410" s="6">
        <v>15.852888224993899</v>
      </c>
      <c r="I410" s="6">
        <v>16.632219832127301</v>
      </c>
      <c r="J410" s="6">
        <v>15.0197610736749</v>
      </c>
      <c r="K410" s="6">
        <v>15.877186727607301</v>
      </c>
      <c r="L410" s="6">
        <v>16.193839860012101</v>
      </c>
      <c r="M410" s="6">
        <v>14.8280330003684</v>
      </c>
      <c r="N410" s="6">
        <v>15.5503986075543</v>
      </c>
      <c r="O410" s="6">
        <v>16.2949123517202</v>
      </c>
      <c r="P410" s="6">
        <v>15.925159474986399</v>
      </c>
      <c r="Q410" s="6">
        <v>14.827087589153299</v>
      </c>
    </row>
    <row r="411" spans="1:17">
      <c r="A411" s="6" t="s">
        <v>7371</v>
      </c>
      <c r="B411" s="6" t="s">
        <v>7372</v>
      </c>
      <c r="C411" s="6" t="s">
        <v>7373</v>
      </c>
      <c r="D411" s="6" t="s">
        <v>7374</v>
      </c>
      <c r="E411" s="6" t="s">
        <v>7375</v>
      </c>
      <c r="F411" s="6">
        <v>16.369030435942999</v>
      </c>
      <c r="G411" s="6">
        <v>15.2902213809133</v>
      </c>
      <c r="H411" s="6">
        <v>15.854227927292699</v>
      </c>
      <c r="I411" s="6">
        <v>16.664435984621502</v>
      </c>
      <c r="J411" s="6" t="s">
        <v>6254</v>
      </c>
      <c r="K411" s="6">
        <v>16.128421306508599</v>
      </c>
      <c r="L411" s="6">
        <v>16.2670906448704</v>
      </c>
      <c r="M411" s="6">
        <v>15.4067250035655</v>
      </c>
      <c r="N411" s="6">
        <v>15.526721513518501</v>
      </c>
      <c r="O411" s="6">
        <v>15.8453231982236</v>
      </c>
      <c r="P411" s="6">
        <v>16.027120894236099</v>
      </c>
      <c r="Q411" s="6" t="s">
        <v>6254</v>
      </c>
    </row>
    <row r="412" spans="1:17">
      <c r="A412" s="6" t="s">
        <v>1139</v>
      </c>
      <c r="B412" s="6" t="s">
        <v>1141</v>
      </c>
      <c r="C412" s="6" t="s">
        <v>7376</v>
      </c>
      <c r="D412" s="6" t="s">
        <v>7377</v>
      </c>
      <c r="E412" s="6" t="s">
        <v>7378</v>
      </c>
      <c r="F412" s="6">
        <v>16.163105123806599</v>
      </c>
      <c r="G412" s="6">
        <v>16.8092332749323</v>
      </c>
      <c r="H412" s="6">
        <v>16.558716147581499</v>
      </c>
      <c r="I412" s="6">
        <v>15.5649544378524</v>
      </c>
      <c r="J412" s="6">
        <v>16.632581016358799</v>
      </c>
      <c r="K412" s="6">
        <v>15.838950448516901</v>
      </c>
      <c r="L412" s="6">
        <v>14.8803466214937</v>
      </c>
      <c r="M412" s="6">
        <v>16.3890488232622</v>
      </c>
      <c r="N412" s="6">
        <v>15.902088843521</v>
      </c>
      <c r="O412" s="6">
        <v>15.839319241304899</v>
      </c>
      <c r="P412" s="6">
        <v>16.146216062135601</v>
      </c>
      <c r="Q412" s="6">
        <v>16.801712457022902</v>
      </c>
    </row>
    <row r="413" spans="1:17">
      <c r="A413" s="6" t="s">
        <v>2566</v>
      </c>
      <c r="B413" s="6" t="s">
        <v>2566</v>
      </c>
      <c r="C413" s="6" t="s">
        <v>7379</v>
      </c>
      <c r="D413" s="6" t="s">
        <v>7380</v>
      </c>
      <c r="E413" s="6" t="s">
        <v>7380</v>
      </c>
      <c r="F413" s="6">
        <v>16.628249660063201</v>
      </c>
      <c r="G413" s="6">
        <v>15.4031954222722</v>
      </c>
      <c r="H413" s="6">
        <v>15.928242471794601</v>
      </c>
      <c r="I413" s="6">
        <v>16.7526674511588</v>
      </c>
      <c r="J413" s="6">
        <v>15.2640917206312</v>
      </c>
      <c r="K413" s="6">
        <v>16.190974600750799</v>
      </c>
      <c r="L413" s="6">
        <v>16.850876316087501</v>
      </c>
      <c r="M413" s="6">
        <v>15.0586272392731</v>
      </c>
      <c r="N413" s="6">
        <v>16.077918040759702</v>
      </c>
      <c r="O413" s="6">
        <v>16.286467527063699</v>
      </c>
      <c r="P413" s="6" t="s">
        <v>6254</v>
      </c>
      <c r="Q413" s="6">
        <v>14.7051499903655</v>
      </c>
    </row>
    <row r="414" spans="1:17">
      <c r="A414" s="6" t="s">
        <v>241</v>
      </c>
      <c r="B414" s="6" t="s">
        <v>241</v>
      </c>
      <c r="C414" s="6" t="s">
        <v>7381</v>
      </c>
      <c r="D414" s="6" t="s">
        <v>7382</v>
      </c>
      <c r="E414" s="6" t="s">
        <v>7382</v>
      </c>
      <c r="F414" s="6">
        <v>16.354093997994099</v>
      </c>
      <c r="G414" s="6">
        <v>15.6584134433727</v>
      </c>
      <c r="H414" s="6">
        <v>15.707874392911499</v>
      </c>
      <c r="I414" s="6">
        <v>16.471743109947798</v>
      </c>
      <c r="J414" s="6">
        <v>15.124801611663299</v>
      </c>
      <c r="K414" s="6">
        <v>15.833039384561401</v>
      </c>
      <c r="L414" s="6">
        <v>16.3942600830323</v>
      </c>
      <c r="M414" s="6">
        <v>15.032212190029</v>
      </c>
      <c r="N414" s="6">
        <v>15.303451762658201</v>
      </c>
      <c r="O414" s="6">
        <v>16.1699437998349</v>
      </c>
      <c r="P414" s="6">
        <v>16.299347067028499</v>
      </c>
      <c r="Q414" s="6">
        <v>14.5478412337139</v>
      </c>
    </row>
    <row r="415" spans="1:17">
      <c r="A415" s="6" t="s">
        <v>1525</v>
      </c>
      <c r="B415" s="6" t="s">
        <v>1525</v>
      </c>
      <c r="C415" s="6" t="s">
        <v>7383</v>
      </c>
      <c r="D415" s="6" t="s">
        <v>7384</v>
      </c>
      <c r="E415" s="6" t="s">
        <v>7384</v>
      </c>
      <c r="F415" s="6">
        <v>16.264123906767001</v>
      </c>
      <c r="G415" s="6">
        <v>15.8795300015453</v>
      </c>
      <c r="H415" s="6">
        <v>15.7000279150105</v>
      </c>
      <c r="I415" s="6">
        <v>16.404100736728399</v>
      </c>
      <c r="J415" s="6">
        <v>15.744807235879501</v>
      </c>
      <c r="K415" s="6">
        <v>15.5966381009983</v>
      </c>
      <c r="L415" s="6">
        <v>16.110139727248999</v>
      </c>
      <c r="M415" s="6">
        <v>14.778985564229</v>
      </c>
      <c r="N415" s="6">
        <v>15.3984393688183</v>
      </c>
      <c r="O415" s="6">
        <v>16.190989829785099</v>
      </c>
      <c r="P415" s="6">
        <v>15.982278661085299</v>
      </c>
      <c r="Q415" s="6">
        <v>15.284948585245299</v>
      </c>
    </row>
    <row r="416" spans="1:17">
      <c r="A416" s="6" t="s">
        <v>358</v>
      </c>
      <c r="B416" s="6" t="s">
        <v>358</v>
      </c>
      <c r="C416" s="6" t="s">
        <v>7385</v>
      </c>
      <c r="D416" s="6" t="s">
        <v>7386</v>
      </c>
      <c r="E416" s="6" t="s">
        <v>7386</v>
      </c>
      <c r="F416" s="6">
        <v>16.322160146858401</v>
      </c>
      <c r="G416" s="6">
        <v>15.8465976419324</v>
      </c>
      <c r="H416" s="6">
        <v>16.081116990077302</v>
      </c>
      <c r="I416" s="6">
        <v>16.3287154559324</v>
      </c>
      <c r="J416" s="6">
        <v>15.0610658811101</v>
      </c>
      <c r="K416" s="6">
        <v>15.519681595987301</v>
      </c>
      <c r="L416" s="6">
        <v>16.3535638248613</v>
      </c>
      <c r="M416" s="6">
        <v>14.9836250722097</v>
      </c>
      <c r="N416" s="6">
        <v>15.8731806745224</v>
      </c>
      <c r="O416" s="6">
        <v>16.123594420298001</v>
      </c>
      <c r="P416" s="6">
        <v>16.057093496336201</v>
      </c>
      <c r="Q416" s="6">
        <v>14.627023713813101</v>
      </c>
    </row>
    <row r="417" spans="1:17">
      <c r="A417" s="6" t="s">
        <v>160</v>
      </c>
      <c r="B417" s="6" t="s">
        <v>160</v>
      </c>
      <c r="C417" s="6" t="s">
        <v>7387</v>
      </c>
      <c r="D417" s="6" t="s">
        <v>7388</v>
      </c>
      <c r="E417" s="6" t="s">
        <v>7388</v>
      </c>
      <c r="F417" s="6">
        <v>16.300289800485999</v>
      </c>
      <c r="G417" s="6">
        <v>15.7034299031247</v>
      </c>
      <c r="H417" s="6">
        <v>15.9448148034702</v>
      </c>
      <c r="I417" s="6">
        <v>16.205178385892602</v>
      </c>
      <c r="J417" s="6">
        <v>15.0127029133298</v>
      </c>
      <c r="K417" s="6">
        <v>15.2672239094844</v>
      </c>
      <c r="L417" s="6">
        <v>16.424669739092302</v>
      </c>
      <c r="M417" s="6">
        <v>15.090707111218901</v>
      </c>
      <c r="N417" s="6">
        <v>15.8279900240756</v>
      </c>
      <c r="O417" s="6">
        <v>16.146245399294401</v>
      </c>
      <c r="P417" s="6">
        <v>15.887936983207499</v>
      </c>
      <c r="Q417" s="6">
        <v>14.632582895653901</v>
      </c>
    </row>
    <row r="418" spans="1:17">
      <c r="A418" s="6" t="s">
        <v>1570</v>
      </c>
      <c r="B418" s="6" t="s">
        <v>1570</v>
      </c>
      <c r="C418" s="6" t="s">
        <v>7389</v>
      </c>
      <c r="D418" s="6" t="s">
        <v>7390</v>
      </c>
      <c r="E418" s="6" t="s">
        <v>7390</v>
      </c>
      <c r="F418" s="6">
        <v>16.511149763230598</v>
      </c>
      <c r="G418" s="6">
        <v>15.880735238173299</v>
      </c>
      <c r="H418" s="6">
        <v>16.306978603298099</v>
      </c>
      <c r="I418" s="6">
        <v>16.6150847500694</v>
      </c>
      <c r="J418" s="6">
        <v>15.155442327222101</v>
      </c>
      <c r="K418" s="6">
        <v>15.8397671045085</v>
      </c>
      <c r="L418" s="6">
        <v>16.6268553057376</v>
      </c>
      <c r="M418" s="6">
        <v>15.2162679295048</v>
      </c>
      <c r="N418" s="6">
        <v>15.8450021015757</v>
      </c>
      <c r="O418" s="6">
        <v>15.787735993943601</v>
      </c>
      <c r="P418" s="6">
        <v>15.6145037219932</v>
      </c>
      <c r="Q418" s="6">
        <v>14.312055023787901</v>
      </c>
    </row>
    <row r="419" spans="1:17">
      <c r="A419" s="6" t="s">
        <v>7391</v>
      </c>
      <c r="B419" s="6" t="s">
        <v>7392</v>
      </c>
      <c r="C419" s="6" t="s">
        <v>7393</v>
      </c>
      <c r="D419" s="6" t="s">
        <v>7394</v>
      </c>
      <c r="E419" s="6" t="s">
        <v>7395</v>
      </c>
      <c r="F419" s="6">
        <v>16.197482188639999</v>
      </c>
      <c r="G419" s="6">
        <v>15.903228746499501</v>
      </c>
      <c r="H419" s="6">
        <v>15.779311909667999</v>
      </c>
      <c r="I419" s="6">
        <v>16.504028908852501</v>
      </c>
      <c r="J419" s="6">
        <v>15.292046935695099</v>
      </c>
      <c r="K419" s="6">
        <v>15.8039259117245</v>
      </c>
      <c r="L419" s="6">
        <v>16.354047359315899</v>
      </c>
      <c r="M419" s="6">
        <v>14.681891617909301</v>
      </c>
      <c r="N419" s="6">
        <v>15.4805715417763</v>
      </c>
      <c r="O419" s="6">
        <v>16.213263674952699</v>
      </c>
      <c r="P419" s="6">
        <v>16.332975580597498</v>
      </c>
      <c r="Q419" s="6">
        <v>14.312462587565101</v>
      </c>
    </row>
    <row r="420" spans="1:17">
      <c r="A420" s="6" t="s">
        <v>251</v>
      </c>
      <c r="B420" s="6" t="s">
        <v>251</v>
      </c>
      <c r="C420" s="6" t="s">
        <v>7396</v>
      </c>
      <c r="D420" s="6" t="s">
        <v>7397</v>
      </c>
      <c r="E420" s="6" t="s">
        <v>7397</v>
      </c>
      <c r="F420" s="6">
        <v>15.914435048341399</v>
      </c>
      <c r="G420" s="6">
        <v>16.142521673358399</v>
      </c>
      <c r="H420" s="6">
        <v>15.8058905150443</v>
      </c>
      <c r="I420" s="6">
        <v>16.055001370323101</v>
      </c>
      <c r="J420" s="6">
        <v>15.7723803474065</v>
      </c>
      <c r="K420" s="6">
        <v>16.308462972560701</v>
      </c>
      <c r="L420" s="6">
        <v>15.465113822202101</v>
      </c>
      <c r="M420" s="6">
        <v>15.935458220707099</v>
      </c>
      <c r="N420" s="6">
        <v>15.453577212243101</v>
      </c>
      <c r="O420" s="6">
        <v>15.880760389188801</v>
      </c>
      <c r="P420" s="6">
        <v>15.9672060561359</v>
      </c>
      <c r="Q420" s="6">
        <v>15.6341913079912</v>
      </c>
    </row>
    <row r="421" spans="1:17">
      <c r="A421" s="6" t="s">
        <v>7398</v>
      </c>
      <c r="B421" s="6" t="s">
        <v>7398</v>
      </c>
      <c r="C421" s="6" t="s">
        <v>7398</v>
      </c>
      <c r="D421" s="6" t="s">
        <v>7398</v>
      </c>
      <c r="E421" s="6" t="s">
        <v>7398</v>
      </c>
      <c r="F421" s="6">
        <v>15.6479692206689</v>
      </c>
      <c r="G421" s="6">
        <v>16.1435817461408</v>
      </c>
      <c r="H421" s="6">
        <v>16.2326279741504</v>
      </c>
      <c r="I421" s="6">
        <v>15.247058050382201</v>
      </c>
      <c r="J421" s="6" t="s">
        <v>6254</v>
      </c>
      <c r="K421" s="6">
        <v>15.394945836897801</v>
      </c>
      <c r="L421" s="6">
        <v>15.472444288827299</v>
      </c>
      <c r="M421" s="6">
        <v>16.737319501796801</v>
      </c>
      <c r="N421" s="6">
        <v>16.652179047470302</v>
      </c>
      <c r="O421" s="6">
        <v>17.190589927650802</v>
      </c>
      <c r="P421" s="6" t="s">
        <v>6254</v>
      </c>
      <c r="Q421" s="6" t="s">
        <v>6254</v>
      </c>
    </row>
    <row r="422" spans="1:17">
      <c r="A422" s="6" t="s">
        <v>557</v>
      </c>
      <c r="B422" s="6" t="s">
        <v>557</v>
      </c>
      <c r="C422" s="6" t="s">
        <v>7399</v>
      </c>
      <c r="D422" s="6" t="s">
        <v>7400</v>
      </c>
      <c r="E422" s="6" t="s">
        <v>7400</v>
      </c>
      <c r="F422" s="6">
        <v>16.5285113992013</v>
      </c>
      <c r="G422" s="6">
        <v>15.958231319604799</v>
      </c>
      <c r="H422" s="6">
        <v>15.832664807852099</v>
      </c>
      <c r="I422" s="6">
        <v>15.521538183714901</v>
      </c>
      <c r="J422" s="6">
        <v>16.216660048748398</v>
      </c>
      <c r="K422" s="6">
        <v>16.487022547350801</v>
      </c>
      <c r="L422" s="6">
        <v>16.0673392399307</v>
      </c>
      <c r="M422" s="6">
        <v>16.502707405280798</v>
      </c>
      <c r="N422" s="6">
        <v>16.063506191961402</v>
      </c>
      <c r="O422" s="6">
        <v>15.675048403865</v>
      </c>
      <c r="P422" s="6">
        <v>15.7021146517119</v>
      </c>
      <c r="Q422" s="6">
        <v>15.3501729094742</v>
      </c>
    </row>
    <row r="423" spans="1:17">
      <c r="A423" s="6" t="s">
        <v>1655</v>
      </c>
      <c r="B423" s="6" t="s">
        <v>1655</v>
      </c>
      <c r="C423" s="6" t="s">
        <v>7401</v>
      </c>
      <c r="D423" s="6" t="s">
        <v>7402</v>
      </c>
      <c r="E423" s="6" t="s">
        <v>7402</v>
      </c>
      <c r="F423" s="6">
        <v>14.8514810654236</v>
      </c>
      <c r="G423" s="6">
        <v>14.9998714223611</v>
      </c>
      <c r="H423" s="6">
        <v>16.707062525155798</v>
      </c>
      <c r="I423" s="6">
        <v>18.777506540696798</v>
      </c>
      <c r="J423" s="6">
        <v>13.8215065791867</v>
      </c>
      <c r="K423" s="6">
        <v>17.070693602660501</v>
      </c>
      <c r="L423" s="6">
        <v>20.141654373998101</v>
      </c>
      <c r="M423" s="6">
        <v>15.0110197041462</v>
      </c>
      <c r="N423" s="6">
        <v>13.397039403506399</v>
      </c>
      <c r="O423" s="6">
        <v>14.044639118714301</v>
      </c>
      <c r="P423" s="6">
        <v>14.1969588507715</v>
      </c>
      <c r="Q423" s="6">
        <v>13.5664967713875</v>
      </c>
    </row>
    <row r="424" spans="1:17">
      <c r="A424" s="6" t="s">
        <v>7403</v>
      </c>
      <c r="B424" s="6" t="s">
        <v>7404</v>
      </c>
      <c r="C424" s="6" t="s">
        <v>7405</v>
      </c>
      <c r="D424" s="6" t="s">
        <v>7406</v>
      </c>
      <c r="E424" s="6" t="s">
        <v>7407</v>
      </c>
      <c r="F424" s="6">
        <v>16.336600891689599</v>
      </c>
      <c r="G424" s="6">
        <v>15.6268934729472</v>
      </c>
      <c r="H424" s="6">
        <v>15.8636086221954</v>
      </c>
      <c r="I424" s="6">
        <v>16.088836293746301</v>
      </c>
      <c r="J424" s="6">
        <v>15.2559819697717</v>
      </c>
      <c r="K424" s="6">
        <v>15.5366618560204</v>
      </c>
      <c r="L424" s="6">
        <v>16.109505304738299</v>
      </c>
      <c r="M424" s="6">
        <v>15.193808388765101</v>
      </c>
      <c r="N424" s="6">
        <v>15.4162232001639</v>
      </c>
      <c r="O424" s="6">
        <v>16.206731597328599</v>
      </c>
      <c r="P424" s="6">
        <v>16.248361042901401</v>
      </c>
      <c r="Q424" s="6">
        <v>14.6892343258798</v>
      </c>
    </row>
    <row r="425" spans="1:17">
      <c r="A425" s="6" t="s">
        <v>1003</v>
      </c>
      <c r="B425" s="6" t="s">
        <v>1003</v>
      </c>
      <c r="C425" s="6" t="s">
        <v>7408</v>
      </c>
      <c r="D425" s="6" t="s">
        <v>7409</v>
      </c>
      <c r="E425" s="6" t="s">
        <v>7409</v>
      </c>
      <c r="F425" s="6">
        <v>16.212251034881199</v>
      </c>
      <c r="G425" s="6">
        <v>15.914576016143</v>
      </c>
      <c r="H425" s="6">
        <v>15.4002093374773</v>
      </c>
      <c r="I425" s="6">
        <v>16.443577820963299</v>
      </c>
      <c r="J425" s="6">
        <v>14.7682252940151</v>
      </c>
      <c r="K425" s="6">
        <v>15.3454907131278</v>
      </c>
      <c r="L425" s="6">
        <v>16.181751039531399</v>
      </c>
      <c r="M425" s="6">
        <v>14.630306406898001</v>
      </c>
      <c r="N425" s="6">
        <v>15.992193076570199</v>
      </c>
      <c r="O425" s="6">
        <v>16.389986755738601</v>
      </c>
      <c r="P425" s="6">
        <v>16.269250775754301</v>
      </c>
      <c r="Q425" s="6">
        <v>14.314958212288399</v>
      </c>
    </row>
    <row r="426" spans="1:17">
      <c r="A426" s="6" t="s">
        <v>1685</v>
      </c>
      <c r="B426" s="6" t="s">
        <v>1685</v>
      </c>
      <c r="C426" s="6" t="s">
        <v>7410</v>
      </c>
      <c r="D426" s="6" t="s">
        <v>7411</v>
      </c>
      <c r="E426" s="6" t="s">
        <v>7411</v>
      </c>
      <c r="F426" s="6">
        <v>15.285704534368801</v>
      </c>
      <c r="G426" s="6">
        <v>15.6978650901093</v>
      </c>
      <c r="H426" s="6">
        <v>16.960057783099401</v>
      </c>
      <c r="I426" s="6">
        <v>15.4912247554514</v>
      </c>
      <c r="J426" s="6">
        <v>16.196790581357298</v>
      </c>
      <c r="K426" s="6">
        <v>16.127390487969802</v>
      </c>
      <c r="L426" s="6">
        <v>16.461611468226401</v>
      </c>
      <c r="M426" s="6">
        <v>17.014332311356799</v>
      </c>
      <c r="N426" s="6">
        <v>16.5675277635439</v>
      </c>
      <c r="O426" s="6">
        <v>14.900768115801601</v>
      </c>
      <c r="P426" s="6">
        <v>14.5804953941335</v>
      </c>
      <c r="Q426" s="6">
        <v>15.239839856493401</v>
      </c>
    </row>
    <row r="427" spans="1:17">
      <c r="A427" s="6" t="s">
        <v>1157</v>
      </c>
      <c r="B427" s="6" t="s">
        <v>1157</v>
      </c>
      <c r="C427" s="6" t="s">
        <v>7412</v>
      </c>
      <c r="D427" s="6" t="s">
        <v>7413</v>
      </c>
      <c r="E427" s="6" t="s">
        <v>7413</v>
      </c>
      <c r="F427" s="6">
        <v>16.3119951735166</v>
      </c>
      <c r="G427" s="6">
        <v>15.831208171208001</v>
      </c>
      <c r="H427" s="6">
        <v>15.895945309929299</v>
      </c>
      <c r="I427" s="6">
        <v>16.487747109863601</v>
      </c>
      <c r="J427" s="6">
        <v>15.1377064290664</v>
      </c>
      <c r="K427" s="6">
        <v>15.7579768418817</v>
      </c>
      <c r="L427" s="6">
        <v>16.3778593402868</v>
      </c>
      <c r="M427" s="6">
        <v>14.990677265078</v>
      </c>
      <c r="N427" s="6">
        <v>15.7353281031845</v>
      </c>
      <c r="O427" s="6">
        <v>15.8666457097546</v>
      </c>
      <c r="P427" s="6">
        <v>15.459582063865501</v>
      </c>
      <c r="Q427" s="6">
        <v>14.576276414323999</v>
      </c>
    </row>
    <row r="428" spans="1:17">
      <c r="A428" s="6" t="s">
        <v>1446</v>
      </c>
      <c r="B428" s="6" t="s">
        <v>1446</v>
      </c>
      <c r="C428" s="6" t="s">
        <v>7414</v>
      </c>
      <c r="D428" s="6" t="s">
        <v>7415</v>
      </c>
      <c r="E428" s="6" t="s">
        <v>7415</v>
      </c>
      <c r="F428" s="6">
        <v>16.118972801196101</v>
      </c>
      <c r="G428" s="6">
        <v>15.674883250871799</v>
      </c>
      <c r="H428" s="6">
        <v>15.722452127676</v>
      </c>
      <c r="I428" s="6">
        <v>16.404270156062399</v>
      </c>
      <c r="J428" s="6">
        <v>15.0226241123351</v>
      </c>
      <c r="K428" s="6">
        <v>15.6112089447524</v>
      </c>
      <c r="L428" s="6">
        <v>16.302038498427098</v>
      </c>
      <c r="M428" s="6">
        <v>15.1396999806718</v>
      </c>
      <c r="N428" s="6">
        <v>16.176897328102299</v>
      </c>
      <c r="O428" s="6">
        <v>16.151293529428699</v>
      </c>
      <c r="P428" s="6">
        <v>16.0038472112759</v>
      </c>
      <c r="Q428" s="6">
        <v>14.4431407064501</v>
      </c>
    </row>
    <row r="429" spans="1:17">
      <c r="A429" s="6" t="s">
        <v>1846</v>
      </c>
      <c r="B429" s="6" t="s">
        <v>1846</v>
      </c>
      <c r="C429" s="6" t="s">
        <v>7416</v>
      </c>
      <c r="D429" s="6" t="s">
        <v>7417</v>
      </c>
      <c r="E429" s="6" t="s">
        <v>7417</v>
      </c>
      <c r="F429" s="6">
        <v>16.185214474808401</v>
      </c>
      <c r="G429" s="6">
        <v>15.438348930264199</v>
      </c>
      <c r="H429" s="6">
        <v>15.888810306729701</v>
      </c>
      <c r="I429" s="6">
        <v>16.500027434012502</v>
      </c>
      <c r="J429" s="6">
        <v>15.221599694833801</v>
      </c>
      <c r="K429" s="6">
        <v>15.8990196663395</v>
      </c>
      <c r="L429" s="6">
        <v>16.679202843705902</v>
      </c>
      <c r="M429" s="6">
        <v>14.819909394554299</v>
      </c>
      <c r="N429" s="6">
        <v>15.378828130659899</v>
      </c>
      <c r="O429" s="6">
        <v>15.6058961301741</v>
      </c>
      <c r="P429" s="6">
        <v>15.7059553102736</v>
      </c>
      <c r="Q429" s="6">
        <v>14.5741596274749</v>
      </c>
    </row>
    <row r="430" spans="1:17">
      <c r="A430" s="6" t="s">
        <v>7418</v>
      </c>
      <c r="B430" s="6" t="s">
        <v>5643</v>
      </c>
      <c r="C430" s="6" t="s">
        <v>7419</v>
      </c>
      <c r="D430" s="6" t="s">
        <v>7420</v>
      </c>
      <c r="E430" s="6" t="s">
        <v>7421</v>
      </c>
      <c r="F430" s="6">
        <v>16.202413572973601</v>
      </c>
      <c r="G430" s="6">
        <v>15.764386339487601</v>
      </c>
      <c r="H430" s="6">
        <v>15.831478554406401</v>
      </c>
      <c r="I430" s="6">
        <v>16.373969347598401</v>
      </c>
      <c r="J430" s="6">
        <v>15.5202119230863</v>
      </c>
      <c r="K430" s="6">
        <v>15.878184591992399</v>
      </c>
      <c r="L430" s="6">
        <v>16.226745312219801</v>
      </c>
      <c r="M430" s="6">
        <v>14.957295613557999</v>
      </c>
      <c r="N430" s="6">
        <v>15.2538846387669</v>
      </c>
      <c r="O430" s="6">
        <v>16.126366392487501</v>
      </c>
      <c r="P430" s="6">
        <v>15.9823895689662</v>
      </c>
      <c r="Q430" s="6">
        <v>14.8269551275956</v>
      </c>
    </row>
    <row r="431" spans="1:17">
      <c r="A431" s="6" t="s">
        <v>400</v>
      </c>
      <c r="B431" s="6" t="s">
        <v>400</v>
      </c>
      <c r="C431" s="6" t="s">
        <v>7422</v>
      </c>
      <c r="D431" s="6" t="s">
        <v>7423</v>
      </c>
      <c r="E431" s="6" t="s">
        <v>7423</v>
      </c>
      <c r="F431" s="6">
        <v>16.065304489428801</v>
      </c>
      <c r="G431" s="6">
        <v>15.717859134811</v>
      </c>
      <c r="H431" s="6">
        <v>15.859052410026001</v>
      </c>
      <c r="I431" s="6">
        <v>16.304173073190601</v>
      </c>
      <c r="J431" s="6">
        <v>15.0303715157902</v>
      </c>
      <c r="K431" s="6">
        <v>15.433484446781399</v>
      </c>
      <c r="L431" s="6">
        <v>15.9093766269315</v>
      </c>
      <c r="M431" s="6">
        <v>15.0935332209036</v>
      </c>
      <c r="N431" s="6">
        <v>16.077545759112699</v>
      </c>
      <c r="O431" s="6">
        <v>16.106837183027</v>
      </c>
      <c r="P431" s="6">
        <v>15.960520876719499</v>
      </c>
      <c r="Q431" s="6">
        <v>14.562126147223401</v>
      </c>
    </row>
    <row r="432" spans="1:17">
      <c r="A432" s="6" t="s">
        <v>957</v>
      </c>
      <c r="B432" s="6" t="s">
        <v>957</v>
      </c>
      <c r="C432" s="6" t="s">
        <v>7424</v>
      </c>
      <c r="D432" s="6" t="s">
        <v>7425</v>
      </c>
      <c r="E432" s="6" t="s">
        <v>7425</v>
      </c>
      <c r="F432" s="6">
        <v>15.9813239798452</v>
      </c>
      <c r="G432" s="6">
        <v>15.463823469410199</v>
      </c>
      <c r="H432" s="6">
        <v>15.8314959355524</v>
      </c>
      <c r="I432" s="6">
        <v>16.348396982213501</v>
      </c>
      <c r="J432" s="6">
        <v>15.0506859087739</v>
      </c>
      <c r="K432" s="6">
        <v>15.7224438244043</v>
      </c>
      <c r="L432" s="6">
        <v>16.046512620302401</v>
      </c>
      <c r="M432" s="6">
        <v>14.6044122665137</v>
      </c>
      <c r="N432" s="6">
        <v>14.7363291848994</v>
      </c>
      <c r="O432" s="6">
        <v>16.157346934307299</v>
      </c>
      <c r="P432" s="6">
        <v>16.3588547589132</v>
      </c>
      <c r="Q432" s="6">
        <v>14.3518453616082</v>
      </c>
    </row>
    <row r="433" spans="1:17">
      <c r="A433" s="6" t="s">
        <v>2173</v>
      </c>
      <c r="B433" s="6" t="s">
        <v>2173</v>
      </c>
      <c r="C433" s="6" t="s">
        <v>7426</v>
      </c>
      <c r="D433" s="6" t="s">
        <v>7427</v>
      </c>
      <c r="E433" s="6" t="s">
        <v>7427</v>
      </c>
      <c r="F433" s="6">
        <v>14.961188702149601</v>
      </c>
      <c r="G433" s="6">
        <v>16.323892492698199</v>
      </c>
      <c r="H433" s="6">
        <v>15.6796922095192</v>
      </c>
      <c r="I433" s="6">
        <v>15.760934253701</v>
      </c>
      <c r="J433" s="6">
        <v>15.6799510076009</v>
      </c>
      <c r="K433" s="6">
        <v>15.6960680925677</v>
      </c>
      <c r="L433" s="6">
        <v>15.7464924224744</v>
      </c>
      <c r="M433" s="6">
        <v>16.267793917752499</v>
      </c>
      <c r="N433" s="6">
        <v>14.7693161560482</v>
      </c>
      <c r="O433" s="6">
        <v>15.6889952970044</v>
      </c>
      <c r="P433" s="6">
        <v>15.3404274390123</v>
      </c>
      <c r="Q433" s="6">
        <v>16.1327892710311</v>
      </c>
    </row>
    <row r="434" spans="1:17">
      <c r="A434" s="6" t="s">
        <v>7428</v>
      </c>
      <c r="B434" s="6" t="s">
        <v>7429</v>
      </c>
      <c r="C434" s="6" t="s">
        <v>7430</v>
      </c>
      <c r="D434" s="6" t="s">
        <v>7431</v>
      </c>
      <c r="E434" s="6" t="s">
        <v>7432</v>
      </c>
      <c r="F434" s="6">
        <v>16.472157871483599</v>
      </c>
      <c r="G434" s="6">
        <v>15.616648253566501</v>
      </c>
      <c r="H434" s="6">
        <v>15.4549401275268</v>
      </c>
      <c r="I434" s="6">
        <v>16.3364123991208</v>
      </c>
      <c r="J434" s="6">
        <v>14.940552201768799</v>
      </c>
      <c r="K434" s="6">
        <v>15.6709373497843</v>
      </c>
      <c r="L434" s="6">
        <v>16.377362040490802</v>
      </c>
      <c r="M434" s="6">
        <v>15.3791262921163</v>
      </c>
      <c r="N434" s="6">
        <v>15.0352002310619</v>
      </c>
      <c r="O434" s="6">
        <v>16.0885061004359</v>
      </c>
      <c r="P434" s="6">
        <v>15.9241064879043</v>
      </c>
      <c r="Q434" s="6" t="s">
        <v>6254</v>
      </c>
    </row>
    <row r="435" spans="1:17">
      <c r="A435" s="6" t="s">
        <v>7433</v>
      </c>
      <c r="B435" s="6" t="s">
        <v>7434</v>
      </c>
      <c r="C435" s="6" t="s">
        <v>7435</v>
      </c>
      <c r="D435" s="6" t="s">
        <v>7436</v>
      </c>
      <c r="E435" s="6" t="s">
        <v>7437</v>
      </c>
      <c r="F435" s="6">
        <v>16.1052540200109</v>
      </c>
      <c r="G435" s="6">
        <v>15.649557521357799</v>
      </c>
      <c r="H435" s="6">
        <v>15.7234659576031</v>
      </c>
      <c r="I435" s="6">
        <v>16.4670677310475</v>
      </c>
      <c r="J435" s="6">
        <v>14.698766199471301</v>
      </c>
      <c r="K435" s="6">
        <v>15.4263892408754</v>
      </c>
      <c r="L435" s="6">
        <v>16.2907067061238</v>
      </c>
      <c r="M435" s="6">
        <v>14.3050451183297</v>
      </c>
      <c r="N435" s="6">
        <v>15.5577390167032</v>
      </c>
      <c r="O435" s="6">
        <v>16.358218493399601</v>
      </c>
      <c r="P435" s="6">
        <v>16.068116752439401</v>
      </c>
      <c r="Q435" s="6">
        <v>14.4448556332399</v>
      </c>
    </row>
    <row r="436" spans="1:17">
      <c r="A436" s="6" t="s">
        <v>7438</v>
      </c>
      <c r="B436" s="6" t="s">
        <v>7439</v>
      </c>
      <c r="C436" s="6" t="s">
        <v>7440</v>
      </c>
      <c r="D436" s="6" t="s">
        <v>7441</v>
      </c>
      <c r="E436" s="6" t="s">
        <v>7442</v>
      </c>
      <c r="F436" s="6">
        <v>16.050115919246402</v>
      </c>
      <c r="G436" s="6">
        <v>15.404741468441401</v>
      </c>
      <c r="H436" s="6">
        <v>15.724681825852301</v>
      </c>
      <c r="I436" s="6">
        <v>16.329819525407</v>
      </c>
      <c r="J436" s="6">
        <v>15.034368072422501</v>
      </c>
      <c r="K436" s="6">
        <v>15.5016842823914</v>
      </c>
      <c r="L436" s="6">
        <v>15.9048797755535</v>
      </c>
      <c r="M436" s="6">
        <v>15.110123115043701</v>
      </c>
      <c r="N436" s="6">
        <v>15.304980830895101</v>
      </c>
      <c r="O436" s="6">
        <v>15.9683103132977</v>
      </c>
      <c r="P436" s="6">
        <v>15.8368008614062</v>
      </c>
      <c r="Q436" s="6" t="s">
        <v>6254</v>
      </c>
    </row>
    <row r="437" spans="1:17">
      <c r="A437" s="6" t="s">
        <v>649</v>
      </c>
      <c r="B437" s="6" t="s">
        <v>649</v>
      </c>
      <c r="C437" s="6" t="s">
        <v>7443</v>
      </c>
      <c r="D437" s="6" t="s">
        <v>7444</v>
      </c>
      <c r="E437" s="6" t="s">
        <v>7444</v>
      </c>
      <c r="F437" s="6">
        <v>16.054516607024699</v>
      </c>
      <c r="G437" s="6">
        <v>15.656953304643601</v>
      </c>
      <c r="H437" s="6">
        <v>15.808746964723801</v>
      </c>
      <c r="I437" s="6">
        <v>16.233413887709499</v>
      </c>
      <c r="J437" s="6">
        <v>15.0342837553039</v>
      </c>
      <c r="K437" s="6">
        <v>15.7064624676067</v>
      </c>
      <c r="L437" s="6">
        <v>16.136156997842299</v>
      </c>
      <c r="M437" s="6">
        <v>14.9543864997064</v>
      </c>
      <c r="N437" s="6">
        <v>15.2943381226476</v>
      </c>
      <c r="O437" s="6">
        <v>16.1378557134631</v>
      </c>
      <c r="P437" s="6">
        <v>16.1411073740455</v>
      </c>
      <c r="Q437" s="6">
        <v>14.6949986510683</v>
      </c>
    </row>
    <row r="438" spans="1:17">
      <c r="A438" s="6" t="s">
        <v>7445</v>
      </c>
      <c r="B438" s="6" t="s">
        <v>7446</v>
      </c>
      <c r="C438" s="6" t="s">
        <v>7447</v>
      </c>
      <c r="D438" s="6" t="s">
        <v>7448</v>
      </c>
      <c r="E438" s="6" t="s">
        <v>7449</v>
      </c>
      <c r="F438" s="6">
        <v>16.2525287792181</v>
      </c>
      <c r="G438" s="6">
        <v>15.3497907727073</v>
      </c>
      <c r="H438" s="6">
        <v>15.7299344208781</v>
      </c>
      <c r="I438" s="6">
        <v>16.4053554733906</v>
      </c>
      <c r="J438" s="6">
        <v>14.7248488135081</v>
      </c>
      <c r="K438" s="6">
        <v>15.4018017419145</v>
      </c>
      <c r="L438" s="6">
        <v>16.3359732293173</v>
      </c>
      <c r="M438" s="6">
        <v>14.707529075114699</v>
      </c>
      <c r="N438" s="6">
        <v>16.152563130756899</v>
      </c>
      <c r="O438" s="6">
        <v>16.2010687306393</v>
      </c>
      <c r="P438" s="6">
        <v>15.611830950430001</v>
      </c>
      <c r="Q438" s="6">
        <v>14.434250163702901</v>
      </c>
    </row>
    <row r="439" spans="1:17">
      <c r="A439" s="6" t="s">
        <v>763</v>
      </c>
      <c r="B439" s="6" t="s">
        <v>763</v>
      </c>
      <c r="C439" s="6" t="s">
        <v>7450</v>
      </c>
      <c r="D439" s="6" t="s">
        <v>7451</v>
      </c>
      <c r="E439" s="6" t="s">
        <v>7451</v>
      </c>
      <c r="F439" s="6">
        <v>15.909827124616999</v>
      </c>
      <c r="G439" s="6">
        <v>16.454180576759601</v>
      </c>
      <c r="H439" s="6">
        <v>15.381752131171201</v>
      </c>
      <c r="I439" s="6">
        <v>15.9311613698311</v>
      </c>
      <c r="J439" s="6">
        <v>15.863691699518199</v>
      </c>
      <c r="K439" s="6">
        <v>15.612001029320799</v>
      </c>
      <c r="L439" s="6">
        <v>15.2414492613636</v>
      </c>
      <c r="M439" s="6">
        <v>16.1064469644894</v>
      </c>
      <c r="N439" s="6">
        <v>15.6473063161328</v>
      </c>
      <c r="O439" s="6">
        <v>15.0878779350423</v>
      </c>
      <c r="P439" s="6">
        <v>15.3797841290659</v>
      </c>
      <c r="Q439" s="6">
        <v>15.8452844260761</v>
      </c>
    </row>
    <row r="440" spans="1:17">
      <c r="A440" s="6" t="s">
        <v>741</v>
      </c>
      <c r="B440" s="6" t="s">
        <v>741</v>
      </c>
      <c r="C440" s="6" t="s">
        <v>7452</v>
      </c>
      <c r="D440" s="6" t="s">
        <v>7453</v>
      </c>
      <c r="E440" s="6" t="s">
        <v>7453</v>
      </c>
      <c r="F440" s="6">
        <v>16.417946538688501</v>
      </c>
      <c r="G440" s="6">
        <v>15.627304708047999</v>
      </c>
      <c r="H440" s="6">
        <v>15.9408140777419</v>
      </c>
      <c r="I440" s="6">
        <v>16.662697414388099</v>
      </c>
      <c r="J440" s="6">
        <v>15.186949324992099</v>
      </c>
      <c r="K440" s="6">
        <v>15.8853563570679</v>
      </c>
      <c r="L440" s="6">
        <v>16.249445472293299</v>
      </c>
      <c r="M440" s="6">
        <v>14.816192809667999</v>
      </c>
      <c r="N440" s="6">
        <v>15.384174728732701</v>
      </c>
      <c r="O440" s="6">
        <v>15.876254592313799</v>
      </c>
      <c r="P440" s="6">
        <v>15.6574944695525</v>
      </c>
      <c r="Q440" s="6">
        <v>14.750773839628801</v>
      </c>
    </row>
    <row r="441" spans="1:17">
      <c r="A441" s="6" t="s">
        <v>1053</v>
      </c>
      <c r="B441" s="6" t="s">
        <v>1053</v>
      </c>
      <c r="C441" s="6" t="s">
        <v>7454</v>
      </c>
      <c r="D441" s="6" t="s">
        <v>7455</v>
      </c>
      <c r="E441" s="6" t="s">
        <v>7455</v>
      </c>
      <c r="F441" s="6">
        <v>16.359893654819299</v>
      </c>
      <c r="G441" s="6">
        <v>15.5525379061673</v>
      </c>
      <c r="H441" s="6">
        <v>15.7952461386315</v>
      </c>
      <c r="I441" s="6">
        <v>16.4378582826802</v>
      </c>
      <c r="J441" s="6">
        <v>14.865762654360999</v>
      </c>
      <c r="K441" s="6">
        <v>15.6087041370801</v>
      </c>
      <c r="L441" s="6">
        <v>16.291344960899401</v>
      </c>
      <c r="M441" s="6">
        <v>14.869349312642401</v>
      </c>
      <c r="N441" s="6">
        <v>15.637755005761001</v>
      </c>
      <c r="O441" s="6">
        <v>16.2033859799486</v>
      </c>
      <c r="P441" s="6">
        <v>16.174678290145899</v>
      </c>
      <c r="Q441" s="6">
        <v>14.308974037271801</v>
      </c>
    </row>
    <row r="442" spans="1:17">
      <c r="A442" s="6" t="s">
        <v>7456</v>
      </c>
      <c r="B442" s="6" t="s">
        <v>7457</v>
      </c>
      <c r="C442" s="6" t="s">
        <v>7458</v>
      </c>
      <c r="D442" s="6" t="s">
        <v>7459</v>
      </c>
      <c r="E442" s="6" t="s">
        <v>7460</v>
      </c>
      <c r="F442" s="6">
        <v>16.2809147930354</v>
      </c>
      <c r="G442" s="6">
        <v>16.441164155667298</v>
      </c>
      <c r="H442" s="6">
        <v>16.201617814848301</v>
      </c>
      <c r="I442" s="6">
        <v>16.363423108606298</v>
      </c>
      <c r="J442" s="6">
        <v>15.1670772110502</v>
      </c>
      <c r="K442" s="6">
        <v>15.305102354852799</v>
      </c>
      <c r="L442" s="6">
        <v>16.1131279045768</v>
      </c>
      <c r="M442" s="6">
        <v>14.4745948890807</v>
      </c>
      <c r="N442" s="6">
        <v>14.9069570292406</v>
      </c>
      <c r="O442" s="6">
        <v>15.896660169638601</v>
      </c>
      <c r="P442" s="6">
        <v>15.8167062051269</v>
      </c>
      <c r="Q442" s="6">
        <v>14.355064557824299</v>
      </c>
    </row>
    <row r="443" spans="1:17">
      <c r="A443" s="6" t="s">
        <v>7461</v>
      </c>
      <c r="B443" s="6" t="s">
        <v>7461</v>
      </c>
      <c r="C443" s="6" t="s">
        <v>7462</v>
      </c>
      <c r="D443" s="6" t="s">
        <v>7463</v>
      </c>
      <c r="E443" s="6" t="s">
        <v>7463</v>
      </c>
      <c r="F443" s="6">
        <v>14.7532096462126</v>
      </c>
      <c r="G443" s="6" t="s">
        <v>6254</v>
      </c>
      <c r="H443" s="6">
        <v>16.2830703978914</v>
      </c>
      <c r="I443" s="6">
        <v>13.372576001058899</v>
      </c>
      <c r="J443" s="6" t="s">
        <v>6254</v>
      </c>
      <c r="K443" s="6">
        <v>14.991009966136</v>
      </c>
      <c r="L443" s="6" t="s">
        <v>6254</v>
      </c>
      <c r="M443" s="6" t="s">
        <v>6254</v>
      </c>
      <c r="N443" s="6">
        <v>16.7627493969276</v>
      </c>
      <c r="O443" s="6">
        <v>15.9033309756276</v>
      </c>
      <c r="P443" s="6">
        <v>16.322347435823101</v>
      </c>
      <c r="Q443" s="6">
        <v>16.495502927452801</v>
      </c>
    </row>
    <row r="444" spans="1:17">
      <c r="A444" s="6" t="s">
        <v>7464</v>
      </c>
      <c r="B444" s="6" t="s">
        <v>7464</v>
      </c>
      <c r="C444" s="6" t="s">
        <v>7465</v>
      </c>
      <c r="D444" s="6" t="s">
        <v>7466</v>
      </c>
      <c r="E444" s="6" t="s">
        <v>7466</v>
      </c>
      <c r="F444" s="6">
        <v>17.786628369162901</v>
      </c>
      <c r="G444" s="6">
        <v>16.841514250508201</v>
      </c>
      <c r="H444" s="6">
        <v>15.818305449698601</v>
      </c>
      <c r="I444" s="6">
        <v>16.116884759659001</v>
      </c>
      <c r="J444" s="6">
        <v>15.9166082904313</v>
      </c>
      <c r="K444" s="6">
        <v>14.8619884508428</v>
      </c>
      <c r="L444" s="6">
        <v>15.284547219985299</v>
      </c>
      <c r="M444" s="6">
        <v>16.097370081718701</v>
      </c>
      <c r="N444" s="6">
        <v>16.147945574069102</v>
      </c>
      <c r="O444" s="6">
        <v>15.772398689899701</v>
      </c>
      <c r="P444" s="6">
        <v>17.437637802644002</v>
      </c>
      <c r="Q444" s="6">
        <v>14.3591196257495</v>
      </c>
    </row>
    <row r="445" spans="1:17">
      <c r="A445" s="6" t="s">
        <v>1009</v>
      </c>
      <c r="B445" s="6" t="s">
        <v>1009</v>
      </c>
      <c r="C445" s="6" t="s">
        <v>7467</v>
      </c>
      <c r="D445" s="6" t="s">
        <v>7468</v>
      </c>
      <c r="E445" s="6" t="s">
        <v>7468</v>
      </c>
      <c r="F445" s="6">
        <v>16.087690315894001</v>
      </c>
      <c r="G445" s="6">
        <v>15.4839785835594</v>
      </c>
      <c r="H445" s="6">
        <v>15.5379608563532</v>
      </c>
      <c r="I445" s="6">
        <v>16.6548082704259</v>
      </c>
      <c r="J445" s="6">
        <v>15.375581300815201</v>
      </c>
      <c r="K445" s="6">
        <v>15.8104617779673</v>
      </c>
      <c r="L445" s="6">
        <v>16.166234868466699</v>
      </c>
      <c r="M445" s="6">
        <v>15.261955392555301</v>
      </c>
      <c r="N445" s="6">
        <v>15.057124606140601</v>
      </c>
      <c r="O445" s="6">
        <v>15.7964057153655</v>
      </c>
      <c r="P445" s="6">
        <v>15.822052346956699</v>
      </c>
      <c r="Q445" s="6">
        <v>15.0206014227866</v>
      </c>
    </row>
    <row r="446" spans="1:17">
      <c r="A446" s="6" t="s">
        <v>7469</v>
      </c>
      <c r="B446" s="6" t="s">
        <v>7470</v>
      </c>
      <c r="C446" s="6" t="s">
        <v>7471</v>
      </c>
      <c r="D446" s="6" t="s">
        <v>7472</v>
      </c>
      <c r="E446" s="6" t="s">
        <v>7473</v>
      </c>
      <c r="F446" s="6">
        <v>16.746297941747901</v>
      </c>
      <c r="G446" s="6">
        <v>15.8052264736348</v>
      </c>
      <c r="H446" s="6">
        <v>15.5015932370987</v>
      </c>
      <c r="I446" s="6">
        <v>16.044386235253398</v>
      </c>
      <c r="J446" s="6" t="s">
        <v>6254</v>
      </c>
      <c r="K446" s="6">
        <v>15.756710609270099</v>
      </c>
      <c r="L446" s="6">
        <v>16.6314083540091</v>
      </c>
      <c r="M446" s="6">
        <v>12.741388553113399</v>
      </c>
      <c r="N446" s="6" t="s">
        <v>6254</v>
      </c>
      <c r="O446" s="6">
        <v>16.0964805220597</v>
      </c>
      <c r="P446" s="6">
        <v>16.178463948180401</v>
      </c>
      <c r="Q446" s="6">
        <v>14.7957793725713</v>
      </c>
    </row>
    <row r="447" spans="1:17">
      <c r="A447" s="6" t="s">
        <v>7474</v>
      </c>
      <c r="B447" s="6" t="s">
        <v>7475</v>
      </c>
      <c r="C447" s="6" t="s">
        <v>7476</v>
      </c>
      <c r="D447" s="6" t="s">
        <v>7477</v>
      </c>
      <c r="E447" s="6" t="s">
        <v>7478</v>
      </c>
      <c r="F447" s="6">
        <v>16.0267432228434</v>
      </c>
      <c r="G447" s="6">
        <v>15.919748632940999</v>
      </c>
      <c r="H447" s="6">
        <v>15.491811071028099</v>
      </c>
      <c r="I447" s="6">
        <v>16.357255889423101</v>
      </c>
      <c r="J447" s="6">
        <v>14.939146768757601</v>
      </c>
      <c r="K447" s="6">
        <v>15.8592676411367</v>
      </c>
      <c r="L447" s="6">
        <v>16.2211744576393</v>
      </c>
      <c r="M447" s="6">
        <v>14.5825205478762</v>
      </c>
      <c r="N447" s="6">
        <v>14.899631256265501</v>
      </c>
      <c r="O447" s="6">
        <v>15.7587411132799</v>
      </c>
      <c r="P447" s="6">
        <v>15.8452966036539</v>
      </c>
      <c r="Q447" s="6">
        <v>14.8221142287476</v>
      </c>
    </row>
    <row r="448" spans="1:17">
      <c r="A448" s="6" t="s">
        <v>7479</v>
      </c>
      <c r="B448" s="6" t="s">
        <v>7479</v>
      </c>
      <c r="C448" s="6" t="s">
        <v>7480</v>
      </c>
      <c r="D448" s="6" t="s">
        <v>7481</v>
      </c>
      <c r="E448" s="6" t="s">
        <v>7481</v>
      </c>
      <c r="F448" s="6">
        <v>15.2241301811593</v>
      </c>
      <c r="G448" s="6">
        <v>15.4438507194401</v>
      </c>
      <c r="H448" s="6">
        <v>15.760283972120799</v>
      </c>
      <c r="I448" s="6">
        <v>16.3582713424397</v>
      </c>
      <c r="J448" s="6">
        <v>14.701156240918699</v>
      </c>
      <c r="K448" s="6">
        <v>15.8395213803123</v>
      </c>
      <c r="L448" s="6">
        <v>16.481129464161999</v>
      </c>
      <c r="M448" s="6" t="s">
        <v>6254</v>
      </c>
      <c r="N448" s="6">
        <v>14.601778140559199</v>
      </c>
      <c r="O448" s="6">
        <v>16.144902602567502</v>
      </c>
      <c r="P448" s="6">
        <v>15.7820825525544</v>
      </c>
      <c r="Q448" s="6" t="s">
        <v>6254</v>
      </c>
    </row>
    <row r="449" spans="1:17">
      <c r="A449" s="6" t="s">
        <v>395</v>
      </c>
      <c r="B449" s="6" t="s">
        <v>395</v>
      </c>
      <c r="C449" s="6" t="s">
        <v>7482</v>
      </c>
      <c r="D449" s="6" t="s">
        <v>7483</v>
      </c>
      <c r="E449" s="6" t="s">
        <v>7483</v>
      </c>
      <c r="F449" s="6">
        <v>16.300360309665599</v>
      </c>
      <c r="G449" s="6">
        <v>15.795204316197299</v>
      </c>
      <c r="H449" s="6">
        <v>15.652995790086999</v>
      </c>
      <c r="I449" s="6">
        <v>16.2988314919704</v>
      </c>
      <c r="J449" s="6">
        <v>14.991239006992201</v>
      </c>
      <c r="K449" s="6">
        <v>15.493265427047699</v>
      </c>
      <c r="L449" s="6">
        <v>16.211994427766701</v>
      </c>
      <c r="M449" s="6">
        <v>14.8787510756832</v>
      </c>
      <c r="N449" s="6">
        <v>15.865830043072201</v>
      </c>
      <c r="O449" s="6">
        <v>16.163078762797799</v>
      </c>
      <c r="P449" s="6">
        <v>16.005660032998101</v>
      </c>
      <c r="Q449" s="6">
        <v>14.450827418645201</v>
      </c>
    </row>
    <row r="450" spans="1:17">
      <c r="A450" s="6" t="s">
        <v>7484</v>
      </c>
      <c r="B450" s="6" t="s">
        <v>7485</v>
      </c>
      <c r="C450" s="6" t="s">
        <v>7486</v>
      </c>
      <c r="D450" s="6" t="s">
        <v>7487</v>
      </c>
      <c r="E450" s="6" t="s">
        <v>7488</v>
      </c>
      <c r="F450" s="6">
        <v>16.105039144130401</v>
      </c>
      <c r="G450" s="6">
        <v>15.6183065253966</v>
      </c>
      <c r="H450" s="6">
        <v>15.782062509065801</v>
      </c>
      <c r="I450" s="6">
        <v>16.475645122169698</v>
      </c>
      <c r="J450" s="6">
        <v>15.142787005036601</v>
      </c>
      <c r="K450" s="6">
        <v>15.8908012993491</v>
      </c>
      <c r="L450" s="6">
        <v>16.3312401507876</v>
      </c>
      <c r="M450" s="6">
        <v>14.909460060266699</v>
      </c>
      <c r="N450" s="6">
        <v>15.276191929989301</v>
      </c>
      <c r="O450" s="6">
        <v>15.995804702057001</v>
      </c>
      <c r="P450" s="6">
        <v>15.8877416416894</v>
      </c>
      <c r="Q450" s="6">
        <v>14.4802985630309</v>
      </c>
    </row>
    <row r="451" spans="1:17">
      <c r="A451" s="6" t="s">
        <v>872</v>
      </c>
      <c r="B451" s="6" t="s">
        <v>872</v>
      </c>
      <c r="C451" s="6" t="s">
        <v>7489</v>
      </c>
      <c r="D451" s="6" t="s">
        <v>7490</v>
      </c>
      <c r="E451" s="6" t="s">
        <v>7490</v>
      </c>
      <c r="F451" s="6">
        <v>16.077401771094799</v>
      </c>
      <c r="G451" s="6">
        <v>15.819372877498299</v>
      </c>
      <c r="H451" s="6">
        <v>15.7258595277306</v>
      </c>
      <c r="I451" s="6">
        <v>16.255898844508501</v>
      </c>
      <c r="J451" s="6">
        <v>14.683601865796</v>
      </c>
      <c r="K451" s="6">
        <v>14.6438972369348</v>
      </c>
      <c r="L451" s="6">
        <v>16.299731250400299</v>
      </c>
      <c r="M451" s="6">
        <v>14.7593109455962</v>
      </c>
      <c r="N451" s="6">
        <v>15.876679023871599</v>
      </c>
      <c r="O451" s="6">
        <v>16.117792013397199</v>
      </c>
      <c r="P451" s="6">
        <v>15.686608711239099</v>
      </c>
      <c r="Q451" s="6">
        <v>14.648888404684801</v>
      </c>
    </row>
    <row r="452" spans="1:17">
      <c r="A452" s="6" t="s">
        <v>5408</v>
      </c>
      <c r="B452" s="6" t="s">
        <v>5408</v>
      </c>
      <c r="C452" s="6" t="s">
        <v>7491</v>
      </c>
      <c r="D452" s="6" t="s">
        <v>6604</v>
      </c>
      <c r="E452" s="6" t="s">
        <v>6604</v>
      </c>
      <c r="F452" s="6">
        <v>16.543688966126901</v>
      </c>
      <c r="G452" s="6">
        <v>15.736373868598299</v>
      </c>
      <c r="H452" s="6">
        <v>15.6907707215396</v>
      </c>
      <c r="I452" s="6">
        <v>16.8515288062457</v>
      </c>
      <c r="J452" s="6" t="s">
        <v>6254</v>
      </c>
      <c r="K452" s="6">
        <v>15.532151766815799</v>
      </c>
      <c r="L452" s="6">
        <v>12.7093887437471</v>
      </c>
      <c r="M452" s="6" t="s">
        <v>6254</v>
      </c>
      <c r="N452" s="6">
        <v>16.548263025009099</v>
      </c>
      <c r="O452" s="6">
        <v>16.754922495619699</v>
      </c>
      <c r="P452" s="6">
        <v>14.640625229141</v>
      </c>
      <c r="Q452" s="6" t="s">
        <v>6254</v>
      </c>
    </row>
    <row r="453" spans="1:17">
      <c r="A453" s="6" t="s">
        <v>1743</v>
      </c>
      <c r="B453" s="6" t="s">
        <v>1743</v>
      </c>
      <c r="C453" s="6" t="s">
        <v>7492</v>
      </c>
      <c r="D453" s="6" t="s">
        <v>7493</v>
      </c>
      <c r="E453" s="6" t="s">
        <v>7493</v>
      </c>
      <c r="F453" s="6">
        <v>13.167505846326</v>
      </c>
      <c r="G453" s="6">
        <v>14.4018808659514</v>
      </c>
      <c r="H453" s="6">
        <v>15.8424880196714</v>
      </c>
      <c r="I453" s="6">
        <v>14.3309433247769</v>
      </c>
      <c r="J453" s="6">
        <v>16.163871579738402</v>
      </c>
      <c r="K453" s="6">
        <v>17.8364363585912</v>
      </c>
      <c r="L453" s="6">
        <v>15.7301433069079</v>
      </c>
      <c r="M453" s="6">
        <v>14.828516591584</v>
      </c>
      <c r="N453" s="6">
        <v>16.662696079468098</v>
      </c>
      <c r="O453" s="6">
        <v>15.704067898030001</v>
      </c>
      <c r="P453" s="6">
        <v>14.121010888763299</v>
      </c>
      <c r="Q453" s="6">
        <v>15.4300394203631</v>
      </c>
    </row>
    <row r="454" spans="1:17">
      <c r="A454" s="6" t="s">
        <v>1030</v>
      </c>
      <c r="B454" s="6" t="s">
        <v>1030</v>
      </c>
      <c r="C454" s="6" t="s">
        <v>7494</v>
      </c>
      <c r="D454" s="6" t="s">
        <v>7495</v>
      </c>
      <c r="E454" s="6" t="s">
        <v>7495</v>
      </c>
      <c r="F454" s="6">
        <v>16.092546038554701</v>
      </c>
      <c r="G454" s="6">
        <v>15.627819683614099</v>
      </c>
      <c r="H454" s="6">
        <v>15.430419257827401</v>
      </c>
      <c r="I454" s="6">
        <v>16.2186697335346</v>
      </c>
      <c r="J454" s="6">
        <v>15.2235755477473</v>
      </c>
      <c r="K454" s="6">
        <v>15.540449092586201</v>
      </c>
      <c r="L454" s="6">
        <v>16.247162408979801</v>
      </c>
      <c r="M454" s="6">
        <v>15.0063999951724</v>
      </c>
      <c r="N454" s="6">
        <v>15.2035278131588</v>
      </c>
      <c r="O454" s="6">
        <v>16.029249583623699</v>
      </c>
      <c r="P454" s="6">
        <v>15.996378887534</v>
      </c>
      <c r="Q454" s="6">
        <v>15.1421609520232</v>
      </c>
    </row>
    <row r="455" spans="1:17">
      <c r="A455" s="6" t="s">
        <v>1344</v>
      </c>
      <c r="B455" s="6" t="s">
        <v>1344</v>
      </c>
      <c r="C455" s="6" t="s">
        <v>7496</v>
      </c>
      <c r="D455" s="6" t="s">
        <v>7497</v>
      </c>
      <c r="E455" s="6" t="s">
        <v>7497</v>
      </c>
      <c r="F455" s="6">
        <v>16.310430893274301</v>
      </c>
      <c r="G455" s="6">
        <v>15.957459116492</v>
      </c>
      <c r="H455" s="6">
        <v>15.780010433013301</v>
      </c>
      <c r="I455" s="6">
        <v>16.0050796283371</v>
      </c>
      <c r="J455" s="6">
        <v>15.0690890022746</v>
      </c>
      <c r="K455" s="6">
        <v>15.6047833816981</v>
      </c>
      <c r="L455" s="6">
        <v>16.097946587607499</v>
      </c>
      <c r="M455" s="6">
        <v>14.8527156554377</v>
      </c>
      <c r="N455" s="6">
        <v>15.568670559880299</v>
      </c>
      <c r="O455" s="6">
        <v>15.9739653930669</v>
      </c>
      <c r="P455" s="6">
        <v>15.7797773735193</v>
      </c>
      <c r="Q455" s="6">
        <v>14.5600337162605</v>
      </c>
    </row>
    <row r="456" spans="1:17">
      <c r="A456" s="6" t="s">
        <v>7498</v>
      </c>
      <c r="B456" s="6" t="s">
        <v>7498</v>
      </c>
      <c r="C456" s="6" t="s">
        <v>7499</v>
      </c>
      <c r="D456" s="6" t="s">
        <v>7184</v>
      </c>
      <c r="E456" s="6" t="s">
        <v>7184</v>
      </c>
      <c r="F456" s="6">
        <v>16.483544163423499</v>
      </c>
      <c r="G456" s="6">
        <v>16.180401934866801</v>
      </c>
      <c r="H456" s="6">
        <v>15.068753355274801</v>
      </c>
      <c r="I456" s="6">
        <v>16.1938159364333</v>
      </c>
      <c r="J456" s="6">
        <v>15.1022167414606</v>
      </c>
      <c r="K456" s="6">
        <v>15.734539094619601</v>
      </c>
      <c r="L456" s="6">
        <v>16.032430376399901</v>
      </c>
      <c r="M456" s="6">
        <v>15.3567053784717</v>
      </c>
      <c r="N456" s="6">
        <v>15.342619917534501</v>
      </c>
      <c r="O456" s="6">
        <v>15.6226367795612</v>
      </c>
      <c r="P456" s="6">
        <v>16.351065378291398</v>
      </c>
      <c r="Q456" s="6">
        <v>15.1995293580613</v>
      </c>
    </row>
    <row r="457" spans="1:17">
      <c r="A457" s="6" t="s">
        <v>7500</v>
      </c>
      <c r="B457" s="6" t="s">
        <v>7501</v>
      </c>
      <c r="C457" s="6" t="s">
        <v>7502</v>
      </c>
      <c r="D457" s="6" t="s">
        <v>7503</v>
      </c>
      <c r="E457" s="6" t="s">
        <v>7504</v>
      </c>
      <c r="F457" s="6">
        <v>16.061929143506401</v>
      </c>
      <c r="G457" s="6">
        <v>15.988631931734201</v>
      </c>
      <c r="H457" s="6">
        <v>15.759536219984399</v>
      </c>
      <c r="I457" s="6">
        <v>16.352427307714901</v>
      </c>
      <c r="J457" s="6">
        <v>14.8693111255565</v>
      </c>
      <c r="K457" s="6">
        <v>15.649863835940099</v>
      </c>
      <c r="L457" s="6">
        <v>16.043660107346099</v>
      </c>
      <c r="M457" s="6">
        <v>15.169588768377301</v>
      </c>
      <c r="N457" s="6">
        <v>15.414726414784299</v>
      </c>
      <c r="O457" s="6" t="s">
        <v>6254</v>
      </c>
      <c r="P457" s="6">
        <v>15.6586934259764</v>
      </c>
      <c r="Q457" s="6" t="s">
        <v>6254</v>
      </c>
    </row>
    <row r="458" spans="1:17">
      <c r="A458" s="6" t="s">
        <v>1916</v>
      </c>
      <c r="B458" s="6" t="s">
        <v>1916</v>
      </c>
      <c r="C458" s="6" t="s">
        <v>7505</v>
      </c>
      <c r="D458" s="6" t="s">
        <v>7506</v>
      </c>
      <c r="E458" s="6" t="s">
        <v>7506</v>
      </c>
      <c r="F458" s="6">
        <v>16.019446541321301</v>
      </c>
      <c r="G458" s="6">
        <v>15.3185347068644</v>
      </c>
      <c r="H458" s="6">
        <v>15.6703350856735</v>
      </c>
      <c r="I458" s="6">
        <v>16.220489196342399</v>
      </c>
      <c r="J458" s="6">
        <v>14.734018474283699</v>
      </c>
      <c r="K458" s="6">
        <v>15.3308203351844</v>
      </c>
      <c r="L458" s="6">
        <v>16.4073728647198</v>
      </c>
      <c r="M458" s="6">
        <v>14.726762738263099</v>
      </c>
      <c r="N458" s="6">
        <v>15.8008933229652</v>
      </c>
      <c r="O458" s="6">
        <v>15.842067685282</v>
      </c>
      <c r="P458" s="6">
        <v>15.989262319486601</v>
      </c>
      <c r="Q458" s="6">
        <v>14.2965118962492</v>
      </c>
    </row>
    <row r="459" spans="1:17">
      <c r="A459" s="6" t="s">
        <v>7507</v>
      </c>
      <c r="B459" s="6" t="s">
        <v>7507</v>
      </c>
      <c r="C459" s="6" t="s">
        <v>7507</v>
      </c>
      <c r="D459" s="6" t="s">
        <v>7507</v>
      </c>
      <c r="E459" s="6" t="s">
        <v>7507</v>
      </c>
      <c r="F459" s="6" t="s">
        <v>6254</v>
      </c>
      <c r="G459" s="6" t="s">
        <v>6254</v>
      </c>
      <c r="H459" s="6" t="s">
        <v>6254</v>
      </c>
      <c r="I459" s="6">
        <v>16.7280517086289</v>
      </c>
      <c r="J459" s="6" t="s">
        <v>6254</v>
      </c>
      <c r="K459" s="6" t="s">
        <v>6254</v>
      </c>
      <c r="L459" s="6" t="s">
        <v>6254</v>
      </c>
      <c r="M459" s="6" t="s">
        <v>6254</v>
      </c>
      <c r="N459" s="6" t="s">
        <v>6254</v>
      </c>
      <c r="O459" s="6">
        <v>16.182650155548099</v>
      </c>
      <c r="P459" s="6" t="s">
        <v>6254</v>
      </c>
      <c r="Q459" s="6">
        <v>14.48245595068</v>
      </c>
    </row>
    <row r="460" spans="1:17">
      <c r="A460" s="6" t="s">
        <v>1541</v>
      </c>
      <c r="B460" s="6" t="s">
        <v>1541</v>
      </c>
      <c r="C460" s="6" t="s">
        <v>7508</v>
      </c>
      <c r="D460" s="6" t="s">
        <v>7509</v>
      </c>
      <c r="E460" s="6" t="s">
        <v>7509</v>
      </c>
      <c r="F460" s="6">
        <v>16.641948876401301</v>
      </c>
      <c r="G460" s="6">
        <v>15.360434411997399</v>
      </c>
      <c r="H460" s="6">
        <v>15.6662658131025</v>
      </c>
      <c r="I460" s="6">
        <v>16.413263801264002</v>
      </c>
      <c r="J460" s="6">
        <v>14.3776295950879</v>
      </c>
      <c r="K460" s="6">
        <v>15.448238407270701</v>
      </c>
      <c r="L460" s="6">
        <v>16.097059849597098</v>
      </c>
      <c r="M460" s="6">
        <v>14.428491711429499</v>
      </c>
      <c r="N460" s="6">
        <v>15.4353616279114</v>
      </c>
      <c r="O460" s="6">
        <v>16.4219135202122</v>
      </c>
      <c r="P460" s="6">
        <v>15.325358418138901</v>
      </c>
      <c r="Q460" s="6">
        <v>14.287653384923001</v>
      </c>
    </row>
    <row r="461" spans="1:17">
      <c r="A461" s="6" t="s">
        <v>156</v>
      </c>
      <c r="B461" s="6" t="s">
        <v>156</v>
      </c>
      <c r="C461" s="6" t="s">
        <v>7510</v>
      </c>
      <c r="D461" s="6" t="s">
        <v>7511</v>
      </c>
      <c r="E461" s="6" t="s">
        <v>7511</v>
      </c>
      <c r="F461" s="6">
        <v>16.0634671195611</v>
      </c>
      <c r="G461" s="6">
        <v>15.563120081966</v>
      </c>
      <c r="H461" s="6">
        <v>15.7673293974965</v>
      </c>
      <c r="I461" s="6">
        <v>16.335125903577801</v>
      </c>
      <c r="J461" s="6">
        <v>15.0826346833655</v>
      </c>
      <c r="K461" s="6">
        <v>15.664601158769001</v>
      </c>
      <c r="L461" s="6">
        <v>16.217833714382198</v>
      </c>
      <c r="M461" s="6">
        <v>15.0645712306011</v>
      </c>
      <c r="N461" s="6">
        <v>15.531173449785999</v>
      </c>
      <c r="O461" s="6">
        <v>15.9803057573925</v>
      </c>
      <c r="P461" s="6">
        <v>16.215767640440401</v>
      </c>
      <c r="Q461" s="6">
        <v>14.337702091133099</v>
      </c>
    </row>
    <row r="462" spans="1:17">
      <c r="A462" s="6" t="s">
        <v>7512</v>
      </c>
      <c r="B462" s="6" t="s">
        <v>7512</v>
      </c>
      <c r="C462" s="6" t="s">
        <v>7513</v>
      </c>
      <c r="D462" s="6" t="s">
        <v>7514</v>
      </c>
      <c r="E462" s="6" t="s">
        <v>7514</v>
      </c>
      <c r="F462" s="6">
        <v>16.385525647664799</v>
      </c>
      <c r="G462" s="6">
        <v>15.1939503729773</v>
      </c>
      <c r="H462" s="6">
        <v>15.703576368355799</v>
      </c>
      <c r="I462" s="6">
        <v>15.5264971994789</v>
      </c>
      <c r="J462" s="6" t="s">
        <v>6254</v>
      </c>
      <c r="K462" s="6" t="s">
        <v>6254</v>
      </c>
      <c r="L462" s="6">
        <v>16.130833235893199</v>
      </c>
      <c r="M462" s="6" t="s">
        <v>6254</v>
      </c>
      <c r="N462" s="6">
        <v>15.593364519912001</v>
      </c>
      <c r="O462" s="6">
        <v>15.7309736046914</v>
      </c>
      <c r="P462" s="6">
        <v>16.1192581129072</v>
      </c>
      <c r="Q462" s="6" t="s">
        <v>6254</v>
      </c>
    </row>
    <row r="463" spans="1:17">
      <c r="A463" s="6" t="s">
        <v>7515</v>
      </c>
      <c r="B463" s="6" t="s">
        <v>7516</v>
      </c>
      <c r="C463" s="6" t="s">
        <v>7517</v>
      </c>
      <c r="D463" s="6" t="s">
        <v>7518</v>
      </c>
      <c r="E463" s="6" t="s">
        <v>7519</v>
      </c>
      <c r="F463" s="6">
        <v>16.4803970757123</v>
      </c>
      <c r="G463" s="6">
        <v>15.904263652909</v>
      </c>
      <c r="H463" s="6">
        <v>15.4010972834634</v>
      </c>
      <c r="I463" s="6">
        <v>16.6867659942607</v>
      </c>
      <c r="J463" s="6">
        <v>14.7089769971069</v>
      </c>
      <c r="K463" s="6">
        <v>15.5722093149733</v>
      </c>
      <c r="L463" s="6">
        <v>15.767282624508001</v>
      </c>
      <c r="M463" s="6">
        <v>14.5228644368355</v>
      </c>
      <c r="N463" s="6">
        <v>15.4400048683137</v>
      </c>
      <c r="O463" s="6">
        <v>16.1624585872461</v>
      </c>
      <c r="P463" s="6">
        <v>16.523200627930901</v>
      </c>
      <c r="Q463" s="6">
        <v>13.831637848212299</v>
      </c>
    </row>
    <row r="464" spans="1:17">
      <c r="A464" s="6" t="s">
        <v>7520</v>
      </c>
      <c r="B464" s="6" t="s">
        <v>7521</v>
      </c>
      <c r="C464" s="6" t="s">
        <v>7522</v>
      </c>
      <c r="D464" s="6" t="s">
        <v>7523</v>
      </c>
      <c r="E464" s="6" t="s">
        <v>7524</v>
      </c>
      <c r="F464" s="6">
        <v>16.475443543101601</v>
      </c>
      <c r="G464" s="6" t="s">
        <v>6254</v>
      </c>
      <c r="H464" s="6">
        <v>15.435477172529501</v>
      </c>
      <c r="I464" s="6" t="s">
        <v>6254</v>
      </c>
      <c r="J464" s="6" t="s">
        <v>6254</v>
      </c>
      <c r="K464" s="6" t="s">
        <v>6254</v>
      </c>
      <c r="L464" s="6">
        <v>15.450486357260599</v>
      </c>
      <c r="M464" s="6">
        <v>16.1540948264234</v>
      </c>
      <c r="N464" s="6" t="s">
        <v>6254</v>
      </c>
      <c r="O464" s="6" t="s">
        <v>6254</v>
      </c>
      <c r="P464" s="6" t="s">
        <v>6254</v>
      </c>
      <c r="Q464" s="6" t="s">
        <v>6254</v>
      </c>
    </row>
    <row r="465" spans="1:17">
      <c r="A465" s="6" t="s">
        <v>269</v>
      </c>
      <c r="B465" s="6" t="s">
        <v>269</v>
      </c>
      <c r="C465" s="6" t="s">
        <v>7525</v>
      </c>
      <c r="D465" s="6" t="s">
        <v>7526</v>
      </c>
      <c r="E465" s="6" t="s">
        <v>7526</v>
      </c>
      <c r="F465" s="6">
        <v>16.2672059446604</v>
      </c>
      <c r="G465" s="6">
        <v>15.544181594056001</v>
      </c>
      <c r="H465" s="6">
        <v>15.6409597418061</v>
      </c>
      <c r="I465" s="6">
        <v>16.3561560051402</v>
      </c>
      <c r="J465" s="6">
        <v>14.8997846234422</v>
      </c>
      <c r="K465" s="6">
        <v>15.615353117944601</v>
      </c>
      <c r="L465" s="6">
        <v>16.4049190401165</v>
      </c>
      <c r="M465" s="6">
        <v>14.7334050689658</v>
      </c>
      <c r="N465" s="6">
        <v>15.416209827281399</v>
      </c>
      <c r="O465" s="6">
        <v>16.163532040717001</v>
      </c>
      <c r="P465" s="6">
        <v>15.9209395073068</v>
      </c>
      <c r="Q465" s="6">
        <v>14.4121907422577</v>
      </c>
    </row>
    <row r="466" spans="1:17">
      <c r="A466" s="6" t="s">
        <v>611</v>
      </c>
      <c r="B466" s="6" t="s">
        <v>611</v>
      </c>
      <c r="C466" s="6" t="s">
        <v>7527</v>
      </c>
      <c r="D466" s="6" t="s">
        <v>7528</v>
      </c>
      <c r="E466" s="6" t="s">
        <v>7528</v>
      </c>
      <c r="F466" s="6">
        <v>14.586669264605799</v>
      </c>
      <c r="G466" s="6">
        <v>15.7566609587247</v>
      </c>
      <c r="H466" s="6">
        <v>15.8108187409659</v>
      </c>
      <c r="I466" s="6">
        <v>15.9518415837086</v>
      </c>
      <c r="J466" s="6">
        <v>15.585192817899401</v>
      </c>
      <c r="K466" s="6">
        <v>16.211880870082201</v>
      </c>
      <c r="L466" s="6">
        <v>15.743296158946601</v>
      </c>
      <c r="M466" s="6">
        <v>15.7553338665958</v>
      </c>
      <c r="N466" s="6">
        <v>15.057317677848401</v>
      </c>
      <c r="O466" s="6">
        <v>15.7900630083371</v>
      </c>
      <c r="P466" s="6">
        <v>15.9927139802358</v>
      </c>
      <c r="Q466" s="6">
        <v>15.696054677287499</v>
      </c>
    </row>
    <row r="467" spans="1:17">
      <c r="A467" s="6" t="s">
        <v>7529</v>
      </c>
      <c r="B467" s="6" t="s">
        <v>849</v>
      </c>
      <c r="C467" s="6" t="s">
        <v>7530</v>
      </c>
      <c r="D467" s="6" t="s">
        <v>7531</v>
      </c>
      <c r="E467" s="6" t="s">
        <v>7532</v>
      </c>
      <c r="F467" s="6">
        <v>16.595763079603799</v>
      </c>
      <c r="G467" s="6">
        <v>15.457101659489499</v>
      </c>
      <c r="H467" s="6">
        <v>15.171857290202899</v>
      </c>
      <c r="I467" s="6">
        <v>16.863326295862102</v>
      </c>
      <c r="J467" s="6">
        <v>14.5507523491644</v>
      </c>
      <c r="K467" s="6">
        <v>16.129382114302601</v>
      </c>
      <c r="L467" s="6">
        <v>16.521942810253901</v>
      </c>
      <c r="M467" s="6">
        <v>14.447330271369401</v>
      </c>
      <c r="N467" s="6">
        <v>15.2512010399007</v>
      </c>
      <c r="O467" s="6">
        <v>16.383035091114099</v>
      </c>
      <c r="P467" s="6">
        <v>15.619346414133799</v>
      </c>
      <c r="Q467" s="6">
        <v>13.8873405219954</v>
      </c>
    </row>
    <row r="468" spans="1:17">
      <c r="A468" s="6" t="s">
        <v>695</v>
      </c>
      <c r="B468" s="6" t="s">
        <v>695</v>
      </c>
      <c r="C468" s="6" t="s">
        <v>7533</v>
      </c>
      <c r="D468" s="6" t="s">
        <v>7534</v>
      </c>
      <c r="E468" s="6" t="s">
        <v>7534</v>
      </c>
      <c r="F468" s="6">
        <v>15.7697516519058</v>
      </c>
      <c r="G468" s="6">
        <v>15.2874504192045</v>
      </c>
      <c r="H468" s="6">
        <v>15.5463530649454</v>
      </c>
      <c r="I468" s="6">
        <v>16.4020258244175</v>
      </c>
      <c r="J468" s="6">
        <v>14.741757714698601</v>
      </c>
      <c r="K468" s="6">
        <v>15.2493110727568</v>
      </c>
      <c r="L468" s="6">
        <v>16.092411818828701</v>
      </c>
      <c r="M468" s="6">
        <v>14.2905687741483</v>
      </c>
      <c r="N468" s="6">
        <v>15.490940719361401</v>
      </c>
      <c r="O468" s="6">
        <v>16.144098135416801</v>
      </c>
      <c r="P468" s="6">
        <v>15.5265524934781</v>
      </c>
      <c r="Q468" s="6">
        <v>14.3152410801441</v>
      </c>
    </row>
    <row r="469" spans="1:17">
      <c r="A469" s="6" t="s">
        <v>7535</v>
      </c>
      <c r="B469" s="6" t="s">
        <v>7535</v>
      </c>
      <c r="C469" s="6" t="s">
        <v>7535</v>
      </c>
      <c r="D469" s="6" t="s">
        <v>7535</v>
      </c>
      <c r="E469" s="6" t="s">
        <v>7535</v>
      </c>
      <c r="F469" s="6">
        <v>16.414371102621999</v>
      </c>
      <c r="G469" s="6">
        <v>16.839616930477099</v>
      </c>
      <c r="H469" s="6">
        <v>16.460699306571598</v>
      </c>
      <c r="I469" s="6" t="s">
        <v>6254</v>
      </c>
      <c r="J469" s="6">
        <v>15.8942849935443</v>
      </c>
      <c r="K469" s="6">
        <v>17.032762539750401</v>
      </c>
      <c r="L469" s="6">
        <v>15.5415840138651</v>
      </c>
      <c r="M469" s="6">
        <v>16.4147586180177</v>
      </c>
      <c r="N469" s="6">
        <v>16.560974518018501</v>
      </c>
      <c r="O469" s="6">
        <v>14.150336580741801</v>
      </c>
      <c r="P469" s="6">
        <v>14.805987086443301</v>
      </c>
      <c r="Q469" s="6">
        <v>15.8547090440576</v>
      </c>
    </row>
    <row r="470" spans="1:17">
      <c r="A470" s="6" t="s">
        <v>7536</v>
      </c>
      <c r="B470" s="6" t="s">
        <v>7537</v>
      </c>
      <c r="C470" s="6" t="s">
        <v>7538</v>
      </c>
      <c r="D470" s="6" t="s">
        <v>7539</v>
      </c>
      <c r="E470" s="6" t="s">
        <v>7540</v>
      </c>
      <c r="F470" s="6">
        <v>16.5788587899854</v>
      </c>
      <c r="G470" s="6">
        <v>16.719017961910399</v>
      </c>
      <c r="H470" s="6">
        <v>16.368688188668798</v>
      </c>
      <c r="I470" s="6">
        <v>12.4857179764645</v>
      </c>
      <c r="J470" s="6">
        <v>16.398765755819699</v>
      </c>
      <c r="K470" s="6">
        <v>13.591029244116999</v>
      </c>
      <c r="L470" s="6">
        <v>15.480329800899799</v>
      </c>
      <c r="M470" s="6">
        <v>16.0240203632614</v>
      </c>
      <c r="N470" s="6">
        <v>16.834594031603601</v>
      </c>
      <c r="O470" s="6">
        <v>15.607828406011899</v>
      </c>
      <c r="P470" s="6">
        <v>14.7569285688676</v>
      </c>
      <c r="Q470" s="6">
        <v>16.422603685169101</v>
      </c>
    </row>
    <row r="471" spans="1:17">
      <c r="A471" s="6" t="s">
        <v>1483</v>
      </c>
      <c r="B471" s="6" t="s">
        <v>1483</v>
      </c>
      <c r="C471" s="6" t="s">
        <v>7541</v>
      </c>
      <c r="D471" s="6" t="s">
        <v>7542</v>
      </c>
      <c r="E471" s="6" t="s">
        <v>7542</v>
      </c>
      <c r="F471" s="6">
        <v>15.5923252820182</v>
      </c>
      <c r="G471" s="6">
        <v>15.649806725600801</v>
      </c>
      <c r="H471" s="6">
        <v>15.7993167504791</v>
      </c>
      <c r="I471" s="6">
        <v>16.396642332885001</v>
      </c>
      <c r="J471" s="6">
        <v>14.443695584657499</v>
      </c>
      <c r="K471" s="6">
        <v>15.5474238864574</v>
      </c>
      <c r="L471" s="6">
        <v>15.7223376987804</v>
      </c>
      <c r="M471" s="6">
        <v>14.235170548574899</v>
      </c>
      <c r="N471" s="6">
        <v>15.2093410196505</v>
      </c>
      <c r="O471" s="6">
        <v>16.5742191199373</v>
      </c>
      <c r="P471" s="6">
        <v>16.0739014961386</v>
      </c>
      <c r="Q471" s="6" t="s">
        <v>6254</v>
      </c>
    </row>
    <row r="472" spans="1:17">
      <c r="A472" s="6" t="s">
        <v>7543</v>
      </c>
      <c r="B472" s="6" t="s">
        <v>7544</v>
      </c>
      <c r="C472" s="6" t="s">
        <v>7545</v>
      </c>
      <c r="D472" s="6" t="s">
        <v>7546</v>
      </c>
      <c r="E472" s="7">
        <v>44081</v>
      </c>
      <c r="F472" s="6">
        <v>16.0105367340486</v>
      </c>
      <c r="G472" s="6">
        <v>15.5966375902482</v>
      </c>
      <c r="H472" s="6">
        <v>15.7100520281915</v>
      </c>
      <c r="I472" s="6">
        <v>16.280684356208202</v>
      </c>
      <c r="J472" s="6">
        <v>15.0858996846403</v>
      </c>
      <c r="K472" s="6">
        <v>15.708884517156401</v>
      </c>
      <c r="L472" s="6">
        <v>16.2784514817541</v>
      </c>
      <c r="M472" s="6">
        <v>15.0320599307208</v>
      </c>
      <c r="N472" s="6">
        <v>15.454866712506901</v>
      </c>
      <c r="O472" s="6">
        <v>16.093738596673202</v>
      </c>
      <c r="P472" s="6">
        <v>15.7715913548349</v>
      </c>
      <c r="Q472" s="6">
        <v>14.254409738168</v>
      </c>
    </row>
    <row r="473" spans="1:17">
      <c r="A473" s="6" t="s">
        <v>7547</v>
      </c>
      <c r="B473" s="6" t="s">
        <v>7548</v>
      </c>
      <c r="C473" s="6" t="s">
        <v>7549</v>
      </c>
      <c r="D473" s="6" t="s">
        <v>7550</v>
      </c>
      <c r="E473" s="6" t="s">
        <v>7551</v>
      </c>
      <c r="F473" s="6">
        <v>15.87842419087</v>
      </c>
      <c r="G473" s="6" t="s">
        <v>6254</v>
      </c>
      <c r="H473" s="6" t="s">
        <v>6254</v>
      </c>
      <c r="I473" s="6" t="s">
        <v>6254</v>
      </c>
      <c r="J473" s="6" t="s">
        <v>6254</v>
      </c>
      <c r="K473" s="6" t="s">
        <v>6254</v>
      </c>
      <c r="L473" s="6" t="s">
        <v>6254</v>
      </c>
      <c r="M473" s="6">
        <v>15.371434171416899</v>
      </c>
      <c r="N473" s="6">
        <v>15.8390532737016</v>
      </c>
      <c r="O473" s="6" t="s">
        <v>6254</v>
      </c>
      <c r="P473" s="6" t="s">
        <v>6254</v>
      </c>
      <c r="Q473" s="6" t="s">
        <v>6254</v>
      </c>
    </row>
    <row r="474" spans="1:17">
      <c r="A474" s="6" t="s">
        <v>7552</v>
      </c>
      <c r="B474" s="6" t="s">
        <v>7552</v>
      </c>
      <c r="C474" s="6" t="s">
        <v>7553</v>
      </c>
      <c r="D474" s="6" t="s">
        <v>7509</v>
      </c>
      <c r="E474" s="6" t="s">
        <v>7509</v>
      </c>
      <c r="F474" s="6">
        <v>16.154066820921901</v>
      </c>
      <c r="G474" s="6">
        <v>14.566091011410601</v>
      </c>
      <c r="H474" s="6">
        <v>14.938188812224199</v>
      </c>
      <c r="I474" s="6">
        <v>16.185029025821098</v>
      </c>
      <c r="J474" s="6">
        <v>14.8231521494198</v>
      </c>
      <c r="K474" s="6">
        <v>15.297856539007901</v>
      </c>
      <c r="L474" s="6">
        <v>16.0667488547465</v>
      </c>
      <c r="M474" s="6">
        <v>15.127128027127901</v>
      </c>
      <c r="N474" s="6">
        <v>15.2937747802789</v>
      </c>
      <c r="O474" s="6">
        <v>13.5341125706644</v>
      </c>
      <c r="P474" s="6">
        <v>16.540893486307102</v>
      </c>
      <c r="Q474" s="6">
        <v>15.2221029298301</v>
      </c>
    </row>
    <row r="475" spans="1:17">
      <c r="A475" s="6" t="s">
        <v>1047</v>
      </c>
      <c r="B475" s="6" t="s">
        <v>1047</v>
      </c>
      <c r="C475" s="6" t="s">
        <v>7554</v>
      </c>
      <c r="D475" s="6" t="s">
        <v>7555</v>
      </c>
      <c r="E475" s="6" t="s">
        <v>7555</v>
      </c>
      <c r="F475" s="6">
        <v>16.2642689740997</v>
      </c>
      <c r="G475" s="6">
        <v>16.062837662166601</v>
      </c>
      <c r="H475" s="6">
        <v>15.370730733512699</v>
      </c>
      <c r="I475" s="6">
        <v>16.131435425712699</v>
      </c>
      <c r="J475" s="6">
        <v>14.804282017057201</v>
      </c>
      <c r="K475" s="6">
        <v>15.4720556857255</v>
      </c>
      <c r="L475" s="6">
        <v>15.9742360360797</v>
      </c>
      <c r="M475" s="6">
        <v>14.6921441812871</v>
      </c>
      <c r="N475" s="6">
        <v>15.2554461828431</v>
      </c>
      <c r="O475" s="6">
        <v>16.016684148334001</v>
      </c>
      <c r="P475" s="6">
        <v>16.156076033096902</v>
      </c>
      <c r="Q475" s="6">
        <v>14.4460234517285</v>
      </c>
    </row>
    <row r="476" spans="1:17">
      <c r="A476" s="6" t="s">
        <v>1552</v>
      </c>
      <c r="B476" s="6" t="s">
        <v>1552</v>
      </c>
      <c r="C476" s="6" t="s">
        <v>7556</v>
      </c>
      <c r="D476" s="6" t="s">
        <v>7557</v>
      </c>
      <c r="E476" s="6" t="s">
        <v>7557</v>
      </c>
      <c r="F476" s="6">
        <v>14.787440043101601</v>
      </c>
      <c r="G476" s="6">
        <v>14.054403577490501</v>
      </c>
      <c r="H476" s="6">
        <v>16.186490759943499</v>
      </c>
      <c r="I476" s="6">
        <v>17.119099739861401</v>
      </c>
      <c r="J476" s="6">
        <v>15.625606068078101</v>
      </c>
      <c r="K476" s="6">
        <v>15.872603076264699</v>
      </c>
      <c r="L476" s="6">
        <v>16.894408844402399</v>
      </c>
      <c r="M476" s="6">
        <v>15.349352133651299</v>
      </c>
      <c r="N476" s="6">
        <v>15.6690891225707</v>
      </c>
      <c r="O476" s="6">
        <v>15.429952385698</v>
      </c>
      <c r="P476" s="6">
        <v>15.0055306623217</v>
      </c>
      <c r="Q476" s="6">
        <v>14.5561800169147</v>
      </c>
    </row>
    <row r="477" spans="1:17">
      <c r="A477" s="6" t="s">
        <v>1440</v>
      </c>
      <c r="B477" s="6" t="s">
        <v>1440</v>
      </c>
      <c r="C477" s="6" t="s">
        <v>7558</v>
      </c>
      <c r="D477" s="6" t="s">
        <v>7559</v>
      </c>
      <c r="E477" s="6" t="s">
        <v>7559</v>
      </c>
      <c r="F477" s="6">
        <v>16.165636282742899</v>
      </c>
      <c r="G477" s="6">
        <v>15.695395603951001</v>
      </c>
      <c r="H477" s="6">
        <v>15.723596169451399</v>
      </c>
      <c r="I477" s="6">
        <v>16.287396723560398</v>
      </c>
      <c r="J477" s="6">
        <v>15.010040938963201</v>
      </c>
      <c r="K477" s="6">
        <v>15.6698522599862</v>
      </c>
      <c r="L477" s="6">
        <v>16.2208482908012</v>
      </c>
      <c r="M477" s="6">
        <v>14.7681697988226</v>
      </c>
      <c r="N477" s="6">
        <v>15.204685884550599</v>
      </c>
      <c r="O477" s="6">
        <v>15.7049821011632</v>
      </c>
      <c r="P477" s="6">
        <v>15.3993280723175</v>
      </c>
      <c r="Q477" s="6">
        <v>14.594892936253901</v>
      </c>
    </row>
    <row r="478" spans="1:17">
      <c r="A478" s="6" t="s">
        <v>7560</v>
      </c>
      <c r="B478" s="6" t="s">
        <v>7560</v>
      </c>
      <c r="C478" s="6" t="s">
        <v>7561</v>
      </c>
      <c r="D478" s="6" t="s">
        <v>7562</v>
      </c>
      <c r="E478" s="6" t="s">
        <v>7562</v>
      </c>
      <c r="F478" s="6">
        <v>16.0555107252456</v>
      </c>
      <c r="G478" s="6">
        <v>15.1658499656751</v>
      </c>
      <c r="H478" s="6">
        <v>15.6094472494895</v>
      </c>
      <c r="I478" s="6">
        <v>16.367785230194102</v>
      </c>
      <c r="J478" s="6">
        <v>15.171912879293</v>
      </c>
      <c r="K478" s="6">
        <v>15.8379225081024</v>
      </c>
      <c r="L478" s="6" t="s">
        <v>6254</v>
      </c>
      <c r="M478" s="6">
        <v>14.904010782715201</v>
      </c>
      <c r="N478" s="6">
        <v>15.2390131667466</v>
      </c>
      <c r="O478" s="6">
        <v>16.120310229153301</v>
      </c>
      <c r="P478" s="6">
        <v>15.946391395116001</v>
      </c>
      <c r="Q478" s="6" t="s">
        <v>6254</v>
      </c>
    </row>
    <row r="479" spans="1:17">
      <c r="A479" s="6" t="s">
        <v>7563</v>
      </c>
      <c r="B479" s="6" t="s">
        <v>7563</v>
      </c>
      <c r="C479" s="6" t="s">
        <v>7563</v>
      </c>
      <c r="D479" s="6" t="s">
        <v>7563</v>
      </c>
      <c r="E479" s="6" t="s">
        <v>7563</v>
      </c>
      <c r="F479" s="6">
        <v>14.8289854307172</v>
      </c>
      <c r="G479" s="6">
        <v>15.3236873078942</v>
      </c>
      <c r="H479" s="6">
        <v>16.6981073429891</v>
      </c>
      <c r="I479" s="6">
        <v>15.280554497678599</v>
      </c>
      <c r="J479" s="6">
        <v>15.602625059422101</v>
      </c>
      <c r="K479" s="6">
        <v>15.8913724580955</v>
      </c>
      <c r="L479" s="6">
        <v>16.1486830578257</v>
      </c>
      <c r="M479" s="6">
        <v>17.5150308115333</v>
      </c>
      <c r="N479" s="6">
        <v>17.678140380569701</v>
      </c>
      <c r="O479" s="6">
        <v>15.2439418383538</v>
      </c>
      <c r="P479" s="6">
        <v>15.342246943911301</v>
      </c>
      <c r="Q479" s="6">
        <v>14.899556948469799</v>
      </c>
    </row>
    <row r="480" spans="1:17">
      <c r="A480" s="6" t="s">
        <v>718</v>
      </c>
      <c r="B480" s="6" t="s">
        <v>718</v>
      </c>
      <c r="C480" s="6" t="s">
        <v>7564</v>
      </c>
      <c r="D480" s="6" t="s">
        <v>7565</v>
      </c>
      <c r="E480" s="6" t="s">
        <v>7565</v>
      </c>
      <c r="F480" s="6">
        <v>16.2135592431456</v>
      </c>
      <c r="G480" s="6">
        <v>15.7228252428747</v>
      </c>
      <c r="H480" s="6">
        <v>15.7810412046369</v>
      </c>
      <c r="I480" s="6">
        <v>16.146788936071101</v>
      </c>
      <c r="J480" s="6">
        <v>14.552219086191</v>
      </c>
      <c r="K480" s="6">
        <v>15.147860322452701</v>
      </c>
      <c r="L480" s="6">
        <v>16.184807677181901</v>
      </c>
      <c r="M480" s="6">
        <v>14.662398305351999</v>
      </c>
      <c r="N480" s="6">
        <v>16.3503442739812</v>
      </c>
      <c r="O480" s="6">
        <v>15.9916001985557</v>
      </c>
      <c r="P480" s="6">
        <v>15.236720702049</v>
      </c>
      <c r="Q480" s="6">
        <v>14.066053206471199</v>
      </c>
    </row>
    <row r="481" spans="1:17">
      <c r="A481" s="6" t="s">
        <v>686</v>
      </c>
      <c r="B481" s="6" t="s">
        <v>686</v>
      </c>
      <c r="C481" s="6" t="s">
        <v>7566</v>
      </c>
      <c r="D481" s="6" t="s">
        <v>7567</v>
      </c>
      <c r="E481" s="6" t="s">
        <v>7567</v>
      </c>
      <c r="F481" s="6">
        <v>16.074170967100599</v>
      </c>
      <c r="G481" s="6">
        <v>15.4542145769261</v>
      </c>
      <c r="H481" s="6">
        <v>15.6591977276492</v>
      </c>
      <c r="I481" s="6">
        <v>16.393297775723902</v>
      </c>
      <c r="J481" s="6">
        <v>14.713775197978199</v>
      </c>
      <c r="K481" s="6">
        <v>15.593685892466899</v>
      </c>
      <c r="L481" s="6">
        <v>16.313889805912101</v>
      </c>
      <c r="M481" s="6">
        <v>14.7757333316207</v>
      </c>
      <c r="N481" s="6">
        <v>15.4034945155099</v>
      </c>
      <c r="O481" s="6">
        <v>15.888584456371699</v>
      </c>
      <c r="P481" s="6">
        <v>15.7234135190199</v>
      </c>
      <c r="Q481" s="6">
        <v>14.333021085847401</v>
      </c>
    </row>
    <row r="482" spans="1:17">
      <c r="A482" s="6" t="s">
        <v>3312</v>
      </c>
      <c r="B482" s="6" t="s">
        <v>3312</v>
      </c>
      <c r="C482" s="6" t="s">
        <v>7568</v>
      </c>
      <c r="D482" s="6" t="s">
        <v>7569</v>
      </c>
      <c r="E482" s="6" t="s">
        <v>7569</v>
      </c>
      <c r="F482" s="6">
        <v>15.826591581662299</v>
      </c>
      <c r="G482" s="6">
        <v>15.111223088836701</v>
      </c>
      <c r="H482" s="6">
        <v>15.489892454657999</v>
      </c>
      <c r="I482" s="6">
        <v>16.2462719982741</v>
      </c>
      <c r="J482" s="6">
        <v>15.252507490665</v>
      </c>
      <c r="K482" s="6">
        <v>15.884205489702801</v>
      </c>
      <c r="L482" s="6">
        <v>15.9181923549763</v>
      </c>
      <c r="M482" s="6">
        <v>15.2429139179999</v>
      </c>
      <c r="N482" s="6">
        <v>14.9935511563876</v>
      </c>
      <c r="O482" s="6" t="s">
        <v>6254</v>
      </c>
      <c r="P482" s="6">
        <v>16.1839541055636</v>
      </c>
      <c r="Q482" s="6" t="s">
        <v>6254</v>
      </c>
    </row>
    <row r="483" spans="1:17">
      <c r="A483" s="6" t="s">
        <v>939</v>
      </c>
      <c r="B483" s="6" t="s">
        <v>939</v>
      </c>
      <c r="C483" s="6" t="s">
        <v>7570</v>
      </c>
      <c r="D483" s="6" t="s">
        <v>7571</v>
      </c>
      <c r="E483" s="6" t="s">
        <v>7571</v>
      </c>
      <c r="F483" s="6">
        <v>16.057721698582402</v>
      </c>
      <c r="G483" s="6">
        <v>15.569993255157801</v>
      </c>
      <c r="H483" s="6">
        <v>15.6369505343733</v>
      </c>
      <c r="I483" s="6">
        <v>16.2944430549082</v>
      </c>
      <c r="J483" s="6">
        <v>15.0495122850777</v>
      </c>
      <c r="K483" s="6">
        <v>15.5728047298579</v>
      </c>
      <c r="L483" s="6">
        <v>16.144122144690801</v>
      </c>
      <c r="M483" s="6">
        <v>14.854835488913199</v>
      </c>
      <c r="N483" s="6">
        <v>15.1512028570931</v>
      </c>
      <c r="O483" s="6">
        <v>15.7896901378283</v>
      </c>
      <c r="P483" s="6">
        <v>15.9752209773747</v>
      </c>
      <c r="Q483" s="6">
        <v>14.5211220760903</v>
      </c>
    </row>
    <row r="484" spans="1:17">
      <c r="A484" s="6" t="s">
        <v>7572</v>
      </c>
      <c r="B484" s="6" t="s">
        <v>7572</v>
      </c>
      <c r="C484" s="6" t="s">
        <v>7573</v>
      </c>
      <c r="D484" s="6" t="s">
        <v>7574</v>
      </c>
      <c r="E484" s="6" t="s">
        <v>7574</v>
      </c>
      <c r="F484" s="6">
        <v>14.740758328312699</v>
      </c>
      <c r="G484" s="6">
        <v>14.082414752734699</v>
      </c>
      <c r="H484" s="6">
        <v>15.63774795014</v>
      </c>
      <c r="I484" s="6">
        <v>16.394883729540499</v>
      </c>
      <c r="J484" s="6">
        <v>15.2946221078808</v>
      </c>
      <c r="K484" s="6">
        <v>15.649372305752699</v>
      </c>
      <c r="L484" s="6">
        <v>16.451275964807699</v>
      </c>
      <c r="M484" s="6">
        <v>14.5673614754777</v>
      </c>
      <c r="N484" s="6">
        <v>14.8576856986562</v>
      </c>
      <c r="O484" s="6">
        <v>16.354947805968202</v>
      </c>
      <c r="P484" s="6">
        <v>15.948416169218399</v>
      </c>
      <c r="Q484" s="6">
        <v>14.929411736406101</v>
      </c>
    </row>
    <row r="485" spans="1:17">
      <c r="A485" s="6" t="s">
        <v>7575</v>
      </c>
      <c r="B485" s="6" t="s">
        <v>7576</v>
      </c>
      <c r="C485" s="6" t="s">
        <v>7577</v>
      </c>
      <c r="D485" s="6" t="s">
        <v>7578</v>
      </c>
      <c r="E485" s="6" t="s">
        <v>7579</v>
      </c>
      <c r="F485" s="6">
        <v>16.028051164106198</v>
      </c>
      <c r="G485" s="6">
        <v>15.5379864265641</v>
      </c>
      <c r="H485" s="6">
        <v>15.883754175919799</v>
      </c>
      <c r="I485" s="6">
        <v>16.2822805575411</v>
      </c>
      <c r="J485" s="6">
        <v>14.996341536929</v>
      </c>
      <c r="K485" s="6">
        <v>15.2793099182001</v>
      </c>
      <c r="L485" s="6">
        <v>16.244983745926099</v>
      </c>
      <c r="M485" s="6">
        <v>15.048878658814299</v>
      </c>
      <c r="N485" s="6">
        <v>15.4888781611785</v>
      </c>
      <c r="O485" s="6">
        <v>15.534586946205399</v>
      </c>
      <c r="P485" s="6">
        <v>15.198676453606501</v>
      </c>
      <c r="Q485" s="6">
        <v>14.664495213686701</v>
      </c>
    </row>
    <row r="486" spans="1:17">
      <c r="A486" s="6" t="s">
        <v>7580</v>
      </c>
      <c r="B486" s="6" t="s">
        <v>1705</v>
      </c>
      <c r="C486" s="6" t="s">
        <v>7581</v>
      </c>
      <c r="D486" s="6" t="s">
        <v>7582</v>
      </c>
      <c r="E486" s="6" t="s">
        <v>7583</v>
      </c>
      <c r="F486" s="6">
        <v>16.063640189735899</v>
      </c>
      <c r="G486" s="6">
        <v>15.1080902976753</v>
      </c>
      <c r="H486" s="6">
        <v>15.798886323333001</v>
      </c>
      <c r="I486" s="6">
        <v>16.1055513853759</v>
      </c>
      <c r="J486" s="6">
        <v>14.8764531473789</v>
      </c>
      <c r="K486" s="6">
        <v>15.725669827612901</v>
      </c>
      <c r="L486" s="6">
        <v>16.142888185450001</v>
      </c>
      <c r="M486" s="6">
        <v>15.021487185885199</v>
      </c>
      <c r="N486" s="6">
        <v>14.6836264648955</v>
      </c>
      <c r="O486" s="6">
        <v>15.607094775715201</v>
      </c>
      <c r="P486" s="6">
        <v>16.1051257478046</v>
      </c>
      <c r="Q486" s="6">
        <v>14.509884689204601</v>
      </c>
    </row>
    <row r="487" spans="1:17">
      <c r="A487" s="6" t="s">
        <v>7584</v>
      </c>
      <c r="B487" s="6" t="s">
        <v>7585</v>
      </c>
      <c r="C487" s="6" t="s">
        <v>7586</v>
      </c>
      <c r="D487" s="6" t="s">
        <v>7587</v>
      </c>
      <c r="E487" s="6" t="s">
        <v>7588</v>
      </c>
      <c r="F487" s="6">
        <v>15.4272086887055</v>
      </c>
      <c r="G487" s="6">
        <v>15.637420963513501</v>
      </c>
      <c r="H487" s="6">
        <v>15.7796190560104</v>
      </c>
      <c r="I487" s="6">
        <v>15.525697658521301</v>
      </c>
      <c r="J487" s="6">
        <v>15.4823645935844</v>
      </c>
      <c r="K487" s="6">
        <v>15.520981820078701</v>
      </c>
      <c r="L487" s="6">
        <v>15.6934991854415</v>
      </c>
      <c r="M487" s="6">
        <v>16.320930663381802</v>
      </c>
      <c r="N487" s="6">
        <v>16.018473690808801</v>
      </c>
      <c r="O487" s="6">
        <v>15.801175924438301</v>
      </c>
      <c r="P487" s="6">
        <v>15.869077565208899</v>
      </c>
      <c r="Q487" s="6">
        <v>15.3644902955</v>
      </c>
    </row>
    <row r="488" spans="1:17">
      <c r="A488" s="6" t="s">
        <v>7589</v>
      </c>
      <c r="B488" s="6" t="s">
        <v>7589</v>
      </c>
      <c r="C488" s="6" t="s">
        <v>7590</v>
      </c>
      <c r="D488" s="6" t="s">
        <v>7591</v>
      </c>
      <c r="E488" s="6" t="s">
        <v>7591</v>
      </c>
      <c r="F488" s="6">
        <v>16.903353753511102</v>
      </c>
      <c r="G488" s="6">
        <v>16.254758168095101</v>
      </c>
      <c r="H488" s="6">
        <v>16.155049324965098</v>
      </c>
      <c r="I488" s="6">
        <v>16.243827661025801</v>
      </c>
      <c r="J488" s="6">
        <v>15.8746165812736</v>
      </c>
      <c r="K488" s="6" t="s">
        <v>6254</v>
      </c>
      <c r="L488" s="6">
        <v>16.4553059948745</v>
      </c>
      <c r="M488" s="6">
        <v>15.5323638092009</v>
      </c>
      <c r="N488" s="6">
        <v>16.543440815505001</v>
      </c>
      <c r="O488" s="6">
        <v>16.356867068574399</v>
      </c>
      <c r="P488" s="6">
        <v>16.265367421419601</v>
      </c>
      <c r="Q488" s="6">
        <v>14.1631072590828</v>
      </c>
    </row>
    <row r="489" spans="1:17">
      <c r="A489" s="6" t="s">
        <v>7592</v>
      </c>
      <c r="B489" s="6" t="s">
        <v>7592</v>
      </c>
      <c r="C489" s="6" t="s">
        <v>7593</v>
      </c>
      <c r="D489" s="6" t="s">
        <v>7594</v>
      </c>
      <c r="E489" s="6" t="s">
        <v>7594</v>
      </c>
      <c r="F489" s="6">
        <v>16.0743196124393</v>
      </c>
      <c r="G489" s="6">
        <v>15.7755349985186</v>
      </c>
      <c r="H489" s="6">
        <v>15.552894776621001</v>
      </c>
      <c r="I489" s="6">
        <v>16.318463724327501</v>
      </c>
      <c r="J489" s="6">
        <v>15.1666182922229</v>
      </c>
      <c r="K489" s="6">
        <v>15.4583651080202</v>
      </c>
      <c r="L489" s="6">
        <v>15.7993133544238</v>
      </c>
      <c r="M489" s="6">
        <v>14.871960085680801</v>
      </c>
      <c r="N489" s="6">
        <v>15.0798538469117</v>
      </c>
      <c r="O489" s="6">
        <v>15.9498754108995</v>
      </c>
      <c r="P489" s="6">
        <v>16.0435356061849</v>
      </c>
      <c r="Q489" s="6">
        <v>14.8255145045355</v>
      </c>
    </row>
    <row r="490" spans="1:17">
      <c r="A490" s="6" t="s">
        <v>283</v>
      </c>
      <c r="B490" s="6" t="s">
        <v>283</v>
      </c>
      <c r="C490" s="6" t="s">
        <v>7595</v>
      </c>
      <c r="D490" s="6" t="s">
        <v>7596</v>
      </c>
      <c r="E490" s="6" t="s">
        <v>7596</v>
      </c>
      <c r="F490" s="6">
        <v>15.8217981578935</v>
      </c>
      <c r="G490" s="6">
        <v>15.4644972606753</v>
      </c>
      <c r="H490" s="6">
        <v>15.494986574573099</v>
      </c>
      <c r="I490" s="6">
        <v>16.085800384512002</v>
      </c>
      <c r="J490" s="6">
        <v>14.656279897610199</v>
      </c>
      <c r="K490" s="6">
        <v>15.2102246478276</v>
      </c>
      <c r="L490" s="6">
        <v>16.025655914678602</v>
      </c>
      <c r="M490" s="6">
        <v>14.544268473542999</v>
      </c>
      <c r="N490" s="6">
        <v>15.6812330700995</v>
      </c>
      <c r="O490" s="6">
        <v>16.093795577073301</v>
      </c>
      <c r="P490" s="6">
        <v>15.852494692509</v>
      </c>
      <c r="Q490" s="6">
        <v>14.4001066065704</v>
      </c>
    </row>
    <row r="491" spans="1:17">
      <c r="A491" s="6" t="s">
        <v>1540</v>
      </c>
      <c r="B491" s="6" t="s">
        <v>1540</v>
      </c>
      <c r="C491" s="6" t="s">
        <v>7597</v>
      </c>
      <c r="D491" s="6" t="s">
        <v>7598</v>
      </c>
      <c r="E491" s="6" t="s">
        <v>7598</v>
      </c>
      <c r="F491" s="6">
        <v>15.3471461434735</v>
      </c>
      <c r="G491" s="6">
        <v>16.160490433143998</v>
      </c>
      <c r="H491" s="6">
        <v>15.9846584296256</v>
      </c>
      <c r="I491" s="6">
        <v>16.121591862139098</v>
      </c>
      <c r="J491" s="6">
        <v>16.336372800481801</v>
      </c>
      <c r="K491" s="6">
        <v>15.755737172567001</v>
      </c>
      <c r="L491" s="6">
        <v>15.8799295515796</v>
      </c>
      <c r="M491" s="6">
        <v>15.699773332258999</v>
      </c>
      <c r="N491" s="6">
        <v>15.1251993491899</v>
      </c>
      <c r="O491" s="6">
        <v>14.830460459666501</v>
      </c>
      <c r="P491" s="6">
        <v>15.399126558369799</v>
      </c>
      <c r="Q491" s="6">
        <v>16.030065869188601</v>
      </c>
    </row>
    <row r="492" spans="1:17">
      <c r="A492" s="6" t="s">
        <v>956</v>
      </c>
      <c r="B492" s="6" t="s">
        <v>956</v>
      </c>
      <c r="C492" s="6" t="s">
        <v>7599</v>
      </c>
      <c r="D492" s="6" t="s">
        <v>7600</v>
      </c>
      <c r="E492" s="6" t="s">
        <v>7600</v>
      </c>
      <c r="F492" s="6">
        <v>16.1847955216458</v>
      </c>
      <c r="G492" s="6">
        <v>15.3779663364011</v>
      </c>
      <c r="H492" s="6">
        <v>15.120616308896899</v>
      </c>
      <c r="I492" s="6">
        <v>16.547096655316999</v>
      </c>
      <c r="J492" s="6">
        <v>15.160958427533201</v>
      </c>
      <c r="K492" s="6">
        <v>16.308093476623199</v>
      </c>
      <c r="L492" s="6">
        <v>15.971145428929599</v>
      </c>
      <c r="M492" s="6">
        <v>14.9626783294083</v>
      </c>
      <c r="N492" s="6">
        <v>14.9469497593995</v>
      </c>
      <c r="O492" s="6">
        <v>15.615046910688701</v>
      </c>
      <c r="P492" s="6">
        <v>15.883328998407301</v>
      </c>
      <c r="Q492" s="6">
        <v>14.387164194628401</v>
      </c>
    </row>
    <row r="493" spans="1:17">
      <c r="A493" s="6" t="s">
        <v>2038</v>
      </c>
      <c r="B493" s="6" t="s">
        <v>2038</v>
      </c>
      <c r="C493" s="6" t="s">
        <v>7601</v>
      </c>
      <c r="D493" s="6" t="s">
        <v>7602</v>
      </c>
      <c r="E493" s="6" t="s">
        <v>7602</v>
      </c>
      <c r="F493" s="6">
        <v>16.254963184570499</v>
      </c>
      <c r="G493" s="6">
        <v>15.285819459051501</v>
      </c>
      <c r="H493" s="6">
        <v>15.5193177735042</v>
      </c>
      <c r="I493" s="6">
        <v>16.240655370591099</v>
      </c>
      <c r="J493" s="6">
        <v>14.5376292118507</v>
      </c>
      <c r="K493" s="6">
        <v>15.4991556913177</v>
      </c>
      <c r="L493" s="6">
        <v>16.3132718656741</v>
      </c>
      <c r="M493" s="6">
        <v>14.7984333088874</v>
      </c>
      <c r="N493" s="6">
        <v>15.338185177584799</v>
      </c>
      <c r="O493" s="6">
        <v>15.704441046517299</v>
      </c>
      <c r="P493" s="6">
        <v>15.409883953531001</v>
      </c>
      <c r="Q493" s="6">
        <v>14.144977421212101</v>
      </c>
    </row>
    <row r="494" spans="1:17">
      <c r="A494" s="6" t="s">
        <v>786</v>
      </c>
      <c r="B494" s="6" t="s">
        <v>786</v>
      </c>
      <c r="C494" s="6" t="s">
        <v>7603</v>
      </c>
      <c r="D494" s="6" t="s">
        <v>7604</v>
      </c>
      <c r="E494" s="6" t="s">
        <v>7604</v>
      </c>
      <c r="F494" s="6">
        <v>16.909512944774299</v>
      </c>
      <c r="G494" s="6">
        <v>14.649604600263199</v>
      </c>
      <c r="H494" s="6">
        <v>16.046790977360899</v>
      </c>
      <c r="I494" s="6">
        <v>16.656141064099799</v>
      </c>
      <c r="J494" s="6">
        <v>14.2170513540716</v>
      </c>
      <c r="K494" s="6">
        <v>16.347354653540599</v>
      </c>
      <c r="L494" s="6">
        <v>16.318134184894902</v>
      </c>
      <c r="M494" s="6">
        <v>15.067883262092</v>
      </c>
      <c r="N494" s="6">
        <v>14.5680437992253</v>
      </c>
      <c r="O494" s="6">
        <v>16.9137604730657</v>
      </c>
      <c r="P494" s="6">
        <v>16.311768694688102</v>
      </c>
      <c r="Q494" s="6">
        <v>15.448110945881901</v>
      </c>
    </row>
    <row r="495" spans="1:17">
      <c r="A495" s="6" t="s">
        <v>7605</v>
      </c>
      <c r="B495" s="6" t="s">
        <v>7606</v>
      </c>
      <c r="C495" s="6" t="s">
        <v>7607</v>
      </c>
      <c r="D495" s="6" t="s">
        <v>7608</v>
      </c>
      <c r="E495" s="6" t="s">
        <v>7609</v>
      </c>
      <c r="F495" s="6">
        <v>14.556817598072501</v>
      </c>
      <c r="G495" s="6">
        <v>15.011374209560399</v>
      </c>
      <c r="H495" s="6">
        <v>15.4630555128628</v>
      </c>
      <c r="I495" s="6">
        <v>17.2344158263864</v>
      </c>
      <c r="J495" s="6" t="s">
        <v>6254</v>
      </c>
      <c r="K495" s="6">
        <v>15.9780820619571</v>
      </c>
      <c r="L495" s="6">
        <v>18.8299373381675</v>
      </c>
      <c r="M495" s="6">
        <v>14.9001341619275</v>
      </c>
      <c r="N495" s="6" t="s">
        <v>6254</v>
      </c>
      <c r="O495" s="6" t="s">
        <v>6254</v>
      </c>
      <c r="P495" s="6" t="s">
        <v>6254</v>
      </c>
      <c r="Q495" s="6" t="s">
        <v>6254</v>
      </c>
    </row>
    <row r="496" spans="1:17">
      <c r="A496" s="6" t="s">
        <v>7610</v>
      </c>
      <c r="B496" s="6" t="s">
        <v>1873</v>
      </c>
      <c r="C496" s="6" t="s">
        <v>7611</v>
      </c>
      <c r="D496" s="6" t="s">
        <v>7612</v>
      </c>
      <c r="E496" s="6" t="s">
        <v>7613</v>
      </c>
      <c r="F496" s="6">
        <v>16.033044962441501</v>
      </c>
      <c r="G496" s="6">
        <v>15.1618462726569</v>
      </c>
      <c r="H496" s="6">
        <v>15.747740748193699</v>
      </c>
      <c r="I496" s="6">
        <v>16.450430186967701</v>
      </c>
      <c r="J496" s="6">
        <v>14.9297677586841</v>
      </c>
      <c r="K496" s="6">
        <v>15.469188558763801</v>
      </c>
      <c r="L496" s="6">
        <v>16.088031999319799</v>
      </c>
      <c r="M496" s="6">
        <v>14.600171233427901</v>
      </c>
      <c r="N496" s="6">
        <v>15.3069070949162</v>
      </c>
      <c r="O496" s="6">
        <v>16.066631117115399</v>
      </c>
      <c r="P496" s="6">
        <v>16.006610659570899</v>
      </c>
      <c r="Q496" s="6">
        <v>14.6114636379667</v>
      </c>
    </row>
    <row r="497" spans="1:17">
      <c r="A497" s="6" t="s">
        <v>581</v>
      </c>
      <c r="B497" s="6" t="s">
        <v>581</v>
      </c>
      <c r="C497" s="6" t="s">
        <v>7614</v>
      </c>
      <c r="D497" s="6" t="s">
        <v>7615</v>
      </c>
      <c r="E497" s="6" t="s">
        <v>7615</v>
      </c>
      <c r="F497" s="6">
        <v>16.1028352248624</v>
      </c>
      <c r="G497" s="6">
        <v>15.2834725625644</v>
      </c>
      <c r="H497" s="6">
        <v>15.676661467413201</v>
      </c>
      <c r="I497" s="6">
        <v>16.3966110397424</v>
      </c>
      <c r="J497" s="6">
        <v>14.924926496392899</v>
      </c>
      <c r="K497" s="6">
        <v>15.859496667091999</v>
      </c>
      <c r="L497" s="6">
        <v>16.239539738484599</v>
      </c>
      <c r="M497" s="6">
        <v>14.6989021374161</v>
      </c>
      <c r="N497" s="6">
        <v>15.1483785392588</v>
      </c>
      <c r="O497" s="6">
        <v>15.9915694894836</v>
      </c>
      <c r="P497" s="6">
        <v>16.067568193828901</v>
      </c>
      <c r="Q497" s="6">
        <v>14.3040748990993</v>
      </c>
    </row>
    <row r="498" spans="1:17">
      <c r="A498" s="6" t="s">
        <v>7616</v>
      </c>
      <c r="B498" s="6" t="s">
        <v>1133</v>
      </c>
      <c r="C498" s="6" t="s">
        <v>7617</v>
      </c>
      <c r="D498" s="6" t="s">
        <v>7618</v>
      </c>
      <c r="E498" s="6" t="s">
        <v>7619</v>
      </c>
      <c r="F498" s="6">
        <v>16.3460541834861</v>
      </c>
      <c r="G498" s="6">
        <v>15.425740510008</v>
      </c>
      <c r="H498" s="6">
        <v>15.618105879899099</v>
      </c>
      <c r="I498" s="6">
        <v>16.229087274586899</v>
      </c>
      <c r="J498" s="6">
        <v>15.0056813218429</v>
      </c>
      <c r="K498" s="6">
        <v>15.7126429004774</v>
      </c>
      <c r="L498" s="6">
        <v>15.7677194216887</v>
      </c>
      <c r="M498" s="6">
        <v>14.5694241571448</v>
      </c>
      <c r="N498" s="6">
        <v>15.648861157304999</v>
      </c>
      <c r="O498" s="6">
        <v>15.7815710962042</v>
      </c>
      <c r="P498" s="6">
        <v>15.637027893627399</v>
      </c>
      <c r="Q498" s="6">
        <v>14.3538211748886</v>
      </c>
    </row>
    <row r="499" spans="1:17">
      <c r="A499" s="6" t="s">
        <v>1867</v>
      </c>
      <c r="B499" s="6" t="s">
        <v>1867</v>
      </c>
      <c r="C499" s="6" t="s">
        <v>7620</v>
      </c>
      <c r="D499" s="6" t="s">
        <v>7621</v>
      </c>
      <c r="E499" s="6" t="s">
        <v>7621</v>
      </c>
      <c r="F499" s="6">
        <v>16.0727262321222</v>
      </c>
      <c r="G499" s="6">
        <v>15.5987586074083</v>
      </c>
      <c r="H499" s="6">
        <v>15.6998584997317</v>
      </c>
      <c r="I499" s="6">
        <v>16.197959195786702</v>
      </c>
      <c r="J499" s="6">
        <v>14.8464394370385</v>
      </c>
      <c r="K499" s="6">
        <v>15.7404295130794</v>
      </c>
      <c r="L499" s="6">
        <v>16.234771506240499</v>
      </c>
      <c r="M499" s="6">
        <v>14.918898896079501</v>
      </c>
      <c r="N499" s="6">
        <v>15.408202307061799</v>
      </c>
      <c r="O499" s="6">
        <v>15.6792524289238</v>
      </c>
      <c r="P499" s="6">
        <v>15.470712528248701</v>
      </c>
      <c r="Q499" s="6">
        <v>13.931446975420499</v>
      </c>
    </row>
    <row r="500" spans="1:17">
      <c r="A500" s="6" t="s">
        <v>4066</v>
      </c>
      <c r="B500" s="6" t="s">
        <v>4066</v>
      </c>
      <c r="C500" s="6" t="s">
        <v>7622</v>
      </c>
      <c r="D500" s="6" t="s">
        <v>6615</v>
      </c>
      <c r="E500" s="6" t="s">
        <v>6615</v>
      </c>
      <c r="F500" s="6">
        <v>16.123600640603399</v>
      </c>
      <c r="G500" s="6">
        <v>14.7978304376055</v>
      </c>
      <c r="H500" s="6">
        <v>15.9435841523538</v>
      </c>
      <c r="I500" s="6">
        <v>16.526934848925301</v>
      </c>
      <c r="J500" s="6">
        <v>15.1260077981339</v>
      </c>
      <c r="K500" s="6">
        <v>15.968186621190601</v>
      </c>
      <c r="L500" s="6">
        <v>16.352436731941498</v>
      </c>
      <c r="M500" s="6">
        <v>14.0363842632895</v>
      </c>
      <c r="N500" s="6">
        <v>15.592717417158701</v>
      </c>
      <c r="O500" s="6">
        <v>15.465565779218499</v>
      </c>
      <c r="P500" s="6">
        <v>15.8287782674849</v>
      </c>
      <c r="Q500" s="6">
        <v>14.148953408814201</v>
      </c>
    </row>
    <row r="501" spans="1:17">
      <c r="A501" s="6" t="s">
        <v>1198</v>
      </c>
      <c r="B501" s="6" t="s">
        <v>1198</v>
      </c>
      <c r="C501" s="6" t="s">
        <v>7623</v>
      </c>
      <c r="D501" s="6" t="s">
        <v>7624</v>
      </c>
      <c r="E501" s="6" t="s">
        <v>7624</v>
      </c>
      <c r="F501" s="6">
        <v>16.3725975083902</v>
      </c>
      <c r="G501" s="6">
        <v>15.487708347046199</v>
      </c>
      <c r="H501" s="6">
        <v>15.6561600778706</v>
      </c>
      <c r="I501" s="6">
        <v>15.935228650965399</v>
      </c>
      <c r="J501" s="6">
        <v>14.9197300155019</v>
      </c>
      <c r="K501" s="6">
        <v>14.7101888016554</v>
      </c>
      <c r="L501" s="6">
        <v>16.415903268705499</v>
      </c>
      <c r="M501" s="6">
        <v>14.8308868560629</v>
      </c>
      <c r="N501" s="6">
        <v>15.4837786984746</v>
      </c>
      <c r="O501" s="6">
        <v>16.023069308352898</v>
      </c>
      <c r="P501" s="6">
        <v>15.392965600848401</v>
      </c>
      <c r="Q501" s="6">
        <v>14.222732623780299</v>
      </c>
    </row>
    <row r="502" spans="1:17">
      <c r="A502" s="6" t="s">
        <v>1136</v>
      </c>
      <c r="B502" s="6" t="s">
        <v>1136</v>
      </c>
      <c r="C502" s="6" t="s">
        <v>7625</v>
      </c>
      <c r="D502" s="6" t="s">
        <v>7626</v>
      </c>
      <c r="E502" s="6" t="s">
        <v>7626</v>
      </c>
      <c r="F502" s="6">
        <v>15.976535178761999</v>
      </c>
      <c r="G502" s="6">
        <v>15.4130723828528</v>
      </c>
      <c r="H502" s="6">
        <v>15.7933119498288</v>
      </c>
      <c r="I502" s="6">
        <v>16.3813039337894</v>
      </c>
      <c r="J502" s="6">
        <v>15.457744729286899</v>
      </c>
      <c r="K502" s="6">
        <v>15.585937273447399</v>
      </c>
      <c r="L502" s="6">
        <v>16.491383187413899</v>
      </c>
      <c r="M502" s="6">
        <v>14.708301925456601</v>
      </c>
      <c r="N502" s="6">
        <v>14.774813696176301</v>
      </c>
      <c r="O502" s="6">
        <v>15.800845148747401</v>
      </c>
      <c r="P502" s="6">
        <v>15.712471102309999</v>
      </c>
      <c r="Q502" s="6">
        <v>14.3848051416159</v>
      </c>
    </row>
    <row r="503" spans="1:17">
      <c r="A503" s="6" t="s">
        <v>7627</v>
      </c>
      <c r="B503" s="6" t="s">
        <v>7627</v>
      </c>
      <c r="C503" s="6" t="s">
        <v>7628</v>
      </c>
      <c r="D503" s="6" t="s">
        <v>7629</v>
      </c>
      <c r="E503" s="6" t="s">
        <v>7629</v>
      </c>
      <c r="F503" s="6">
        <v>16.1455460229656</v>
      </c>
      <c r="G503" s="6">
        <v>15.630430103385899</v>
      </c>
      <c r="H503" s="6">
        <v>15.9454063927201</v>
      </c>
      <c r="I503" s="6">
        <v>16.514455888763798</v>
      </c>
      <c r="J503" s="6" t="s">
        <v>6254</v>
      </c>
      <c r="K503" s="6" t="s">
        <v>6254</v>
      </c>
      <c r="L503" s="6">
        <v>16.187621756192701</v>
      </c>
      <c r="M503" s="6">
        <v>14.8534198450921</v>
      </c>
      <c r="N503" s="6">
        <v>16.017712553340299</v>
      </c>
      <c r="O503" s="6">
        <v>15.707771683344699</v>
      </c>
      <c r="P503" s="6">
        <v>15.9851012101126</v>
      </c>
      <c r="Q503" s="6" t="s">
        <v>6254</v>
      </c>
    </row>
    <row r="504" spans="1:17">
      <c r="A504" s="6" t="s">
        <v>3448</v>
      </c>
      <c r="B504" s="6" t="s">
        <v>3448</v>
      </c>
      <c r="C504" s="6" t="s">
        <v>7630</v>
      </c>
      <c r="D504" s="6" t="s">
        <v>7631</v>
      </c>
      <c r="E504" s="6" t="s">
        <v>7631</v>
      </c>
      <c r="F504" s="6" t="s">
        <v>6254</v>
      </c>
      <c r="G504" s="6" t="s">
        <v>6254</v>
      </c>
      <c r="H504" s="6">
        <v>15.783458063401801</v>
      </c>
      <c r="I504" s="6" t="s">
        <v>6254</v>
      </c>
      <c r="J504" s="6">
        <v>15.484413778532501</v>
      </c>
      <c r="K504" s="6">
        <v>16.943932356132802</v>
      </c>
      <c r="L504" s="6" t="s">
        <v>6254</v>
      </c>
      <c r="M504" s="6">
        <v>15.8796456730127</v>
      </c>
      <c r="N504" s="6" t="s">
        <v>6254</v>
      </c>
      <c r="O504" s="6" t="s">
        <v>6254</v>
      </c>
      <c r="P504" s="6" t="s">
        <v>6254</v>
      </c>
      <c r="Q504" s="6" t="s">
        <v>6254</v>
      </c>
    </row>
    <row r="505" spans="1:17">
      <c r="A505" s="6" t="s">
        <v>206</v>
      </c>
      <c r="B505" s="6" t="s">
        <v>206</v>
      </c>
      <c r="C505" s="6" t="s">
        <v>7632</v>
      </c>
      <c r="D505" s="6" t="s">
        <v>7633</v>
      </c>
      <c r="E505" s="6" t="s">
        <v>7633</v>
      </c>
      <c r="F505" s="6">
        <v>16.155196076261401</v>
      </c>
      <c r="G505" s="6">
        <v>15.5901626745193</v>
      </c>
      <c r="H505" s="6">
        <v>15.5429535290318</v>
      </c>
      <c r="I505" s="6">
        <v>16.3762579296884</v>
      </c>
      <c r="J505" s="6">
        <v>14.930993910207301</v>
      </c>
      <c r="K505" s="6">
        <v>15.544319662196299</v>
      </c>
      <c r="L505" s="6">
        <v>16.154961473501899</v>
      </c>
      <c r="M505" s="6">
        <v>14.543170365302201</v>
      </c>
      <c r="N505" s="6">
        <v>15.5655287689509</v>
      </c>
      <c r="O505" s="6">
        <v>16.173300058252899</v>
      </c>
      <c r="P505" s="6">
        <v>15.8181930394404</v>
      </c>
      <c r="Q505" s="6">
        <v>14.0132583663526</v>
      </c>
    </row>
    <row r="506" spans="1:17">
      <c r="A506" s="6" t="s">
        <v>578</v>
      </c>
      <c r="B506" s="6" t="s">
        <v>578</v>
      </c>
      <c r="C506" s="6" t="s">
        <v>7634</v>
      </c>
      <c r="D506" s="6" t="s">
        <v>7635</v>
      </c>
      <c r="E506" s="6" t="s">
        <v>7635</v>
      </c>
      <c r="F506" s="6">
        <v>15.967984880190301</v>
      </c>
      <c r="G506" s="6">
        <v>15.56271748771</v>
      </c>
      <c r="H506" s="6">
        <v>15.725459855543299</v>
      </c>
      <c r="I506" s="6">
        <v>16.162654204722799</v>
      </c>
      <c r="J506" s="6">
        <v>14.832214210152101</v>
      </c>
      <c r="K506" s="6">
        <v>15.558488325771799</v>
      </c>
      <c r="L506" s="6">
        <v>16.264855643526801</v>
      </c>
      <c r="M506" s="6">
        <v>14.8177964380998</v>
      </c>
      <c r="N506" s="6">
        <v>15.2192538359065</v>
      </c>
      <c r="O506" s="6">
        <v>15.6758526068843</v>
      </c>
      <c r="P506" s="6">
        <v>15.9288413850221</v>
      </c>
      <c r="Q506" s="6">
        <v>14.4599259945072</v>
      </c>
    </row>
    <row r="507" spans="1:17">
      <c r="A507" s="6" t="s">
        <v>1183</v>
      </c>
      <c r="B507" s="6" t="s">
        <v>1183</v>
      </c>
      <c r="C507" s="6" t="s">
        <v>7636</v>
      </c>
      <c r="D507" s="6" t="s">
        <v>7637</v>
      </c>
      <c r="E507" s="6" t="s">
        <v>7637</v>
      </c>
      <c r="F507" s="6">
        <v>15.7833989503502</v>
      </c>
      <c r="G507" s="6">
        <v>15.4378760664768</v>
      </c>
      <c r="H507" s="6">
        <v>15.835630630503401</v>
      </c>
      <c r="I507" s="6">
        <v>16.196982250466899</v>
      </c>
      <c r="J507" s="6">
        <v>15.0416728458533</v>
      </c>
      <c r="K507" s="6">
        <v>15.6694026967543</v>
      </c>
      <c r="L507" s="6">
        <v>16.085083432307201</v>
      </c>
      <c r="M507" s="6">
        <v>14.864799125877701</v>
      </c>
      <c r="N507" s="6">
        <v>14.8861435290925</v>
      </c>
      <c r="O507" s="6">
        <v>15.9120803402608</v>
      </c>
      <c r="P507" s="6">
        <v>15.734023791656499</v>
      </c>
      <c r="Q507" s="6">
        <v>14.5482939754793</v>
      </c>
    </row>
    <row r="508" spans="1:17">
      <c r="A508" s="6" t="s">
        <v>754</v>
      </c>
      <c r="B508" s="6" t="s">
        <v>754</v>
      </c>
      <c r="C508" s="6" t="s">
        <v>7638</v>
      </c>
      <c r="D508" s="6" t="s">
        <v>7639</v>
      </c>
      <c r="E508" s="6" t="s">
        <v>7639</v>
      </c>
      <c r="F508" s="6">
        <v>15.989578543792801</v>
      </c>
      <c r="G508" s="6">
        <v>15.4529718675246</v>
      </c>
      <c r="H508" s="6">
        <v>15.573095190228599</v>
      </c>
      <c r="I508" s="6">
        <v>16.246672146588899</v>
      </c>
      <c r="J508" s="6">
        <v>14.8140328187898</v>
      </c>
      <c r="K508" s="6">
        <v>15.382877524851899</v>
      </c>
      <c r="L508" s="6">
        <v>16.015772786641701</v>
      </c>
      <c r="M508" s="6">
        <v>14.8687186365885</v>
      </c>
      <c r="N508" s="6">
        <v>15.398434873731899</v>
      </c>
      <c r="O508" s="6">
        <v>15.8291702726594</v>
      </c>
      <c r="P508" s="6">
        <v>15.9261282259812</v>
      </c>
      <c r="Q508" s="6">
        <v>14.5490549131938</v>
      </c>
    </row>
    <row r="509" spans="1:17">
      <c r="A509" s="6" t="s">
        <v>7640</v>
      </c>
      <c r="B509" s="6" t="s">
        <v>7641</v>
      </c>
      <c r="C509" s="6" t="s">
        <v>7642</v>
      </c>
      <c r="D509" s="6" t="s">
        <v>7643</v>
      </c>
      <c r="E509" s="6" t="s">
        <v>7644</v>
      </c>
      <c r="F509" s="6">
        <v>16.172325998104299</v>
      </c>
      <c r="G509" s="6">
        <v>15.4201918446053</v>
      </c>
      <c r="H509" s="6">
        <v>15.575245315642</v>
      </c>
      <c r="I509" s="6">
        <v>16.276382712787701</v>
      </c>
      <c r="J509" s="6">
        <v>14.8216927386941</v>
      </c>
      <c r="K509" s="6" t="s">
        <v>6254</v>
      </c>
      <c r="L509" s="6">
        <v>15.885271746025101</v>
      </c>
      <c r="M509" s="6">
        <v>14.7028325799703</v>
      </c>
      <c r="N509" s="6">
        <v>15.2371631341172</v>
      </c>
      <c r="O509" s="6">
        <v>15.5848024196738</v>
      </c>
      <c r="P509" s="6">
        <v>15.580595655337</v>
      </c>
      <c r="Q509" s="6">
        <v>15.2315019007446</v>
      </c>
    </row>
    <row r="510" spans="1:17">
      <c r="A510" s="6" t="s">
        <v>7645</v>
      </c>
      <c r="B510" s="6" t="s">
        <v>7645</v>
      </c>
      <c r="C510" s="6" t="s">
        <v>7646</v>
      </c>
      <c r="D510" s="6" t="s">
        <v>7647</v>
      </c>
      <c r="E510" s="6" t="s">
        <v>7647</v>
      </c>
      <c r="F510" s="6">
        <v>15.278480966651699</v>
      </c>
      <c r="G510" s="6">
        <v>15.9872418700173</v>
      </c>
      <c r="H510" s="6">
        <v>15.083253125172501</v>
      </c>
      <c r="I510" s="6">
        <v>14.920425253158401</v>
      </c>
      <c r="J510" s="6">
        <v>15.0358693740656</v>
      </c>
      <c r="K510" s="6">
        <v>14.9122861867588</v>
      </c>
      <c r="L510" s="6">
        <v>15.917229002078299</v>
      </c>
      <c r="M510" s="6">
        <v>16.074084381933599</v>
      </c>
      <c r="N510" s="6">
        <v>15.400623976027701</v>
      </c>
      <c r="O510" s="6">
        <v>16.429334711576601</v>
      </c>
      <c r="P510" s="6">
        <v>15.870587325947</v>
      </c>
      <c r="Q510" s="6">
        <v>15.1952182050071</v>
      </c>
    </row>
    <row r="511" spans="1:17">
      <c r="A511" s="6" t="s">
        <v>1110</v>
      </c>
      <c r="B511" s="6" t="s">
        <v>1110</v>
      </c>
      <c r="C511" s="6" t="s">
        <v>7648</v>
      </c>
      <c r="D511" s="6" t="s">
        <v>7649</v>
      </c>
      <c r="E511" s="6" t="s">
        <v>7649</v>
      </c>
      <c r="F511" s="6">
        <v>16.337417842510401</v>
      </c>
      <c r="G511" s="6">
        <v>15.6672666352964</v>
      </c>
      <c r="H511" s="6">
        <v>15.3046856368852</v>
      </c>
      <c r="I511" s="6">
        <v>16.5315397777775</v>
      </c>
      <c r="J511" s="6">
        <v>15.062604446775699</v>
      </c>
      <c r="K511" s="6">
        <v>15.700312739409201</v>
      </c>
      <c r="L511" s="6">
        <v>15.8562428041852</v>
      </c>
      <c r="M511" s="6">
        <v>14.875032471451901</v>
      </c>
      <c r="N511" s="6">
        <v>14.9651106341037</v>
      </c>
      <c r="O511" s="6">
        <v>16.0509542354304</v>
      </c>
      <c r="P511" s="6">
        <v>16.2244795851303</v>
      </c>
      <c r="Q511" s="6">
        <v>14.566550006713401</v>
      </c>
    </row>
    <row r="512" spans="1:17">
      <c r="A512" s="6" t="s">
        <v>1172</v>
      </c>
      <c r="B512" s="6" t="s">
        <v>1172</v>
      </c>
      <c r="C512" s="6" t="s">
        <v>7650</v>
      </c>
      <c r="D512" s="6" t="s">
        <v>7651</v>
      </c>
      <c r="E512" s="6" t="s">
        <v>7651</v>
      </c>
      <c r="F512" s="6">
        <v>15.7330966210569</v>
      </c>
      <c r="G512" s="6">
        <v>15.855301365327</v>
      </c>
      <c r="H512" s="6">
        <v>15.183027824645899</v>
      </c>
      <c r="I512" s="6">
        <v>16.602763459212799</v>
      </c>
      <c r="J512" s="6">
        <v>14.9695589515671</v>
      </c>
      <c r="K512" s="6">
        <v>15.851986577528701</v>
      </c>
      <c r="L512" s="6">
        <v>15.768415610611401</v>
      </c>
      <c r="M512" s="6">
        <v>13.821071179733</v>
      </c>
      <c r="N512" s="6">
        <v>15.109901321848699</v>
      </c>
      <c r="O512" s="6">
        <v>16.002310829285101</v>
      </c>
      <c r="P512" s="6">
        <v>15.4549609257094</v>
      </c>
      <c r="Q512" s="6">
        <v>14.0001279948989</v>
      </c>
    </row>
    <row r="513" spans="1:17">
      <c r="A513" s="6" t="s">
        <v>825</v>
      </c>
      <c r="B513" s="6" t="s">
        <v>825</v>
      </c>
      <c r="C513" s="6" t="s">
        <v>7652</v>
      </c>
      <c r="D513" s="6" t="s">
        <v>7653</v>
      </c>
      <c r="E513" s="6" t="s">
        <v>7653</v>
      </c>
      <c r="F513" s="6">
        <v>15.704018660023999</v>
      </c>
      <c r="G513" s="6">
        <v>15.657272319593901</v>
      </c>
      <c r="H513" s="6">
        <v>15.6753843214294</v>
      </c>
      <c r="I513" s="6">
        <v>16.130305180082399</v>
      </c>
      <c r="J513" s="6">
        <v>14.867345468184601</v>
      </c>
      <c r="K513" s="6">
        <v>15.2769255771431</v>
      </c>
      <c r="L513" s="6">
        <v>15.965480278573001</v>
      </c>
      <c r="M513" s="6">
        <v>14.700468966917599</v>
      </c>
      <c r="N513" s="6">
        <v>15.734578900900001</v>
      </c>
      <c r="O513" s="6">
        <v>15.8956764831954</v>
      </c>
      <c r="P513" s="6">
        <v>15.889185250209</v>
      </c>
      <c r="Q513" s="6">
        <v>14.267870217480899</v>
      </c>
    </row>
    <row r="514" spans="1:17">
      <c r="A514" s="6" t="s">
        <v>7654</v>
      </c>
      <c r="B514" s="6" t="s">
        <v>7654</v>
      </c>
      <c r="C514" s="6" t="s">
        <v>7655</v>
      </c>
      <c r="D514" s="6" t="s">
        <v>7656</v>
      </c>
      <c r="E514" s="6" t="s">
        <v>7656</v>
      </c>
      <c r="F514" s="6">
        <v>16.316963014063301</v>
      </c>
      <c r="G514" s="6">
        <v>15.4252538955774</v>
      </c>
      <c r="H514" s="6">
        <v>15.7367219440029</v>
      </c>
      <c r="I514" s="6">
        <v>16.243283476804798</v>
      </c>
      <c r="J514" s="6">
        <v>14.798110464850399</v>
      </c>
      <c r="K514" s="6">
        <v>14.9178996766864</v>
      </c>
      <c r="L514" s="6">
        <v>15.877140294078</v>
      </c>
      <c r="M514" s="6">
        <v>14.474784228641401</v>
      </c>
      <c r="N514" s="6">
        <v>15.9997296583857</v>
      </c>
      <c r="O514" s="6">
        <v>16.043421893233798</v>
      </c>
      <c r="P514" s="6">
        <v>16.013555943224301</v>
      </c>
      <c r="Q514" s="6">
        <v>13.9942385737011</v>
      </c>
    </row>
    <row r="515" spans="1:17">
      <c r="A515" s="6" t="s">
        <v>7657</v>
      </c>
      <c r="B515" s="6" t="s">
        <v>7657</v>
      </c>
      <c r="C515" s="6" t="s">
        <v>7658</v>
      </c>
      <c r="D515" s="6" t="s">
        <v>7659</v>
      </c>
      <c r="E515" s="6" t="s">
        <v>7659</v>
      </c>
      <c r="F515" s="6">
        <v>15.8285798732804</v>
      </c>
      <c r="G515" s="6">
        <v>15.529533021920701</v>
      </c>
      <c r="H515" s="6">
        <v>15.720365101661599</v>
      </c>
      <c r="I515" s="6">
        <v>16.2015857525349</v>
      </c>
      <c r="J515" s="6">
        <v>14.888071322415399</v>
      </c>
      <c r="K515" s="6">
        <v>15.359547117909299</v>
      </c>
      <c r="L515" s="6">
        <v>16.151171359786002</v>
      </c>
      <c r="M515" s="6">
        <v>14.808041382711099</v>
      </c>
      <c r="N515" s="6">
        <v>15.5987116696159</v>
      </c>
      <c r="O515" s="6">
        <v>15.5870618493422</v>
      </c>
      <c r="P515" s="6">
        <v>15.1070923405365</v>
      </c>
      <c r="Q515" s="6">
        <v>14.2324026467117</v>
      </c>
    </row>
    <row r="516" spans="1:17">
      <c r="A516" s="6" t="s">
        <v>7660</v>
      </c>
      <c r="B516" s="6" t="s">
        <v>7661</v>
      </c>
      <c r="C516" s="6" t="s">
        <v>7662</v>
      </c>
      <c r="D516" s="6" t="s">
        <v>7663</v>
      </c>
      <c r="E516" s="6" t="s">
        <v>7664</v>
      </c>
      <c r="F516" s="6">
        <v>16.157619043776499</v>
      </c>
      <c r="G516" s="6">
        <v>15.717884764787501</v>
      </c>
      <c r="H516" s="6">
        <v>15.447040193719101</v>
      </c>
      <c r="I516" s="6">
        <v>16.087624721700202</v>
      </c>
      <c r="J516" s="6">
        <v>14.6935369093229</v>
      </c>
      <c r="K516" s="6">
        <v>15.3611971429343</v>
      </c>
      <c r="L516" s="6">
        <v>15.892555053236199</v>
      </c>
      <c r="M516" s="6">
        <v>14.5477639037492</v>
      </c>
      <c r="N516" s="6">
        <v>14.772788318281799</v>
      </c>
      <c r="O516" s="6">
        <v>15.9503973988955</v>
      </c>
      <c r="P516" s="6">
        <v>15.858547969124499</v>
      </c>
      <c r="Q516" s="6">
        <v>14.722181013569999</v>
      </c>
    </row>
    <row r="517" spans="1:17">
      <c r="A517" s="6" t="s">
        <v>1212</v>
      </c>
      <c r="B517" s="6" t="s">
        <v>1212</v>
      </c>
      <c r="C517" s="6" t="s">
        <v>7665</v>
      </c>
      <c r="D517" s="6" t="s">
        <v>7666</v>
      </c>
      <c r="E517" s="6" t="s">
        <v>7666</v>
      </c>
      <c r="F517" s="6">
        <v>15.7687731416272</v>
      </c>
      <c r="G517" s="6">
        <v>15.160125558730501</v>
      </c>
      <c r="H517" s="6">
        <v>15.6991893861224</v>
      </c>
      <c r="I517" s="6">
        <v>16.183063489992399</v>
      </c>
      <c r="J517" s="6">
        <v>14.7365851459327</v>
      </c>
      <c r="K517" s="6">
        <v>15.698587805088099</v>
      </c>
      <c r="L517" s="6">
        <v>16.202001942968799</v>
      </c>
      <c r="M517" s="6">
        <v>14.625556209862401</v>
      </c>
      <c r="N517" s="6">
        <v>15.072039529706601</v>
      </c>
      <c r="O517" s="6">
        <v>15.6974237025255</v>
      </c>
      <c r="P517" s="6">
        <v>15.6210888659242</v>
      </c>
      <c r="Q517" s="6">
        <v>13.9496329495919</v>
      </c>
    </row>
    <row r="518" spans="1:17">
      <c r="A518" s="6" t="s">
        <v>896</v>
      </c>
      <c r="B518" s="6" t="s">
        <v>896</v>
      </c>
      <c r="C518" s="6" t="s">
        <v>7667</v>
      </c>
      <c r="D518" s="6" t="s">
        <v>7668</v>
      </c>
      <c r="E518" s="6" t="s">
        <v>7668</v>
      </c>
      <c r="F518" s="6">
        <v>13.9140317860262</v>
      </c>
      <c r="G518" s="6">
        <v>14.720948203454</v>
      </c>
      <c r="H518" s="6">
        <v>15.0621408941381</v>
      </c>
      <c r="I518" s="6">
        <v>16.185918034374701</v>
      </c>
      <c r="J518" s="6">
        <v>15.0137626999713</v>
      </c>
      <c r="K518" s="6">
        <v>17.030528337295198</v>
      </c>
      <c r="L518" s="6">
        <v>17.676965963899999</v>
      </c>
      <c r="M518" s="6">
        <v>15.492358641407799</v>
      </c>
      <c r="N518" s="6">
        <v>17.352120936115099</v>
      </c>
      <c r="O518" s="6">
        <v>15.810642430166199</v>
      </c>
      <c r="P518" s="6">
        <v>15.3972797941015</v>
      </c>
      <c r="Q518" s="6">
        <v>14.4794817527821</v>
      </c>
    </row>
    <row r="519" spans="1:17">
      <c r="A519" s="6" t="s">
        <v>405</v>
      </c>
      <c r="B519" s="6" t="s">
        <v>407</v>
      </c>
      <c r="C519" s="6" t="s">
        <v>7669</v>
      </c>
      <c r="D519" s="6" t="s">
        <v>7670</v>
      </c>
      <c r="E519" s="6" t="s">
        <v>7671</v>
      </c>
      <c r="F519" s="6">
        <v>15.8540591598696</v>
      </c>
      <c r="G519" s="6">
        <v>15.4076340916461</v>
      </c>
      <c r="H519" s="6">
        <v>15.757771224249099</v>
      </c>
      <c r="I519" s="6">
        <v>16.023003266817501</v>
      </c>
      <c r="J519" s="6">
        <v>14.822832808283399</v>
      </c>
      <c r="K519" s="6">
        <v>15.222602947358</v>
      </c>
      <c r="L519" s="6">
        <v>15.86696307477</v>
      </c>
      <c r="M519" s="6">
        <v>14.791415374975999</v>
      </c>
      <c r="N519" s="6">
        <v>15.285056066657001</v>
      </c>
      <c r="O519" s="6">
        <v>16.009876833729599</v>
      </c>
      <c r="P519" s="6">
        <v>15.5697190493017</v>
      </c>
      <c r="Q519" s="6">
        <v>14.227140984994399</v>
      </c>
    </row>
    <row r="520" spans="1:17">
      <c r="A520" s="6" t="s">
        <v>1614</v>
      </c>
      <c r="B520" s="6" t="s">
        <v>1614</v>
      </c>
      <c r="C520" s="6" t="s">
        <v>7672</v>
      </c>
      <c r="D520" s="6" t="s">
        <v>7673</v>
      </c>
      <c r="E520" s="6" t="s">
        <v>7673</v>
      </c>
      <c r="F520" s="6">
        <v>15.9036330749593</v>
      </c>
      <c r="G520" s="6">
        <v>15.3348725635236</v>
      </c>
      <c r="H520" s="6">
        <v>15.6139935925163</v>
      </c>
      <c r="I520" s="6">
        <v>16.2088095166052</v>
      </c>
      <c r="J520" s="6">
        <v>14.9550010516522</v>
      </c>
      <c r="K520" s="6">
        <v>15.640057812430401</v>
      </c>
      <c r="L520" s="6">
        <v>16.118518716331401</v>
      </c>
      <c r="M520" s="6">
        <v>14.6355617377243</v>
      </c>
      <c r="N520" s="6">
        <v>15.370108946009401</v>
      </c>
      <c r="O520" s="6">
        <v>15.783312705444001</v>
      </c>
      <c r="P520" s="6">
        <v>15.765485486526201</v>
      </c>
      <c r="Q520" s="6">
        <v>14.315846458725201</v>
      </c>
    </row>
    <row r="521" spans="1:17">
      <c r="A521" s="6" t="s">
        <v>4722</v>
      </c>
      <c r="B521" s="6" t="s">
        <v>4722</v>
      </c>
      <c r="C521" s="6" t="s">
        <v>7674</v>
      </c>
      <c r="D521" s="6" t="s">
        <v>7675</v>
      </c>
      <c r="E521" s="6" t="s">
        <v>7675</v>
      </c>
      <c r="F521" s="6">
        <v>16.2753493004742</v>
      </c>
      <c r="G521" s="6">
        <v>15.5645614153739</v>
      </c>
      <c r="H521" s="6">
        <v>15.4925043883923</v>
      </c>
      <c r="I521" s="6">
        <v>16.203120002942399</v>
      </c>
      <c r="J521" s="6">
        <v>15.238974165227299</v>
      </c>
      <c r="K521" s="6">
        <v>15.4523174791369</v>
      </c>
      <c r="L521" s="6">
        <v>16.152667555258201</v>
      </c>
      <c r="M521" s="6">
        <v>14.7805101566652</v>
      </c>
      <c r="N521" s="6">
        <v>15.1301177186042</v>
      </c>
      <c r="O521" s="6">
        <v>15.5746224692832</v>
      </c>
      <c r="P521" s="6">
        <v>15.511118016625501</v>
      </c>
      <c r="Q521" s="6">
        <v>14.6938764991186</v>
      </c>
    </row>
    <row r="522" spans="1:17">
      <c r="A522" s="6" t="s">
        <v>2718</v>
      </c>
      <c r="B522" s="6" t="s">
        <v>2718</v>
      </c>
      <c r="C522" s="6" t="s">
        <v>7676</v>
      </c>
      <c r="D522" s="6" t="s">
        <v>7677</v>
      </c>
      <c r="E522" s="6" t="s">
        <v>7677</v>
      </c>
      <c r="F522" s="6">
        <v>15.949329184888899</v>
      </c>
      <c r="G522" s="6">
        <v>15.555391417149799</v>
      </c>
      <c r="H522" s="6">
        <v>15.470970161056099</v>
      </c>
      <c r="I522" s="6">
        <v>16.383074248631299</v>
      </c>
      <c r="J522" s="6">
        <v>14.796576560417799</v>
      </c>
      <c r="K522" s="6">
        <v>15.954569494901699</v>
      </c>
      <c r="L522" s="6">
        <v>16.153607305394299</v>
      </c>
      <c r="M522" s="6">
        <v>14.5084081823532</v>
      </c>
      <c r="N522" s="6">
        <v>14.4226339169625</v>
      </c>
      <c r="O522" s="6">
        <v>15.794406831559201</v>
      </c>
      <c r="P522" s="6">
        <v>15.575842033343401</v>
      </c>
      <c r="Q522" s="6">
        <v>14.4121023675287</v>
      </c>
    </row>
    <row r="523" spans="1:17">
      <c r="A523" s="6" t="s">
        <v>7678</v>
      </c>
      <c r="B523" s="6" t="s">
        <v>7678</v>
      </c>
      <c r="C523" s="6" t="s">
        <v>7679</v>
      </c>
      <c r="D523" s="6" t="s">
        <v>7680</v>
      </c>
      <c r="E523" s="6" t="s">
        <v>7680</v>
      </c>
      <c r="F523" s="6">
        <v>16.943039501623598</v>
      </c>
      <c r="G523" s="6">
        <v>16.180818463555902</v>
      </c>
      <c r="H523" s="6">
        <v>16.4150738157931</v>
      </c>
      <c r="I523" s="6">
        <v>13.496332406881701</v>
      </c>
      <c r="J523" s="6">
        <v>16.253535787823399</v>
      </c>
      <c r="K523" s="6" t="s">
        <v>6254</v>
      </c>
      <c r="L523" s="6">
        <v>13.0129456018688</v>
      </c>
      <c r="M523" s="6">
        <v>16.6066714478367</v>
      </c>
      <c r="N523" s="6" t="s">
        <v>6254</v>
      </c>
      <c r="O523" s="6" t="s">
        <v>6254</v>
      </c>
      <c r="P523" s="6" t="s">
        <v>6254</v>
      </c>
      <c r="Q523" s="6" t="s">
        <v>6254</v>
      </c>
    </row>
    <row r="524" spans="1:17">
      <c r="A524" s="6" t="s">
        <v>1209</v>
      </c>
      <c r="B524" s="6" t="s">
        <v>1209</v>
      </c>
      <c r="C524" s="6" t="s">
        <v>7681</v>
      </c>
      <c r="D524" s="6" t="s">
        <v>7682</v>
      </c>
      <c r="E524" s="6" t="s">
        <v>7682</v>
      </c>
      <c r="F524" s="6">
        <v>16.226033107745199</v>
      </c>
      <c r="G524" s="6">
        <v>15.5020091986972</v>
      </c>
      <c r="H524" s="6">
        <v>14.212716715916899</v>
      </c>
      <c r="I524" s="6">
        <v>16.454175873756402</v>
      </c>
      <c r="J524" s="6">
        <v>15.0878148492311</v>
      </c>
      <c r="K524" s="6">
        <v>15.407139712995599</v>
      </c>
      <c r="L524" s="6">
        <v>16.1672272773672</v>
      </c>
      <c r="M524" s="6">
        <v>15.244796659886299</v>
      </c>
      <c r="N524" s="6">
        <v>15.285443056197099</v>
      </c>
      <c r="O524" s="6">
        <v>15.4936835991944</v>
      </c>
      <c r="P524" s="6">
        <v>15.187594446467701</v>
      </c>
      <c r="Q524" s="6">
        <v>14.483378616022</v>
      </c>
    </row>
    <row r="525" spans="1:17">
      <c r="A525" s="6" t="s">
        <v>1124</v>
      </c>
      <c r="B525" s="6" t="s">
        <v>1124</v>
      </c>
      <c r="C525" s="6" t="s">
        <v>7683</v>
      </c>
      <c r="D525" s="6" t="s">
        <v>7684</v>
      </c>
      <c r="E525" s="6" t="s">
        <v>7684</v>
      </c>
      <c r="F525" s="6">
        <v>16.274786313091099</v>
      </c>
      <c r="G525" s="6">
        <v>15.6090846796078</v>
      </c>
      <c r="H525" s="6">
        <v>15.604762576733201</v>
      </c>
      <c r="I525" s="6">
        <v>16.277513854307401</v>
      </c>
      <c r="J525" s="6">
        <v>14.822484890286001</v>
      </c>
      <c r="K525" s="6">
        <v>15.413745851204499</v>
      </c>
      <c r="L525" s="6">
        <v>16.0283280685073</v>
      </c>
      <c r="M525" s="6">
        <v>14.767175378067799</v>
      </c>
      <c r="N525" s="6">
        <v>15.1096633618171</v>
      </c>
      <c r="O525" s="6">
        <v>16.019274655240999</v>
      </c>
      <c r="P525" s="6">
        <v>15.578229904673799</v>
      </c>
      <c r="Q525" s="6">
        <v>13.8807159121159</v>
      </c>
    </row>
    <row r="526" spans="1:17">
      <c r="A526" s="6" t="s">
        <v>7685</v>
      </c>
      <c r="B526" s="6" t="s">
        <v>7685</v>
      </c>
      <c r="C526" s="6" t="s">
        <v>7685</v>
      </c>
      <c r="D526" s="6" t="s">
        <v>7685</v>
      </c>
      <c r="E526" s="6" t="s">
        <v>7685</v>
      </c>
      <c r="F526" s="6">
        <v>15.4913365093095</v>
      </c>
      <c r="G526" s="6">
        <v>16.118942312467802</v>
      </c>
      <c r="H526" s="6">
        <v>15.904952614236199</v>
      </c>
      <c r="I526" s="6">
        <v>17.724500294822001</v>
      </c>
      <c r="J526" s="6">
        <v>16.2616570422243</v>
      </c>
      <c r="K526" s="6">
        <v>14.309101632037599</v>
      </c>
      <c r="L526" s="6">
        <v>18.620719414370601</v>
      </c>
      <c r="M526" s="6">
        <v>16.608780365118101</v>
      </c>
      <c r="N526" s="6">
        <v>16.917596289700601</v>
      </c>
      <c r="O526" s="6">
        <v>14.357379161629501</v>
      </c>
      <c r="P526" s="6">
        <v>14.806897239229301</v>
      </c>
      <c r="Q526" s="6">
        <v>15.5451704536167</v>
      </c>
    </row>
    <row r="527" spans="1:17">
      <c r="A527" s="6" t="s">
        <v>2334</v>
      </c>
      <c r="B527" s="6" t="s">
        <v>2334</v>
      </c>
      <c r="C527" s="6" t="s">
        <v>7686</v>
      </c>
      <c r="D527" s="6" t="s">
        <v>7687</v>
      </c>
      <c r="E527" s="6" t="s">
        <v>7687</v>
      </c>
      <c r="F527" s="6">
        <v>15.6065092872026</v>
      </c>
      <c r="G527" s="6">
        <v>15.573906597866401</v>
      </c>
      <c r="H527" s="6">
        <v>15.5692269847319</v>
      </c>
      <c r="I527" s="6">
        <v>16.1897470946036</v>
      </c>
      <c r="J527" s="6">
        <v>14.7430995925786</v>
      </c>
      <c r="K527" s="6">
        <v>15.261118805253</v>
      </c>
      <c r="L527" s="6">
        <v>16.0790849127808</v>
      </c>
      <c r="M527" s="6">
        <v>14.2736442701465</v>
      </c>
      <c r="N527" s="6">
        <v>15.414634884375699</v>
      </c>
      <c r="O527" s="6">
        <v>15.7651332167422</v>
      </c>
      <c r="P527" s="6">
        <v>15.390494774724299</v>
      </c>
      <c r="Q527" s="6">
        <v>14.9939446111336</v>
      </c>
    </row>
    <row r="528" spans="1:17">
      <c r="A528" s="6" t="s">
        <v>1600</v>
      </c>
      <c r="B528" s="6" t="s">
        <v>1600</v>
      </c>
      <c r="C528" s="6" t="s">
        <v>7688</v>
      </c>
      <c r="D528" s="6" t="s">
        <v>7689</v>
      </c>
      <c r="E528" s="6" t="s">
        <v>7689</v>
      </c>
      <c r="F528" s="6" t="s">
        <v>6254</v>
      </c>
      <c r="G528" s="6" t="s">
        <v>6254</v>
      </c>
      <c r="H528" s="6">
        <v>18.5395741284797</v>
      </c>
      <c r="I528" s="6" t="s">
        <v>6254</v>
      </c>
      <c r="J528" s="6">
        <v>16.065972353227</v>
      </c>
      <c r="K528" s="6">
        <v>16.9698727003831</v>
      </c>
      <c r="L528" s="6">
        <v>18.1073040892907</v>
      </c>
      <c r="M528" s="6">
        <v>15.2645200015659</v>
      </c>
      <c r="N528" s="6" t="s">
        <v>6254</v>
      </c>
      <c r="O528" s="6" t="s">
        <v>6254</v>
      </c>
      <c r="P528" s="6" t="s">
        <v>6254</v>
      </c>
      <c r="Q528" s="6">
        <v>17.823702844223899</v>
      </c>
    </row>
    <row r="529" spans="1:17">
      <c r="A529" s="6" t="s">
        <v>7690</v>
      </c>
      <c r="B529" s="6" t="s">
        <v>7690</v>
      </c>
      <c r="C529" s="6" t="s">
        <v>7691</v>
      </c>
      <c r="D529" s="6" t="s">
        <v>7692</v>
      </c>
      <c r="E529" s="6" t="s">
        <v>7692</v>
      </c>
      <c r="F529" s="6">
        <v>16.653392716506399</v>
      </c>
      <c r="G529" s="6">
        <v>15.7131148746675</v>
      </c>
      <c r="H529" s="6">
        <v>15.506775009092699</v>
      </c>
      <c r="I529" s="6">
        <v>16.3863734135169</v>
      </c>
      <c r="J529" s="6">
        <v>14.9515109307623</v>
      </c>
      <c r="K529" s="6">
        <v>15.438602100204999</v>
      </c>
      <c r="L529" s="6">
        <v>13.328535799428799</v>
      </c>
      <c r="M529" s="6">
        <v>15.2522696889357</v>
      </c>
      <c r="N529" s="6" t="s">
        <v>6254</v>
      </c>
      <c r="O529" s="6">
        <v>15.5029026419656</v>
      </c>
      <c r="P529" s="6">
        <v>15.521523795197099</v>
      </c>
      <c r="Q529" s="6" t="s">
        <v>6254</v>
      </c>
    </row>
    <row r="530" spans="1:17">
      <c r="A530" s="6" t="s">
        <v>7693</v>
      </c>
      <c r="B530" s="6" t="s">
        <v>7694</v>
      </c>
      <c r="C530" s="6" t="s">
        <v>7695</v>
      </c>
      <c r="D530" s="6" t="s">
        <v>7696</v>
      </c>
      <c r="E530" s="6" t="s">
        <v>7697</v>
      </c>
      <c r="F530" s="6" t="s">
        <v>6254</v>
      </c>
      <c r="G530" s="6" t="s">
        <v>6254</v>
      </c>
      <c r="H530" s="6">
        <v>14.886819872466701</v>
      </c>
      <c r="I530" s="6">
        <v>15.9938536809462</v>
      </c>
      <c r="J530" s="6" t="s">
        <v>6254</v>
      </c>
      <c r="K530" s="6">
        <v>14.5553740185898</v>
      </c>
      <c r="L530" s="6">
        <v>17.527733698907799</v>
      </c>
      <c r="M530" s="6" t="s">
        <v>6254</v>
      </c>
      <c r="N530" s="6" t="s">
        <v>6254</v>
      </c>
      <c r="O530" s="6" t="s">
        <v>6254</v>
      </c>
      <c r="P530" s="6" t="s">
        <v>6254</v>
      </c>
      <c r="Q530" s="6" t="s">
        <v>6254</v>
      </c>
    </row>
    <row r="531" spans="1:17">
      <c r="A531" s="6" t="s">
        <v>7698</v>
      </c>
      <c r="B531" s="6" t="s">
        <v>7699</v>
      </c>
      <c r="C531" s="6" t="s">
        <v>7700</v>
      </c>
      <c r="D531" s="6" t="s">
        <v>7701</v>
      </c>
      <c r="E531" s="6" t="s">
        <v>7702</v>
      </c>
      <c r="F531" s="6">
        <v>15.968135383143</v>
      </c>
      <c r="G531" s="6">
        <v>16.108904265097198</v>
      </c>
      <c r="H531" s="6">
        <v>15.314927848528599</v>
      </c>
      <c r="I531" s="6">
        <v>16.1778338114942</v>
      </c>
      <c r="J531" s="6">
        <v>15.3551687468136</v>
      </c>
      <c r="K531" s="6">
        <v>15.436635783507301</v>
      </c>
      <c r="L531" s="6">
        <v>16.528265423718501</v>
      </c>
      <c r="M531" s="6">
        <v>14.930899334584099</v>
      </c>
      <c r="N531" s="6" t="s">
        <v>6254</v>
      </c>
      <c r="O531" s="6">
        <v>14.5377693003699</v>
      </c>
      <c r="P531" s="6">
        <v>16.333091034881601</v>
      </c>
      <c r="Q531" s="6">
        <v>14.517356360434</v>
      </c>
    </row>
    <row r="532" spans="1:17">
      <c r="A532" s="6" t="s">
        <v>7703</v>
      </c>
      <c r="B532" s="6" t="s">
        <v>7704</v>
      </c>
      <c r="C532" s="6" t="s">
        <v>7705</v>
      </c>
      <c r="D532" s="6" t="s">
        <v>7706</v>
      </c>
      <c r="E532" s="6" t="s">
        <v>7707</v>
      </c>
      <c r="F532" s="6">
        <v>16.0039610195183</v>
      </c>
      <c r="G532" s="6">
        <v>15.4034627832913</v>
      </c>
      <c r="H532" s="6">
        <v>15.5367286919655</v>
      </c>
      <c r="I532" s="6">
        <v>16.236857100049999</v>
      </c>
      <c r="J532" s="6">
        <v>14.790483593092899</v>
      </c>
      <c r="K532" s="6">
        <v>15.4781976942886</v>
      </c>
      <c r="L532" s="6">
        <v>15.915502994081001</v>
      </c>
      <c r="M532" s="6">
        <v>14.6953806888054</v>
      </c>
      <c r="N532" s="6">
        <v>15.002594249611301</v>
      </c>
      <c r="O532" s="6">
        <v>15.9764796408483</v>
      </c>
      <c r="P532" s="6">
        <v>15.883135735582201</v>
      </c>
      <c r="Q532" s="6">
        <v>14.302996010868499</v>
      </c>
    </row>
    <row r="533" spans="1:17">
      <c r="A533" s="6" t="s">
        <v>7708</v>
      </c>
      <c r="B533" s="6" t="s">
        <v>7709</v>
      </c>
      <c r="C533" s="6" t="s">
        <v>7710</v>
      </c>
      <c r="D533" s="6" t="s">
        <v>7711</v>
      </c>
      <c r="E533" s="6" t="s">
        <v>7712</v>
      </c>
      <c r="F533" s="6">
        <v>14.7379153213443</v>
      </c>
      <c r="G533" s="6">
        <v>15.132645673155499</v>
      </c>
      <c r="H533" s="6">
        <v>16.156008308653401</v>
      </c>
      <c r="I533" s="6">
        <v>16.544011036059199</v>
      </c>
      <c r="J533" s="6">
        <v>14.865631859313</v>
      </c>
      <c r="K533" s="6">
        <v>15.4415756709449</v>
      </c>
      <c r="L533" s="6">
        <v>16.935085077276199</v>
      </c>
      <c r="M533" s="6">
        <v>15.354014005657399</v>
      </c>
      <c r="N533" s="6">
        <v>15.4517144193783</v>
      </c>
      <c r="O533" s="6">
        <v>15.580120168111</v>
      </c>
      <c r="P533" s="6">
        <v>14.517469819459301</v>
      </c>
      <c r="Q533" s="6">
        <v>13.872998342817001</v>
      </c>
    </row>
    <row r="534" spans="1:17">
      <c r="A534" s="6" t="s">
        <v>1668</v>
      </c>
      <c r="B534" s="6" t="s">
        <v>1668</v>
      </c>
      <c r="C534" s="6" t="s">
        <v>7713</v>
      </c>
      <c r="D534" s="6" t="s">
        <v>7714</v>
      </c>
      <c r="E534" s="6" t="s">
        <v>7714</v>
      </c>
      <c r="F534" s="6">
        <v>15.8676502311645</v>
      </c>
      <c r="G534" s="6">
        <v>15.363138540951701</v>
      </c>
      <c r="H534" s="6">
        <v>16.246442921661298</v>
      </c>
      <c r="I534" s="6">
        <v>15.7563782515357</v>
      </c>
      <c r="J534" s="6">
        <v>14.5155892555227</v>
      </c>
      <c r="K534" s="6">
        <v>15.442976095209101</v>
      </c>
      <c r="L534" s="6">
        <v>15.444856747369601</v>
      </c>
      <c r="M534" s="6">
        <v>14.3383668846965</v>
      </c>
      <c r="N534" s="6">
        <v>15.8414229383141</v>
      </c>
      <c r="O534" s="6">
        <v>15.415350537384199</v>
      </c>
      <c r="P534" s="6">
        <v>15.5275109134878</v>
      </c>
      <c r="Q534" s="6">
        <v>13.794077960973</v>
      </c>
    </row>
    <row r="535" spans="1:17">
      <c r="A535" s="6" t="s">
        <v>7715</v>
      </c>
      <c r="B535" s="6" t="s">
        <v>7715</v>
      </c>
      <c r="C535" s="6" t="s">
        <v>7715</v>
      </c>
      <c r="D535" s="6" t="s">
        <v>7715</v>
      </c>
      <c r="E535" s="6" t="s">
        <v>7715</v>
      </c>
      <c r="F535" s="6">
        <v>16.2785684689735</v>
      </c>
      <c r="G535" s="6">
        <v>16.168516322584701</v>
      </c>
      <c r="H535" s="6">
        <v>15.313518903245701</v>
      </c>
      <c r="I535" s="6" t="s">
        <v>6254</v>
      </c>
      <c r="J535" s="6">
        <v>14.5449770135889</v>
      </c>
      <c r="K535" s="6" t="s">
        <v>6254</v>
      </c>
      <c r="L535" s="6" t="s">
        <v>6254</v>
      </c>
      <c r="M535" s="6">
        <v>15.0673078965428</v>
      </c>
      <c r="N535" s="6" t="s">
        <v>6254</v>
      </c>
      <c r="O535" s="6">
        <v>15.818453058826201</v>
      </c>
      <c r="P535" s="6" t="s">
        <v>6254</v>
      </c>
      <c r="Q535" s="6" t="s">
        <v>6254</v>
      </c>
    </row>
    <row r="536" spans="1:17">
      <c r="A536" s="6" t="s">
        <v>879</v>
      </c>
      <c r="B536" s="6" t="s">
        <v>879</v>
      </c>
      <c r="C536" s="6" t="s">
        <v>7716</v>
      </c>
      <c r="D536" s="6" t="s">
        <v>7717</v>
      </c>
      <c r="E536" s="6" t="s">
        <v>7717</v>
      </c>
      <c r="F536" s="6">
        <v>14.7497619830933</v>
      </c>
      <c r="G536" s="6">
        <v>15.8403195691906</v>
      </c>
      <c r="H536" s="6">
        <v>15.6344450529288</v>
      </c>
      <c r="I536" s="6">
        <v>15.6711116480472</v>
      </c>
      <c r="J536" s="6">
        <v>15.4367813988795</v>
      </c>
      <c r="K536" s="6">
        <v>15.8301504589889</v>
      </c>
      <c r="L536" s="6">
        <v>15.4408111166412</v>
      </c>
      <c r="M536" s="6">
        <v>15.789574662458101</v>
      </c>
      <c r="N536" s="6">
        <v>15.0532782003819</v>
      </c>
      <c r="O536" s="6">
        <v>15.6592519311475</v>
      </c>
      <c r="P536" s="6">
        <v>15.8089324373469</v>
      </c>
      <c r="Q536" s="6">
        <v>16.022724648613298</v>
      </c>
    </row>
    <row r="537" spans="1:17">
      <c r="A537" s="6" t="s">
        <v>261</v>
      </c>
      <c r="B537" s="6" t="s">
        <v>261</v>
      </c>
      <c r="C537" s="6" t="s">
        <v>7718</v>
      </c>
      <c r="D537" s="6" t="s">
        <v>7719</v>
      </c>
      <c r="E537" s="6" t="s">
        <v>7719</v>
      </c>
      <c r="F537" s="6">
        <v>15.8200269505316</v>
      </c>
      <c r="G537" s="6">
        <v>15.394573876845699</v>
      </c>
      <c r="H537" s="6">
        <v>15.5556691862569</v>
      </c>
      <c r="I537" s="6">
        <v>16.013873038810701</v>
      </c>
      <c r="J537" s="6">
        <v>14.8012330607305</v>
      </c>
      <c r="K537" s="6">
        <v>15.2139428395101</v>
      </c>
      <c r="L537" s="6">
        <v>16.114591888762401</v>
      </c>
      <c r="M537" s="6">
        <v>14.757525113756</v>
      </c>
      <c r="N537" s="6">
        <v>15.476377628758099</v>
      </c>
      <c r="O537" s="6">
        <v>15.8789272816169</v>
      </c>
      <c r="P537" s="6">
        <v>15.689766428428699</v>
      </c>
      <c r="Q537" s="6">
        <v>14.230206589777101</v>
      </c>
    </row>
    <row r="538" spans="1:17">
      <c r="A538" s="6" t="s">
        <v>3002</v>
      </c>
      <c r="B538" s="6" t="s">
        <v>3004</v>
      </c>
      <c r="C538" s="6" t="s">
        <v>7720</v>
      </c>
      <c r="D538" s="6" t="s">
        <v>7721</v>
      </c>
      <c r="E538" s="6" t="s">
        <v>7722</v>
      </c>
      <c r="F538" s="6">
        <v>14.3012261443154</v>
      </c>
      <c r="G538" s="6">
        <v>14.713435763885</v>
      </c>
      <c r="H538" s="6">
        <v>15.811259657954</v>
      </c>
      <c r="I538" s="6">
        <v>16.494022633162601</v>
      </c>
      <c r="J538" s="6">
        <v>15.348891797003001</v>
      </c>
      <c r="K538" s="6">
        <v>15.8252327219059</v>
      </c>
      <c r="L538" s="6">
        <v>16.401972215822099</v>
      </c>
      <c r="M538" s="6">
        <v>14.892903405778499</v>
      </c>
      <c r="N538" s="6">
        <v>15.1175383276401</v>
      </c>
      <c r="O538" s="6">
        <v>15.0758473975929</v>
      </c>
      <c r="P538" s="6">
        <v>14.8182555382893</v>
      </c>
      <c r="Q538" s="6">
        <v>14.592552300287601</v>
      </c>
    </row>
    <row r="539" spans="1:17">
      <c r="A539" s="6" t="s">
        <v>7723</v>
      </c>
      <c r="B539" s="6" t="s">
        <v>1127</v>
      </c>
      <c r="C539" s="6" t="s">
        <v>7724</v>
      </c>
      <c r="D539" s="6" t="s">
        <v>7725</v>
      </c>
      <c r="E539" s="6" t="s">
        <v>7726</v>
      </c>
      <c r="F539" s="6">
        <v>16.0223537280092</v>
      </c>
      <c r="G539" s="6">
        <v>15.3024622092634</v>
      </c>
      <c r="H539" s="6">
        <v>15.3937730814087</v>
      </c>
      <c r="I539" s="6">
        <v>16.168245430410501</v>
      </c>
      <c r="J539" s="6">
        <v>14.5342431637257</v>
      </c>
      <c r="K539" s="6">
        <v>15.298450921479899</v>
      </c>
      <c r="L539" s="6">
        <v>15.760909319953999</v>
      </c>
      <c r="M539" s="6">
        <v>14.5534405960077</v>
      </c>
      <c r="N539" s="6">
        <v>15.5349393535642</v>
      </c>
      <c r="O539" s="6">
        <v>15.834998038868299</v>
      </c>
      <c r="P539" s="6">
        <v>16.112008432181199</v>
      </c>
      <c r="Q539" s="6">
        <v>14.360368893696601</v>
      </c>
    </row>
    <row r="540" spans="1:17">
      <c r="A540" s="6" t="s">
        <v>1379</v>
      </c>
      <c r="B540" s="6" t="s">
        <v>1379</v>
      </c>
      <c r="C540" s="6" t="s">
        <v>7727</v>
      </c>
      <c r="D540" s="6" t="s">
        <v>7728</v>
      </c>
      <c r="E540" s="6" t="s">
        <v>7728</v>
      </c>
      <c r="F540" s="6">
        <v>15.7178531150811</v>
      </c>
      <c r="G540" s="6">
        <v>15.4645701270526</v>
      </c>
      <c r="H540" s="6">
        <v>15.6936257355393</v>
      </c>
      <c r="I540" s="6">
        <v>16.091621964788001</v>
      </c>
      <c r="J540" s="6">
        <v>14.813808183024699</v>
      </c>
      <c r="K540" s="6">
        <v>15.313998375482599</v>
      </c>
      <c r="L540" s="6">
        <v>15.865996564518699</v>
      </c>
      <c r="M540" s="6">
        <v>14.6789339335417</v>
      </c>
      <c r="N540" s="6">
        <v>14.8543838818546</v>
      </c>
      <c r="O540" s="6">
        <v>15.6988159470793</v>
      </c>
      <c r="P540" s="6">
        <v>15.8110072020012</v>
      </c>
      <c r="Q540" s="6">
        <v>14.5598243507348</v>
      </c>
    </row>
    <row r="541" spans="1:17">
      <c r="A541" s="6" t="s">
        <v>7729</v>
      </c>
      <c r="B541" s="6" t="s">
        <v>7730</v>
      </c>
      <c r="C541" s="6" t="s">
        <v>7731</v>
      </c>
      <c r="D541" s="6" t="s">
        <v>7732</v>
      </c>
      <c r="E541" s="6" t="s">
        <v>7733</v>
      </c>
      <c r="F541" s="6">
        <v>17.151181524452301</v>
      </c>
      <c r="G541" s="6">
        <v>16.808232251355701</v>
      </c>
      <c r="H541" s="6">
        <v>16.536689206048301</v>
      </c>
      <c r="I541" s="6">
        <v>17.215356346367699</v>
      </c>
      <c r="J541" s="6">
        <v>15.857433778752</v>
      </c>
      <c r="K541" s="6">
        <v>16.848074277602201</v>
      </c>
      <c r="L541" s="6">
        <v>11.802366840060101</v>
      </c>
      <c r="M541" s="6" t="s">
        <v>6254</v>
      </c>
      <c r="N541" s="6" t="s">
        <v>6254</v>
      </c>
      <c r="O541" s="6">
        <v>16.705107911711</v>
      </c>
      <c r="P541" s="6">
        <v>16.8830428852878</v>
      </c>
      <c r="Q541" s="6">
        <v>15.141023560870901</v>
      </c>
    </row>
    <row r="542" spans="1:17">
      <c r="A542" s="6" t="s">
        <v>7734</v>
      </c>
      <c r="B542" s="6" t="s">
        <v>7734</v>
      </c>
      <c r="C542" s="6" t="s">
        <v>7735</v>
      </c>
      <c r="D542" s="6" t="s">
        <v>7736</v>
      </c>
      <c r="E542" s="6" t="s">
        <v>7736</v>
      </c>
      <c r="F542" s="6">
        <v>15.934035685021099</v>
      </c>
      <c r="G542" s="6">
        <v>15.562377193848601</v>
      </c>
      <c r="H542" s="6">
        <v>14.970113662833199</v>
      </c>
      <c r="I542" s="6">
        <v>16.081313287291401</v>
      </c>
      <c r="J542" s="6">
        <v>14.825546601989901</v>
      </c>
      <c r="K542" s="6">
        <v>15.924432972809999</v>
      </c>
      <c r="L542" s="6">
        <v>15.8735398156574</v>
      </c>
      <c r="M542" s="6">
        <v>15.041175284262399</v>
      </c>
      <c r="N542" s="6">
        <v>15.0292860142031</v>
      </c>
      <c r="O542" s="6">
        <v>15.581278864342501</v>
      </c>
      <c r="P542" s="6">
        <v>15.5798436732328</v>
      </c>
      <c r="Q542" s="6" t="s">
        <v>6254</v>
      </c>
    </row>
    <row r="543" spans="1:17">
      <c r="A543" s="6" t="s">
        <v>816</v>
      </c>
      <c r="B543" s="6" t="s">
        <v>816</v>
      </c>
      <c r="C543" s="6" t="s">
        <v>7737</v>
      </c>
      <c r="D543" s="6" t="s">
        <v>7738</v>
      </c>
      <c r="E543" s="6" t="s">
        <v>7738</v>
      </c>
      <c r="F543" s="6">
        <v>16.106314321045701</v>
      </c>
      <c r="G543" s="6">
        <v>15.5293980613034</v>
      </c>
      <c r="H543" s="6">
        <v>15.5017225037685</v>
      </c>
      <c r="I543" s="6">
        <v>16.055554578354101</v>
      </c>
      <c r="J543" s="6">
        <v>14.876039445317501</v>
      </c>
      <c r="K543" s="6">
        <v>15.451682455672501</v>
      </c>
      <c r="L543" s="6">
        <v>15.739436955327999</v>
      </c>
      <c r="M543" s="6">
        <v>14.6706481764781</v>
      </c>
      <c r="N543" s="6">
        <v>14.7678395610188</v>
      </c>
      <c r="O543" s="6">
        <v>15.73057847504</v>
      </c>
      <c r="P543" s="6">
        <v>15.781205509131601</v>
      </c>
      <c r="Q543" s="6">
        <v>14.4556191474359</v>
      </c>
    </row>
    <row r="544" spans="1:17">
      <c r="A544" s="6" t="s">
        <v>743</v>
      </c>
      <c r="B544" s="6" t="s">
        <v>743</v>
      </c>
      <c r="C544" s="6" t="s">
        <v>7739</v>
      </c>
      <c r="D544" s="6" t="s">
        <v>7740</v>
      </c>
      <c r="E544" s="6" t="s">
        <v>7740</v>
      </c>
      <c r="F544" s="6">
        <v>15.980541672511601</v>
      </c>
      <c r="G544" s="6">
        <v>14.8928283208542</v>
      </c>
      <c r="H544" s="6">
        <v>15.328823830017599</v>
      </c>
      <c r="I544" s="6">
        <v>15.9677280425154</v>
      </c>
      <c r="J544" s="6">
        <v>15.0873308816709</v>
      </c>
      <c r="K544" s="6">
        <v>15.52826247142</v>
      </c>
      <c r="L544" s="6">
        <v>16.2287198036381</v>
      </c>
      <c r="M544" s="6">
        <v>15.3506354598603</v>
      </c>
      <c r="N544" s="6">
        <v>15.783565829952799</v>
      </c>
      <c r="O544" s="6">
        <v>15.5031632356252</v>
      </c>
      <c r="P544" s="6">
        <v>15.385219246377901</v>
      </c>
      <c r="Q544" s="6">
        <v>14.1075089596516</v>
      </c>
    </row>
    <row r="545" spans="1:17">
      <c r="A545" s="6" t="s">
        <v>4815</v>
      </c>
      <c r="B545" s="6" t="s">
        <v>4815</v>
      </c>
      <c r="C545" s="6" t="s">
        <v>7741</v>
      </c>
      <c r="D545" s="6" t="s">
        <v>2275</v>
      </c>
      <c r="E545" s="6" t="s">
        <v>2275</v>
      </c>
      <c r="F545" s="6">
        <v>15.3098249653581</v>
      </c>
      <c r="G545" s="6">
        <v>16.552461248415799</v>
      </c>
      <c r="H545" s="6">
        <v>16.065948991872201</v>
      </c>
      <c r="I545" s="6">
        <v>14.665010037582199</v>
      </c>
      <c r="J545" s="6">
        <v>15.236979078387799</v>
      </c>
      <c r="K545" s="6">
        <v>15.5066343907303</v>
      </c>
      <c r="L545" s="6">
        <v>16.6280984492664</v>
      </c>
      <c r="M545" s="6">
        <v>16.5069403567365</v>
      </c>
      <c r="N545" s="6">
        <v>16.176219134159901</v>
      </c>
      <c r="O545" s="6">
        <v>15.0248116852298</v>
      </c>
      <c r="P545" s="6">
        <v>15.2385206900575</v>
      </c>
      <c r="Q545" s="6">
        <v>13.5349536689377</v>
      </c>
    </row>
    <row r="546" spans="1:17">
      <c r="A546" s="6" t="s">
        <v>7742</v>
      </c>
      <c r="B546" s="6" t="s">
        <v>7743</v>
      </c>
      <c r="C546" s="6" t="s">
        <v>7744</v>
      </c>
      <c r="D546" s="6" t="s">
        <v>7745</v>
      </c>
      <c r="E546" s="6" t="s">
        <v>7746</v>
      </c>
      <c r="F546" s="6">
        <v>15.8138463056895</v>
      </c>
      <c r="G546" s="6">
        <v>15.2924442132654</v>
      </c>
      <c r="H546" s="6">
        <v>15.243163389849199</v>
      </c>
      <c r="I546" s="6">
        <v>16.172405081439301</v>
      </c>
      <c r="J546" s="6">
        <v>14.7519107424657</v>
      </c>
      <c r="K546" s="6">
        <v>15.385152721969099</v>
      </c>
      <c r="L546" s="6">
        <v>15.9169561883922</v>
      </c>
      <c r="M546" s="6">
        <v>14.5744236717872</v>
      </c>
      <c r="N546" s="6">
        <v>15.0109973794469</v>
      </c>
      <c r="O546" s="6">
        <v>15.2803915482286</v>
      </c>
      <c r="P546" s="6">
        <v>15.5216709179512</v>
      </c>
      <c r="Q546" s="6">
        <v>14.652985745524401</v>
      </c>
    </row>
    <row r="547" spans="1:17">
      <c r="A547" s="6" t="s">
        <v>1331</v>
      </c>
      <c r="B547" s="6" t="s">
        <v>1331</v>
      </c>
      <c r="C547" s="6" t="s">
        <v>7747</v>
      </c>
      <c r="D547" s="6" t="s">
        <v>7748</v>
      </c>
      <c r="E547" s="6" t="s">
        <v>7748</v>
      </c>
      <c r="F547" s="6">
        <v>15.793880398014799</v>
      </c>
      <c r="G547" s="6">
        <v>15.554208189581701</v>
      </c>
      <c r="H547" s="6">
        <v>15.781463286770601</v>
      </c>
      <c r="I547" s="6">
        <v>15.9853327089491</v>
      </c>
      <c r="J547" s="6">
        <v>14.6434036263518</v>
      </c>
      <c r="K547" s="6">
        <v>15.7538753774193</v>
      </c>
      <c r="L547" s="6">
        <v>16.259148984093901</v>
      </c>
      <c r="M547" s="6">
        <v>13.958103875665699</v>
      </c>
      <c r="N547" s="6">
        <v>14.272030533249399</v>
      </c>
      <c r="O547" s="6">
        <v>15.3051698309248</v>
      </c>
      <c r="P547" s="6">
        <v>15.7996414090693</v>
      </c>
      <c r="Q547" s="6">
        <v>13.901845059201101</v>
      </c>
    </row>
    <row r="548" spans="1:17">
      <c r="A548" s="6" t="s">
        <v>393</v>
      </c>
      <c r="B548" s="6" t="s">
        <v>393</v>
      </c>
      <c r="C548" s="6" t="s">
        <v>7749</v>
      </c>
      <c r="D548" s="6" t="s">
        <v>7750</v>
      </c>
      <c r="E548" s="6" t="s">
        <v>7750</v>
      </c>
      <c r="F548" s="6">
        <v>15.6653747172741</v>
      </c>
      <c r="G548" s="6">
        <v>15.2222621866406</v>
      </c>
      <c r="H548" s="6">
        <v>15.2259815062173</v>
      </c>
      <c r="I548" s="6">
        <v>15.9876013014837</v>
      </c>
      <c r="J548" s="6">
        <v>14.5456234677151</v>
      </c>
      <c r="K548" s="6">
        <v>14.9637519940513</v>
      </c>
      <c r="L548" s="6">
        <v>15.8719704511291</v>
      </c>
      <c r="M548" s="6">
        <v>14.585598200189599</v>
      </c>
      <c r="N548" s="6">
        <v>15.3620562251308</v>
      </c>
      <c r="O548" s="6">
        <v>15.973862599194799</v>
      </c>
      <c r="P548" s="6">
        <v>15.626702230926499</v>
      </c>
      <c r="Q548" s="6">
        <v>14.1348166479391</v>
      </c>
    </row>
    <row r="549" spans="1:17">
      <c r="A549" s="6" t="s">
        <v>470</v>
      </c>
      <c r="B549" s="6" t="s">
        <v>470</v>
      </c>
      <c r="C549" s="6" t="s">
        <v>7751</v>
      </c>
      <c r="D549" s="6" t="s">
        <v>7752</v>
      </c>
      <c r="E549" s="6" t="s">
        <v>7752</v>
      </c>
      <c r="F549" s="6">
        <v>15.827019378725</v>
      </c>
      <c r="G549" s="6">
        <v>15.3129459438289</v>
      </c>
      <c r="H549" s="6">
        <v>15.445312224594</v>
      </c>
      <c r="I549" s="6">
        <v>15.984240498303601</v>
      </c>
      <c r="J549" s="6">
        <v>14.5491923100012</v>
      </c>
      <c r="K549" s="6">
        <v>15.532682322379101</v>
      </c>
      <c r="L549" s="6">
        <v>15.837743869239199</v>
      </c>
      <c r="M549" s="6">
        <v>14.6331236392209</v>
      </c>
      <c r="N549" s="6">
        <v>14.4120044950243</v>
      </c>
      <c r="O549" s="6">
        <v>15.730379570315201</v>
      </c>
      <c r="P549" s="6">
        <v>15.9178081298981</v>
      </c>
      <c r="Q549" s="6">
        <v>14.391385773884201</v>
      </c>
    </row>
    <row r="550" spans="1:17">
      <c r="A550" s="6" t="s">
        <v>1748</v>
      </c>
      <c r="B550" s="6" t="s">
        <v>1748</v>
      </c>
      <c r="C550" s="6" t="s">
        <v>7753</v>
      </c>
      <c r="D550" s="6" t="s">
        <v>7754</v>
      </c>
      <c r="E550" s="6" t="s">
        <v>7754</v>
      </c>
      <c r="F550" s="6">
        <v>15.8091958607463</v>
      </c>
      <c r="G550" s="6">
        <v>15.4580912379017</v>
      </c>
      <c r="H550" s="6">
        <v>15.488829167436901</v>
      </c>
      <c r="I550" s="6">
        <v>16.113372025670898</v>
      </c>
      <c r="J550" s="6">
        <v>15.0646503497978</v>
      </c>
      <c r="K550" s="6">
        <v>15.294959203099401</v>
      </c>
      <c r="L550" s="6">
        <v>15.9189358875423</v>
      </c>
      <c r="M550" s="6">
        <v>14.8774263706858</v>
      </c>
      <c r="N550" s="6">
        <v>15.143664196656101</v>
      </c>
      <c r="O550" s="6">
        <v>15.4946190157772</v>
      </c>
      <c r="P550" s="6">
        <v>15.309109469224101</v>
      </c>
      <c r="Q550" s="6">
        <v>14.5575037603654</v>
      </c>
    </row>
    <row r="551" spans="1:17">
      <c r="A551" s="6" t="s">
        <v>1766</v>
      </c>
      <c r="B551" s="6" t="s">
        <v>1766</v>
      </c>
      <c r="C551" s="6" t="s">
        <v>7755</v>
      </c>
      <c r="D551" s="6" t="s">
        <v>7756</v>
      </c>
      <c r="E551" s="6" t="s">
        <v>7756</v>
      </c>
      <c r="F551" s="6">
        <v>16.213010291290001</v>
      </c>
      <c r="G551" s="6">
        <v>15.6293675074213</v>
      </c>
      <c r="H551" s="6">
        <v>15.696197284114101</v>
      </c>
      <c r="I551" s="6">
        <v>16.426806925757099</v>
      </c>
      <c r="J551" s="6">
        <v>14.7865740950848</v>
      </c>
      <c r="K551" s="6">
        <v>15.4682747717913</v>
      </c>
      <c r="L551" s="6">
        <v>16.3322035651493</v>
      </c>
      <c r="M551" s="6">
        <v>14.5572024039251</v>
      </c>
      <c r="N551" s="6">
        <v>15.502006999287</v>
      </c>
      <c r="O551" s="6">
        <v>15.0078305026087</v>
      </c>
      <c r="P551" s="6">
        <v>14.395401394086701</v>
      </c>
      <c r="Q551" s="6">
        <v>14.3024111424444</v>
      </c>
    </row>
    <row r="552" spans="1:17">
      <c r="A552" s="6" t="s">
        <v>669</v>
      </c>
      <c r="B552" s="6" t="s">
        <v>671</v>
      </c>
      <c r="C552" s="6" t="s">
        <v>7757</v>
      </c>
      <c r="D552" s="6" t="s">
        <v>7758</v>
      </c>
      <c r="E552" s="6" t="s">
        <v>7759</v>
      </c>
      <c r="F552" s="6">
        <v>15.9638629952108</v>
      </c>
      <c r="G552" s="6">
        <v>15.3618890300086</v>
      </c>
      <c r="H552" s="6">
        <v>15.4618629983907</v>
      </c>
      <c r="I552" s="6">
        <v>15.944907926373499</v>
      </c>
      <c r="J552" s="6">
        <v>14.661723512265199</v>
      </c>
      <c r="K552" s="6">
        <v>15.6833844450634</v>
      </c>
      <c r="L552" s="6">
        <v>16.163439240399398</v>
      </c>
      <c r="M552" s="6">
        <v>14.824831224737199</v>
      </c>
      <c r="N552" s="6">
        <v>14.9969034282149</v>
      </c>
      <c r="O552" s="6">
        <v>15.448863377952099</v>
      </c>
      <c r="P552" s="6">
        <v>15.5701670234597</v>
      </c>
      <c r="Q552" s="6">
        <v>14.229310337521699</v>
      </c>
    </row>
    <row r="553" spans="1:17">
      <c r="A553" s="6" t="s">
        <v>1370</v>
      </c>
      <c r="B553" s="6" t="s">
        <v>1370</v>
      </c>
      <c r="C553" s="6" t="s">
        <v>7760</v>
      </c>
      <c r="D553" s="6" t="s">
        <v>7761</v>
      </c>
      <c r="E553" s="6" t="s">
        <v>7761</v>
      </c>
      <c r="F553" s="6">
        <v>15.1382032308984</v>
      </c>
      <c r="G553" s="6">
        <v>16.118642076613199</v>
      </c>
      <c r="H553" s="6">
        <v>15.3809395441068</v>
      </c>
      <c r="I553" s="6">
        <v>15.448710890907</v>
      </c>
      <c r="J553" s="6">
        <v>15.579621246322301</v>
      </c>
      <c r="K553" s="6">
        <v>16.039073327277698</v>
      </c>
      <c r="L553" s="6">
        <v>14.688792387668601</v>
      </c>
      <c r="M553" s="6">
        <v>15.618197669617199</v>
      </c>
      <c r="N553" s="6">
        <v>14.622601597966501</v>
      </c>
      <c r="O553" s="6">
        <v>15.4091295428211</v>
      </c>
      <c r="P553" s="6">
        <v>15.575281005104999</v>
      </c>
      <c r="Q553" s="6">
        <v>15.8722972695726</v>
      </c>
    </row>
    <row r="554" spans="1:17">
      <c r="A554" s="6" t="s">
        <v>7762</v>
      </c>
      <c r="B554" s="6" t="s">
        <v>7762</v>
      </c>
      <c r="C554" s="6" t="s">
        <v>7763</v>
      </c>
      <c r="D554" s="6" t="s">
        <v>7764</v>
      </c>
      <c r="E554" s="6" t="s">
        <v>7764</v>
      </c>
      <c r="F554" s="6">
        <v>15.928782455979499</v>
      </c>
      <c r="G554" s="6">
        <v>16.4507950369611</v>
      </c>
      <c r="H554" s="6">
        <v>13.7943161801591</v>
      </c>
      <c r="I554" s="6">
        <v>14.3764768098735</v>
      </c>
      <c r="J554" s="6">
        <v>15.4624607439281</v>
      </c>
      <c r="K554" s="6">
        <v>15.497143027744199</v>
      </c>
      <c r="L554" s="6">
        <v>15.981609719874101</v>
      </c>
      <c r="M554" s="6">
        <v>16.2479577746312</v>
      </c>
      <c r="N554" s="6">
        <v>17.5422962326146</v>
      </c>
      <c r="O554" s="6">
        <v>13.371680660766801</v>
      </c>
      <c r="P554" s="6">
        <v>15.2820183950661</v>
      </c>
      <c r="Q554" s="6">
        <v>15.3121161943843</v>
      </c>
    </row>
    <row r="555" spans="1:17">
      <c r="A555" s="6" t="s">
        <v>687</v>
      </c>
      <c r="B555" s="6" t="s">
        <v>687</v>
      </c>
      <c r="C555" s="6" t="s">
        <v>7765</v>
      </c>
      <c r="D555" s="6" t="s">
        <v>7766</v>
      </c>
      <c r="E555" s="6" t="s">
        <v>7766</v>
      </c>
      <c r="F555" s="6">
        <v>15.7621821866173</v>
      </c>
      <c r="G555" s="6">
        <v>15.312598143395901</v>
      </c>
      <c r="H555" s="6">
        <v>15.4130425839196</v>
      </c>
      <c r="I555" s="6">
        <v>15.8735485849525</v>
      </c>
      <c r="J555" s="6">
        <v>14.764672871121199</v>
      </c>
      <c r="K555" s="6">
        <v>15.369104870212899</v>
      </c>
      <c r="L555" s="6">
        <v>15.898125874043901</v>
      </c>
      <c r="M555" s="6">
        <v>14.630697044090899</v>
      </c>
      <c r="N555" s="6">
        <v>15.2013852429768</v>
      </c>
      <c r="O555" s="6">
        <v>15.8000195029555</v>
      </c>
      <c r="P555" s="6">
        <v>15.781773306513101</v>
      </c>
      <c r="Q555" s="6">
        <v>14.2226731005841</v>
      </c>
    </row>
    <row r="556" spans="1:17">
      <c r="A556" s="6" t="s">
        <v>2192</v>
      </c>
      <c r="B556" s="6" t="s">
        <v>2192</v>
      </c>
      <c r="C556" s="6" t="s">
        <v>7767</v>
      </c>
      <c r="D556" s="6" t="s">
        <v>1648</v>
      </c>
      <c r="E556" s="6" t="s">
        <v>1648</v>
      </c>
      <c r="F556" s="6" t="s">
        <v>6254</v>
      </c>
      <c r="G556" s="6" t="s">
        <v>6254</v>
      </c>
      <c r="H556" s="6">
        <v>14.370805818614899</v>
      </c>
      <c r="I556" s="6" t="s">
        <v>6254</v>
      </c>
      <c r="J556" s="6">
        <v>14.255150286410201</v>
      </c>
      <c r="K556" s="6" t="s">
        <v>6254</v>
      </c>
      <c r="L556" s="6" t="s">
        <v>6254</v>
      </c>
      <c r="M556" s="6">
        <v>14.7318928880815</v>
      </c>
      <c r="N556" s="6">
        <v>14.734248959697901</v>
      </c>
      <c r="O556" s="6">
        <v>15.393338135037199</v>
      </c>
      <c r="P556" s="6">
        <v>14.291598422304901</v>
      </c>
      <c r="Q556" s="6">
        <v>15.637743796257199</v>
      </c>
    </row>
    <row r="557" spans="1:17">
      <c r="A557" s="6" t="s">
        <v>502</v>
      </c>
      <c r="B557" s="6" t="s">
        <v>502</v>
      </c>
      <c r="C557" s="6" t="s">
        <v>7768</v>
      </c>
      <c r="D557" s="6" t="s">
        <v>7769</v>
      </c>
      <c r="E557" s="6" t="s">
        <v>7769</v>
      </c>
      <c r="F557" s="6">
        <v>16.093547550790198</v>
      </c>
      <c r="G557" s="6">
        <v>15.461783590485799</v>
      </c>
      <c r="H557" s="6">
        <v>15.4223264270163</v>
      </c>
      <c r="I557" s="6">
        <v>15.9217607959063</v>
      </c>
      <c r="J557" s="6">
        <v>14.6805910967248</v>
      </c>
      <c r="K557" s="6">
        <v>14.9658219018224</v>
      </c>
      <c r="L557" s="6">
        <v>15.867856714392699</v>
      </c>
      <c r="M557" s="6">
        <v>14.580757470081901</v>
      </c>
      <c r="N557" s="6">
        <v>15.433758309684301</v>
      </c>
      <c r="O557" s="6">
        <v>15.821758073502799</v>
      </c>
      <c r="P557" s="6">
        <v>15.5213363484739</v>
      </c>
      <c r="Q557" s="6">
        <v>14.1462029250079</v>
      </c>
    </row>
    <row r="558" spans="1:17">
      <c r="A558" s="6" t="s">
        <v>1582</v>
      </c>
      <c r="B558" s="6" t="s">
        <v>1582</v>
      </c>
      <c r="C558" s="6" t="s">
        <v>7770</v>
      </c>
      <c r="D558" s="6" t="s">
        <v>7771</v>
      </c>
      <c r="E558" s="6" t="s">
        <v>7771</v>
      </c>
      <c r="F558" s="6">
        <v>16.010515540245201</v>
      </c>
      <c r="G558" s="6">
        <v>13.688623360584399</v>
      </c>
      <c r="H558" s="6">
        <v>16.7269453015553</v>
      </c>
      <c r="I558" s="6">
        <v>16.960286799327999</v>
      </c>
      <c r="J558" s="6">
        <v>15.6319770194459</v>
      </c>
      <c r="K558" s="6">
        <v>15.645387568544001</v>
      </c>
      <c r="L558" s="6">
        <v>16.9955099512248</v>
      </c>
      <c r="M558" s="6">
        <v>15.525089372620201</v>
      </c>
      <c r="N558" s="6">
        <v>15.911222253672999</v>
      </c>
      <c r="O558" s="6">
        <v>14.0776114095562</v>
      </c>
      <c r="P558" s="6">
        <v>15.0853548127479</v>
      </c>
      <c r="Q558" s="6">
        <v>14.4195511803585</v>
      </c>
    </row>
    <row r="559" spans="1:17">
      <c r="A559" s="6" t="s">
        <v>1203</v>
      </c>
      <c r="B559" s="6" t="s">
        <v>1203</v>
      </c>
      <c r="C559" s="6" t="s">
        <v>7772</v>
      </c>
      <c r="D559" s="6" t="s">
        <v>7773</v>
      </c>
      <c r="E559" s="6" t="s">
        <v>7773</v>
      </c>
      <c r="F559" s="6">
        <v>15.443506465395499</v>
      </c>
      <c r="G559" s="6">
        <v>15.212717945603099</v>
      </c>
      <c r="H559" s="6">
        <v>15.1986489687329</v>
      </c>
      <c r="I559" s="6">
        <v>16.690057028422601</v>
      </c>
      <c r="J559" s="6">
        <v>14.9060400470673</v>
      </c>
      <c r="K559" s="6">
        <v>14.7848870656688</v>
      </c>
      <c r="L559" s="6">
        <v>15.934650708417299</v>
      </c>
      <c r="M559" s="6">
        <v>15.763846781057</v>
      </c>
      <c r="N559" s="6">
        <v>14.6945094410158</v>
      </c>
      <c r="O559" s="6">
        <v>15.6455898919577</v>
      </c>
      <c r="P559" s="6">
        <v>15.866057292384101</v>
      </c>
      <c r="Q559" s="6">
        <v>13.8630868756507</v>
      </c>
    </row>
    <row r="560" spans="1:17">
      <c r="A560" s="6" t="s">
        <v>1234</v>
      </c>
      <c r="B560" s="6" t="s">
        <v>1234</v>
      </c>
      <c r="C560" s="6" t="s">
        <v>7774</v>
      </c>
      <c r="D560" s="6" t="s">
        <v>7775</v>
      </c>
      <c r="E560" s="6" t="s">
        <v>7775</v>
      </c>
      <c r="F560" s="6">
        <v>16.526054002005999</v>
      </c>
      <c r="G560" s="6">
        <v>15.4551024119299</v>
      </c>
      <c r="H560" s="6">
        <v>15.5603831464854</v>
      </c>
      <c r="I560" s="6">
        <v>16.469058911915202</v>
      </c>
      <c r="J560" s="6">
        <v>15.1746552052727</v>
      </c>
      <c r="K560" s="6">
        <v>15.5670043246653</v>
      </c>
      <c r="L560" s="6">
        <v>16.097664957233899</v>
      </c>
      <c r="M560" s="6">
        <v>14.6282619693173</v>
      </c>
      <c r="N560" s="6">
        <v>15.6824860732915</v>
      </c>
      <c r="O560" s="6">
        <v>15.015572481233599</v>
      </c>
      <c r="P560" s="6">
        <v>15.003244979735401</v>
      </c>
      <c r="Q560" s="6">
        <v>14.339313052936999</v>
      </c>
    </row>
    <row r="561" spans="1:17">
      <c r="A561" s="6" t="s">
        <v>7776</v>
      </c>
      <c r="B561" s="6" t="s">
        <v>7776</v>
      </c>
      <c r="C561" s="6" t="s">
        <v>7776</v>
      </c>
      <c r="D561" s="6" t="s">
        <v>7776</v>
      </c>
      <c r="E561" s="6" t="s">
        <v>7776</v>
      </c>
      <c r="F561" s="6" t="s">
        <v>6254</v>
      </c>
      <c r="G561" s="6" t="s">
        <v>6254</v>
      </c>
      <c r="H561" s="6" t="s">
        <v>6254</v>
      </c>
      <c r="I561" s="6" t="s">
        <v>6254</v>
      </c>
      <c r="J561" s="6" t="s">
        <v>6254</v>
      </c>
      <c r="K561" s="6" t="s">
        <v>6254</v>
      </c>
      <c r="L561" s="6">
        <v>16.6514448838204</v>
      </c>
      <c r="M561" s="6">
        <v>17.697369969475801</v>
      </c>
      <c r="N561" s="6" t="s">
        <v>6254</v>
      </c>
      <c r="O561" s="6" t="s">
        <v>6254</v>
      </c>
      <c r="P561" s="6" t="s">
        <v>6254</v>
      </c>
      <c r="Q561" s="6" t="s">
        <v>6254</v>
      </c>
    </row>
    <row r="562" spans="1:17">
      <c r="A562" s="6" t="s">
        <v>2821</v>
      </c>
      <c r="B562" s="6" t="s">
        <v>2821</v>
      </c>
      <c r="C562" s="6" t="s">
        <v>7777</v>
      </c>
      <c r="D562" s="6" t="s">
        <v>7778</v>
      </c>
      <c r="E562" s="6" t="s">
        <v>7778</v>
      </c>
      <c r="F562" s="6">
        <v>14.6009709008272</v>
      </c>
      <c r="G562" s="6">
        <v>15.312597547967901</v>
      </c>
      <c r="H562" s="6">
        <v>14.6126465328945</v>
      </c>
      <c r="I562" s="6">
        <v>15.5581536812675</v>
      </c>
      <c r="J562" s="6">
        <v>14.4336084058976</v>
      </c>
      <c r="K562" s="6">
        <v>15.138709172239899</v>
      </c>
      <c r="L562" s="6">
        <v>15.417832114162399</v>
      </c>
      <c r="M562" s="6">
        <v>13.325482409819699</v>
      </c>
      <c r="N562" s="6">
        <v>13.337096776607</v>
      </c>
      <c r="O562" s="6">
        <v>15.9810077398191</v>
      </c>
      <c r="P562" s="6">
        <v>16.064342519338101</v>
      </c>
      <c r="Q562" s="6">
        <v>15.379805181554399</v>
      </c>
    </row>
    <row r="563" spans="1:17">
      <c r="A563" s="6" t="s">
        <v>1137</v>
      </c>
      <c r="B563" s="6" t="s">
        <v>1137</v>
      </c>
      <c r="C563" s="6" t="s">
        <v>7779</v>
      </c>
      <c r="D563" s="6" t="s">
        <v>7780</v>
      </c>
      <c r="E563" s="6" t="s">
        <v>7780</v>
      </c>
      <c r="F563" s="6">
        <v>15.920712872750199</v>
      </c>
      <c r="G563" s="6">
        <v>15.409275370214401</v>
      </c>
      <c r="H563" s="6">
        <v>15.508320632018799</v>
      </c>
      <c r="I563" s="6">
        <v>16.162048258828101</v>
      </c>
      <c r="J563" s="6">
        <v>14.8457458061189</v>
      </c>
      <c r="K563" s="6">
        <v>15.5690453442917</v>
      </c>
      <c r="L563" s="6">
        <v>15.9948147311553</v>
      </c>
      <c r="M563" s="6">
        <v>14.3202141212464</v>
      </c>
      <c r="N563" s="6">
        <v>14.956626229500101</v>
      </c>
      <c r="O563" s="6">
        <v>15.804500962800599</v>
      </c>
      <c r="P563" s="6">
        <v>15.6782922593283</v>
      </c>
      <c r="Q563" s="6">
        <v>14.088208422465801</v>
      </c>
    </row>
    <row r="564" spans="1:17">
      <c r="A564" s="6" t="s">
        <v>7781</v>
      </c>
      <c r="B564" s="6" t="s">
        <v>7782</v>
      </c>
      <c r="C564" s="6" t="s">
        <v>7783</v>
      </c>
      <c r="D564" s="6" t="s">
        <v>7784</v>
      </c>
      <c r="E564" s="6" t="s">
        <v>7785</v>
      </c>
      <c r="F564" s="6">
        <v>13.391867808465699</v>
      </c>
      <c r="G564" s="6" t="s">
        <v>6254</v>
      </c>
      <c r="H564" s="6">
        <v>15.2277693352412</v>
      </c>
      <c r="I564" s="6">
        <v>17.099637184543401</v>
      </c>
      <c r="J564" s="6" t="s">
        <v>6254</v>
      </c>
      <c r="K564" s="6">
        <v>15.4683935023358</v>
      </c>
      <c r="L564" s="6">
        <v>18.320299955315399</v>
      </c>
      <c r="M564" s="6" t="s">
        <v>6254</v>
      </c>
      <c r="N564" s="6" t="s">
        <v>6254</v>
      </c>
      <c r="O564" s="6" t="s">
        <v>6254</v>
      </c>
      <c r="P564" s="6" t="s">
        <v>6254</v>
      </c>
      <c r="Q564" s="6" t="s">
        <v>6254</v>
      </c>
    </row>
    <row r="565" spans="1:17">
      <c r="A565" s="6" t="s">
        <v>7786</v>
      </c>
      <c r="B565" s="6" t="s">
        <v>7786</v>
      </c>
      <c r="C565" s="6" t="s">
        <v>7787</v>
      </c>
      <c r="D565" s="6" t="s">
        <v>7788</v>
      </c>
      <c r="E565" s="6" t="s">
        <v>7788</v>
      </c>
      <c r="F565" s="6">
        <v>16.927887122051601</v>
      </c>
      <c r="G565" s="6">
        <v>15.396944378734901</v>
      </c>
      <c r="H565" s="6">
        <v>15.510883908402899</v>
      </c>
      <c r="I565" s="6">
        <v>16.100081064350601</v>
      </c>
      <c r="J565" s="6">
        <v>14.944845839535599</v>
      </c>
      <c r="K565" s="6">
        <v>14.978115476597999</v>
      </c>
      <c r="L565" s="6">
        <v>15.7016755844878</v>
      </c>
      <c r="M565" s="6">
        <v>15.136936008245</v>
      </c>
      <c r="N565" s="6">
        <v>16.832026548748502</v>
      </c>
      <c r="O565" s="6">
        <v>15.8237741337805</v>
      </c>
      <c r="P565" s="6">
        <v>15.8816192016344</v>
      </c>
      <c r="Q565" s="6">
        <v>13.3187020022821</v>
      </c>
    </row>
    <row r="566" spans="1:17">
      <c r="A566" s="6" t="s">
        <v>7789</v>
      </c>
      <c r="B566" s="6" t="s">
        <v>7789</v>
      </c>
      <c r="C566" s="6" t="s">
        <v>7790</v>
      </c>
      <c r="D566" s="6" t="s">
        <v>7791</v>
      </c>
      <c r="E566" s="6" t="s">
        <v>7791</v>
      </c>
      <c r="F566" s="6">
        <v>16.343191005907698</v>
      </c>
      <c r="G566" s="6">
        <v>15.8145508093966</v>
      </c>
      <c r="H566" s="6">
        <v>15.6003555199296</v>
      </c>
      <c r="I566" s="6">
        <v>16.299182359404</v>
      </c>
      <c r="J566" s="6">
        <v>14.704795100113101</v>
      </c>
      <c r="K566" s="6">
        <v>15.4429581018896</v>
      </c>
      <c r="L566" s="6">
        <v>16.002020589487898</v>
      </c>
      <c r="M566" s="6">
        <v>14.418442910730899</v>
      </c>
      <c r="N566" s="6">
        <v>15.3629811442862</v>
      </c>
      <c r="O566" s="6">
        <v>15.604225511440999</v>
      </c>
      <c r="P566" s="6">
        <v>15.7547905336782</v>
      </c>
      <c r="Q566" s="6">
        <v>13.863580965865999</v>
      </c>
    </row>
    <row r="567" spans="1:17">
      <c r="A567" s="6" t="s">
        <v>7792</v>
      </c>
      <c r="B567" s="6" t="s">
        <v>7792</v>
      </c>
      <c r="C567" s="6" t="s">
        <v>7793</v>
      </c>
      <c r="D567" s="6" t="s">
        <v>7794</v>
      </c>
      <c r="E567" s="6" t="s">
        <v>7794</v>
      </c>
      <c r="F567" s="6">
        <v>14.7105914106731</v>
      </c>
      <c r="G567" s="6">
        <v>13.341760670967901</v>
      </c>
      <c r="H567" s="6">
        <v>15.0027353658022</v>
      </c>
      <c r="I567" s="6">
        <v>15.4901844128471</v>
      </c>
      <c r="J567" s="6">
        <v>16.008844908002299</v>
      </c>
      <c r="K567" s="6">
        <v>14.3036505238447</v>
      </c>
      <c r="L567" s="6">
        <v>15.120627812573501</v>
      </c>
      <c r="M567" s="6">
        <v>15.2930611854951</v>
      </c>
      <c r="N567" s="6">
        <v>15.239886427332999</v>
      </c>
      <c r="O567" s="6">
        <v>16.542210312694401</v>
      </c>
      <c r="P567" s="6">
        <v>14.971728451188801</v>
      </c>
      <c r="Q567" s="6">
        <v>15.4519222155597</v>
      </c>
    </row>
    <row r="568" spans="1:17">
      <c r="A568" s="6" t="s">
        <v>2181</v>
      </c>
      <c r="B568" s="6" t="s">
        <v>2181</v>
      </c>
      <c r="C568" s="6" t="s">
        <v>7795</v>
      </c>
      <c r="D568" s="6" t="s">
        <v>7796</v>
      </c>
      <c r="E568" s="6" t="s">
        <v>7796</v>
      </c>
      <c r="F568" s="6">
        <v>16.069417277893699</v>
      </c>
      <c r="G568" s="6">
        <v>13.9544068283213</v>
      </c>
      <c r="H568" s="6">
        <v>14.902334725868799</v>
      </c>
      <c r="I568" s="6">
        <v>15.899584124963299</v>
      </c>
      <c r="J568" s="6" t="s">
        <v>6254</v>
      </c>
      <c r="K568" s="6">
        <v>15.512454055961101</v>
      </c>
      <c r="L568" s="6">
        <v>15.933552333907899</v>
      </c>
      <c r="M568" s="6" t="s">
        <v>6254</v>
      </c>
      <c r="N568" s="6">
        <v>14.346161780385099</v>
      </c>
      <c r="O568" s="6" t="s">
        <v>6254</v>
      </c>
      <c r="P568" s="6">
        <v>15.713411231057201</v>
      </c>
      <c r="Q568" s="6">
        <v>13.719036113295999</v>
      </c>
    </row>
    <row r="569" spans="1:17">
      <c r="A569" s="6" t="s">
        <v>7797</v>
      </c>
      <c r="B569" s="6" t="s">
        <v>7797</v>
      </c>
      <c r="C569" s="6" t="s">
        <v>7797</v>
      </c>
      <c r="D569" s="6" t="s">
        <v>7797</v>
      </c>
      <c r="E569" s="6" t="s">
        <v>7797</v>
      </c>
      <c r="F569" s="6">
        <v>15.3531003387832</v>
      </c>
      <c r="G569" s="6" t="s">
        <v>6254</v>
      </c>
      <c r="H569" s="6" t="s">
        <v>6254</v>
      </c>
      <c r="I569" s="6" t="s">
        <v>6254</v>
      </c>
      <c r="J569" s="6" t="s">
        <v>6254</v>
      </c>
      <c r="K569" s="6" t="s">
        <v>6254</v>
      </c>
      <c r="L569" s="6" t="s">
        <v>6254</v>
      </c>
      <c r="M569" s="6">
        <v>14.8180218479632</v>
      </c>
      <c r="N569" s="6" t="s">
        <v>6254</v>
      </c>
      <c r="O569" s="6" t="s">
        <v>6254</v>
      </c>
      <c r="P569" s="6" t="s">
        <v>6254</v>
      </c>
      <c r="Q569" s="6" t="s">
        <v>6254</v>
      </c>
    </row>
    <row r="570" spans="1:17">
      <c r="A570" s="6" t="s">
        <v>7798</v>
      </c>
      <c r="B570" s="6" t="s">
        <v>7799</v>
      </c>
      <c r="C570" s="6" t="s">
        <v>7800</v>
      </c>
      <c r="D570" s="6" t="s">
        <v>7801</v>
      </c>
      <c r="E570" s="6" t="s">
        <v>7802</v>
      </c>
      <c r="F570" s="6">
        <v>15.744955294399601</v>
      </c>
      <c r="G570" s="6">
        <v>15.1672361143029</v>
      </c>
      <c r="H570" s="6">
        <v>15.6538748148373</v>
      </c>
      <c r="I570" s="6">
        <v>16.161219891471401</v>
      </c>
      <c r="J570" s="6">
        <v>14.6872386944559</v>
      </c>
      <c r="K570" s="6">
        <v>15.422675734162301</v>
      </c>
      <c r="L570" s="6">
        <v>16.167585372005199</v>
      </c>
      <c r="M570" s="6">
        <v>14.5334370932932</v>
      </c>
      <c r="N570" s="6">
        <v>15.9402627127399</v>
      </c>
      <c r="O570" s="6">
        <v>15.8266290154658</v>
      </c>
      <c r="P570" s="6">
        <v>15.6435804048891</v>
      </c>
      <c r="Q570" s="6">
        <v>13.634785990849</v>
      </c>
    </row>
    <row r="571" spans="1:17">
      <c r="A571" s="6" t="s">
        <v>4480</v>
      </c>
      <c r="B571" s="6" t="s">
        <v>4480</v>
      </c>
      <c r="C571" s="6" t="s">
        <v>7803</v>
      </c>
      <c r="D571" s="6" t="s">
        <v>7804</v>
      </c>
      <c r="E571" s="6" t="s">
        <v>7804</v>
      </c>
      <c r="F571" s="6">
        <v>16.0807996699467</v>
      </c>
      <c r="G571" s="6">
        <v>15.7965743596602</v>
      </c>
      <c r="H571" s="6" t="s">
        <v>6254</v>
      </c>
      <c r="I571" s="6">
        <v>16.373386297531901</v>
      </c>
      <c r="J571" s="6" t="s">
        <v>6254</v>
      </c>
      <c r="K571" s="6">
        <v>15.5470125853728</v>
      </c>
      <c r="L571" s="6">
        <v>15.9468323418927</v>
      </c>
      <c r="M571" s="6">
        <v>14.7349383605686</v>
      </c>
      <c r="N571" s="6">
        <v>14.9616328087801</v>
      </c>
      <c r="O571" s="6">
        <v>15.5140445139898</v>
      </c>
      <c r="P571" s="6">
        <v>15.1845717712606</v>
      </c>
      <c r="Q571" s="6">
        <v>14.0536767200425</v>
      </c>
    </row>
    <row r="572" spans="1:17">
      <c r="A572" s="6" t="s">
        <v>7805</v>
      </c>
      <c r="B572" s="6" t="s">
        <v>7805</v>
      </c>
      <c r="C572" s="6" t="s">
        <v>7805</v>
      </c>
      <c r="D572" s="6" t="s">
        <v>7805</v>
      </c>
      <c r="E572" s="6" t="s">
        <v>7805</v>
      </c>
      <c r="F572" s="6" t="s">
        <v>6254</v>
      </c>
      <c r="G572" s="6">
        <v>14.0218257405509</v>
      </c>
      <c r="H572" s="6">
        <v>16.3348616584693</v>
      </c>
      <c r="I572" s="6">
        <v>16.891376947788402</v>
      </c>
      <c r="J572" s="6">
        <v>15.3703824984524</v>
      </c>
      <c r="K572" s="6">
        <v>12.9755712716891</v>
      </c>
      <c r="L572" s="6">
        <v>16.359033997493398</v>
      </c>
      <c r="M572" s="6">
        <v>13.087195737006301</v>
      </c>
      <c r="N572" s="6" t="s">
        <v>6254</v>
      </c>
      <c r="O572" s="6">
        <v>15.602028824116401</v>
      </c>
      <c r="P572" s="6" t="s">
        <v>6254</v>
      </c>
      <c r="Q572" s="6" t="s">
        <v>6254</v>
      </c>
    </row>
    <row r="573" spans="1:17">
      <c r="A573" s="6" t="s">
        <v>1020</v>
      </c>
      <c r="B573" s="6" t="s">
        <v>1020</v>
      </c>
      <c r="C573" s="6" t="s">
        <v>7806</v>
      </c>
      <c r="D573" s="6" t="s">
        <v>7807</v>
      </c>
      <c r="E573" s="6" t="s">
        <v>7807</v>
      </c>
      <c r="F573" s="6">
        <v>16.115440047190699</v>
      </c>
      <c r="G573" s="6">
        <v>15.085244898854301</v>
      </c>
      <c r="H573" s="6">
        <v>15.2673018244814</v>
      </c>
      <c r="I573" s="6">
        <v>16.212897236169798</v>
      </c>
      <c r="J573" s="6">
        <v>14.5129538520951</v>
      </c>
      <c r="K573" s="6">
        <v>15.542302976634801</v>
      </c>
      <c r="L573" s="6">
        <v>16.013336645833999</v>
      </c>
      <c r="M573" s="6">
        <v>14.391103287961601</v>
      </c>
      <c r="N573" s="6">
        <v>15.053588519094999</v>
      </c>
      <c r="O573" s="6">
        <v>15.5493421568291</v>
      </c>
      <c r="P573" s="6">
        <v>15.7015155231761</v>
      </c>
      <c r="Q573" s="6">
        <v>14.219927667189999</v>
      </c>
    </row>
    <row r="574" spans="1:17">
      <c r="A574" s="6" t="s">
        <v>7808</v>
      </c>
      <c r="B574" s="6" t="s">
        <v>7809</v>
      </c>
      <c r="C574" s="6" t="s">
        <v>7810</v>
      </c>
      <c r="D574" s="6" t="s">
        <v>7811</v>
      </c>
      <c r="E574" s="6" t="s">
        <v>7812</v>
      </c>
      <c r="F574" s="6">
        <v>16.056015018317801</v>
      </c>
      <c r="G574" s="6">
        <v>15.277479613699199</v>
      </c>
      <c r="H574" s="6">
        <v>15.4260150435949</v>
      </c>
      <c r="I574" s="6">
        <v>16.2319445734664</v>
      </c>
      <c r="J574" s="6">
        <v>14.452197919835699</v>
      </c>
      <c r="K574" s="6">
        <v>15.0878596529517</v>
      </c>
      <c r="L574" s="6">
        <v>16.362274879998601</v>
      </c>
      <c r="M574" s="6">
        <v>14.833078522589201</v>
      </c>
      <c r="N574" s="6">
        <v>15.0370481942638</v>
      </c>
      <c r="O574" s="6">
        <v>16.133577818567499</v>
      </c>
      <c r="P574" s="6">
        <v>15.877536199126499</v>
      </c>
      <c r="Q574" s="6">
        <v>13.506534556664899</v>
      </c>
    </row>
    <row r="575" spans="1:17">
      <c r="A575" s="6" t="s">
        <v>7813</v>
      </c>
      <c r="B575" s="6" t="s">
        <v>7814</v>
      </c>
      <c r="C575" s="6" t="s">
        <v>7815</v>
      </c>
      <c r="D575" s="6" t="s">
        <v>7816</v>
      </c>
      <c r="E575" s="6" t="s">
        <v>7817</v>
      </c>
      <c r="F575" s="6">
        <v>15.444487229887301</v>
      </c>
      <c r="G575" s="6">
        <v>14.8521749731635</v>
      </c>
      <c r="H575" s="6">
        <v>15.5292011133826</v>
      </c>
      <c r="I575" s="6">
        <v>15.836124703010199</v>
      </c>
      <c r="J575" s="6">
        <v>14.5240813415523</v>
      </c>
      <c r="K575" s="6">
        <v>15.3563568514696</v>
      </c>
      <c r="L575" s="6">
        <v>15.9344700237623</v>
      </c>
      <c r="M575" s="6">
        <v>14.200477889878</v>
      </c>
      <c r="N575" s="6">
        <v>14.474385618460801</v>
      </c>
      <c r="O575" s="6">
        <v>15.5916751833497</v>
      </c>
      <c r="P575" s="6">
        <v>15.7799821079666</v>
      </c>
      <c r="Q575" s="6">
        <v>14.634422159208301</v>
      </c>
    </row>
    <row r="576" spans="1:17">
      <c r="A576" s="6" t="s">
        <v>7818</v>
      </c>
      <c r="B576" s="6" t="s">
        <v>7818</v>
      </c>
      <c r="C576" s="6" t="s">
        <v>7818</v>
      </c>
      <c r="D576" s="6" t="s">
        <v>7818</v>
      </c>
      <c r="E576" s="6" t="s">
        <v>7818</v>
      </c>
      <c r="F576" s="6">
        <v>14.634585809869099</v>
      </c>
      <c r="G576" s="6">
        <v>16.399153433851801</v>
      </c>
      <c r="H576" s="6">
        <v>14.308860851404001</v>
      </c>
      <c r="I576" s="6">
        <v>16.264508030413001</v>
      </c>
      <c r="J576" s="6" t="s">
        <v>6254</v>
      </c>
      <c r="K576" s="6">
        <v>16.088684264354601</v>
      </c>
      <c r="L576" s="6" t="s">
        <v>6254</v>
      </c>
      <c r="M576" s="6">
        <v>16.005771739958401</v>
      </c>
      <c r="N576" s="6">
        <v>14.914588571983501</v>
      </c>
      <c r="O576" s="6">
        <v>15.4014950664443</v>
      </c>
      <c r="P576" s="6">
        <v>15.5380170098582</v>
      </c>
      <c r="Q576" s="6" t="s">
        <v>6254</v>
      </c>
    </row>
    <row r="577" spans="1:17">
      <c r="A577" s="6" t="s">
        <v>1026</v>
      </c>
      <c r="B577" s="6" t="s">
        <v>1026</v>
      </c>
      <c r="C577" s="6" t="s">
        <v>7819</v>
      </c>
      <c r="D577" s="6" t="s">
        <v>7820</v>
      </c>
      <c r="E577" s="6" t="s">
        <v>7820</v>
      </c>
      <c r="F577" s="6">
        <v>15.4522637017741</v>
      </c>
      <c r="G577" s="6">
        <v>15.3686197002467</v>
      </c>
      <c r="H577" s="6">
        <v>15.4613826685987</v>
      </c>
      <c r="I577" s="6">
        <v>16.0248119192416</v>
      </c>
      <c r="J577" s="6">
        <v>14.7046903076911</v>
      </c>
      <c r="K577" s="6">
        <v>15.198634661331001</v>
      </c>
      <c r="L577" s="6">
        <v>15.6518709216126</v>
      </c>
      <c r="M577" s="6">
        <v>14.6622962972436</v>
      </c>
      <c r="N577" s="6">
        <v>15.343279201245499</v>
      </c>
      <c r="O577" s="6">
        <v>15.806386851313301</v>
      </c>
      <c r="P577" s="6">
        <v>15.708457439678901</v>
      </c>
      <c r="Q577" s="6">
        <v>14.4223483212769</v>
      </c>
    </row>
    <row r="578" spans="1:17">
      <c r="A578" s="6" t="s">
        <v>943</v>
      </c>
      <c r="B578" s="6" t="s">
        <v>943</v>
      </c>
      <c r="C578" s="6" t="s">
        <v>7821</v>
      </c>
      <c r="D578" s="6" t="s">
        <v>7822</v>
      </c>
      <c r="E578" s="6" t="s">
        <v>7822</v>
      </c>
      <c r="F578" s="6">
        <v>15.7642220450825</v>
      </c>
      <c r="G578" s="6">
        <v>15.118314370461899</v>
      </c>
      <c r="H578" s="6">
        <v>15.438603671341401</v>
      </c>
      <c r="I578" s="6">
        <v>15.855279616380599</v>
      </c>
      <c r="J578" s="6">
        <v>14.460498988948</v>
      </c>
      <c r="K578" s="6">
        <v>14.7896954051043</v>
      </c>
      <c r="L578" s="6">
        <v>16.0679686286596</v>
      </c>
      <c r="M578" s="6">
        <v>14.6662471312215</v>
      </c>
      <c r="N578" s="6">
        <v>15.9619659855781</v>
      </c>
      <c r="O578" s="6">
        <v>15.788230796564701</v>
      </c>
      <c r="P578" s="6">
        <v>15.457266193873</v>
      </c>
      <c r="Q578" s="6">
        <v>13.9104253462099</v>
      </c>
    </row>
    <row r="579" spans="1:17">
      <c r="A579" s="6" t="s">
        <v>7823</v>
      </c>
      <c r="B579" s="6" t="s">
        <v>648</v>
      </c>
      <c r="C579" s="6" t="s">
        <v>7824</v>
      </c>
      <c r="D579" s="6" t="s">
        <v>7825</v>
      </c>
      <c r="E579" s="6" t="s">
        <v>7826</v>
      </c>
      <c r="F579" s="6">
        <v>15.829584395097701</v>
      </c>
      <c r="G579" s="6">
        <v>15.272794373005199</v>
      </c>
      <c r="H579" s="6">
        <v>15.3240580430463</v>
      </c>
      <c r="I579" s="6">
        <v>15.6953060653327</v>
      </c>
      <c r="J579" s="6">
        <v>14.6736279091205</v>
      </c>
      <c r="K579" s="6">
        <v>15.2303527091773</v>
      </c>
      <c r="L579" s="6">
        <v>15.9332269939928</v>
      </c>
      <c r="M579" s="6">
        <v>14.714755691149801</v>
      </c>
      <c r="N579" s="6">
        <v>15.237245644300099</v>
      </c>
      <c r="O579" s="6">
        <v>15.787763862610801</v>
      </c>
      <c r="P579" s="6">
        <v>15.8256474841761</v>
      </c>
      <c r="Q579" s="6">
        <v>13.929611091334101</v>
      </c>
    </row>
    <row r="580" spans="1:17">
      <c r="A580" s="6" t="s">
        <v>7827</v>
      </c>
      <c r="B580" s="6" t="s">
        <v>7828</v>
      </c>
      <c r="C580" s="6" t="s">
        <v>7829</v>
      </c>
      <c r="D580" s="6" t="s">
        <v>7830</v>
      </c>
      <c r="E580" s="6" t="s">
        <v>7831</v>
      </c>
      <c r="F580" s="6">
        <v>15.627957989066701</v>
      </c>
      <c r="G580" s="6">
        <v>15.5158486951446</v>
      </c>
      <c r="H580" s="6">
        <v>15.3020557984386</v>
      </c>
      <c r="I580" s="6">
        <v>15.870979478815901</v>
      </c>
      <c r="J580" s="6">
        <v>14.796674502287701</v>
      </c>
      <c r="K580" s="6">
        <v>15.368256476173601</v>
      </c>
      <c r="L580" s="6">
        <v>15.667365690352099</v>
      </c>
      <c r="M580" s="6">
        <v>14.1896106883573</v>
      </c>
      <c r="N580" s="6">
        <v>14.982200526895401</v>
      </c>
      <c r="O580" s="6">
        <v>15.825539492114499</v>
      </c>
      <c r="P580" s="6">
        <v>15.790197775204801</v>
      </c>
      <c r="Q580" s="6">
        <v>14.009527691551501</v>
      </c>
    </row>
    <row r="581" spans="1:17">
      <c r="A581" s="6" t="s">
        <v>7832</v>
      </c>
      <c r="B581" s="6" t="s">
        <v>7832</v>
      </c>
      <c r="C581" s="6" t="s">
        <v>7833</v>
      </c>
      <c r="D581" s="6" t="s">
        <v>7834</v>
      </c>
      <c r="E581" s="6" t="s">
        <v>7834</v>
      </c>
      <c r="F581" s="6">
        <v>16.2988578872998</v>
      </c>
      <c r="G581" s="6">
        <v>16.296261231775901</v>
      </c>
      <c r="H581" s="6">
        <v>15.6444290198482</v>
      </c>
      <c r="I581" s="6">
        <v>15.850041923358701</v>
      </c>
      <c r="J581" s="6">
        <v>15.252575817432099</v>
      </c>
      <c r="K581" s="6">
        <v>14.7537192908215</v>
      </c>
      <c r="L581" s="6">
        <v>15.0932625631634</v>
      </c>
      <c r="M581" s="6">
        <v>15.9586601680738</v>
      </c>
      <c r="N581" s="6">
        <v>15.953433529296801</v>
      </c>
      <c r="O581" s="6">
        <v>15.397955854731601</v>
      </c>
      <c r="P581" s="6">
        <v>15.551980191670101</v>
      </c>
      <c r="Q581" s="6" t="s">
        <v>6254</v>
      </c>
    </row>
    <row r="582" spans="1:17">
      <c r="A582" s="6" t="s">
        <v>4549</v>
      </c>
      <c r="B582" s="6" t="s">
        <v>4549</v>
      </c>
      <c r="C582" s="6" t="s">
        <v>7835</v>
      </c>
      <c r="D582" s="6" t="s">
        <v>7836</v>
      </c>
      <c r="E582" s="6" t="s">
        <v>7836</v>
      </c>
      <c r="F582" s="6">
        <v>15.2573542607118</v>
      </c>
      <c r="G582" s="6">
        <v>15.4314712320318</v>
      </c>
      <c r="H582" s="6">
        <v>15.309526592622801</v>
      </c>
      <c r="I582" s="6">
        <v>15.564445147954499</v>
      </c>
      <c r="J582" s="6" t="s">
        <v>6254</v>
      </c>
      <c r="K582" s="6">
        <v>15.263253238695899</v>
      </c>
      <c r="L582" s="6">
        <v>16.023738613798599</v>
      </c>
      <c r="M582" s="6">
        <v>14.7258674251598</v>
      </c>
      <c r="N582" s="6">
        <v>14.6573061305249</v>
      </c>
      <c r="O582" s="6">
        <v>15.5653829354456</v>
      </c>
      <c r="P582" s="6">
        <v>15.440463504683899</v>
      </c>
      <c r="Q582" s="6" t="s">
        <v>6254</v>
      </c>
    </row>
    <row r="583" spans="1:17">
      <c r="A583" s="6" t="s">
        <v>7837</v>
      </c>
      <c r="B583" s="6" t="s">
        <v>7838</v>
      </c>
      <c r="C583" s="6" t="s">
        <v>7839</v>
      </c>
      <c r="D583" s="6" t="s">
        <v>7840</v>
      </c>
      <c r="E583" s="6" t="s">
        <v>7841</v>
      </c>
      <c r="F583" s="6">
        <v>15.0611838967223</v>
      </c>
      <c r="G583" s="6" t="s">
        <v>6254</v>
      </c>
      <c r="H583" s="6">
        <v>15.7060059206212</v>
      </c>
      <c r="I583" s="6">
        <v>16.730800084639</v>
      </c>
      <c r="J583" s="6">
        <v>14.8360055386583</v>
      </c>
      <c r="K583" s="6">
        <v>15.35070000794</v>
      </c>
      <c r="L583" s="6">
        <v>17.021035648680499</v>
      </c>
      <c r="M583" s="6">
        <v>14.666949618197499</v>
      </c>
      <c r="N583" s="6">
        <v>14.927320812375401</v>
      </c>
      <c r="O583" s="6" t="s">
        <v>6254</v>
      </c>
      <c r="P583" s="6" t="s">
        <v>6254</v>
      </c>
      <c r="Q583" s="6" t="s">
        <v>6254</v>
      </c>
    </row>
    <row r="584" spans="1:17">
      <c r="A584" s="6" t="s">
        <v>492</v>
      </c>
      <c r="B584" s="6" t="s">
        <v>492</v>
      </c>
      <c r="C584" s="6" t="s">
        <v>7842</v>
      </c>
      <c r="D584" s="6" t="s">
        <v>7843</v>
      </c>
      <c r="E584" s="6" t="s">
        <v>7843</v>
      </c>
      <c r="F584" s="6">
        <v>15.733446098792101</v>
      </c>
      <c r="G584" s="6">
        <v>15.4500411223674</v>
      </c>
      <c r="H584" s="6">
        <v>15.481189623822701</v>
      </c>
      <c r="I584" s="6">
        <v>15.9363484454298</v>
      </c>
      <c r="J584" s="6">
        <v>14.6902952912265</v>
      </c>
      <c r="K584" s="6">
        <v>14.989384165360701</v>
      </c>
      <c r="L584" s="6">
        <v>15.877788208660901</v>
      </c>
      <c r="M584" s="6">
        <v>14.5333135217699</v>
      </c>
      <c r="N584" s="6">
        <v>15.3895197109335</v>
      </c>
      <c r="O584" s="6">
        <v>15.853580835496301</v>
      </c>
      <c r="P584" s="6">
        <v>15.6276567799621</v>
      </c>
      <c r="Q584" s="6">
        <v>14.227237214797</v>
      </c>
    </row>
    <row r="585" spans="1:17">
      <c r="A585" s="6" t="s">
        <v>997</v>
      </c>
      <c r="B585" s="6" t="s">
        <v>997</v>
      </c>
      <c r="C585" s="6" t="s">
        <v>7844</v>
      </c>
      <c r="D585" s="6" t="s">
        <v>7845</v>
      </c>
      <c r="E585" s="6" t="s">
        <v>7845</v>
      </c>
      <c r="F585" s="6">
        <v>15.5724246400914</v>
      </c>
      <c r="G585" s="6">
        <v>15.3199980223357</v>
      </c>
      <c r="H585" s="6">
        <v>15.2824546238624</v>
      </c>
      <c r="I585" s="6">
        <v>15.959477468646099</v>
      </c>
      <c r="J585" s="6">
        <v>14.717497474483899</v>
      </c>
      <c r="K585" s="6">
        <v>15.356242097301299</v>
      </c>
      <c r="L585" s="6">
        <v>15.8527308230678</v>
      </c>
      <c r="M585" s="6">
        <v>14.549851854218799</v>
      </c>
      <c r="N585" s="6">
        <v>14.6706851547816</v>
      </c>
      <c r="O585" s="6">
        <v>15.621422460124601</v>
      </c>
      <c r="P585" s="6">
        <v>15.4971172277483</v>
      </c>
      <c r="Q585" s="6">
        <v>14.4437186188834</v>
      </c>
    </row>
    <row r="586" spans="1:17">
      <c r="A586" s="6" t="s">
        <v>572</v>
      </c>
      <c r="B586" s="6" t="s">
        <v>572</v>
      </c>
      <c r="C586" s="6" t="s">
        <v>7846</v>
      </c>
      <c r="D586" s="6" t="s">
        <v>7847</v>
      </c>
      <c r="E586" s="6" t="s">
        <v>7847</v>
      </c>
      <c r="F586" s="6">
        <v>15.621701682423399</v>
      </c>
      <c r="G586" s="6">
        <v>15.1558023043579</v>
      </c>
      <c r="H586" s="6">
        <v>15.2463448907873</v>
      </c>
      <c r="I586" s="6">
        <v>16.108567031469299</v>
      </c>
      <c r="J586" s="6">
        <v>14.334727369381699</v>
      </c>
      <c r="K586" s="6">
        <v>15.408675094410199</v>
      </c>
      <c r="L586" s="6">
        <v>15.953836780222099</v>
      </c>
      <c r="M586" s="6">
        <v>14.565247057886101</v>
      </c>
      <c r="N586" s="6">
        <v>15.1077769915292</v>
      </c>
      <c r="O586" s="6">
        <v>15.629118554347199</v>
      </c>
      <c r="P586" s="6">
        <v>15.4865015458504</v>
      </c>
      <c r="Q586" s="6">
        <v>14.236307029239301</v>
      </c>
    </row>
    <row r="587" spans="1:17">
      <c r="A587" s="6" t="s">
        <v>1186</v>
      </c>
      <c r="B587" s="6" t="s">
        <v>1186</v>
      </c>
      <c r="C587" s="6" t="s">
        <v>7848</v>
      </c>
      <c r="D587" s="6" t="s">
        <v>7849</v>
      </c>
      <c r="E587" s="6" t="s">
        <v>7849</v>
      </c>
      <c r="F587" s="6">
        <v>15.953340069139101</v>
      </c>
      <c r="G587" s="6">
        <v>15.3863094040842</v>
      </c>
      <c r="H587" s="6">
        <v>15.4676683274489</v>
      </c>
      <c r="I587" s="6">
        <v>15.953690798515799</v>
      </c>
      <c r="J587" s="6">
        <v>14.7178989759426</v>
      </c>
      <c r="K587" s="6">
        <v>15.0862376228961</v>
      </c>
      <c r="L587" s="6">
        <v>15.8496587597157</v>
      </c>
      <c r="M587" s="6">
        <v>14.5598480115803</v>
      </c>
      <c r="N587" s="6">
        <v>15.035583790222301</v>
      </c>
      <c r="O587" s="6">
        <v>15.515168096203301</v>
      </c>
      <c r="P587" s="6">
        <v>15.8294836884356</v>
      </c>
      <c r="Q587" s="6">
        <v>14.347372185145799</v>
      </c>
    </row>
    <row r="588" spans="1:17">
      <c r="A588" s="6" t="s">
        <v>344</v>
      </c>
      <c r="B588" s="6" t="s">
        <v>344</v>
      </c>
      <c r="C588" s="6" t="s">
        <v>7850</v>
      </c>
      <c r="D588" s="6" t="s">
        <v>7851</v>
      </c>
      <c r="E588" s="6" t="s">
        <v>7851</v>
      </c>
      <c r="F588" s="6">
        <v>15.9030139589734</v>
      </c>
      <c r="G588" s="6">
        <v>15.1130733812481</v>
      </c>
      <c r="H588" s="6">
        <v>15.2684552649116</v>
      </c>
      <c r="I588" s="6">
        <v>15.837022059290801</v>
      </c>
      <c r="J588" s="6">
        <v>14.490914767315299</v>
      </c>
      <c r="K588" s="6">
        <v>15.247595655607199</v>
      </c>
      <c r="L588" s="6">
        <v>15.777412904490101</v>
      </c>
      <c r="M588" s="6">
        <v>14.4924434332386</v>
      </c>
      <c r="N588" s="6">
        <v>15.301820546016</v>
      </c>
      <c r="O588" s="6">
        <v>15.7398822212655</v>
      </c>
      <c r="P588" s="6">
        <v>15.610405153229401</v>
      </c>
      <c r="Q588" s="6">
        <v>14.3032181506703</v>
      </c>
    </row>
    <row r="589" spans="1:17">
      <c r="A589" s="6" t="s">
        <v>1759</v>
      </c>
      <c r="B589" s="6" t="s">
        <v>1759</v>
      </c>
      <c r="C589" s="6" t="s">
        <v>7852</v>
      </c>
      <c r="D589" s="6" t="s">
        <v>7853</v>
      </c>
      <c r="E589" s="6" t="s">
        <v>7853</v>
      </c>
      <c r="F589" s="6">
        <v>15.7211944113307</v>
      </c>
      <c r="G589" s="6">
        <v>15.1306232355416</v>
      </c>
      <c r="H589" s="6">
        <v>15.6531398112961</v>
      </c>
      <c r="I589" s="6">
        <v>15.896879662412999</v>
      </c>
      <c r="J589" s="6">
        <v>14.897388958920899</v>
      </c>
      <c r="K589" s="6">
        <v>15.8083111268596</v>
      </c>
      <c r="L589" s="6">
        <v>16.058041031863901</v>
      </c>
      <c r="M589" s="6">
        <v>14.903937150559999</v>
      </c>
      <c r="N589" s="6">
        <v>15.0336618761383</v>
      </c>
      <c r="O589" s="6">
        <v>15.0780298728678</v>
      </c>
      <c r="P589" s="6">
        <v>15.763364516806201</v>
      </c>
      <c r="Q589" s="6">
        <v>14.313941947749001</v>
      </c>
    </row>
    <row r="590" spans="1:17">
      <c r="A590" s="6" t="s">
        <v>308</v>
      </c>
      <c r="B590" s="6" t="s">
        <v>308</v>
      </c>
      <c r="C590" s="6" t="s">
        <v>7854</v>
      </c>
      <c r="D590" s="6" t="s">
        <v>7855</v>
      </c>
      <c r="E590" s="6" t="s">
        <v>7855</v>
      </c>
      <c r="F590" s="6">
        <v>15.562955328941801</v>
      </c>
      <c r="G590" s="6">
        <v>15.3928458443695</v>
      </c>
      <c r="H590" s="6">
        <v>15.325508176480501</v>
      </c>
      <c r="I590" s="6">
        <v>16.0188807186227</v>
      </c>
      <c r="J590" s="6">
        <v>14.8473052092465</v>
      </c>
      <c r="K590" s="6">
        <v>15.412240591303201</v>
      </c>
      <c r="L590" s="6">
        <v>15.7685123509597</v>
      </c>
      <c r="M590" s="6">
        <v>14.816117231684199</v>
      </c>
      <c r="N590" s="6">
        <v>14.817074746025</v>
      </c>
      <c r="O590" s="6">
        <v>15.732079851646599</v>
      </c>
      <c r="P590" s="6">
        <v>15.7245686429744</v>
      </c>
      <c r="Q590" s="6">
        <v>14.075613043121001</v>
      </c>
    </row>
    <row r="591" spans="1:17">
      <c r="A591" s="6" t="s">
        <v>7856</v>
      </c>
      <c r="B591" s="6" t="s">
        <v>7857</v>
      </c>
      <c r="C591" s="6" t="s">
        <v>7858</v>
      </c>
      <c r="D591" s="6" t="s">
        <v>7859</v>
      </c>
      <c r="E591" s="6" t="s">
        <v>7860</v>
      </c>
      <c r="F591" s="6">
        <v>15.846984665906399</v>
      </c>
      <c r="G591" s="6">
        <v>15.6768868443804</v>
      </c>
      <c r="H591" s="6">
        <v>14.7519377347644</v>
      </c>
      <c r="I591" s="6">
        <v>15.885150369130599</v>
      </c>
      <c r="J591" s="6">
        <v>14.7008731472209</v>
      </c>
      <c r="K591" s="6">
        <v>14.943516106197499</v>
      </c>
      <c r="L591" s="6">
        <v>15.784078883560801</v>
      </c>
      <c r="M591" s="6">
        <v>14.033005204505301</v>
      </c>
      <c r="N591" s="6">
        <v>14.8999231818862</v>
      </c>
      <c r="O591" s="6">
        <v>15.694594767527899</v>
      </c>
      <c r="P591" s="6">
        <v>15.490120225585599</v>
      </c>
      <c r="Q591" s="6">
        <v>14.4510200629155</v>
      </c>
    </row>
    <row r="592" spans="1:17">
      <c r="A592" s="6" t="s">
        <v>2677</v>
      </c>
      <c r="B592" s="6" t="s">
        <v>2677</v>
      </c>
      <c r="C592" s="6" t="s">
        <v>7861</v>
      </c>
      <c r="D592" s="6" t="s">
        <v>7862</v>
      </c>
      <c r="E592" s="6" t="s">
        <v>7862</v>
      </c>
      <c r="F592" s="6">
        <v>15.7968333587134</v>
      </c>
      <c r="G592" s="6">
        <v>15.591153243386501</v>
      </c>
      <c r="H592" s="6">
        <v>15.0492377549827</v>
      </c>
      <c r="I592" s="6">
        <v>16.124335804835201</v>
      </c>
      <c r="J592" s="6">
        <v>14.7016610346655</v>
      </c>
      <c r="K592" s="6">
        <v>15.3620720488485</v>
      </c>
      <c r="L592" s="6">
        <v>15.938031761255299</v>
      </c>
      <c r="M592" s="6" t="s">
        <v>6254</v>
      </c>
      <c r="N592" s="6">
        <v>15.641730050621399</v>
      </c>
      <c r="O592" s="6">
        <v>15.6047010334644</v>
      </c>
      <c r="P592" s="6">
        <v>15.303967461988099</v>
      </c>
      <c r="Q592" s="6" t="s">
        <v>6254</v>
      </c>
    </row>
    <row r="593" spans="1:17">
      <c r="A593" s="6" t="s">
        <v>1213</v>
      </c>
      <c r="B593" s="6" t="s">
        <v>1213</v>
      </c>
      <c r="C593" s="6" t="s">
        <v>7863</v>
      </c>
      <c r="D593" s="6" t="s">
        <v>7864</v>
      </c>
      <c r="E593" s="6" t="s">
        <v>7864</v>
      </c>
      <c r="F593" s="6">
        <v>15.9053095958448</v>
      </c>
      <c r="G593" s="6">
        <v>15.4428560373635</v>
      </c>
      <c r="H593" s="6">
        <v>15.2489957570271</v>
      </c>
      <c r="I593" s="6">
        <v>16.188064708106001</v>
      </c>
      <c r="J593" s="6">
        <v>14.7006548505897</v>
      </c>
      <c r="K593" s="6">
        <v>15.217819107831099</v>
      </c>
      <c r="L593" s="6">
        <v>15.7615568283769</v>
      </c>
      <c r="M593" s="6">
        <v>14.3972109877927</v>
      </c>
      <c r="N593" s="6">
        <v>15.0338431988216</v>
      </c>
      <c r="O593" s="6">
        <v>15.9788681725678</v>
      </c>
      <c r="P593" s="6">
        <v>15.5195282022333</v>
      </c>
      <c r="Q593" s="6">
        <v>14.181767921456601</v>
      </c>
    </row>
    <row r="594" spans="1:17">
      <c r="A594" s="6" t="s">
        <v>7865</v>
      </c>
      <c r="B594" s="6" t="s">
        <v>7865</v>
      </c>
      <c r="C594" s="6" t="s">
        <v>7866</v>
      </c>
      <c r="D594" s="6" t="s">
        <v>7867</v>
      </c>
      <c r="E594" s="6" t="s">
        <v>7867</v>
      </c>
      <c r="F594" s="6">
        <v>18.979489019934501</v>
      </c>
      <c r="G594" s="6">
        <v>10.661790526842299</v>
      </c>
      <c r="H594" s="6">
        <v>18.281393578105501</v>
      </c>
      <c r="I594" s="6">
        <v>12.692604238770199</v>
      </c>
      <c r="J594" s="6">
        <v>10.204375449118</v>
      </c>
      <c r="K594" s="6">
        <v>18.4926018840506</v>
      </c>
      <c r="L594" s="6">
        <v>18.6613195455779</v>
      </c>
      <c r="M594" s="6">
        <v>17.5640836280648</v>
      </c>
      <c r="N594" s="6">
        <v>17.7635230184849</v>
      </c>
      <c r="O594" s="6">
        <v>18.507310586468101</v>
      </c>
      <c r="P594" s="6">
        <v>17.821461333441199</v>
      </c>
      <c r="Q594" s="6">
        <v>9.3560308046435505</v>
      </c>
    </row>
    <row r="595" spans="1:17">
      <c r="A595" s="6" t="s">
        <v>503</v>
      </c>
      <c r="B595" s="6" t="s">
        <v>503</v>
      </c>
      <c r="C595" s="6" t="s">
        <v>7868</v>
      </c>
      <c r="D595" s="6" t="s">
        <v>7869</v>
      </c>
      <c r="E595" s="6" t="s">
        <v>7869</v>
      </c>
      <c r="F595" s="6">
        <v>15.7265001242832</v>
      </c>
      <c r="G595" s="6">
        <v>15.2314273768066</v>
      </c>
      <c r="H595" s="6">
        <v>15.533349126148501</v>
      </c>
      <c r="I595" s="6">
        <v>15.9852197476255</v>
      </c>
      <c r="J595" s="6">
        <v>14.5386270942066</v>
      </c>
      <c r="K595" s="6">
        <v>15.2641277024997</v>
      </c>
      <c r="L595" s="6">
        <v>15.9504221862883</v>
      </c>
      <c r="M595" s="6">
        <v>14.4413179670146</v>
      </c>
      <c r="N595" s="6">
        <v>15.2215782008806</v>
      </c>
      <c r="O595" s="6">
        <v>15.5482899117044</v>
      </c>
      <c r="P595" s="6">
        <v>15.374535512280801</v>
      </c>
      <c r="Q595" s="6">
        <v>13.931314066058601</v>
      </c>
    </row>
    <row r="596" spans="1:17">
      <c r="A596" s="6" t="s">
        <v>3272</v>
      </c>
      <c r="B596" s="6" t="s">
        <v>3272</v>
      </c>
      <c r="C596" s="6" t="s">
        <v>7870</v>
      </c>
      <c r="D596" s="6" t="s">
        <v>7871</v>
      </c>
      <c r="E596" s="6" t="s">
        <v>7871</v>
      </c>
      <c r="F596" s="6">
        <v>15.7940952451965</v>
      </c>
      <c r="G596" s="6">
        <v>15.333001338392799</v>
      </c>
      <c r="H596" s="6">
        <v>15.481383249706401</v>
      </c>
      <c r="I596" s="6">
        <v>15.857996671256901</v>
      </c>
      <c r="J596" s="6">
        <v>14.6490922634245</v>
      </c>
      <c r="K596" s="6">
        <v>15.2781225043246</v>
      </c>
      <c r="L596" s="6">
        <v>15.7526680514584</v>
      </c>
      <c r="M596" s="6">
        <v>14.5997445743012</v>
      </c>
      <c r="N596" s="6">
        <v>15.120709363301</v>
      </c>
      <c r="O596" s="6">
        <v>15.799321638601</v>
      </c>
      <c r="P596" s="6">
        <v>15.325571848455301</v>
      </c>
      <c r="Q596" s="6">
        <v>14.2433155360686</v>
      </c>
    </row>
    <row r="597" spans="1:17">
      <c r="A597" s="6" t="s">
        <v>755</v>
      </c>
      <c r="B597" s="6" t="s">
        <v>755</v>
      </c>
      <c r="C597" s="6" t="s">
        <v>7872</v>
      </c>
      <c r="D597" s="6" t="s">
        <v>7873</v>
      </c>
      <c r="E597" s="6" t="s">
        <v>7873</v>
      </c>
      <c r="F597" s="6">
        <v>15.9709465046364</v>
      </c>
      <c r="G597" s="6">
        <v>15.498761782954199</v>
      </c>
      <c r="H597" s="6">
        <v>15.2759537893619</v>
      </c>
      <c r="I597" s="6">
        <v>15.959066485945099</v>
      </c>
      <c r="J597" s="6">
        <v>14.9116267603306</v>
      </c>
      <c r="K597" s="6">
        <v>15.159520803801</v>
      </c>
      <c r="L597" s="6">
        <v>16.281851469660499</v>
      </c>
      <c r="M597" s="6">
        <v>14.2807950910546</v>
      </c>
      <c r="N597" s="6">
        <v>15.012965386150899</v>
      </c>
      <c r="O597" s="6">
        <v>15.447849373140601</v>
      </c>
      <c r="P597" s="6">
        <v>15.353733870489</v>
      </c>
      <c r="Q597" s="6">
        <v>14.432762116736701</v>
      </c>
    </row>
    <row r="598" spans="1:17">
      <c r="A598" s="6" t="s">
        <v>2202</v>
      </c>
      <c r="B598" s="6" t="s">
        <v>2202</v>
      </c>
      <c r="C598" s="6" t="s">
        <v>7874</v>
      </c>
      <c r="D598" s="6" t="s">
        <v>7875</v>
      </c>
      <c r="E598" s="6" t="s">
        <v>7875</v>
      </c>
      <c r="F598" s="6">
        <v>15.601199466440701</v>
      </c>
      <c r="G598" s="6">
        <v>15.257372020412999</v>
      </c>
      <c r="H598" s="6">
        <v>15.328582176855701</v>
      </c>
      <c r="I598" s="6">
        <v>15.8182758309086</v>
      </c>
      <c r="J598" s="6">
        <v>14.825333980289001</v>
      </c>
      <c r="K598" s="6">
        <v>15.400576686649901</v>
      </c>
      <c r="L598" s="6">
        <v>15.9497806542898</v>
      </c>
      <c r="M598" s="6">
        <v>14.539619505177701</v>
      </c>
      <c r="N598" s="6">
        <v>14.4952739599797</v>
      </c>
      <c r="O598" s="6">
        <v>15.601829433710501</v>
      </c>
      <c r="P598" s="6">
        <v>15.780229618999901</v>
      </c>
      <c r="Q598" s="6">
        <v>14.591946365313699</v>
      </c>
    </row>
    <row r="599" spans="1:17">
      <c r="A599" s="6" t="s">
        <v>7876</v>
      </c>
      <c r="B599" s="6" t="s">
        <v>895</v>
      </c>
      <c r="C599" s="6" t="s">
        <v>7877</v>
      </c>
      <c r="D599" s="6" t="s">
        <v>7878</v>
      </c>
      <c r="E599" s="6" t="s">
        <v>7879</v>
      </c>
      <c r="F599" s="6">
        <v>15.9237549394265</v>
      </c>
      <c r="G599" s="6">
        <v>15.334331606803801</v>
      </c>
      <c r="H599" s="6">
        <v>15.529343472045401</v>
      </c>
      <c r="I599" s="6">
        <v>15.9527031111118</v>
      </c>
      <c r="J599" s="6">
        <v>14.6943261795564</v>
      </c>
      <c r="K599" s="6">
        <v>15.067314002425199</v>
      </c>
      <c r="L599" s="6">
        <v>15.8473811940644</v>
      </c>
      <c r="M599" s="6">
        <v>14.5893428206336</v>
      </c>
      <c r="N599" s="6">
        <v>15.4789905935788</v>
      </c>
      <c r="O599" s="6">
        <v>15.9313537539664</v>
      </c>
      <c r="P599" s="6">
        <v>15.7606010352971</v>
      </c>
      <c r="Q599" s="6">
        <v>13.827566379349101</v>
      </c>
    </row>
    <row r="600" spans="1:17">
      <c r="A600" s="6" t="s">
        <v>2951</v>
      </c>
      <c r="B600" s="6" t="s">
        <v>2951</v>
      </c>
      <c r="C600" s="6" t="s">
        <v>7880</v>
      </c>
      <c r="D600" s="6" t="s">
        <v>7881</v>
      </c>
      <c r="E600" s="6" t="s">
        <v>7881</v>
      </c>
      <c r="F600" s="6">
        <v>15.939275334824099</v>
      </c>
      <c r="G600" s="6">
        <v>14.264185655394799</v>
      </c>
      <c r="H600" s="6">
        <v>14.712384687067299</v>
      </c>
      <c r="I600" s="6">
        <v>16.3996710673295</v>
      </c>
      <c r="J600" s="6">
        <v>14.9334894692979</v>
      </c>
      <c r="K600" s="6">
        <v>15.862733512816201</v>
      </c>
      <c r="L600" s="6">
        <v>16.140025709841201</v>
      </c>
      <c r="M600" s="6" t="s">
        <v>6254</v>
      </c>
      <c r="N600" s="6">
        <v>15.039849843137601</v>
      </c>
      <c r="O600" s="6">
        <v>14.834988244387301</v>
      </c>
      <c r="P600" s="6">
        <v>16.091226245671599</v>
      </c>
      <c r="Q600" s="6">
        <v>14.061031213857801</v>
      </c>
    </row>
    <row r="601" spans="1:17">
      <c r="A601" s="6" t="s">
        <v>7882</v>
      </c>
      <c r="B601" s="6" t="s">
        <v>4205</v>
      </c>
      <c r="C601" s="6" t="s">
        <v>7883</v>
      </c>
      <c r="D601" s="6" t="s">
        <v>7884</v>
      </c>
      <c r="E601" s="6" t="s">
        <v>7885</v>
      </c>
      <c r="F601" s="6">
        <v>15.881127832164699</v>
      </c>
      <c r="G601" s="6">
        <v>15.2059849099068</v>
      </c>
      <c r="H601" s="6">
        <v>15.4971555831651</v>
      </c>
      <c r="I601" s="6">
        <v>16.020752274759602</v>
      </c>
      <c r="J601" s="6">
        <v>14.8183052966686</v>
      </c>
      <c r="K601" s="6">
        <v>15.094960686679901</v>
      </c>
      <c r="L601" s="6">
        <v>15.9093530576778</v>
      </c>
      <c r="M601" s="6">
        <v>13.822171470829201</v>
      </c>
      <c r="N601" s="6">
        <v>15.293049143976599</v>
      </c>
      <c r="O601" s="6">
        <v>15.605366078176599</v>
      </c>
      <c r="P601" s="6">
        <v>15.347152390524</v>
      </c>
      <c r="Q601" s="6">
        <v>14.101253178844701</v>
      </c>
    </row>
    <row r="602" spans="1:17">
      <c r="A602" s="6" t="s">
        <v>668</v>
      </c>
      <c r="B602" s="6" t="s">
        <v>668</v>
      </c>
      <c r="C602" s="6" t="s">
        <v>7886</v>
      </c>
      <c r="D602" s="6" t="s">
        <v>7887</v>
      </c>
      <c r="E602" s="6" t="s">
        <v>7887</v>
      </c>
      <c r="F602" s="6">
        <v>15.710568628880599</v>
      </c>
      <c r="G602" s="6">
        <v>15.1058928320207</v>
      </c>
      <c r="H602" s="6">
        <v>15.4407037835987</v>
      </c>
      <c r="I602" s="6">
        <v>16.046051024856801</v>
      </c>
      <c r="J602" s="6">
        <v>14.510665971106</v>
      </c>
      <c r="K602" s="6">
        <v>15.1269608587319</v>
      </c>
      <c r="L602" s="6">
        <v>15.9027748671975</v>
      </c>
      <c r="M602" s="6">
        <v>14.382458846106699</v>
      </c>
      <c r="N602" s="6">
        <v>15.407944957708001</v>
      </c>
      <c r="O602" s="6">
        <v>15.7321878067296</v>
      </c>
      <c r="P602" s="6">
        <v>15.530587284349901</v>
      </c>
      <c r="Q602" s="6">
        <v>14.2172673813233</v>
      </c>
    </row>
    <row r="603" spans="1:17">
      <c r="A603" s="6" t="s">
        <v>248</v>
      </c>
      <c r="B603" s="6" t="s">
        <v>248</v>
      </c>
      <c r="C603" s="6" t="s">
        <v>7888</v>
      </c>
      <c r="D603" s="6" t="s">
        <v>7889</v>
      </c>
      <c r="E603" s="6" t="s">
        <v>7889</v>
      </c>
      <c r="F603" s="6">
        <v>15.964332775035601</v>
      </c>
      <c r="G603" s="6">
        <v>14.9180214597</v>
      </c>
      <c r="H603" s="6">
        <v>15.4226168917228</v>
      </c>
      <c r="I603" s="6">
        <v>16.141904067628001</v>
      </c>
      <c r="J603" s="6">
        <v>14.6087343174427</v>
      </c>
      <c r="K603" s="6">
        <v>15.217044539016801</v>
      </c>
      <c r="L603" s="6">
        <v>15.756798889949801</v>
      </c>
      <c r="M603" s="6">
        <v>14.747742567037699</v>
      </c>
      <c r="N603" s="6">
        <v>15.3288305068074</v>
      </c>
      <c r="O603" s="6">
        <v>15.8074440116389</v>
      </c>
      <c r="P603" s="6">
        <v>15.7873038407993</v>
      </c>
      <c r="Q603" s="6">
        <v>14.0376559511423</v>
      </c>
    </row>
    <row r="604" spans="1:17">
      <c r="A604" s="6" t="s">
        <v>620</v>
      </c>
      <c r="B604" s="6" t="s">
        <v>620</v>
      </c>
      <c r="C604" s="6" t="s">
        <v>7890</v>
      </c>
      <c r="D604" s="6" t="s">
        <v>7891</v>
      </c>
      <c r="E604" s="6" t="s">
        <v>7891</v>
      </c>
      <c r="F604" s="6">
        <v>15.750445487556</v>
      </c>
      <c r="G604" s="6">
        <v>15.0705456667243</v>
      </c>
      <c r="H604" s="6">
        <v>15.125593759998001</v>
      </c>
      <c r="I604" s="6">
        <v>16.033267799544198</v>
      </c>
      <c r="J604" s="6">
        <v>14.7599535863953</v>
      </c>
      <c r="K604" s="6">
        <v>15.389966153535401</v>
      </c>
      <c r="L604" s="6">
        <v>15.833345758127001</v>
      </c>
      <c r="M604" s="6">
        <v>14.2656986773383</v>
      </c>
      <c r="N604" s="6">
        <v>15.289102158716799</v>
      </c>
      <c r="O604" s="6">
        <v>15.6995752606708</v>
      </c>
      <c r="P604" s="6">
        <v>15.4855062157615</v>
      </c>
      <c r="Q604" s="6">
        <v>14.344251850774899</v>
      </c>
    </row>
    <row r="605" spans="1:17">
      <c r="A605" s="6" t="s">
        <v>7892</v>
      </c>
      <c r="B605" s="6" t="s">
        <v>7893</v>
      </c>
      <c r="C605" s="6" t="s">
        <v>7894</v>
      </c>
      <c r="D605" s="6" t="s">
        <v>7895</v>
      </c>
      <c r="E605" s="6" t="s">
        <v>7896</v>
      </c>
      <c r="F605" s="6">
        <v>15.8830256984436</v>
      </c>
      <c r="G605" s="6">
        <v>15.317458104860799</v>
      </c>
      <c r="H605" s="6">
        <v>15.3550770402995</v>
      </c>
      <c r="I605" s="6">
        <v>15.853906289904801</v>
      </c>
      <c r="J605" s="6">
        <v>14.7235992877365</v>
      </c>
      <c r="K605" s="6">
        <v>15.348796974398001</v>
      </c>
      <c r="L605" s="6">
        <v>16.003878947967099</v>
      </c>
      <c r="M605" s="6">
        <v>14.4024639616845</v>
      </c>
      <c r="N605" s="6">
        <v>15.037267961488601</v>
      </c>
      <c r="O605" s="6">
        <v>15.753730871846299</v>
      </c>
      <c r="P605" s="6">
        <v>15.802080323096799</v>
      </c>
      <c r="Q605" s="6">
        <v>14.123493135350399</v>
      </c>
    </row>
    <row r="606" spans="1:17">
      <c r="A606" s="6" t="s">
        <v>7897</v>
      </c>
      <c r="B606" s="6" t="s">
        <v>7898</v>
      </c>
      <c r="C606" s="6" t="s">
        <v>7899</v>
      </c>
      <c r="D606" s="6" t="s">
        <v>7900</v>
      </c>
      <c r="E606" s="6" t="s">
        <v>7901</v>
      </c>
      <c r="F606" s="6">
        <v>14.861731827518099</v>
      </c>
      <c r="G606" s="6">
        <v>15.237678722911101</v>
      </c>
      <c r="H606" s="6">
        <v>15.638429674180101</v>
      </c>
      <c r="I606" s="6">
        <v>16.845752128229801</v>
      </c>
      <c r="J606" s="6">
        <v>15.608587234457501</v>
      </c>
      <c r="K606" s="6">
        <v>16.731482562752799</v>
      </c>
      <c r="L606" s="6">
        <v>15.8212311114066</v>
      </c>
      <c r="M606" s="6">
        <v>16.488757276358101</v>
      </c>
      <c r="N606" s="6">
        <v>16.1115366171056</v>
      </c>
      <c r="O606" s="6">
        <v>15.558005348220499</v>
      </c>
      <c r="P606" s="6">
        <v>15.3210848574219</v>
      </c>
      <c r="Q606" s="6">
        <v>14.695013496239</v>
      </c>
    </row>
    <row r="607" spans="1:17">
      <c r="A607" s="6" t="s">
        <v>1747</v>
      </c>
      <c r="B607" s="6" t="s">
        <v>1747</v>
      </c>
      <c r="C607" s="6" t="s">
        <v>7902</v>
      </c>
      <c r="D607" s="6" t="s">
        <v>7903</v>
      </c>
      <c r="E607" s="6" t="s">
        <v>7903</v>
      </c>
      <c r="F607" s="6">
        <v>15.643791560474201</v>
      </c>
      <c r="G607" s="6">
        <v>15.7750418923835</v>
      </c>
      <c r="H607" s="6">
        <v>15.607484584227199</v>
      </c>
      <c r="I607" s="6">
        <v>15.2732068764634</v>
      </c>
      <c r="J607" s="6">
        <v>15.6973319277912</v>
      </c>
      <c r="K607" s="6">
        <v>13.488667864954399</v>
      </c>
      <c r="L607" s="6">
        <v>14.520842942899501</v>
      </c>
      <c r="M607" s="6">
        <v>15.4593865086748</v>
      </c>
      <c r="N607" s="6">
        <v>16.607326840332998</v>
      </c>
      <c r="O607" s="6">
        <v>15.1878791373287</v>
      </c>
      <c r="P607" s="6">
        <v>14.478657849366201</v>
      </c>
      <c r="Q607" s="6">
        <v>15.442043720884399</v>
      </c>
    </row>
    <row r="608" spans="1:17">
      <c r="A608" s="6" t="s">
        <v>7904</v>
      </c>
      <c r="B608" s="6" t="s">
        <v>1076</v>
      </c>
      <c r="C608" s="6" t="s">
        <v>7905</v>
      </c>
      <c r="D608" s="6" t="s">
        <v>7906</v>
      </c>
      <c r="E608" s="6" t="s">
        <v>7907</v>
      </c>
      <c r="F608" s="6">
        <v>15.911070118490301</v>
      </c>
      <c r="G608" s="6">
        <v>15.086482528812599</v>
      </c>
      <c r="H608" s="6">
        <v>15.424470782169401</v>
      </c>
      <c r="I608" s="6">
        <v>16.082680205438901</v>
      </c>
      <c r="J608" s="6">
        <v>14.4412651696199</v>
      </c>
      <c r="K608" s="6">
        <v>15.1998304265672</v>
      </c>
      <c r="L608" s="6">
        <v>16.099831182887399</v>
      </c>
      <c r="M608" s="6">
        <v>14.5439096655175</v>
      </c>
      <c r="N608" s="6">
        <v>15.4407699761615</v>
      </c>
      <c r="O608" s="6">
        <v>15.607204471621101</v>
      </c>
      <c r="P608" s="6">
        <v>15.6044600298427</v>
      </c>
      <c r="Q608" s="6">
        <v>13.745102114718</v>
      </c>
    </row>
    <row r="609" spans="1:17">
      <c r="A609" s="6" t="s">
        <v>7908</v>
      </c>
      <c r="B609" s="6" t="s">
        <v>7908</v>
      </c>
      <c r="C609" s="6" t="s">
        <v>7909</v>
      </c>
      <c r="D609" s="6" t="s">
        <v>7910</v>
      </c>
      <c r="E609" s="6" t="s">
        <v>7910</v>
      </c>
      <c r="F609" s="6">
        <v>16.029347101934899</v>
      </c>
      <c r="G609" s="6">
        <v>15.0989539427419</v>
      </c>
      <c r="H609" s="6">
        <v>15.261805470491201</v>
      </c>
      <c r="I609" s="6">
        <v>16.225444212181898</v>
      </c>
      <c r="J609" s="6">
        <v>14.666723112720099</v>
      </c>
      <c r="K609" s="6">
        <v>14.8551187505538</v>
      </c>
      <c r="L609" s="6">
        <v>16.018049364777099</v>
      </c>
      <c r="M609" s="6">
        <v>14.739789048613799</v>
      </c>
      <c r="N609" s="6">
        <v>15.328070468080901</v>
      </c>
      <c r="O609" s="6">
        <v>15.2538918380033</v>
      </c>
      <c r="P609" s="6">
        <v>15.455027816194701</v>
      </c>
      <c r="Q609" s="6">
        <v>13.9803374991259</v>
      </c>
    </row>
    <row r="610" spans="1:17">
      <c r="A610" s="6" t="s">
        <v>1375</v>
      </c>
      <c r="B610" s="6" t="s">
        <v>1375</v>
      </c>
      <c r="C610" s="6" t="s">
        <v>7911</v>
      </c>
      <c r="D610" s="6" t="s">
        <v>7912</v>
      </c>
      <c r="E610" s="6" t="s">
        <v>7912</v>
      </c>
      <c r="F610" s="6">
        <v>15.7023134669288</v>
      </c>
      <c r="G610" s="6">
        <v>15.187332957052099</v>
      </c>
      <c r="H610" s="6">
        <v>15.2554389803269</v>
      </c>
      <c r="I610" s="6">
        <v>15.7880955518257</v>
      </c>
      <c r="J610" s="6">
        <v>14.678733308674399</v>
      </c>
      <c r="K610" s="6">
        <v>15.4552244087813</v>
      </c>
      <c r="L610" s="6">
        <v>15.839408211497201</v>
      </c>
      <c r="M610" s="6">
        <v>14.6812509841566</v>
      </c>
      <c r="N610" s="6">
        <v>14.7256722672491</v>
      </c>
      <c r="O610" s="6">
        <v>15.585702112637099</v>
      </c>
      <c r="P610" s="6">
        <v>15.700772249662499</v>
      </c>
      <c r="Q610" s="6">
        <v>14.4738954936825</v>
      </c>
    </row>
    <row r="611" spans="1:17">
      <c r="A611" s="6" t="s">
        <v>715</v>
      </c>
      <c r="B611" s="6" t="s">
        <v>715</v>
      </c>
      <c r="C611" s="6" t="s">
        <v>7913</v>
      </c>
      <c r="D611" s="6" t="s">
        <v>7914</v>
      </c>
      <c r="E611" s="6" t="s">
        <v>7914</v>
      </c>
      <c r="F611" s="6">
        <v>15.755886549078999</v>
      </c>
      <c r="G611" s="6">
        <v>15.216347047045</v>
      </c>
      <c r="H611" s="6">
        <v>15.339296162844001</v>
      </c>
      <c r="I611" s="6">
        <v>15.937117229368001</v>
      </c>
      <c r="J611" s="6">
        <v>14.718831166778299</v>
      </c>
      <c r="K611" s="6">
        <v>15.2772628218955</v>
      </c>
      <c r="L611" s="6">
        <v>15.767368912607999</v>
      </c>
      <c r="M611" s="6">
        <v>14.509765062813701</v>
      </c>
      <c r="N611" s="6">
        <v>14.727986423093901</v>
      </c>
      <c r="O611" s="6">
        <v>15.535595139948001</v>
      </c>
      <c r="P611" s="6">
        <v>15.3115835446263</v>
      </c>
      <c r="Q611" s="6">
        <v>14.555550870838401</v>
      </c>
    </row>
    <row r="612" spans="1:17">
      <c r="A612" s="6" t="s">
        <v>1051</v>
      </c>
      <c r="B612" s="6" t="s">
        <v>1051</v>
      </c>
      <c r="C612" s="6" t="s">
        <v>7915</v>
      </c>
      <c r="D612" s="6" t="s">
        <v>7916</v>
      </c>
      <c r="E612" s="6" t="s">
        <v>7916</v>
      </c>
      <c r="F612" s="6">
        <v>16.161471783096601</v>
      </c>
      <c r="G612" s="6">
        <v>15.626478422292999</v>
      </c>
      <c r="H612" s="6">
        <v>15.2675008144004</v>
      </c>
      <c r="I612" s="6">
        <v>16.0132195579693</v>
      </c>
      <c r="J612" s="6">
        <v>14.738428307486799</v>
      </c>
      <c r="K612" s="6">
        <v>15.1811109050604</v>
      </c>
      <c r="L612" s="6">
        <v>15.8886975867518</v>
      </c>
      <c r="M612" s="6">
        <v>14.379989877282</v>
      </c>
      <c r="N612" s="6">
        <v>14.981211091179199</v>
      </c>
      <c r="O612" s="6">
        <v>15.383166834283401</v>
      </c>
      <c r="P612" s="6">
        <v>15.390882466504699</v>
      </c>
      <c r="Q612" s="6">
        <v>14.2840310254023</v>
      </c>
    </row>
    <row r="613" spans="1:17">
      <c r="A613" s="6" t="s">
        <v>7917</v>
      </c>
      <c r="B613" s="6" t="s">
        <v>7918</v>
      </c>
      <c r="C613" s="6" t="s">
        <v>7919</v>
      </c>
      <c r="D613" s="6" t="s">
        <v>7920</v>
      </c>
      <c r="E613" s="6" t="s">
        <v>7921</v>
      </c>
      <c r="F613" s="6">
        <v>15.8069732850163</v>
      </c>
      <c r="G613" s="6">
        <v>15.558846840997401</v>
      </c>
      <c r="H613" s="6">
        <v>15.3769898766908</v>
      </c>
      <c r="I613" s="6">
        <v>16.048399679672301</v>
      </c>
      <c r="J613" s="6">
        <v>14.454840835833799</v>
      </c>
      <c r="K613" s="6">
        <v>15.363555235974101</v>
      </c>
      <c r="L613" s="6">
        <v>15.871871388183401</v>
      </c>
      <c r="M613" s="6">
        <v>14.2979602150112</v>
      </c>
      <c r="N613" s="6">
        <v>14.6863149677027</v>
      </c>
      <c r="O613" s="6">
        <v>15.652120680037701</v>
      </c>
      <c r="P613" s="6">
        <v>15.623520689077701</v>
      </c>
      <c r="Q613" s="6">
        <v>14.1178843535392</v>
      </c>
    </row>
    <row r="614" spans="1:17">
      <c r="A614" s="6" t="s">
        <v>1904</v>
      </c>
      <c r="B614" s="6" t="s">
        <v>1904</v>
      </c>
      <c r="C614" s="6" t="s">
        <v>7922</v>
      </c>
      <c r="D614" s="6" t="s">
        <v>7923</v>
      </c>
      <c r="E614" s="6" t="s">
        <v>7923</v>
      </c>
      <c r="F614" s="6">
        <v>15.5849341107279</v>
      </c>
      <c r="G614" s="6">
        <v>15.1228518993482</v>
      </c>
      <c r="H614" s="6">
        <v>15.0484776894008</v>
      </c>
      <c r="I614" s="6">
        <v>15.9609670271202</v>
      </c>
      <c r="J614" s="6">
        <v>14.4068619468084</v>
      </c>
      <c r="K614" s="6">
        <v>15.347517388842</v>
      </c>
      <c r="L614" s="6">
        <v>15.794115479980899</v>
      </c>
      <c r="M614" s="6" t="s">
        <v>6254</v>
      </c>
      <c r="N614" s="6">
        <v>14.7143693095021</v>
      </c>
      <c r="O614" s="6">
        <v>15.8118850596097</v>
      </c>
      <c r="P614" s="6">
        <v>15.5702719426125</v>
      </c>
      <c r="Q614" s="6">
        <v>14.528309598107899</v>
      </c>
    </row>
    <row r="615" spans="1:17">
      <c r="A615" s="6" t="s">
        <v>1252</v>
      </c>
      <c r="B615" s="6" t="s">
        <v>1252</v>
      </c>
      <c r="C615" s="6" t="s">
        <v>7924</v>
      </c>
      <c r="D615" s="6" t="s">
        <v>7925</v>
      </c>
      <c r="E615" s="6" t="s">
        <v>7925</v>
      </c>
      <c r="F615" s="6">
        <v>15.768872277988599</v>
      </c>
      <c r="G615" s="6">
        <v>15.1029298192248</v>
      </c>
      <c r="H615" s="6">
        <v>15.0421321080963</v>
      </c>
      <c r="I615" s="6">
        <v>16.046878639166898</v>
      </c>
      <c r="J615" s="6">
        <v>14.570298991823901</v>
      </c>
      <c r="K615" s="6">
        <v>15.1798538621135</v>
      </c>
      <c r="L615" s="6">
        <v>16.009233563129701</v>
      </c>
      <c r="M615" s="6">
        <v>14.1831494870491</v>
      </c>
      <c r="N615" s="6">
        <v>14.834628278248999</v>
      </c>
      <c r="O615" s="6">
        <v>15.6498854177461</v>
      </c>
      <c r="P615" s="6">
        <v>15.3162290322462</v>
      </c>
      <c r="Q615" s="6">
        <v>14.3154545789687</v>
      </c>
    </row>
    <row r="616" spans="1:17">
      <c r="A616" s="6" t="s">
        <v>2644</v>
      </c>
      <c r="B616" s="6" t="s">
        <v>2646</v>
      </c>
      <c r="C616" s="6" t="s">
        <v>7926</v>
      </c>
      <c r="D616" s="6" t="s">
        <v>7927</v>
      </c>
      <c r="E616" s="6" t="s">
        <v>7928</v>
      </c>
      <c r="F616" s="6">
        <v>15.6786834710836</v>
      </c>
      <c r="G616" s="6">
        <v>15.489588704755</v>
      </c>
      <c r="H616" s="6">
        <v>15.854626637805399</v>
      </c>
      <c r="I616" s="6">
        <v>16.0148126629866</v>
      </c>
      <c r="J616" s="6">
        <v>15.211990949144999</v>
      </c>
      <c r="K616" s="6">
        <v>15.4721759358914</v>
      </c>
      <c r="L616" s="6">
        <v>15.546522415821499</v>
      </c>
      <c r="M616" s="6">
        <v>15.031670334391899</v>
      </c>
      <c r="N616" s="6">
        <v>14.9619956897221</v>
      </c>
      <c r="O616" s="6">
        <v>15.5315714051667</v>
      </c>
      <c r="P616" s="6">
        <v>15.4130560389439</v>
      </c>
      <c r="Q616" s="6">
        <v>14.2435677960192</v>
      </c>
    </row>
    <row r="617" spans="1:17">
      <c r="A617" s="6" t="s">
        <v>6162</v>
      </c>
      <c r="B617" s="6" t="s">
        <v>6162</v>
      </c>
      <c r="C617" s="6" t="s">
        <v>7929</v>
      </c>
      <c r="D617" s="6" t="s">
        <v>7930</v>
      </c>
      <c r="E617" s="6" t="s">
        <v>7930</v>
      </c>
      <c r="F617" s="6">
        <v>12.9508227692553</v>
      </c>
      <c r="G617" s="6">
        <v>15.6133723704878</v>
      </c>
      <c r="H617" s="6">
        <v>15.642477497533299</v>
      </c>
      <c r="I617" s="6">
        <v>16.252755051326499</v>
      </c>
      <c r="J617" s="6">
        <v>15.0877678571364</v>
      </c>
      <c r="K617" s="6">
        <v>15.414117230069801</v>
      </c>
      <c r="L617" s="6">
        <v>15.7984117693107</v>
      </c>
      <c r="M617" s="6">
        <v>14.958160226991</v>
      </c>
      <c r="N617" s="6">
        <v>15.4194263632145</v>
      </c>
      <c r="O617" s="6">
        <v>15.1804736411855</v>
      </c>
      <c r="P617" s="6">
        <v>15.533785863753501</v>
      </c>
      <c r="Q617" s="6">
        <v>13.784394353163099</v>
      </c>
    </row>
    <row r="618" spans="1:17">
      <c r="A618" s="6" t="s">
        <v>4206</v>
      </c>
      <c r="B618" s="6" t="s">
        <v>4206</v>
      </c>
      <c r="C618" s="6" t="s">
        <v>7931</v>
      </c>
      <c r="D618" s="6" t="s">
        <v>7932</v>
      </c>
      <c r="E618" s="6" t="s">
        <v>7932</v>
      </c>
      <c r="F618" s="6" t="s">
        <v>6254</v>
      </c>
      <c r="G618" s="6" t="s">
        <v>6254</v>
      </c>
      <c r="H618" s="6">
        <v>15.682046891239301</v>
      </c>
      <c r="I618" s="6">
        <v>16.045799899155</v>
      </c>
      <c r="J618" s="6">
        <v>15.222691264159099</v>
      </c>
      <c r="K618" s="6">
        <v>15.6843138566805</v>
      </c>
      <c r="L618" s="6">
        <v>16.202601012679601</v>
      </c>
      <c r="M618" s="6">
        <v>14.818762683845801</v>
      </c>
      <c r="N618" s="6">
        <v>14.695478770662501</v>
      </c>
      <c r="O618" s="6">
        <v>15.075555690824901</v>
      </c>
      <c r="P618" s="6">
        <v>14.9966032996919</v>
      </c>
      <c r="Q618" s="6" t="s">
        <v>6254</v>
      </c>
    </row>
    <row r="619" spans="1:17">
      <c r="A619" s="6" t="s">
        <v>2559</v>
      </c>
      <c r="B619" s="6" t="s">
        <v>2559</v>
      </c>
      <c r="C619" s="6" t="s">
        <v>7933</v>
      </c>
      <c r="D619" s="6" t="s">
        <v>7934</v>
      </c>
      <c r="E619" s="6" t="s">
        <v>7934</v>
      </c>
      <c r="F619" s="6">
        <v>16.201033958875001</v>
      </c>
      <c r="G619" s="6">
        <v>15.040317626914399</v>
      </c>
      <c r="H619" s="6">
        <v>15.250549958680599</v>
      </c>
      <c r="I619" s="6">
        <v>16.2786019855895</v>
      </c>
      <c r="J619" s="6">
        <v>14.6403989218988</v>
      </c>
      <c r="K619" s="6">
        <v>15.748702076545801</v>
      </c>
      <c r="L619" s="6">
        <v>15.840715566631401</v>
      </c>
      <c r="M619" s="6">
        <v>13.910213874433801</v>
      </c>
      <c r="N619" s="6">
        <v>14.9820289867742</v>
      </c>
      <c r="O619" s="6">
        <v>15.6908607195674</v>
      </c>
      <c r="P619" s="6">
        <v>15.778572737087099</v>
      </c>
      <c r="Q619" s="6">
        <v>14.1211116148864</v>
      </c>
    </row>
    <row r="620" spans="1:17">
      <c r="A620" s="6" t="s">
        <v>445</v>
      </c>
      <c r="B620" s="6" t="s">
        <v>445</v>
      </c>
      <c r="C620" s="6" t="s">
        <v>7935</v>
      </c>
      <c r="D620" s="6" t="s">
        <v>7936</v>
      </c>
      <c r="E620" s="6" t="s">
        <v>7936</v>
      </c>
      <c r="F620" s="6">
        <v>15.698552733357699</v>
      </c>
      <c r="G620" s="6">
        <v>15.300285069112</v>
      </c>
      <c r="H620" s="6">
        <v>15.2715388129551</v>
      </c>
      <c r="I620" s="6">
        <v>15.886650694511699</v>
      </c>
      <c r="J620" s="6">
        <v>14.689353722014999</v>
      </c>
      <c r="K620" s="6">
        <v>15.358479908831301</v>
      </c>
      <c r="L620" s="6">
        <v>15.820409714498499</v>
      </c>
      <c r="M620" s="6">
        <v>14.561309425730499</v>
      </c>
      <c r="N620" s="6">
        <v>15.103531274696699</v>
      </c>
      <c r="O620" s="6">
        <v>15.7155667176497</v>
      </c>
      <c r="P620" s="6">
        <v>15.550681070955299</v>
      </c>
      <c r="Q620" s="6">
        <v>14.211166832260901</v>
      </c>
    </row>
    <row r="621" spans="1:17">
      <c r="A621" s="6" t="s">
        <v>4958</v>
      </c>
      <c r="B621" s="6" t="s">
        <v>4958</v>
      </c>
      <c r="C621" s="6" t="s">
        <v>7937</v>
      </c>
      <c r="D621" s="6" t="s">
        <v>7938</v>
      </c>
      <c r="E621" s="6" t="s">
        <v>7938</v>
      </c>
      <c r="F621" s="6">
        <v>15.484879907827899</v>
      </c>
      <c r="G621" s="6">
        <v>15.147976605402199</v>
      </c>
      <c r="H621" s="6">
        <v>15.695681907411601</v>
      </c>
      <c r="I621" s="6">
        <v>16.273358129888599</v>
      </c>
      <c r="J621" s="6">
        <v>14.832018847528399</v>
      </c>
      <c r="K621" s="6">
        <v>15.317087678887299</v>
      </c>
      <c r="L621" s="6">
        <v>16.130702966760602</v>
      </c>
      <c r="M621" s="6">
        <v>14.7236124635265</v>
      </c>
      <c r="N621" s="6">
        <v>14.8025515003231</v>
      </c>
      <c r="O621" s="6">
        <v>15.2115674611602</v>
      </c>
      <c r="P621" s="6">
        <v>15.1393374444147</v>
      </c>
      <c r="Q621" s="6" t="s">
        <v>6254</v>
      </c>
    </row>
    <row r="622" spans="1:17">
      <c r="A622" s="6" t="s">
        <v>5138</v>
      </c>
      <c r="B622" s="6" t="s">
        <v>5138</v>
      </c>
      <c r="C622" s="6" t="s">
        <v>7939</v>
      </c>
      <c r="D622" s="6" t="s">
        <v>7940</v>
      </c>
      <c r="E622" s="6" t="s">
        <v>7940</v>
      </c>
      <c r="F622" s="6">
        <v>15.3992090848165</v>
      </c>
      <c r="G622" s="6">
        <v>14.2533216738661</v>
      </c>
      <c r="H622" s="6">
        <v>15.5468431151335</v>
      </c>
      <c r="I622" s="6">
        <v>15.6749284992285</v>
      </c>
      <c r="J622" s="6">
        <v>15.181164470493901</v>
      </c>
      <c r="K622" s="6" t="s">
        <v>6254</v>
      </c>
      <c r="L622" s="6">
        <v>16.623936409904498</v>
      </c>
      <c r="M622" s="6">
        <v>13.717025247959</v>
      </c>
      <c r="N622" s="6">
        <v>15.2643617405109</v>
      </c>
      <c r="O622" s="6">
        <v>16.562718858242</v>
      </c>
      <c r="P622" s="6">
        <v>16.013449105573901</v>
      </c>
      <c r="Q622" s="6" t="s">
        <v>6254</v>
      </c>
    </row>
    <row r="623" spans="1:17">
      <c r="A623" s="6" t="s">
        <v>2289</v>
      </c>
      <c r="B623" s="6" t="s">
        <v>2289</v>
      </c>
      <c r="C623" s="6" t="s">
        <v>7941</v>
      </c>
      <c r="D623" s="6" t="s">
        <v>7942</v>
      </c>
      <c r="E623" s="6" t="s">
        <v>7942</v>
      </c>
      <c r="F623" s="6">
        <v>15.724483541894401</v>
      </c>
      <c r="G623" s="6">
        <v>15.4896174319782</v>
      </c>
      <c r="H623" s="6">
        <v>15.421296174174</v>
      </c>
      <c r="I623" s="6">
        <v>16.015335993046701</v>
      </c>
      <c r="J623" s="6">
        <v>14.7142494936506</v>
      </c>
      <c r="K623" s="6">
        <v>15.3817835922755</v>
      </c>
      <c r="L623" s="6">
        <v>15.748227420691901</v>
      </c>
      <c r="M623" s="6">
        <v>14.5690384933802</v>
      </c>
      <c r="N623" s="6">
        <v>14.9028842844248</v>
      </c>
      <c r="O623" s="6">
        <v>15.548241620174799</v>
      </c>
      <c r="P623" s="6">
        <v>15.314165117050999</v>
      </c>
      <c r="Q623" s="6">
        <v>14.0368261767082</v>
      </c>
    </row>
    <row r="624" spans="1:17">
      <c r="A624" s="6" t="s">
        <v>3974</v>
      </c>
      <c r="B624" s="6" t="s">
        <v>3974</v>
      </c>
      <c r="C624" s="6" t="s">
        <v>7943</v>
      </c>
      <c r="D624" s="6" t="s">
        <v>7944</v>
      </c>
      <c r="E624" s="6" t="s">
        <v>7944</v>
      </c>
      <c r="F624" s="6">
        <v>15.7263229560438</v>
      </c>
      <c r="G624" s="6">
        <v>14.7996515986329</v>
      </c>
      <c r="H624" s="6">
        <v>15.147609202301</v>
      </c>
      <c r="I624" s="6">
        <v>15.972990932330401</v>
      </c>
      <c r="J624" s="6">
        <v>14.204537642276501</v>
      </c>
      <c r="K624" s="6">
        <v>15.0711301017799</v>
      </c>
      <c r="L624" s="6">
        <v>15.799054249109799</v>
      </c>
      <c r="M624" s="6">
        <v>14.0728109593973</v>
      </c>
      <c r="N624" s="6">
        <v>15.2497267423784</v>
      </c>
      <c r="O624" s="6">
        <v>15.8060979734946</v>
      </c>
      <c r="P624" s="6">
        <v>15.0636841299773</v>
      </c>
      <c r="Q624" s="6">
        <v>14.020300887581501</v>
      </c>
    </row>
    <row r="625" spans="1:17">
      <c r="A625" s="6" t="s">
        <v>7945</v>
      </c>
      <c r="B625" s="6" t="s">
        <v>7946</v>
      </c>
      <c r="C625" s="6" t="s">
        <v>7947</v>
      </c>
      <c r="D625" s="6" t="s">
        <v>7948</v>
      </c>
      <c r="E625" s="6" t="s">
        <v>7949</v>
      </c>
      <c r="F625" s="6">
        <v>15.737547548117901</v>
      </c>
      <c r="G625" s="6" t="s">
        <v>6254</v>
      </c>
      <c r="H625" s="6">
        <v>15.5045069326238</v>
      </c>
      <c r="I625" s="6">
        <v>16.034987140846798</v>
      </c>
      <c r="J625" s="6">
        <v>14.300488848972</v>
      </c>
      <c r="K625" s="6">
        <v>15.456212798464</v>
      </c>
      <c r="L625" s="6">
        <v>16.034784602581201</v>
      </c>
      <c r="M625" s="6" t="s">
        <v>6254</v>
      </c>
      <c r="N625" s="6" t="s">
        <v>6254</v>
      </c>
      <c r="O625" s="6">
        <v>15.527279821030801</v>
      </c>
      <c r="P625" s="6">
        <v>15.4530836337245</v>
      </c>
      <c r="Q625" s="6">
        <v>13.6593537204425</v>
      </c>
    </row>
    <row r="626" spans="1:17">
      <c r="A626" s="6" t="s">
        <v>399</v>
      </c>
      <c r="B626" s="6" t="s">
        <v>399</v>
      </c>
      <c r="C626" s="6" t="s">
        <v>7950</v>
      </c>
      <c r="D626" s="6" t="s">
        <v>7951</v>
      </c>
      <c r="E626" s="6" t="s">
        <v>7951</v>
      </c>
      <c r="F626" s="6">
        <v>14.7283332075239</v>
      </c>
      <c r="G626" s="6">
        <v>14.808271640466099</v>
      </c>
      <c r="H626" s="6">
        <v>14.9939615373141</v>
      </c>
      <c r="I626" s="6">
        <v>16.2266225571083</v>
      </c>
      <c r="J626" s="6">
        <v>14.5091679786021</v>
      </c>
      <c r="K626" s="6">
        <v>15.327506044196401</v>
      </c>
      <c r="L626" s="6">
        <v>15.881414208539599</v>
      </c>
      <c r="M626" s="6">
        <v>14.3254154342037</v>
      </c>
      <c r="N626" s="6">
        <v>15.138046125296199</v>
      </c>
      <c r="O626" s="6">
        <v>15.8438654056188</v>
      </c>
      <c r="P626" s="6">
        <v>15.6238428268714</v>
      </c>
      <c r="Q626" s="6">
        <v>14.616594423573201</v>
      </c>
    </row>
    <row r="627" spans="1:17">
      <c r="A627" s="6" t="s">
        <v>7952</v>
      </c>
      <c r="B627" s="6" t="s">
        <v>7952</v>
      </c>
      <c r="C627" s="6" t="s">
        <v>7952</v>
      </c>
      <c r="D627" s="6" t="s">
        <v>7952</v>
      </c>
      <c r="E627" s="6" t="s">
        <v>7952</v>
      </c>
      <c r="F627" s="6">
        <v>15.0246207100863</v>
      </c>
      <c r="G627" s="6" t="s">
        <v>6254</v>
      </c>
      <c r="H627" s="6">
        <v>15.5231677581209</v>
      </c>
      <c r="I627" s="6" t="s">
        <v>6254</v>
      </c>
      <c r="J627" s="6" t="s">
        <v>6254</v>
      </c>
      <c r="K627" s="6" t="s">
        <v>6254</v>
      </c>
      <c r="L627" s="6" t="s">
        <v>6254</v>
      </c>
      <c r="M627" s="6">
        <v>14.998085581200501</v>
      </c>
      <c r="N627" s="6" t="s">
        <v>6254</v>
      </c>
      <c r="O627" s="6">
        <v>15.8167621210033</v>
      </c>
      <c r="P627" s="6" t="s">
        <v>6254</v>
      </c>
      <c r="Q627" s="6" t="s">
        <v>6254</v>
      </c>
    </row>
    <row r="628" spans="1:17">
      <c r="A628" s="6" t="s">
        <v>7953</v>
      </c>
      <c r="B628" s="6" t="s">
        <v>381</v>
      </c>
      <c r="C628" s="6" t="s">
        <v>7954</v>
      </c>
      <c r="D628" s="6" t="s">
        <v>7955</v>
      </c>
      <c r="E628" s="6" t="s">
        <v>7956</v>
      </c>
      <c r="F628" s="6">
        <v>15.9778963258372</v>
      </c>
      <c r="G628" s="6">
        <v>15.1709755296009</v>
      </c>
      <c r="H628" s="6">
        <v>15.137764592084199</v>
      </c>
      <c r="I628" s="6">
        <v>15.8468144594262</v>
      </c>
      <c r="J628" s="6">
        <v>14.650827035887399</v>
      </c>
      <c r="K628" s="6">
        <v>15.442348273878901</v>
      </c>
      <c r="L628" s="6">
        <v>15.797505216922801</v>
      </c>
      <c r="M628" s="6">
        <v>14.1239681306209</v>
      </c>
      <c r="N628" s="6">
        <v>15.120991731440499</v>
      </c>
      <c r="O628" s="6">
        <v>15.665839412141599</v>
      </c>
      <c r="P628" s="6">
        <v>15.4373764210779</v>
      </c>
      <c r="Q628" s="6">
        <v>14.238982946580499</v>
      </c>
    </row>
    <row r="629" spans="1:17">
      <c r="A629" s="6" t="s">
        <v>1512</v>
      </c>
      <c r="B629" s="6" t="s">
        <v>1512</v>
      </c>
      <c r="C629" s="6" t="s">
        <v>7957</v>
      </c>
      <c r="D629" s="6" t="s">
        <v>7958</v>
      </c>
      <c r="E629" s="6" t="s">
        <v>7958</v>
      </c>
      <c r="F629" s="6">
        <v>15.8367828883457</v>
      </c>
      <c r="G629" s="6">
        <v>15.232376471897499</v>
      </c>
      <c r="H629" s="6">
        <v>15.138464170146801</v>
      </c>
      <c r="I629" s="6">
        <v>16.069878016253298</v>
      </c>
      <c r="J629" s="6">
        <v>14.3690041971717</v>
      </c>
      <c r="K629" s="6">
        <v>15.3002428480016</v>
      </c>
      <c r="L629" s="6">
        <v>15.979202490843999</v>
      </c>
      <c r="M629" s="6">
        <v>14.6253219141602</v>
      </c>
      <c r="N629" s="6">
        <v>14.957523674979001</v>
      </c>
      <c r="O629" s="6">
        <v>15.598819109869099</v>
      </c>
      <c r="P629" s="6">
        <v>15.287641180621399</v>
      </c>
      <c r="Q629" s="6">
        <v>14.128712025496499</v>
      </c>
    </row>
    <row r="630" spans="1:17">
      <c r="A630" s="6" t="s">
        <v>2097</v>
      </c>
      <c r="B630" s="6" t="s">
        <v>2097</v>
      </c>
      <c r="C630" s="6" t="s">
        <v>7959</v>
      </c>
      <c r="D630" s="6" t="s">
        <v>7960</v>
      </c>
      <c r="E630" s="6" t="s">
        <v>7960</v>
      </c>
      <c r="F630" s="6" t="s">
        <v>6254</v>
      </c>
      <c r="G630" s="6">
        <v>13.3202803176895</v>
      </c>
      <c r="H630" s="6">
        <v>15.9205572337099</v>
      </c>
      <c r="I630" s="6">
        <v>16.444184260258599</v>
      </c>
      <c r="J630" s="6">
        <v>15.0485202792057</v>
      </c>
      <c r="K630" s="6">
        <v>15.591242566736501</v>
      </c>
      <c r="L630" s="6">
        <v>16.593263938375401</v>
      </c>
      <c r="M630" s="6">
        <v>15.2114286048139</v>
      </c>
      <c r="N630" s="6">
        <v>16.028650844683799</v>
      </c>
      <c r="O630" s="6">
        <v>14.6801733078756</v>
      </c>
      <c r="P630" s="6">
        <v>14.6226274269636</v>
      </c>
      <c r="Q630" s="6">
        <v>14.1619751019721</v>
      </c>
    </row>
    <row r="631" spans="1:17">
      <c r="A631" s="6" t="s">
        <v>4730</v>
      </c>
      <c r="B631" s="6" t="s">
        <v>4730</v>
      </c>
      <c r="C631" s="6" t="s">
        <v>7961</v>
      </c>
      <c r="D631" s="6" t="s">
        <v>7962</v>
      </c>
      <c r="E631" s="6" t="s">
        <v>7962</v>
      </c>
      <c r="F631" s="6">
        <v>13.7634872712791</v>
      </c>
      <c r="G631" s="6" t="s">
        <v>6254</v>
      </c>
      <c r="H631" s="6">
        <v>15.1607278767456</v>
      </c>
      <c r="I631" s="6">
        <v>14.2982832359257</v>
      </c>
      <c r="J631" s="6" t="s">
        <v>6254</v>
      </c>
      <c r="K631" s="6">
        <v>15.8661084655736</v>
      </c>
      <c r="L631" s="6">
        <v>15.8927090982269</v>
      </c>
      <c r="M631" s="6">
        <v>14.983604491515401</v>
      </c>
      <c r="N631" s="6" t="s">
        <v>6254</v>
      </c>
      <c r="O631" s="6">
        <v>15.7805045608933</v>
      </c>
      <c r="P631" s="6">
        <v>14.7642677008934</v>
      </c>
      <c r="Q631" s="6">
        <v>15.2334322216391</v>
      </c>
    </row>
    <row r="632" spans="1:17">
      <c r="A632" s="6" t="s">
        <v>2071</v>
      </c>
      <c r="B632" s="6" t="s">
        <v>2071</v>
      </c>
      <c r="C632" s="6" t="s">
        <v>7963</v>
      </c>
      <c r="D632" s="6" t="s">
        <v>7509</v>
      </c>
      <c r="E632" s="6" t="s">
        <v>7509</v>
      </c>
      <c r="F632" s="6">
        <v>16.608395251797202</v>
      </c>
      <c r="G632" s="6">
        <v>14.923396741193899</v>
      </c>
      <c r="H632" s="6">
        <v>15.2929088646999</v>
      </c>
      <c r="I632" s="6">
        <v>16.387552249227902</v>
      </c>
      <c r="J632" s="6">
        <v>14.7616038117876</v>
      </c>
      <c r="K632" s="6">
        <v>14.907186874000301</v>
      </c>
      <c r="L632" s="6">
        <v>15.383408904108</v>
      </c>
      <c r="M632" s="6">
        <v>14.474249420022501</v>
      </c>
      <c r="N632" s="6">
        <v>14.7417028424241</v>
      </c>
      <c r="O632" s="6">
        <v>15.0100114386693</v>
      </c>
      <c r="P632" s="6">
        <v>15.3012806729375</v>
      </c>
      <c r="Q632" s="6">
        <v>14.1010859360621</v>
      </c>
    </row>
    <row r="633" spans="1:17">
      <c r="A633" s="6" t="s">
        <v>554</v>
      </c>
      <c r="B633" s="6" t="s">
        <v>554</v>
      </c>
      <c r="C633" s="6" t="s">
        <v>7964</v>
      </c>
      <c r="D633" s="6" t="s">
        <v>7965</v>
      </c>
      <c r="E633" s="6" t="s">
        <v>7965</v>
      </c>
      <c r="F633" s="6">
        <v>15.713837670530999</v>
      </c>
      <c r="G633" s="6">
        <v>15.040573549505501</v>
      </c>
      <c r="H633" s="6">
        <v>15.4295879601168</v>
      </c>
      <c r="I633" s="6">
        <v>15.9776957426163</v>
      </c>
      <c r="J633" s="6">
        <v>14.293658190047299</v>
      </c>
      <c r="K633" s="6">
        <v>15.2212930824863</v>
      </c>
      <c r="L633" s="6">
        <v>15.9426240368339</v>
      </c>
      <c r="M633" s="6">
        <v>14.5742931621817</v>
      </c>
      <c r="N633" s="6">
        <v>15.020067432735001</v>
      </c>
      <c r="O633" s="6">
        <v>15.4965503715346</v>
      </c>
      <c r="P633" s="6">
        <v>15.4785631080392</v>
      </c>
      <c r="Q633" s="6">
        <v>13.9458222876722</v>
      </c>
    </row>
    <row r="634" spans="1:17">
      <c r="A634" s="6" t="s">
        <v>2381</v>
      </c>
      <c r="B634" s="6" t="s">
        <v>2381</v>
      </c>
      <c r="C634" s="6" t="s">
        <v>7966</v>
      </c>
      <c r="D634" s="6" t="s">
        <v>7967</v>
      </c>
      <c r="E634" s="6" t="s">
        <v>7967</v>
      </c>
      <c r="F634" s="6">
        <v>15.6461319284941</v>
      </c>
      <c r="G634" s="6">
        <v>15.1042061186652</v>
      </c>
      <c r="H634" s="6">
        <v>15.161126187696199</v>
      </c>
      <c r="I634" s="6">
        <v>16.154597450266898</v>
      </c>
      <c r="J634" s="6">
        <v>14.8512394986942</v>
      </c>
      <c r="K634" s="6">
        <v>15.398580788800301</v>
      </c>
      <c r="L634" s="6">
        <v>15.920447876710799</v>
      </c>
      <c r="M634" s="6">
        <v>14.7052069391753</v>
      </c>
      <c r="N634" s="6">
        <v>14.7951766444379</v>
      </c>
      <c r="O634" s="6">
        <v>15.439444518043601</v>
      </c>
      <c r="P634" s="6">
        <v>15.3652586938199</v>
      </c>
      <c r="Q634" s="6">
        <v>14.660200495168001</v>
      </c>
    </row>
    <row r="635" spans="1:17">
      <c r="A635" s="6" t="s">
        <v>1797</v>
      </c>
      <c r="B635" s="6" t="s">
        <v>1797</v>
      </c>
      <c r="C635" s="6" t="s">
        <v>7968</v>
      </c>
      <c r="D635" s="6" t="s">
        <v>7969</v>
      </c>
      <c r="E635" s="6" t="s">
        <v>7969</v>
      </c>
      <c r="F635" s="6">
        <v>15.5106125978824</v>
      </c>
      <c r="G635" s="6">
        <v>15.2078978375158</v>
      </c>
      <c r="H635" s="6">
        <v>15.119623973609601</v>
      </c>
      <c r="I635" s="6">
        <v>15.791807719607201</v>
      </c>
      <c r="J635" s="6">
        <v>14.639871921851899</v>
      </c>
      <c r="K635" s="6">
        <v>15.4295735744669</v>
      </c>
      <c r="L635" s="6">
        <v>15.4644513736803</v>
      </c>
      <c r="M635" s="6">
        <v>14.509760934398001</v>
      </c>
      <c r="N635" s="6">
        <v>14.451361443450899</v>
      </c>
      <c r="O635" s="6">
        <v>15.659394831956</v>
      </c>
      <c r="P635" s="6">
        <v>15.680313095829799</v>
      </c>
      <c r="Q635" s="6">
        <v>14.196020745410699</v>
      </c>
    </row>
    <row r="636" spans="1:17">
      <c r="A636" s="6" t="s">
        <v>7970</v>
      </c>
      <c r="B636" s="6" t="s">
        <v>266</v>
      </c>
      <c r="C636" s="6" t="s">
        <v>7971</v>
      </c>
      <c r="D636" s="6" t="s">
        <v>7972</v>
      </c>
      <c r="E636" s="6" t="s">
        <v>7973</v>
      </c>
      <c r="F636" s="6">
        <v>15.5440930184346</v>
      </c>
      <c r="G636" s="6">
        <v>14.607476259467299</v>
      </c>
      <c r="H636" s="6">
        <v>15.6530384811291</v>
      </c>
      <c r="I636" s="6">
        <v>15.9888299204777</v>
      </c>
      <c r="J636" s="6">
        <v>14.2945003162201</v>
      </c>
      <c r="K636" s="6">
        <v>14.614568307173901</v>
      </c>
      <c r="L636" s="6">
        <v>15.983597656979599</v>
      </c>
      <c r="M636" s="6">
        <v>14.8019797018503</v>
      </c>
      <c r="N636" s="6">
        <v>16.069560961596</v>
      </c>
      <c r="O636" s="6">
        <v>15.687687060353401</v>
      </c>
      <c r="P636" s="6">
        <v>15.156070995715501</v>
      </c>
      <c r="Q636" s="6">
        <v>13.4952476626937</v>
      </c>
    </row>
    <row r="637" spans="1:17">
      <c r="A637" s="6" t="s">
        <v>1594</v>
      </c>
      <c r="B637" s="6" t="s">
        <v>1594</v>
      </c>
      <c r="C637" s="6" t="s">
        <v>7974</v>
      </c>
      <c r="D637" s="6" t="s">
        <v>7975</v>
      </c>
      <c r="E637" s="6" t="s">
        <v>7975</v>
      </c>
      <c r="F637" s="6">
        <v>15.764956234760101</v>
      </c>
      <c r="G637" s="6">
        <v>15.356839913502499</v>
      </c>
      <c r="H637" s="6">
        <v>15.3595633069272</v>
      </c>
      <c r="I637" s="6">
        <v>15.782782258661401</v>
      </c>
      <c r="J637" s="6">
        <v>14.597030707859</v>
      </c>
      <c r="K637" s="6">
        <v>15.2833090359181</v>
      </c>
      <c r="L637" s="6">
        <v>15.823524643839701</v>
      </c>
      <c r="M637" s="6">
        <v>14.4395342430665</v>
      </c>
      <c r="N637" s="6">
        <v>14.8161293485442</v>
      </c>
      <c r="O637" s="6">
        <v>15.6186428261113</v>
      </c>
      <c r="P637" s="6">
        <v>15.6956304249951</v>
      </c>
      <c r="Q637" s="6">
        <v>13.826755703831701</v>
      </c>
    </row>
    <row r="638" spans="1:17">
      <c r="A638" s="6" t="s">
        <v>1288</v>
      </c>
      <c r="B638" s="6" t="s">
        <v>1288</v>
      </c>
      <c r="C638" s="6" t="s">
        <v>7976</v>
      </c>
      <c r="D638" s="6" t="s">
        <v>7977</v>
      </c>
      <c r="E638" s="6" t="s">
        <v>7977</v>
      </c>
      <c r="F638" s="6">
        <v>16.102751328733198</v>
      </c>
      <c r="G638" s="6">
        <v>14.7847854660697</v>
      </c>
      <c r="H638" s="6">
        <v>15.424976250332</v>
      </c>
      <c r="I638" s="6">
        <v>16.0720480977275</v>
      </c>
      <c r="J638" s="6">
        <v>14.804172924426</v>
      </c>
      <c r="K638" s="6">
        <v>14.8372283281014</v>
      </c>
      <c r="L638" s="6">
        <v>16.0814062155778</v>
      </c>
      <c r="M638" s="6">
        <v>14.618613093941899</v>
      </c>
      <c r="N638" s="6">
        <v>15.141751698678901</v>
      </c>
      <c r="O638" s="6">
        <v>15.6838564702617</v>
      </c>
      <c r="P638" s="6">
        <v>14.605662391216899</v>
      </c>
      <c r="Q638" s="6">
        <v>13.844758670041299</v>
      </c>
    </row>
    <row r="639" spans="1:17">
      <c r="A639" s="6" t="s">
        <v>7978</v>
      </c>
      <c r="B639" s="6" t="s">
        <v>7978</v>
      </c>
      <c r="C639" s="6" t="s">
        <v>7979</v>
      </c>
      <c r="D639" s="6" t="s">
        <v>7980</v>
      </c>
      <c r="E639" s="6" t="s">
        <v>7980</v>
      </c>
      <c r="F639" s="6">
        <v>15.853566378825301</v>
      </c>
      <c r="G639" s="6">
        <v>14.554061196568901</v>
      </c>
      <c r="H639" s="6">
        <v>14.8502220295903</v>
      </c>
      <c r="I639" s="6">
        <v>15.947721555748</v>
      </c>
      <c r="J639" s="6">
        <v>14.2892825546837</v>
      </c>
      <c r="K639" s="6">
        <v>15.1574050374909</v>
      </c>
      <c r="L639" s="6">
        <v>15.6370524628782</v>
      </c>
      <c r="M639" s="6">
        <v>13.620701312212301</v>
      </c>
      <c r="N639" s="6">
        <v>13.837594081811099</v>
      </c>
      <c r="O639" s="6">
        <v>15.8399828169636</v>
      </c>
      <c r="P639" s="6">
        <v>15.831548167218299</v>
      </c>
      <c r="Q639" s="6">
        <v>15.9208024530818</v>
      </c>
    </row>
    <row r="640" spans="1:17">
      <c r="A640" s="6" t="s">
        <v>7981</v>
      </c>
      <c r="B640" s="6" t="s">
        <v>7982</v>
      </c>
      <c r="C640" s="6" t="s">
        <v>7983</v>
      </c>
      <c r="D640" s="6" t="s">
        <v>7984</v>
      </c>
      <c r="E640" s="6" t="s">
        <v>7985</v>
      </c>
      <c r="F640" s="6">
        <v>15.468937794426701</v>
      </c>
      <c r="G640" s="6">
        <v>15.211385709393801</v>
      </c>
      <c r="H640" s="6">
        <v>15.4085026214079</v>
      </c>
      <c r="I640" s="6">
        <v>15.940362195362001</v>
      </c>
      <c r="J640" s="6">
        <v>14.588491814657299</v>
      </c>
      <c r="K640" s="6">
        <v>15.1931940680645</v>
      </c>
      <c r="L640" s="6">
        <v>15.5992832125917</v>
      </c>
      <c r="M640" s="6">
        <v>14.5790322871218</v>
      </c>
      <c r="N640" s="6">
        <v>14.654660699904699</v>
      </c>
      <c r="O640" s="6">
        <v>15.7305941060308</v>
      </c>
      <c r="P640" s="6">
        <v>15.622334774265401</v>
      </c>
      <c r="Q640" s="6">
        <v>13.950136582025801</v>
      </c>
    </row>
    <row r="641" spans="1:17">
      <c r="A641" s="6" t="s">
        <v>7986</v>
      </c>
      <c r="B641" s="6" t="s">
        <v>7987</v>
      </c>
      <c r="C641" s="6" t="s">
        <v>7988</v>
      </c>
      <c r="D641" s="6" t="s">
        <v>7989</v>
      </c>
      <c r="E641" s="6" t="s">
        <v>7990</v>
      </c>
      <c r="F641" s="6" t="s">
        <v>6254</v>
      </c>
      <c r="G641" s="6">
        <v>14.290779392836701</v>
      </c>
      <c r="H641" s="6" t="s">
        <v>6254</v>
      </c>
      <c r="I641" s="6" t="s">
        <v>6254</v>
      </c>
      <c r="J641" s="6" t="s">
        <v>6254</v>
      </c>
      <c r="K641" s="6" t="s">
        <v>6254</v>
      </c>
      <c r="L641" s="6">
        <v>16.249135536447401</v>
      </c>
      <c r="M641" s="6" t="s">
        <v>6254</v>
      </c>
      <c r="N641" s="6" t="s">
        <v>6254</v>
      </c>
      <c r="O641" s="6">
        <v>14.9216825739898</v>
      </c>
      <c r="P641" s="6" t="s">
        <v>6254</v>
      </c>
      <c r="Q641" s="6" t="s">
        <v>6254</v>
      </c>
    </row>
    <row r="642" spans="1:17">
      <c r="A642" s="6" t="s">
        <v>7991</v>
      </c>
      <c r="B642" s="6" t="s">
        <v>7992</v>
      </c>
      <c r="C642" s="6" t="s">
        <v>7993</v>
      </c>
      <c r="D642" s="6" t="s">
        <v>7994</v>
      </c>
      <c r="E642" s="6" t="s">
        <v>7995</v>
      </c>
      <c r="F642" s="6">
        <v>15.3668247338731</v>
      </c>
      <c r="G642" s="6">
        <v>15.4407142358396</v>
      </c>
      <c r="H642" s="6">
        <v>15.4703495560278</v>
      </c>
      <c r="I642" s="6">
        <v>15.83828810777</v>
      </c>
      <c r="J642" s="6">
        <v>14.888417815458601</v>
      </c>
      <c r="K642" s="6">
        <v>15.567288157083</v>
      </c>
      <c r="L642" s="6">
        <v>15.927277916625499</v>
      </c>
      <c r="M642" s="6">
        <v>14.5779842885597</v>
      </c>
      <c r="N642" s="6">
        <v>14.8741662992995</v>
      </c>
      <c r="O642" s="6">
        <v>15.488369481706201</v>
      </c>
      <c r="P642" s="6">
        <v>15.2327174567525</v>
      </c>
      <c r="Q642" s="6">
        <v>14.297811558204801</v>
      </c>
    </row>
    <row r="643" spans="1:17">
      <c r="A643" s="6" t="s">
        <v>839</v>
      </c>
      <c r="B643" s="6" t="s">
        <v>839</v>
      </c>
      <c r="C643" s="6" t="s">
        <v>7996</v>
      </c>
      <c r="D643" s="6" t="s">
        <v>7997</v>
      </c>
      <c r="E643" s="6" t="s">
        <v>7997</v>
      </c>
      <c r="F643" s="6">
        <v>15.693929919732801</v>
      </c>
      <c r="G643" s="6">
        <v>15.077790207574299</v>
      </c>
      <c r="H643" s="6">
        <v>15.1873957168874</v>
      </c>
      <c r="I643" s="6">
        <v>15.9900895024512</v>
      </c>
      <c r="J643" s="6">
        <v>14.3557016543625</v>
      </c>
      <c r="K643" s="6">
        <v>15.264030165787499</v>
      </c>
      <c r="L643" s="6">
        <v>15.9011232021777</v>
      </c>
      <c r="M643" s="6">
        <v>14.4193949199641</v>
      </c>
      <c r="N643" s="6">
        <v>14.885144209204601</v>
      </c>
      <c r="O643" s="6">
        <v>15.5703468596829</v>
      </c>
      <c r="P643" s="6">
        <v>15.3332573856871</v>
      </c>
      <c r="Q643" s="6">
        <v>14.136442387580001</v>
      </c>
    </row>
    <row r="644" spans="1:17">
      <c r="A644" s="6" t="s">
        <v>2373</v>
      </c>
      <c r="B644" s="6" t="s">
        <v>2373</v>
      </c>
      <c r="C644" s="6" t="s">
        <v>7998</v>
      </c>
      <c r="D644" s="6" t="s">
        <v>7999</v>
      </c>
      <c r="E644" s="6" t="s">
        <v>7999</v>
      </c>
      <c r="F644" s="6">
        <v>13.837861815026701</v>
      </c>
      <c r="G644" s="6">
        <v>13.034221508644899</v>
      </c>
      <c r="H644" s="6">
        <v>16.460537674307101</v>
      </c>
      <c r="I644" s="6">
        <v>17.142590795507001</v>
      </c>
      <c r="J644" s="6">
        <v>14.9336256242443</v>
      </c>
      <c r="K644" s="6">
        <v>15.5620622118082</v>
      </c>
      <c r="L644" s="6">
        <v>16.847824023045401</v>
      </c>
      <c r="M644" s="6">
        <v>15.139070107383899</v>
      </c>
      <c r="N644" s="6">
        <v>15.8886370218714</v>
      </c>
      <c r="O644" s="6">
        <v>14.665642234634699</v>
      </c>
      <c r="P644" s="6">
        <v>14.820463320217399</v>
      </c>
      <c r="Q644" s="6">
        <v>13.833859586304699</v>
      </c>
    </row>
    <row r="645" spans="1:17">
      <c r="A645" s="6" t="s">
        <v>3644</v>
      </c>
      <c r="B645" s="6" t="s">
        <v>3644</v>
      </c>
      <c r="C645" s="6" t="s">
        <v>8000</v>
      </c>
      <c r="D645" s="6" t="s">
        <v>8001</v>
      </c>
      <c r="E645" s="6" t="s">
        <v>8001</v>
      </c>
      <c r="F645" s="6">
        <v>15.394813386116899</v>
      </c>
      <c r="G645" s="6">
        <v>15.421522309747999</v>
      </c>
      <c r="H645" s="6">
        <v>15.022467481123501</v>
      </c>
      <c r="I645" s="6">
        <v>15.9102342503154</v>
      </c>
      <c r="J645" s="6">
        <v>14.4220638490897</v>
      </c>
      <c r="K645" s="6">
        <v>15.3362517358094</v>
      </c>
      <c r="L645" s="6">
        <v>15.829099899603699</v>
      </c>
      <c r="M645" s="6">
        <v>14.135151890588601</v>
      </c>
      <c r="N645" s="6">
        <v>14.2358039005709</v>
      </c>
      <c r="O645" s="6">
        <v>15.7302967918158</v>
      </c>
      <c r="P645" s="6">
        <v>15.6254056914012</v>
      </c>
      <c r="Q645" s="6">
        <v>14.246409795903499</v>
      </c>
    </row>
    <row r="646" spans="1:17">
      <c r="A646" s="6" t="s">
        <v>822</v>
      </c>
      <c r="B646" s="6" t="s">
        <v>822</v>
      </c>
      <c r="C646" s="6" t="s">
        <v>8002</v>
      </c>
      <c r="D646" s="6" t="s">
        <v>8003</v>
      </c>
      <c r="E646" s="6" t="s">
        <v>8003</v>
      </c>
      <c r="F646" s="6">
        <v>15.0876119142045</v>
      </c>
      <c r="G646" s="6">
        <v>15.711709370158299</v>
      </c>
      <c r="H646" s="6">
        <v>15.0819983535182</v>
      </c>
      <c r="I646" s="6">
        <v>15.997769123293599</v>
      </c>
      <c r="J646" s="6">
        <v>15.5391756151226</v>
      </c>
      <c r="K646" s="6">
        <v>15.897199162860799</v>
      </c>
      <c r="L646" s="6">
        <v>15.1393177660237</v>
      </c>
      <c r="M646" s="6">
        <v>15.7191516824339</v>
      </c>
      <c r="N646" s="6">
        <v>15.0692898977625</v>
      </c>
      <c r="O646" s="6">
        <v>15.4180561888392</v>
      </c>
      <c r="P646" s="6">
        <v>15.5408984143737</v>
      </c>
      <c r="Q646" s="6">
        <v>15.3585018660928</v>
      </c>
    </row>
    <row r="647" spans="1:17">
      <c r="A647" s="6" t="s">
        <v>8004</v>
      </c>
      <c r="B647" s="6" t="s">
        <v>8005</v>
      </c>
      <c r="C647" s="6" t="s">
        <v>8006</v>
      </c>
      <c r="D647" s="6" t="s">
        <v>8007</v>
      </c>
      <c r="E647" s="6" t="s">
        <v>8008</v>
      </c>
      <c r="F647" s="6">
        <v>15.737139483990701</v>
      </c>
      <c r="G647" s="6">
        <v>15.650785469582001</v>
      </c>
      <c r="H647" s="6">
        <v>14.804075642308</v>
      </c>
      <c r="I647" s="6">
        <v>17.9254635892609</v>
      </c>
      <c r="J647" s="6">
        <v>14.2476528444164</v>
      </c>
      <c r="K647" s="6">
        <v>14.910391890186</v>
      </c>
      <c r="L647" s="6">
        <v>15.424558813290099</v>
      </c>
      <c r="M647" s="6">
        <v>14.275434211506999</v>
      </c>
      <c r="N647" s="6">
        <v>15.1742701804079</v>
      </c>
      <c r="O647" s="6">
        <v>15.642188752279299</v>
      </c>
      <c r="P647" s="6">
        <v>15.4598680630326</v>
      </c>
      <c r="Q647" s="6">
        <v>12.913517118025499</v>
      </c>
    </row>
    <row r="648" spans="1:17">
      <c r="A648" s="6" t="s">
        <v>4318</v>
      </c>
      <c r="B648" s="6" t="s">
        <v>4320</v>
      </c>
      <c r="C648" s="6" t="s">
        <v>8009</v>
      </c>
      <c r="D648" s="6" t="s">
        <v>8010</v>
      </c>
      <c r="E648" s="6" t="s">
        <v>8011</v>
      </c>
      <c r="F648" s="6">
        <v>15.7408885284514</v>
      </c>
      <c r="G648" s="6">
        <v>15.2455401924478</v>
      </c>
      <c r="H648" s="6">
        <v>14.922458529474101</v>
      </c>
      <c r="I648" s="6">
        <v>15.997817791255301</v>
      </c>
      <c r="J648" s="6">
        <v>14.830146039079599</v>
      </c>
      <c r="K648" s="6">
        <v>15.5402652777141</v>
      </c>
      <c r="L648" s="6">
        <v>15.4757444344703</v>
      </c>
      <c r="M648" s="6" t="s">
        <v>6254</v>
      </c>
      <c r="N648" s="6">
        <v>14.4170183622424</v>
      </c>
      <c r="O648" s="6">
        <v>15.7347613083209</v>
      </c>
      <c r="P648" s="6">
        <v>15.4444900626898</v>
      </c>
      <c r="Q648" s="6">
        <v>14.3372796056683</v>
      </c>
    </row>
    <row r="649" spans="1:17">
      <c r="A649" s="6" t="s">
        <v>1318</v>
      </c>
      <c r="B649" s="6" t="s">
        <v>1318</v>
      </c>
      <c r="C649" s="6" t="s">
        <v>8012</v>
      </c>
      <c r="D649" s="6" t="s">
        <v>8013</v>
      </c>
      <c r="E649" s="6" t="s">
        <v>8013</v>
      </c>
      <c r="F649" s="6">
        <v>15.9122235023848</v>
      </c>
      <c r="G649" s="6">
        <v>15.213239382238701</v>
      </c>
      <c r="H649" s="6">
        <v>15.354642870368099</v>
      </c>
      <c r="I649" s="6">
        <v>15.831854527615899</v>
      </c>
      <c r="J649" s="6">
        <v>14.644581985826999</v>
      </c>
      <c r="K649" s="6">
        <v>15.046526188674401</v>
      </c>
      <c r="L649" s="6">
        <v>15.630037258038801</v>
      </c>
      <c r="M649" s="6">
        <v>14.5586819853552</v>
      </c>
      <c r="N649" s="6">
        <v>15.004902283398501</v>
      </c>
      <c r="O649" s="6">
        <v>15.390498105005699</v>
      </c>
      <c r="P649" s="6">
        <v>15.433991344031201</v>
      </c>
      <c r="Q649" s="6">
        <v>13.969164198727499</v>
      </c>
    </row>
    <row r="650" spans="1:17">
      <c r="A650" s="6" t="s">
        <v>8014</v>
      </c>
      <c r="B650" s="6" t="s">
        <v>8015</v>
      </c>
      <c r="C650" s="6" t="s">
        <v>8016</v>
      </c>
      <c r="D650" s="6" t="s">
        <v>8017</v>
      </c>
      <c r="E650" s="6" t="s">
        <v>8018</v>
      </c>
      <c r="F650" s="6">
        <v>15.828753349964201</v>
      </c>
      <c r="G650" s="6">
        <v>15.0276744490155</v>
      </c>
      <c r="H650" s="6">
        <v>15.476128700626001</v>
      </c>
      <c r="I650" s="6">
        <v>16.139651897583899</v>
      </c>
      <c r="J650" s="6">
        <v>14.4853512629299</v>
      </c>
      <c r="K650" s="6">
        <v>15.0851121774666</v>
      </c>
      <c r="L650" s="6">
        <v>15.664292151376401</v>
      </c>
      <c r="M650" s="6">
        <v>14.552083517028001</v>
      </c>
      <c r="N650" s="6">
        <v>15.189345143502001</v>
      </c>
      <c r="O650" s="6">
        <v>15.760420630494901</v>
      </c>
      <c r="P650" s="6">
        <v>15.4952279137422</v>
      </c>
      <c r="Q650" s="6">
        <v>13.8850382677158</v>
      </c>
    </row>
    <row r="651" spans="1:17">
      <c r="A651" s="6" t="s">
        <v>2465</v>
      </c>
      <c r="B651" s="6" t="s">
        <v>2465</v>
      </c>
      <c r="C651" s="6" t="s">
        <v>8019</v>
      </c>
      <c r="D651" s="6" t="s">
        <v>8020</v>
      </c>
      <c r="E651" s="6" t="s">
        <v>8020</v>
      </c>
      <c r="F651" s="6">
        <v>15.948424398427299</v>
      </c>
      <c r="G651" s="6">
        <v>15.393571947954801</v>
      </c>
      <c r="H651" s="6">
        <v>15.276832952649601</v>
      </c>
      <c r="I651" s="6">
        <v>15.941671503561</v>
      </c>
      <c r="J651" s="6">
        <v>14.494339034338701</v>
      </c>
      <c r="K651" s="6">
        <v>15.2763691204884</v>
      </c>
      <c r="L651" s="6">
        <v>15.481208586368201</v>
      </c>
      <c r="M651" s="6">
        <v>14.532705285242001</v>
      </c>
      <c r="N651" s="6">
        <v>14.963553535377301</v>
      </c>
      <c r="O651" s="6">
        <v>15.5993241481402</v>
      </c>
      <c r="P651" s="6">
        <v>15.406336863755399</v>
      </c>
      <c r="Q651" s="6">
        <v>13.6521960385396</v>
      </c>
    </row>
    <row r="652" spans="1:17">
      <c r="A652" s="6" t="s">
        <v>8021</v>
      </c>
      <c r="B652" s="6" t="s">
        <v>8022</v>
      </c>
      <c r="C652" s="6" t="s">
        <v>8023</v>
      </c>
      <c r="D652" s="6" t="s">
        <v>8024</v>
      </c>
      <c r="E652" s="6" t="s">
        <v>8025</v>
      </c>
      <c r="F652" s="6">
        <v>17.054845879996702</v>
      </c>
      <c r="G652" s="6">
        <v>13.353547645933901</v>
      </c>
      <c r="H652" s="6">
        <v>15.043450128225601</v>
      </c>
      <c r="I652" s="6">
        <v>15.3717417818555</v>
      </c>
      <c r="J652" s="6" t="s">
        <v>6254</v>
      </c>
      <c r="K652" s="6">
        <v>14.34232347164</v>
      </c>
      <c r="L652" s="6">
        <v>15.122017558210899</v>
      </c>
      <c r="M652" s="6">
        <v>15.725676378034599</v>
      </c>
      <c r="N652" s="6" t="s">
        <v>6254</v>
      </c>
      <c r="O652" s="6">
        <v>14.884257525137601</v>
      </c>
      <c r="P652" s="6">
        <v>13.099564020352499</v>
      </c>
      <c r="Q652" s="6" t="s">
        <v>6254</v>
      </c>
    </row>
    <row r="653" spans="1:17">
      <c r="A653" s="6" t="s">
        <v>8026</v>
      </c>
      <c r="B653" s="6" t="s">
        <v>769</v>
      </c>
      <c r="C653" s="6" t="s">
        <v>8027</v>
      </c>
      <c r="D653" s="6" t="s">
        <v>8028</v>
      </c>
      <c r="E653" s="6" t="s">
        <v>8029</v>
      </c>
      <c r="F653" s="6">
        <v>15.7141697445283</v>
      </c>
      <c r="G653" s="6">
        <v>15.0145039341631</v>
      </c>
      <c r="H653" s="6">
        <v>15.514505370957901</v>
      </c>
      <c r="I653" s="6">
        <v>16.108872037494699</v>
      </c>
      <c r="J653" s="6">
        <v>14.628293307491401</v>
      </c>
      <c r="K653" s="6">
        <v>15.062003813393</v>
      </c>
      <c r="L653" s="6">
        <v>15.8778286371015</v>
      </c>
      <c r="M653" s="6">
        <v>14.518492171173699</v>
      </c>
      <c r="N653" s="6">
        <v>15.4641637168623</v>
      </c>
      <c r="O653" s="6">
        <v>15.524074612815401</v>
      </c>
      <c r="P653" s="6">
        <v>15.264134526683399</v>
      </c>
      <c r="Q653" s="6">
        <v>14.3319311820841</v>
      </c>
    </row>
    <row r="654" spans="1:17">
      <c r="A654" s="6" t="s">
        <v>8030</v>
      </c>
      <c r="B654" s="6" t="s">
        <v>8031</v>
      </c>
      <c r="C654" s="6" t="s">
        <v>8032</v>
      </c>
      <c r="D654" s="6" t="s">
        <v>8033</v>
      </c>
      <c r="E654" s="6" t="s">
        <v>8034</v>
      </c>
      <c r="F654" s="6">
        <v>15.9975119039315</v>
      </c>
      <c r="G654" s="6">
        <v>15.1972530956717</v>
      </c>
      <c r="H654" s="6">
        <v>15.216149565327999</v>
      </c>
      <c r="I654" s="6">
        <v>15.8514470912022</v>
      </c>
      <c r="J654" s="6">
        <v>14.3602093891132</v>
      </c>
      <c r="K654" s="6">
        <v>15.497542458860799</v>
      </c>
      <c r="L654" s="6">
        <v>15.623258656156899</v>
      </c>
      <c r="M654" s="6">
        <v>13.7791604913914</v>
      </c>
      <c r="N654" s="6">
        <v>14.6668588430034</v>
      </c>
      <c r="O654" s="6">
        <v>15.5419409428329</v>
      </c>
      <c r="P654" s="6">
        <v>15.699930038092999</v>
      </c>
      <c r="Q654" s="6">
        <v>14.0533324942901</v>
      </c>
    </row>
    <row r="655" spans="1:17">
      <c r="A655" s="6" t="s">
        <v>765</v>
      </c>
      <c r="B655" s="6" t="s">
        <v>765</v>
      </c>
      <c r="C655" s="6" t="s">
        <v>8035</v>
      </c>
      <c r="D655" s="6" t="s">
        <v>8036</v>
      </c>
      <c r="E655" s="6" t="s">
        <v>8036</v>
      </c>
      <c r="F655" s="6">
        <v>15.2290231511182</v>
      </c>
      <c r="G655" s="6">
        <v>15.356053150706201</v>
      </c>
      <c r="H655" s="6">
        <v>15.578019846824001</v>
      </c>
      <c r="I655" s="6">
        <v>15.1560556460373</v>
      </c>
      <c r="J655" s="6">
        <v>15.239127251046799</v>
      </c>
      <c r="K655" s="6">
        <v>15.1039976415318</v>
      </c>
      <c r="L655" s="6">
        <v>15.290039534587899</v>
      </c>
      <c r="M655" s="6">
        <v>15.748232072322599</v>
      </c>
      <c r="N655" s="6">
        <v>15.5788753780659</v>
      </c>
      <c r="O655" s="6">
        <v>15.5313851972967</v>
      </c>
      <c r="P655" s="6">
        <v>15.2408635281708</v>
      </c>
      <c r="Q655" s="6">
        <v>14.706281279659599</v>
      </c>
    </row>
    <row r="656" spans="1:17">
      <c r="A656" s="6" t="s">
        <v>1037</v>
      </c>
      <c r="B656" s="6" t="s">
        <v>1037</v>
      </c>
      <c r="C656" s="6" t="s">
        <v>8037</v>
      </c>
      <c r="D656" s="6" t="s">
        <v>8038</v>
      </c>
      <c r="E656" s="6" t="s">
        <v>8038</v>
      </c>
      <c r="F656" s="6">
        <v>15.4620118391858</v>
      </c>
      <c r="G656" s="6">
        <v>15.651380486254499</v>
      </c>
      <c r="H656" s="6">
        <v>15.0461178799384</v>
      </c>
      <c r="I656" s="6">
        <v>13.9032866313319</v>
      </c>
      <c r="J656" s="6">
        <v>15.5756528910191</v>
      </c>
      <c r="K656" s="6">
        <v>16.056489230079698</v>
      </c>
      <c r="L656" s="6">
        <v>15.8226640056587</v>
      </c>
      <c r="M656" s="6">
        <v>15.4951372909137</v>
      </c>
      <c r="N656" s="6">
        <v>14.2730888055919</v>
      </c>
      <c r="O656" s="6">
        <v>14.4888478588009</v>
      </c>
      <c r="P656" s="6">
        <v>12.7316559550348</v>
      </c>
      <c r="Q656" s="6">
        <v>15.941017699641201</v>
      </c>
    </row>
    <row r="657" spans="1:17">
      <c r="A657" s="6" t="s">
        <v>282</v>
      </c>
      <c r="B657" s="6" t="s">
        <v>282</v>
      </c>
      <c r="C657" s="6" t="s">
        <v>8039</v>
      </c>
      <c r="D657" s="6" t="s">
        <v>8040</v>
      </c>
      <c r="E657" s="6" t="s">
        <v>8040</v>
      </c>
      <c r="F657" s="6">
        <v>15.761561459867901</v>
      </c>
      <c r="G657" s="6">
        <v>15.1297658708542</v>
      </c>
      <c r="H657" s="6">
        <v>15.106484294235701</v>
      </c>
      <c r="I657" s="6">
        <v>15.7801312614545</v>
      </c>
      <c r="J657" s="6">
        <v>14.3722644392428</v>
      </c>
      <c r="K657" s="6">
        <v>15.257215326611</v>
      </c>
      <c r="L657" s="6">
        <v>15.6600529931421</v>
      </c>
      <c r="M657" s="6">
        <v>14.3167412552363</v>
      </c>
      <c r="N657" s="6">
        <v>14.9785085791002</v>
      </c>
      <c r="O657" s="6">
        <v>15.481379289406901</v>
      </c>
      <c r="P657" s="6">
        <v>15.5975167830827</v>
      </c>
      <c r="Q657" s="6">
        <v>13.9630947262199</v>
      </c>
    </row>
    <row r="658" spans="1:17">
      <c r="A658" s="6" t="s">
        <v>2042</v>
      </c>
      <c r="B658" s="6" t="s">
        <v>2042</v>
      </c>
      <c r="C658" s="6" t="s">
        <v>8041</v>
      </c>
      <c r="D658" s="6" t="s">
        <v>8042</v>
      </c>
      <c r="E658" s="6" t="s">
        <v>8042</v>
      </c>
      <c r="F658" s="6">
        <v>15.490674380591299</v>
      </c>
      <c r="G658" s="6">
        <v>14.7728090708667</v>
      </c>
      <c r="H658" s="6">
        <v>15.219562903854801</v>
      </c>
      <c r="I658" s="6">
        <v>15.7494335006428</v>
      </c>
      <c r="J658" s="6">
        <v>14.249574607980399</v>
      </c>
      <c r="K658" s="6">
        <v>15.0955049276479</v>
      </c>
      <c r="L658" s="6">
        <v>16.035809260557599</v>
      </c>
      <c r="M658" s="6">
        <v>14.621896878366501</v>
      </c>
      <c r="N658" s="6">
        <v>15.3664387851851</v>
      </c>
      <c r="O658" s="6">
        <v>15.719728680759699</v>
      </c>
      <c r="P658" s="6">
        <v>15.144825652068301</v>
      </c>
      <c r="Q658" s="6">
        <v>13.701706981671199</v>
      </c>
    </row>
    <row r="659" spans="1:17">
      <c r="A659" s="6" t="s">
        <v>8043</v>
      </c>
      <c r="B659" s="6" t="s">
        <v>8044</v>
      </c>
      <c r="C659" s="6" t="s">
        <v>8045</v>
      </c>
      <c r="D659" s="6" t="s">
        <v>8046</v>
      </c>
      <c r="E659" s="6" t="s">
        <v>8047</v>
      </c>
      <c r="F659" s="6">
        <v>15.6892788879761</v>
      </c>
      <c r="G659" s="6">
        <v>15.699589057043699</v>
      </c>
      <c r="H659" s="6">
        <v>15.2263593858648</v>
      </c>
      <c r="I659" s="6">
        <v>15.9687563390411</v>
      </c>
      <c r="J659" s="6">
        <v>14.4828433876455</v>
      </c>
      <c r="K659" s="6">
        <v>15.1182467041882</v>
      </c>
      <c r="L659" s="6">
        <v>15.9138183111682</v>
      </c>
      <c r="M659" s="6">
        <v>14.274476263928401</v>
      </c>
      <c r="N659" s="6">
        <v>15.169589266673301</v>
      </c>
      <c r="O659" s="6">
        <v>15.543753188847001</v>
      </c>
      <c r="P659" s="6">
        <v>13.958534682409301</v>
      </c>
      <c r="Q659" s="6">
        <v>14.2642349334605</v>
      </c>
    </row>
    <row r="660" spans="1:17">
      <c r="A660" s="6" t="s">
        <v>8048</v>
      </c>
      <c r="B660" s="6" t="s">
        <v>8048</v>
      </c>
      <c r="C660" s="6" t="s">
        <v>8049</v>
      </c>
      <c r="D660" s="6" t="s">
        <v>8050</v>
      </c>
      <c r="E660" s="6" t="s">
        <v>8050</v>
      </c>
      <c r="F660" s="6">
        <v>15.813557188496</v>
      </c>
      <c r="G660" s="6">
        <v>15.1603987112225</v>
      </c>
      <c r="H660" s="6">
        <v>14.514860785811001</v>
      </c>
      <c r="I660" s="6">
        <v>16.071055766617601</v>
      </c>
      <c r="J660" s="6">
        <v>14.470452078259701</v>
      </c>
      <c r="K660" s="6">
        <v>14.6001536779881</v>
      </c>
      <c r="L660" s="6">
        <v>15.4017311048043</v>
      </c>
      <c r="M660" s="6">
        <v>14.9714436150519</v>
      </c>
      <c r="N660" s="6">
        <v>16.5298265527274</v>
      </c>
      <c r="O660" s="6">
        <v>15.191699872825</v>
      </c>
      <c r="P660" s="6">
        <v>15.3842189998447</v>
      </c>
      <c r="Q660" s="6" t="s">
        <v>6254</v>
      </c>
    </row>
    <row r="661" spans="1:17">
      <c r="A661" s="6" t="s">
        <v>1485</v>
      </c>
      <c r="B661" s="6" t="s">
        <v>1485</v>
      </c>
      <c r="C661" s="6" t="s">
        <v>8051</v>
      </c>
      <c r="D661" s="6" t="s">
        <v>8052</v>
      </c>
      <c r="E661" s="6" t="s">
        <v>8052</v>
      </c>
      <c r="F661" s="6">
        <v>15.4895523286699</v>
      </c>
      <c r="G661" s="6">
        <v>15.261363882459101</v>
      </c>
      <c r="H661" s="6">
        <v>14.8783131012847</v>
      </c>
      <c r="I661" s="6">
        <v>16.068891913660401</v>
      </c>
      <c r="J661" s="6">
        <v>14.975454392271301</v>
      </c>
      <c r="K661" s="6">
        <v>15.475465068745301</v>
      </c>
      <c r="L661" s="6">
        <v>15.4278725812005</v>
      </c>
      <c r="M661" s="6">
        <v>14.5110323627349</v>
      </c>
      <c r="N661" s="6">
        <v>14.887292487252999</v>
      </c>
      <c r="O661" s="6">
        <v>15.744378230598199</v>
      </c>
      <c r="P661" s="6">
        <v>15.443146963107599</v>
      </c>
      <c r="Q661" s="6">
        <v>16.2155285356225</v>
      </c>
    </row>
    <row r="662" spans="1:17">
      <c r="A662" s="6" t="s">
        <v>1642</v>
      </c>
      <c r="B662" s="6" t="s">
        <v>1642</v>
      </c>
      <c r="C662" s="6" t="s">
        <v>8053</v>
      </c>
      <c r="D662" s="6" t="s">
        <v>8054</v>
      </c>
      <c r="E662" s="6" t="s">
        <v>8054</v>
      </c>
      <c r="F662" s="6">
        <v>15.7702396193526</v>
      </c>
      <c r="G662" s="6">
        <v>14.9731700233658</v>
      </c>
      <c r="H662" s="6">
        <v>15.226596645812799</v>
      </c>
      <c r="I662" s="6">
        <v>15.738045144509799</v>
      </c>
      <c r="J662" s="6">
        <v>14.7380666542219</v>
      </c>
      <c r="K662" s="6">
        <v>14.8555017328956</v>
      </c>
      <c r="L662" s="6">
        <v>15.6371229641773</v>
      </c>
      <c r="M662" s="6">
        <v>14.407096604640399</v>
      </c>
      <c r="N662" s="6">
        <v>14.7889414523155</v>
      </c>
      <c r="O662" s="6">
        <v>15.8645175551574</v>
      </c>
      <c r="P662" s="6">
        <v>15.745453814875599</v>
      </c>
      <c r="Q662" s="6">
        <v>13.881107900638201</v>
      </c>
    </row>
    <row r="663" spans="1:17">
      <c r="A663" s="6" t="s">
        <v>8055</v>
      </c>
      <c r="B663" s="6" t="s">
        <v>8055</v>
      </c>
      <c r="C663" s="6" t="s">
        <v>8056</v>
      </c>
      <c r="D663" s="6" t="s">
        <v>8057</v>
      </c>
      <c r="E663" s="6" t="s">
        <v>8057</v>
      </c>
      <c r="F663" s="6" t="s">
        <v>6254</v>
      </c>
      <c r="G663" s="6">
        <v>13.7345575783468</v>
      </c>
      <c r="H663" s="6">
        <v>15.9308598085891</v>
      </c>
      <c r="I663" s="6" t="s">
        <v>6254</v>
      </c>
      <c r="J663" s="6" t="s">
        <v>6254</v>
      </c>
      <c r="K663" s="6" t="s">
        <v>6254</v>
      </c>
      <c r="L663" s="6">
        <v>13.419357776717201</v>
      </c>
      <c r="M663" s="6">
        <v>15.2229765229901</v>
      </c>
      <c r="N663" s="6">
        <v>14.617687059022201</v>
      </c>
      <c r="O663" s="6" t="s">
        <v>6254</v>
      </c>
      <c r="P663" s="6" t="s">
        <v>6254</v>
      </c>
      <c r="Q663" s="6">
        <v>16.154496633442498</v>
      </c>
    </row>
    <row r="664" spans="1:17">
      <c r="A664" s="6" t="s">
        <v>8058</v>
      </c>
      <c r="B664" s="6" t="s">
        <v>8058</v>
      </c>
      <c r="C664" s="6" t="s">
        <v>8058</v>
      </c>
      <c r="D664" s="6" t="s">
        <v>8058</v>
      </c>
      <c r="E664" s="6" t="s">
        <v>8058</v>
      </c>
      <c r="F664" s="6" t="s">
        <v>6254</v>
      </c>
      <c r="G664" s="6" t="s">
        <v>6254</v>
      </c>
      <c r="H664" s="6" t="s">
        <v>6254</v>
      </c>
      <c r="I664" s="6" t="s">
        <v>6254</v>
      </c>
      <c r="J664" s="6" t="s">
        <v>6254</v>
      </c>
      <c r="K664" s="6" t="s">
        <v>6254</v>
      </c>
      <c r="L664" s="6" t="s">
        <v>6254</v>
      </c>
      <c r="M664" s="6" t="s">
        <v>6254</v>
      </c>
      <c r="N664" s="6" t="s">
        <v>6254</v>
      </c>
      <c r="O664" s="6" t="s">
        <v>6254</v>
      </c>
      <c r="P664" s="6" t="s">
        <v>6254</v>
      </c>
      <c r="Q664" s="6" t="s">
        <v>6254</v>
      </c>
    </row>
    <row r="665" spans="1:17">
      <c r="A665" s="6" t="s">
        <v>317</v>
      </c>
      <c r="B665" s="6" t="s">
        <v>317</v>
      </c>
      <c r="C665" s="6" t="s">
        <v>8059</v>
      </c>
      <c r="D665" s="6" t="s">
        <v>8060</v>
      </c>
      <c r="E665" s="6" t="s">
        <v>8060</v>
      </c>
      <c r="F665" s="6">
        <v>15.649877821940899</v>
      </c>
      <c r="G665" s="6">
        <v>15.1139864079458</v>
      </c>
      <c r="H665" s="6">
        <v>15.231321147631499</v>
      </c>
      <c r="I665" s="6">
        <v>15.9676231027222</v>
      </c>
      <c r="J665" s="6">
        <v>14.5907105967144</v>
      </c>
      <c r="K665" s="6">
        <v>15.2868483381774</v>
      </c>
      <c r="L665" s="6">
        <v>15.720603343725699</v>
      </c>
      <c r="M665" s="6">
        <v>14.3536309470158</v>
      </c>
      <c r="N665" s="6">
        <v>14.9530383544021</v>
      </c>
      <c r="O665" s="6">
        <v>15.629757992722</v>
      </c>
      <c r="P665" s="6">
        <v>15.6592102798135</v>
      </c>
      <c r="Q665" s="6">
        <v>13.9872184154893</v>
      </c>
    </row>
    <row r="666" spans="1:17">
      <c r="A666" s="6" t="s">
        <v>1431</v>
      </c>
      <c r="B666" s="6" t="s">
        <v>1431</v>
      </c>
      <c r="C666" s="6" t="s">
        <v>8061</v>
      </c>
      <c r="D666" s="6" t="s">
        <v>8062</v>
      </c>
      <c r="E666" s="6" t="s">
        <v>8062</v>
      </c>
      <c r="F666" s="6">
        <v>15.662841931116199</v>
      </c>
      <c r="G666" s="6">
        <v>15.1428382594362</v>
      </c>
      <c r="H666" s="6">
        <v>15.073891366779</v>
      </c>
      <c r="I666" s="6">
        <v>16.264038271747602</v>
      </c>
      <c r="J666" s="6">
        <v>14.4717360436061</v>
      </c>
      <c r="K666" s="6">
        <v>15.1418758631653</v>
      </c>
      <c r="L666" s="6">
        <v>15.6831006446351</v>
      </c>
      <c r="M666" s="6">
        <v>14.723889534618801</v>
      </c>
      <c r="N666" s="6">
        <v>14.599481704877</v>
      </c>
      <c r="O666" s="6">
        <v>15.526009955734301</v>
      </c>
      <c r="P666" s="6">
        <v>15.3053947818143</v>
      </c>
      <c r="Q666" s="6">
        <v>13.840451264565299</v>
      </c>
    </row>
    <row r="667" spans="1:17">
      <c r="A667" s="6" t="s">
        <v>8063</v>
      </c>
      <c r="B667" s="6" t="s">
        <v>8064</v>
      </c>
      <c r="C667" s="6" t="s">
        <v>8065</v>
      </c>
      <c r="D667" s="6" t="s">
        <v>8066</v>
      </c>
      <c r="E667" s="6" t="s">
        <v>8067</v>
      </c>
      <c r="F667" s="6">
        <v>15.0666813429866</v>
      </c>
      <c r="G667" s="6">
        <v>15.7725977322599</v>
      </c>
      <c r="H667" s="6">
        <v>15.3168807259643</v>
      </c>
      <c r="I667" s="6">
        <v>15.644923132799001</v>
      </c>
      <c r="J667" s="6">
        <v>15.4807608851841</v>
      </c>
      <c r="K667" s="6">
        <v>15.2360662025613</v>
      </c>
      <c r="L667" s="6">
        <v>15.4148633600658</v>
      </c>
      <c r="M667" s="6">
        <v>14.8709539295124</v>
      </c>
      <c r="N667" s="6" t="s">
        <v>6254</v>
      </c>
      <c r="O667" s="6">
        <v>15.4407287070417</v>
      </c>
      <c r="P667" s="6">
        <v>15.3135903878135</v>
      </c>
      <c r="Q667" s="6" t="s">
        <v>6254</v>
      </c>
    </row>
    <row r="668" spans="1:17">
      <c r="A668" s="6" t="s">
        <v>2118</v>
      </c>
      <c r="B668" s="6" t="s">
        <v>2118</v>
      </c>
      <c r="C668" s="6" t="s">
        <v>8068</v>
      </c>
      <c r="D668" s="6" t="s">
        <v>7184</v>
      </c>
      <c r="E668" s="6" t="s">
        <v>7184</v>
      </c>
      <c r="F668" s="6">
        <v>14.9464353586503</v>
      </c>
      <c r="G668" s="6">
        <v>14.703115856622601</v>
      </c>
      <c r="H668" s="6">
        <v>15.0383033401619</v>
      </c>
      <c r="I668" s="6">
        <v>15.2891719236556</v>
      </c>
      <c r="J668" s="6">
        <v>14.297122610445699</v>
      </c>
      <c r="K668" s="6">
        <v>14.333847355786</v>
      </c>
      <c r="L668" s="6">
        <v>15.878802349400001</v>
      </c>
      <c r="M668" s="6">
        <v>14.052957083495601</v>
      </c>
      <c r="N668" s="6">
        <v>15.526726616010601</v>
      </c>
      <c r="O668" s="6">
        <v>15.436728424887701</v>
      </c>
      <c r="P668" s="6">
        <v>15.4699691061717</v>
      </c>
      <c r="Q668" s="6">
        <v>13.9167578358451</v>
      </c>
    </row>
    <row r="669" spans="1:17">
      <c r="A669" s="6" t="s">
        <v>2157</v>
      </c>
      <c r="B669" s="6" t="s">
        <v>2157</v>
      </c>
      <c r="C669" s="6" t="s">
        <v>8069</v>
      </c>
      <c r="D669" s="6" t="s">
        <v>8070</v>
      </c>
      <c r="E669" s="6" t="s">
        <v>8070</v>
      </c>
      <c r="F669" s="6">
        <v>15.7374510862691</v>
      </c>
      <c r="G669" s="6">
        <v>15.162882356028501</v>
      </c>
      <c r="H669" s="6">
        <v>15.233751378812901</v>
      </c>
      <c r="I669" s="6">
        <v>15.84843241808</v>
      </c>
      <c r="J669" s="6">
        <v>14.284774599212501</v>
      </c>
      <c r="K669" s="6">
        <v>15.0757288897699</v>
      </c>
      <c r="L669" s="6">
        <v>15.665911667084901</v>
      </c>
      <c r="M669" s="6">
        <v>14.164327366469699</v>
      </c>
      <c r="N669" s="6">
        <v>14.833463955274601</v>
      </c>
      <c r="O669" s="6">
        <v>15.574996697289301</v>
      </c>
      <c r="P669" s="6">
        <v>15.610093565429199</v>
      </c>
      <c r="Q669" s="6">
        <v>13.857639105263001</v>
      </c>
    </row>
    <row r="670" spans="1:17">
      <c r="A670" s="6" t="s">
        <v>408</v>
      </c>
      <c r="B670" s="6" t="s">
        <v>408</v>
      </c>
      <c r="C670" s="6" t="s">
        <v>8071</v>
      </c>
      <c r="D670" s="6" t="s">
        <v>8072</v>
      </c>
      <c r="E670" s="6" t="s">
        <v>8072</v>
      </c>
      <c r="F670" s="6">
        <v>14.942209946819601</v>
      </c>
      <c r="G670" s="6">
        <v>15.4800205150453</v>
      </c>
      <c r="H670" s="6">
        <v>14.781692687747899</v>
      </c>
      <c r="I670" s="6">
        <v>16.225240614992</v>
      </c>
      <c r="J670" s="6">
        <v>14.944797130065</v>
      </c>
      <c r="K670" s="6">
        <v>14.5070899655638</v>
      </c>
      <c r="L670" s="6">
        <v>15.5800844829099</v>
      </c>
      <c r="M670" s="6">
        <v>15.0167823455047</v>
      </c>
      <c r="N670" s="6">
        <v>15.9000161502038</v>
      </c>
      <c r="O670" s="6">
        <v>14.9832845591036</v>
      </c>
      <c r="P670" s="6">
        <v>14.9591773732616</v>
      </c>
      <c r="Q670" s="6">
        <v>13.997848481012699</v>
      </c>
    </row>
    <row r="671" spans="1:17">
      <c r="A671" s="6" t="s">
        <v>1189</v>
      </c>
      <c r="B671" s="6" t="s">
        <v>1189</v>
      </c>
      <c r="C671" s="6" t="s">
        <v>8073</v>
      </c>
      <c r="D671" s="6" t="s">
        <v>8074</v>
      </c>
      <c r="E671" s="6" t="s">
        <v>8074</v>
      </c>
      <c r="F671" s="6">
        <v>15.8224345008651</v>
      </c>
      <c r="G671" s="6">
        <v>15.2262967199388</v>
      </c>
      <c r="H671" s="6">
        <v>15.5059984259029</v>
      </c>
      <c r="I671" s="6">
        <v>15.9692917429331</v>
      </c>
      <c r="J671" s="6">
        <v>14.7246138529338</v>
      </c>
      <c r="K671" s="6">
        <v>15.020212333922901</v>
      </c>
      <c r="L671" s="6">
        <v>15.679018437243</v>
      </c>
      <c r="M671" s="6">
        <v>14.4877715402797</v>
      </c>
      <c r="N671" s="6">
        <v>15.122502430932901</v>
      </c>
      <c r="O671" s="6">
        <v>15.528967909011</v>
      </c>
      <c r="P671" s="6">
        <v>15.5368923037438</v>
      </c>
      <c r="Q671" s="6">
        <v>13.5242881062977</v>
      </c>
    </row>
    <row r="672" spans="1:17">
      <c r="A672" s="6" t="s">
        <v>1457</v>
      </c>
      <c r="B672" s="6" t="s">
        <v>1457</v>
      </c>
      <c r="C672" s="6" t="s">
        <v>8075</v>
      </c>
      <c r="D672" s="6" t="s">
        <v>8076</v>
      </c>
      <c r="E672" s="6" t="s">
        <v>8076</v>
      </c>
      <c r="F672" s="6">
        <v>16.080630559653802</v>
      </c>
      <c r="G672" s="6">
        <v>15.242545090603301</v>
      </c>
      <c r="H672" s="6">
        <v>14.6745235971991</v>
      </c>
      <c r="I672" s="6">
        <v>15.9530203614946</v>
      </c>
      <c r="J672" s="6">
        <v>14.510805090606899</v>
      </c>
      <c r="K672" s="6">
        <v>15.2967885105503</v>
      </c>
      <c r="L672" s="6">
        <v>15.539843644506099</v>
      </c>
      <c r="M672" s="6">
        <v>14.2672750537828</v>
      </c>
      <c r="N672" s="6">
        <v>15.2677966812736</v>
      </c>
      <c r="O672" s="6">
        <v>15.259945631079701</v>
      </c>
      <c r="P672" s="6">
        <v>14.822431610341701</v>
      </c>
      <c r="Q672" s="6">
        <v>14.1760734646302</v>
      </c>
    </row>
    <row r="673" spans="1:17">
      <c r="A673" s="6" t="s">
        <v>787</v>
      </c>
      <c r="B673" s="6" t="s">
        <v>787</v>
      </c>
      <c r="C673" s="6" t="s">
        <v>8077</v>
      </c>
      <c r="D673" s="6" t="s">
        <v>8078</v>
      </c>
      <c r="E673" s="6" t="s">
        <v>8078</v>
      </c>
      <c r="F673" s="6">
        <v>15.7489054511102</v>
      </c>
      <c r="G673" s="6">
        <v>15.2787159527714</v>
      </c>
      <c r="H673" s="6">
        <v>15.129723758884801</v>
      </c>
      <c r="I673" s="6">
        <v>15.9681131177145</v>
      </c>
      <c r="J673" s="6">
        <v>14.354700222737</v>
      </c>
      <c r="K673" s="6">
        <v>15.101643542592999</v>
      </c>
      <c r="L673" s="6">
        <v>15.8596478191355</v>
      </c>
      <c r="M673" s="6">
        <v>14.1227347718981</v>
      </c>
      <c r="N673" s="6">
        <v>14.9366593939538</v>
      </c>
      <c r="O673" s="6">
        <v>15.634344827954999</v>
      </c>
      <c r="P673" s="6">
        <v>15.628188214862201</v>
      </c>
      <c r="Q673" s="6">
        <v>14.061442507405401</v>
      </c>
    </row>
    <row r="674" spans="1:17">
      <c r="A674" s="6" t="s">
        <v>8079</v>
      </c>
      <c r="B674" s="6" t="s">
        <v>8080</v>
      </c>
      <c r="C674" s="6" t="s">
        <v>8081</v>
      </c>
      <c r="D674" s="6" t="s">
        <v>8082</v>
      </c>
      <c r="E674" s="6" t="s">
        <v>8083</v>
      </c>
      <c r="F674" s="6">
        <v>16.485571489853701</v>
      </c>
      <c r="G674" s="6">
        <v>15.0797051246899</v>
      </c>
      <c r="H674" s="6">
        <v>14.993440729043501</v>
      </c>
      <c r="I674" s="6">
        <v>15.631154528864901</v>
      </c>
      <c r="J674" s="6" t="s">
        <v>6254</v>
      </c>
      <c r="K674" s="6">
        <v>15.7858291676321</v>
      </c>
      <c r="L674" s="6">
        <v>15.484370714827699</v>
      </c>
      <c r="M674" s="6">
        <v>14.817635298492201</v>
      </c>
      <c r="N674" s="6">
        <v>16.3951323139738</v>
      </c>
      <c r="O674" s="6">
        <v>15.355063507438899</v>
      </c>
      <c r="P674" s="6">
        <v>14.9101959426565</v>
      </c>
      <c r="Q674" s="6">
        <v>13.6831414064333</v>
      </c>
    </row>
    <row r="675" spans="1:17">
      <c r="A675" s="6" t="s">
        <v>579</v>
      </c>
      <c r="B675" s="6" t="s">
        <v>579</v>
      </c>
      <c r="C675" s="6" t="s">
        <v>8084</v>
      </c>
      <c r="D675" s="6" t="s">
        <v>8085</v>
      </c>
      <c r="E675" s="6" t="s">
        <v>8085</v>
      </c>
      <c r="F675" s="6">
        <v>15.524719994999099</v>
      </c>
      <c r="G675" s="6">
        <v>15.0835952637047</v>
      </c>
      <c r="H675" s="6">
        <v>15.047366977250499</v>
      </c>
      <c r="I675" s="6">
        <v>15.5672884452792</v>
      </c>
      <c r="J675" s="6">
        <v>14.3276775813762</v>
      </c>
      <c r="K675" s="6">
        <v>14.845015615515001</v>
      </c>
      <c r="L675" s="6">
        <v>15.7262724716644</v>
      </c>
      <c r="M675" s="6">
        <v>14.329374628620901</v>
      </c>
      <c r="N675" s="6">
        <v>15.6312335321643</v>
      </c>
      <c r="O675" s="6">
        <v>15.641134793791201</v>
      </c>
      <c r="P675" s="6">
        <v>15.619216068546899</v>
      </c>
      <c r="Q675" s="6">
        <v>13.561841440223001</v>
      </c>
    </row>
    <row r="676" spans="1:17">
      <c r="A676" s="6" t="s">
        <v>8086</v>
      </c>
      <c r="B676" s="6" t="s">
        <v>8087</v>
      </c>
      <c r="C676" s="6" t="s">
        <v>8088</v>
      </c>
      <c r="D676" s="6" t="s">
        <v>8089</v>
      </c>
      <c r="E676" s="6" t="s">
        <v>8090</v>
      </c>
      <c r="F676" s="6">
        <v>15.575536286009299</v>
      </c>
      <c r="G676" s="6">
        <v>14.825957418718501</v>
      </c>
      <c r="H676" s="6">
        <v>14.7559093758827</v>
      </c>
      <c r="I676" s="6">
        <v>16.0576950839042</v>
      </c>
      <c r="J676" s="6" t="s">
        <v>6254</v>
      </c>
      <c r="K676" s="6">
        <v>15.2959447778713</v>
      </c>
      <c r="L676" s="6">
        <v>15.9274417702671</v>
      </c>
      <c r="M676" s="6" t="s">
        <v>6254</v>
      </c>
      <c r="N676" s="6">
        <v>14.2219797255316</v>
      </c>
      <c r="O676" s="6">
        <v>15.4543249437071</v>
      </c>
      <c r="P676" s="6">
        <v>15.0310371294064</v>
      </c>
      <c r="Q676" s="6" t="s">
        <v>6254</v>
      </c>
    </row>
    <row r="677" spans="1:17">
      <c r="A677" s="6" t="s">
        <v>1282</v>
      </c>
      <c r="B677" s="6" t="s">
        <v>1282</v>
      </c>
      <c r="C677" s="6" t="s">
        <v>8091</v>
      </c>
      <c r="D677" s="6" t="s">
        <v>8092</v>
      </c>
      <c r="E677" s="6" t="s">
        <v>8092</v>
      </c>
      <c r="F677" s="6">
        <v>15.176831958295599</v>
      </c>
      <c r="G677" s="6">
        <v>15.5193364000719</v>
      </c>
      <c r="H677" s="6">
        <v>15.498707364604799</v>
      </c>
      <c r="I677" s="6">
        <v>15.2168465682667</v>
      </c>
      <c r="J677" s="6">
        <v>15.253460161382501</v>
      </c>
      <c r="K677" s="6">
        <v>15.2331896006151</v>
      </c>
      <c r="L677" s="6">
        <v>15.3290573605786</v>
      </c>
      <c r="M677" s="6">
        <v>15.225814294700299</v>
      </c>
      <c r="N677" s="6">
        <v>14.601823932279901</v>
      </c>
      <c r="O677" s="6">
        <v>14.9870325357555</v>
      </c>
      <c r="P677" s="6">
        <v>15.170265620410101</v>
      </c>
      <c r="Q677" s="6">
        <v>15.498932592360401</v>
      </c>
    </row>
    <row r="678" spans="1:17">
      <c r="A678" s="6" t="s">
        <v>8093</v>
      </c>
      <c r="B678" s="6" t="s">
        <v>8094</v>
      </c>
      <c r="C678" s="6" t="s">
        <v>8095</v>
      </c>
      <c r="D678" s="6" t="s">
        <v>8096</v>
      </c>
      <c r="E678" s="6" t="s">
        <v>8097</v>
      </c>
      <c r="F678" s="6">
        <v>15.5845841058735</v>
      </c>
      <c r="G678" s="6">
        <v>15.09091125202</v>
      </c>
      <c r="H678" s="6">
        <v>15.167329645468399</v>
      </c>
      <c r="I678" s="6">
        <v>16.009278145670901</v>
      </c>
      <c r="J678" s="6">
        <v>14.4256004072781</v>
      </c>
      <c r="K678" s="6">
        <v>15.5412200146089</v>
      </c>
      <c r="L678" s="6">
        <v>15.590129021141699</v>
      </c>
      <c r="M678" s="6">
        <v>14.4124303055544</v>
      </c>
      <c r="N678" s="6">
        <v>14.120699747254401</v>
      </c>
      <c r="O678" s="6">
        <v>15.5532008679511</v>
      </c>
      <c r="P678" s="6">
        <v>15.728941099874101</v>
      </c>
      <c r="Q678" s="6">
        <v>13.8261783426807</v>
      </c>
    </row>
    <row r="679" spans="1:17">
      <c r="A679" s="6" t="s">
        <v>8098</v>
      </c>
      <c r="B679" s="6" t="s">
        <v>8099</v>
      </c>
      <c r="C679" s="6" t="s">
        <v>8100</v>
      </c>
      <c r="D679" s="6" t="s">
        <v>8101</v>
      </c>
      <c r="E679" s="6" t="s">
        <v>8102</v>
      </c>
      <c r="F679" s="6">
        <v>14.402379846620301</v>
      </c>
      <c r="G679" s="6">
        <v>15.260522402989301</v>
      </c>
      <c r="H679" s="6">
        <v>15.769562051993301</v>
      </c>
      <c r="I679" s="6">
        <v>14.641157966113999</v>
      </c>
      <c r="J679" s="6">
        <v>15.729936230457</v>
      </c>
      <c r="K679" s="6">
        <v>15.8361362941473</v>
      </c>
      <c r="L679" s="6">
        <v>15.5001190388615</v>
      </c>
      <c r="M679" s="6">
        <v>15.735863844436601</v>
      </c>
      <c r="N679" s="6">
        <v>15.424836204673101</v>
      </c>
      <c r="O679" s="6">
        <v>15.568758518890499</v>
      </c>
      <c r="P679" s="6" t="s">
        <v>6254</v>
      </c>
      <c r="Q679" s="6">
        <v>14.9639165382585</v>
      </c>
    </row>
    <row r="680" spans="1:17">
      <c r="A680" s="6" t="s">
        <v>588</v>
      </c>
      <c r="B680" s="6" t="s">
        <v>588</v>
      </c>
      <c r="C680" s="6" t="s">
        <v>8103</v>
      </c>
      <c r="D680" s="6" t="s">
        <v>8104</v>
      </c>
      <c r="E680" s="6" t="s">
        <v>8104</v>
      </c>
      <c r="F680" s="6">
        <v>15.6273987725592</v>
      </c>
      <c r="G680" s="6">
        <v>14.7711029284399</v>
      </c>
      <c r="H680" s="6">
        <v>15.2808179906178</v>
      </c>
      <c r="I680" s="6">
        <v>15.751691831015901</v>
      </c>
      <c r="J680" s="6">
        <v>14.520337457052999</v>
      </c>
      <c r="K680" s="6">
        <v>15.2898126510011</v>
      </c>
      <c r="L680" s="6">
        <v>15.6997738687019</v>
      </c>
      <c r="M680" s="6">
        <v>14.499861376100901</v>
      </c>
      <c r="N680" s="6">
        <v>14.907011407682299</v>
      </c>
      <c r="O680" s="6">
        <v>15.4511945485872</v>
      </c>
      <c r="P680" s="6">
        <v>15.295014117357001</v>
      </c>
      <c r="Q680" s="6">
        <v>14.003142836343001</v>
      </c>
    </row>
    <row r="681" spans="1:17">
      <c r="A681" s="6" t="s">
        <v>8105</v>
      </c>
      <c r="B681" s="6" t="s">
        <v>8106</v>
      </c>
      <c r="C681" s="6" t="s">
        <v>8107</v>
      </c>
      <c r="D681" s="6" t="s">
        <v>8108</v>
      </c>
      <c r="E681" s="6" t="s">
        <v>8109</v>
      </c>
      <c r="F681" s="6">
        <v>16.371130274614401</v>
      </c>
      <c r="G681" s="6" t="s">
        <v>6254</v>
      </c>
      <c r="H681" s="6" t="s">
        <v>6254</v>
      </c>
      <c r="I681" s="6">
        <v>13.8487825442079</v>
      </c>
      <c r="J681" s="6" t="s">
        <v>6254</v>
      </c>
      <c r="K681" s="6">
        <v>17.5241061611978</v>
      </c>
      <c r="L681" s="6">
        <v>16.7601115378332</v>
      </c>
      <c r="M681" s="6" t="s">
        <v>6254</v>
      </c>
      <c r="N681" s="6" t="s">
        <v>6254</v>
      </c>
      <c r="O681" s="6" t="s">
        <v>6254</v>
      </c>
      <c r="P681" s="6" t="s">
        <v>6254</v>
      </c>
      <c r="Q681" s="6" t="s">
        <v>6254</v>
      </c>
    </row>
    <row r="682" spans="1:17">
      <c r="A682" s="6" t="s">
        <v>8110</v>
      </c>
      <c r="B682" s="6" t="s">
        <v>8111</v>
      </c>
      <c r="C682" s="6" t="s">
        <v>8112</v>
      </c>
      <c r="D682" s="6" t="s">
        <v>8113</v>
      </c>
      <c r="E682" s="6" t="s">
        <v>8114</v>
      </c>
      <c r="F682" s="6">
        <v>15.7473468897734</v>
      </c>
      <c r="G682" s="6">
        <v>15.210234588930801</v>
      </c>
      <c r="H682" s="6">
        <v>15.2611998233797</v>
      </c>
      <c r="I682" s="6">
        <v>15.518535618618699</v>
      </c>
      <c r="J682" s="6">
        <v>14.6392428666678</v>
      </c>
      <c r="K682" s="6">
        <v>15.1407421944908</v>
      </c>
      <c r="L682" s="6">
        <v>15.692361701139401</v>
      </c>
      <c r="M682" s="6">
        <v>14.3998496644328</v>
      </c>
      <c r="N682" s="6">
        <v>14.7124994319134</v>
      </c>
      <c r="O682" s="6">
        <v>15.3210244861981</v>
      </c>
      <c r="P682" s="6">
        <v>15.579524622731601</v>
      </c>
      <c r="Q682" s="6">
        <v>14.1361592404505</v>
      </c>
    </row>
    <row r="683" spans="1:17">
      <c r="A683" s="6" t="s">
        <v>8115</v>
      </c>
      <c r="B683" s="6" t="s">
        <v>8116</v>
      </c>
      <c r="C683" s="6" t="s">
        <v>8117</v>
      </c>
      <c r="D683" s="6" t="s">
        <v>8118</v>
      </c>
      <c r="E683" s="6" t="s">
        <v>8119</v>
      </c>
      <c r="F683" s="6">
        <v>15.6326990575133</v>
      </c>
      <c r="G683" s="6">
        <v>15.3064455920395</v>
      </c>
      <c r="H683" s="6">
        <v>15.2504947136641</v>
      </c>
      <c r="I683" s="6">
        <v>15.9392552935797</v>
      </c>
      <c r="J683" s="6">
        <v>14.535238007672501</v>
      </c>
      <c r="K683" s="6">
        <v>15.121449657728499</v>
      </c>
      <c r="L683" s="6">
        <v>15.623842303682601</v>
      </c>
      <c r="M683" s="6">
        <v>14.364388619920099</v>
      </c>
      <c r="N683" s="6">
        <v>15.066476901817399</v>
      </c>
      <c r="O683" s="6">
        <v>15.457482553354099</v>
      </c>
      <c r="P683" s="6">
        <v>15.0356188400027</v>
      </c>
      <c r="Q683" s="6">
        <v>13.689059608622699</v>
      </c>
    </row>
    <row r="684" spans="1:17">
      <c r="A684" s="6" t="s">
        <v>440</v>
      </c>
      <c r="B684" s="6" t="s">
        <v>442</v>
      </c>
      <c r="C684" s="6" t="s">
        <v>8120</v>
      </c>
      <c r="D684" s="6" t="s">
        <v>8121</v>
      </c>
      <c r="E684" s="6" t="s">
        <v>8122</v>
      </c>
      <c r="F684" s="6">
        <v>15.9015620395414</v>
      </c>
      <c r="G684" s="6">
        <v>15.181264244613899</v>
      </c>
      <c r="H684" s="6">
        <v>15.109005621463099</v>
      </c>
      <c r="I684" s="6">
        <v>15.955539252768</v>
      </c>
      <c r="J684" s="6">
        <v>14.3789106558364</v>
      </c>
      <c r="K684" s="6">
        <v>15.2537846435739</v>
      </c>
      <c r="L684" s="6">
        <v>15.735022987560001</v>
      </c>
      <c r="M684" s="6">
        <v>14.438787874269501</v>
      </c>
      <c r="N684" s="6">
        <v>14.8063584297456</v>
      </c>
      <c r="O684" s="6">
        <v>15.336873267778699</v>
      </c>
      <c r="P684" s="6">
        <v>15.545732144738601</v>
      </c>
      <c r="Q684" s="6">
        <v>14.1301720056561</v>
      </c>
    </row>
    <row r="685" spans="1:17">
      <c r="A685" s="6" t="s">
        <v>2738</v>
      </c>
      <c r="B685" s="6" t="s">
        <v>2740</v>
      </c>
      <c r="C685" s="6" t="s">
        <v>8123</v>
      </c>
      <c r="D685" s="6" t="s">
        <v>8124</v>
      </c>
      <c r="E685" s="6" t="s">
        <v>8125</v>
      </c>
      <c r="F685" s="6">
        <v>15.6515791523251</v>
      </c>
      <c r="G685" s="6">
        <v>15.2129900726915</v>
      </c>
      <c r="H685" s="6">
        <v>15.4059950986135</v>
      </c>
      <c r="I685" s="6">
        <v>15.398524857765301</v>
      </c>
      <c r="J685" s="6">
        <v>14.321839417997399</v>
      </c>
      <c r="K685" s="6">
        <v>15.172115304414501</v>
      </c>
      <c r="L685" s="6">
        <v>15.420099991598899</v>
      </c>
      <c r="M685" s="6">
        <v>14.0070439723282</v>
      </c>
      <c r="N685" s="6">
        <v>14.729025079068901</v>
      </c>
      <c r="O685" s="6">
        <v>15.474080070004399</v>
      </c>
      <c r="P685" s="6">
        <v>15.694275187884999</v>
      </c>
      <c r="Q685" s="6">
        <v>14.0301107561574</v>
      </c>
    </row>
    <row r="686" spans="1:17">
      <c r="A686" s="6" t="s">
        <v>2470</v>
      </c>
      <c r="B686" s="6" t="s">
        <v>2470</v>
      </c>
      <c r="C686" s="6" t="s">
        <v>8126</v>
      </c>
      <c r="D686" s="6" t="s">
        <v>8127</v>
      </c>
      <c r="E686" s="6" t="s">
        <v>8127</v>
      </c>
      <c r="F686" s="6">
        <v>15.203564251167901</v>
      </c>
      <c r="G686" s="6">
        <v>14.9236134914175</v>
      </c>
      <c r="H686" s="6">
        <v>15.3878787713675</v>
      </c>
      <c r="I686" s="6">
        <v>15.634699666080699</v>
      </c>
      <c r="J686" s="6">
        <v>14.608838355123</v>
      </c>
      <c r="K686" s="6">
        <v>15.239058400087799</v>
      </c>
      <c r="L686" s="6">
        <v>15.1860288877571</v>
      </c>
      <c r="M686" s="6" t="s">
        <v>6254</v>
      </c>
      <c r="N686" s="6">
        <v>14.590377948239</v>
      </c>
      <c r="O686" s="6">
        <v>15.1078467227633</v>
      </c>
      <c r="P686" s="6">
        <v>15.5277658807448</v>
      </c>
      <c r="Q686" s="6" t="s">
        <v>6254</v>
      </c>
    </row>
    <row r="687" spans="1:17">
      <c r="A687" s="6" t="s">
        <v>925</v>
      </c>
      <c r="B687" s="6" t="s">
        <v>925</v>
      </c>
      <c r="C687" s="6" t="s">
        <v>8128</v>
      </c>
      <c r="D687" s="6" t="s">
        <v>8129</v>
      </c>
      <c r="E687" s="6" t="s">
        <v>8129</v>
      </c>
      <c r="F687" s="6">
        <v>15.6150374746711</v>
      </c>
      <c r="G687" s="6">
        <v>14.897871063019799</v>
      </c>
      <c r="H687" s="6">
        <v>15.2867850609912</v>
      </c>
      <c r="I687" s="6">
        <v>15.879683661983499</v>
      </c>
      <c r="J687" s="6">
        <v>14.5243245457601</v>
      </c>
      <c r="K687" s="6">
        <v>15.1940965167072</v>
      </c>
      <c r="L687" s="6">
        <v>15.711565216804299</v>
      </c>
      <c r="M687" s="6">
        <v>14.360301811811601</v>
      </c>
      <c r="N687" s="6">
        <v>14.9092802024241</v>
      </c>
      <c r="O687" s="6">
        <v>15.580235683195401</v>
      </c>
      <c r="P687" s="6">
        <v>15.356345582931301</v>
      </c>
      <c r="Q687" s="6">
        <v>13.7814181486679</v>
      </c>
    </row>
    <row r="688" spans="1:17">
      <c r="A688" s="6" t="s">
        <v>8130</v>
      </c>
      <c r="B688" s="6" t="s">
        <v>8130</v>
      </c>
      <c r="C688" s="6" t="s">
        <v>8131</v>
      </c>
      <c r="D688" s="6" t="s">
        <v>8132</v>
      </c>
      <c r="E688" s="6" t="s">
        <v>8132</v>
      </c>
      <c r="F688" s="6">
        <v>15.958213873674</v>
      </c>
      <c r="G688" s="6">
        <v>14.952377697407099</v>
      </c>
      <c r="H688" s="6">
        <v>15.3421046842899</v>
      </c>
      <c r="I688" s="6">
        <v>15.9437629355103</v>
      </c>
      <c r="J688" s="6">
        <v>14.6072419028801</v>
      </c>
      <c r="K688" s="6">
        <v>14.0624409366485</v>
      </c>
      <c r="L688" s="6">
        <v>15.601288578384001</v>
      </c>
      <c r="M688" s="6">
        <v>14.480233846907501</v>
      </c>
      <c r="N688" s="6">
        <v>15.4229261803239</v>
      </c>
      <c r="O688" s="6">
        <v>15.7433723254728</v>
      </c>
      <c r="P688" s="6">
        <v>14.4413121237005</v>
      </c>
      <c r="Q688" s="6">
        <v>13.7347737605392</v>
      </c>
    </row>
    <row r="689" spans="1:17">
      <c r="A689" s="6" t="s">
        <v>3048</v>
      </c>
      <c r="B689" s="6" t="s">
        <v>3050</v>
      </c>
      <c r="C689" s="6" t="s">
        <v>8133</v>
      </c>
      <c r="D689" s="6" t="s">
        <v>8134</v>
      </c>
      <c r="E689" s="6" t="s">
        <v>8135</v>
      </c>
      <c r="F689" s="6">
        <v>15.754872148215</v>
      </c>
      <c r="G689" s="6">
        <v>15.0685051279797</v>
      </c>
      <c r="H689" s="6">
        <v>14.948465032736401</v>
      </c>
      <c r="I689" s="6">
        <v>16.171188656575598</v>
      </c>
      <c r="J689" s="6">
        <v>14.502656022102601</v>
      </c>
      <c r="K689" s="6">
        <v>15.308036996577901</v>
      </c>
      <c r="L689" s="6">
        <v>15.122973612226801</v>
      </c>
      <c r="M689" s="6" t="s">
        <v>6254</v>
      </c>
      <c r="N689" s="6">
        <v>13.7014754253516</v>
      </c>
      <c r="O689" s="6">
        <v>15.320717542320301</v>
      </c>
      <c r="P689" s="6">
        <v>15.537258669433299</v>
      </c>
      <c r="Q689" s="6" t="s">
        <v>6254</v>
      </c>
    </row>
    <row r="690" spans="1:17">
      <c r="A690" s="6" t="s">
        <v>8136</v>
      </c>
      <c r="B690" s="6" t="s">
        <v>323</v>
      </c>
      <c r="C690" s="6" t="s">
        <v>8137</v>
      </c>
      <c r="D690" s="6" t="s">
        <v>8138</v>
      </c>
      <c r="E690" s="6" t="s">
        <v>8139</v>
      </c>
      <c r="F690" s="6">
        <v>16.352308467067701</v>
      </c>
      <c r="G690" s="6">
        <v>15.222057079860001</v>
      </c>
      <c r="H690" s="6">
        <v>15.506210686332899</v>
      </c>
      <c r="I690" s="6">
        <v>15.8567377958663</v>
      </c>
      <c r="J690" s="6">
        <v>14.5753130213775</v>
      </c>
      <c r="K690" s="6">
        <v>14.5257542157613</v>
      </c>
      <c r="L690" s="6">
        <v>15.492401719160201</v>
      </c>
      <c r="M690" s="6">
        <v>14.8597278945819</v>
      </c>
      <c r="N690" s="6">
        <v>16.372770571236298</v>
      </c>
      <c r="O690" s="6">
        <v>15.6717330969784</v>
      </c>
      <c r="P690" s="6">
        <v>15.678547509121801</v>
      </c>
      <c r="Q690" s="6">
        <v>12.9792175552566</v>
      </c>
    </row>
    <row r="691" spans="1:17">
      <c r="A691" s="6" t="s">
        <v>731</v>
      </c>
      <c r="B691" s="6" t="s">
        <v>731</v>
      </c>
      <c r="C691" s="6" t="s">
        <v>8140</v>
      </c>
      <c r="D691" s="6" t="s">
        <v>8141</v>
      </c>
      <c r="E691" s="6" t="s">
        <v>8141</v>
      </c>
      <c r="F691" s="6">
        <v>15.366415570519599</v>
      </c>
      <c r="G691" s="6">
        <v>15.088824734770199</v>
      </c>
      <c r="H691" s="6">
        <v>15.162896683619801</v>
      </c>
      <c r="I691" s="6">
        <v>15.727836658754599</v>
      </c>
      <c r="J691" s="6">
        <v>14.4385054200776</v>
      </c>
      <c r="K691" s="6">
        <v>14.9611587654261</v>
      </c>
      <c r="L691" s="6">
        <v>15.799823632935</v>
      </c>
      <c r="M691" s="6">
        <v>14.262671169101001</v>
      </c>
      <c r="N691" s="6">
        <v>15.149665850718501</v>
      </c>
      <c r="O691" s="6">
        <v>15.5747593760806</v>
      </c>
      <c r="P691" s="6">
        <v>15.4420879302369</v>
      </c>
      <c r="Q691" s="6">
        <v>13.877523854327499</v>
      </c>
    </row>
    <row r="692" spans="1:17">
      <c r="A692" s="6" t="s">
        <v>8142</v>
      </c>
      <c r="B692" s="6" t="s">
        <v>8143</v>
      </c>
      <c r="C692" s="6" t="s">
        <v>8144</v>
      </c>
      <c r="D692" s="6" t="s">
        <v>8145</v>
      </c>
      <c r="E692" s="6" t="s">
        <v>8146</v>
      </c>
      <c r="F692" s="6">
        <v>16.199296414516301</v>
      </c>
      <c r="G692" s="6" t="s">
        <v>6254</v>
      </c>
      <c r="H692" s="6" t="s">
        <v>6254</v>
      </c>
      <c r="I692" s="6" t="s">
        <v>6254</v>
      </c>
      <c r="J692" s="6" t="s">
        <v>6254</v>
      </c>
      <c r="K692" s="6" t="s">
        <v>6254</v>
      </c>
      <c r="L692" s="6">
        <v>13.685451652001399</v>
      </c>
      <c r="M692" s="6" t="s">
        <v>6254</v>
      </c>
      <c r="N692" s="6" t="s">
        <v>6254</v>
      </c>
      <c r="O692" s="6" t="s">
        <v>6254</v>
      </c>
      <c r="P692" s="6" t="s">
        <v>6254</v>
      </c>
      <c r="Q692" s="6" t="s">
        <v>6254</v>
      </c>
    </row>
    <row r="693" spans="1:17">
      <c r="A693" s="6" t="s">
        <v>3351</v>
      </c>
      <c r="B693" s="6" t="s">
        <v>3351</v>
      </c>
      <c r="C693" s="6" t="s">
        <v>8147</v>
      </c>
      <c r="D693" s="6" t="s">
        <v>8148</v>
      </c>
      <c r="E693" s="6" t="s">
        <v>8148</v>
      </c>
      <c r="F693" s="6">
        <v>16.315541392826201</v>
      </c>
      <c r="G693" s="6">
        <v>15.348392824736401</v>
      </c>
      <c r="H693" s="6">
        <v>15.0187486157105</v>
      </c>
      <c r="I693" s="6">
        <v>16.151250544481201</v>
      </c>
      <c r="J693" s="6">
        <v>14.8149795984845</v>
      </c>
      <c r="K693" s="6">
        <v>14.9365657205225</v>
      </c>
      <c r="L693" s="6">
        <v>15.5571818360814</v>
      </c>
      <c r="M693" s="6">
        <v>13.9334135692415</v>
      </c>
      <c r="N693" s="6">
        <v>15.4154502016913</v>
      </c>
      <c r="O693" s="6">
        <v>15.208301145729701</v>
      </c>
      <c r="P693" s="6">
        <v>15.085921463538901</v>
      </c>
      <c r="Q693" s="6">
        <v>13.785895668766001</v>
      </c>
    </row>
    <row r="694" spans="1:17">
      <c r="A694" s="6" t="s">
        <v>8149</v>
      </c>
      <c r="B694" s="6" t="s">
        <v>8149</v>
      </c>
      <c r="C694" s="6" t="s">
        <v>8149</v>
      </c>
      <c r="D694" s="6" t="s">
        <v>8149</v>
      </c>
      <c r="E694" s="6" t="s">
        <v>8149</v>
      </c>
      <c r="F694" s="6" t="s">
        <v>6254</v>
      </c>
      <c r="G694" s="6" t="s">
        <v>6254</v>
      </c>
      <c r="H694" s="6" t="s">
        <v>6254</v>
      </c>
      <c r="I694" s="6">
        <v>14.8910864490193</v>
      </c>
      <c r="J694" s="6" t="s">
        <v>6254</v>
      </c>
      <c r="K694" s="6" t="s">
        <v>6254</v>
      </c>
      <c r="L694" s="6">
        <v>15.227180284828201</v>
      </c>
      <c r="M694" s="6" t="s">
        <v>6254</v>
      </c>
      <c r="N694" s="6" t="s">
        <v>6254</v>
      </c>
      <c r="O694" s="6" t="s">
        <v>6254</v>
      </c>
      <c r="P694" s="6" t="s">
        <v>6254</v>
      </c>
      <c r="Q694" s="6" t="s">
        <v>6254</v>
      </c>
    </row>
    <row r="695" spans="1:17">
      <c r="A695" s="6" t="s">
        <v>8150</v>
      </c>
      <c r="B695" s="6" t="s">
        <v>8150</v>
      </c>
      <c r="C695" s="6" t="s">
        <v>8151</v>
      </c>
      <c r="D695" s="6" t="s">
        <v>8152</v>
      </c>
      <c r="E695" s="6" t="s">
        <v>8152</v>
      </c>
      <c r="F695" s="6">
        <v>14.026803424835601</v>
      </c>
      <c r="G695" s="6">
        <v>15.3035984026429</v>
      </c>
      <c r="H695" s="6">
        <v>15.494755384103099</v>
      </c>
      <c r="I695" s="6">
        <v>14.601637347853799</v>
      </c>
      <c r="J695" s="6">
        <v>15.272631830470999</v>
      </c>
      <c r="K695" s="6">
        <v>14.4983694011793</v>
      </c>
      <c r="L695" s="6">
        <v>15.4845080914949</v>
      </c>
      <c r="M695" s="6">
        <v>15.999551928817301</v>
      </c>
      <c r="N695" s="6">
        <v>16.3797819722116</v>
      </c>
      <c r="O695" s="6">
        <v>15.0995246426073</v>
      </c>
      <c r="P695" s="6">
        <v>14.953787309495199</v>
      </c>
      <c r="Q695" s="6">
        <v>15.000679137077499</v>
      </c>
    </row>
    <row r="696" spans="1:17">
      <c r="A696" s="6" t="s">
        <v>8153</v>
      </c>
      <c r="B696" s="6" t="s">
        <v>8153</v>
      </c>
      <c r="C696" s="6" t="s">
        <v>8154</v>
      </c>
      <c r="D696" s="6" t="s">
        <v>8155</v>
      </c>
      <c r="E696" s="6" t="s">
        <v>8155</v>
      </c>
      <c r="F696" s="6">
        <v>15.423765157001201</v>
      </c>
      <c r="G696" s="6">
        <v>14.8566519148195</v>
      </c>
      <c r="H696" s="6">
        <v>15.5013304370047</v>
      </c>
      <c r="I696" s="6">
        <v>15.7943488422921</v>
      </c>
      <c r="J696" s="6">
        <v>14.767907546927701</v>
      </c>
      <c r="K696" s="6">
        <v>15.7181111218297</v>
      </c>
      <c r="L696" s="6">
        <v>15.784268031564199</v>
      </c>
      <c r="M696" s="6">
        <v>14.474253857740701</v>
      </c>
      <c r="N696" s="6">
        <v>14.686880461921</v>
      </c>
      <c r="O696" s="6">
        <v>15.4763906214803</v>
      </c>
      <c r="P696" s="6">
        <v>15.3718759656568</v>
      </c>
      <c r="Q696" s="6">
        <v>14.193587580515899</v>
      </c>
    </row>
    <row r="697" spans="1:17">
      <c r="A697" s="6" t="s">
        <v>1153</v>
      </c>
      <c r="B697" s="6" t="s">
        <v>1153</v>
      </c>
      <c r="C697" s="6" t="s">
        <v>8156</v>
      </c>
      <c r="D697" s="6" t="s">
        <v>8157</v>
      </c>
      <c r="E697" s="6" t="s">
        <v>8157</v>
      </c>
      <c r="F697" s="6">
        <v>15.493656348924199</v>
      </c>
      <c r="G697" s="6">
        <v>14.986507154744301</v>
      </c>
      <c r="H697" s="6">
        <v>15.247074200156399</v>
      </c>
      <c r="I697" s="6">
        <v>15.6975652936787</v>
      </c>
      <c r="J697" s="6">
        <v>14.342605874655799</v>
      </c>
      <c r="K697" s="6">
        <v>15.052277648122001</v>
      </c>
      <c r="L697" s="6">
        <v>15.8770621739523</v>
      </c>
      <c r="M697" s="6">
        <v>14.639917064027699</v>
      </c>
      <c r="N697" s="6">
        <v>15.1512930916189</v>
      </c>
      <c r="O697" s="6">
        <v>15.184619161573499</v>
      </c>
      <c r="P697" s="6">
        <v>14.962503124836999</v>
      </c>
      <c r="Q697" s="6">
        <v>13.8909351384077</v>
      </c>
    </row>
    <row r="698" spans="1:17">
      <c r="A698" s="6" t="s">
        <v>8158</v>
      </c>
      <c r="B698" s="6" t="s">
        <v>8159</v>
      </c>
      <c r="C698" s="6" t="s">
        <v>8160</v>
      </c>
      <c r="D698" s="6" t="s">
        <v>8161</v>
      </c>
      <c r="E698" s="6" t="s">
        <v>8162</v>
      </c>
      <c r="F698" s="6">
        <v>16.025343611474199</v>
      </c>
      <c r="G698" s="6">
        <v>14.395046817040001</v>
      </c>
      <c r="H698" s="6">
        <v>15.0797604932125</v>
      </c>
      <c r="I698" s="6">
        <v>15.976604914584801</v>
      </c>
      <c r="J698" s="6">
        <v>14.4375244573773</v>
      </c>
      <c r="K698" s="6">
        <v>15.3095012035845</v>
      </c>
      <c r="L698" s="6">
        <v>15.5743677442003</v>
      </c>
      <c r="M698" s="6">
        <v>14.4214772556052</v>
      </c>
      <c r="N698" s="6">
        <v>15.249703616253999</v>
      </c>
      <c r="O698" s="6">
        <v>15.39708310112</v>
      </c>
      <c r="P698" s="6">
        <v>15.6540270821367</v>
      </c>
      <c r="Q698" s="6" t="s">
        <v>6254</v>
      </c>
    </row>
    <row r="699" spans="1:17">
      <c r="A699" s="6" t="s">
        <v>8163</v>
      </c>
      <c r="B699" s="6" t="s">
        <v>8164</v>
      </c>
      <c r="C699" s="6" t="s">
        <v>8165</v>
      </c>
      <c r="D699" s="6" t="s">
        <v>8166</v>
      </c>
      <c r="E699" s="6" t="s">
        <v>8167</v>
      </c>
      <c r="F699" s="6">
        <v>15.5062068522587</v>
      </c>
      <c r="G699" s="6">
        <v>15.108787392492401</v>
      </c>
      <c r="H699" s="6">
        <v>15.171650279131701</v>
      </c>
      <c r="I699" s="6">
        <v>15.756044737786</v>
      </c>
      <c r="J699" s="6">
        <v>14.528806723938199</v>
      </c>
      <c r="K699" s="6">
        <v>15.1298475634516</v>
      </c>
      <c r="L699" s="6">
        <v>15.6879163874613</v>
      </c>
      <c r="M699" s="6">
        <v>14.6813021963653</v>
      </c>
      <c r="N699" s="6">
        <v>14.60958392277</v>
      </c>
      <c r="O699" s="6">
        <v>15.4473248545315</v>
      </c>
      <c r="P699" s="6">
        <v>15.628306066065299</v>
      </c>
      <c r="Q699" s="6">
        <v>14.306576140033499</v>
      </c>
    </row>
    <row r="700" spans="1:17">
      <c r="A700" s="6" t="s">
        <v>8168</v>
      </c>
      <c r="B700" s="6" t="s">
        <v>8169</v>
      </c>
      <c r="C700" s="6" t="s">
        <v>8170</v>
      </c>
      <c r="D700" s="6" t="s">
        <v>8171</v>
      </c>
      <c r="E700" s="6" t="s">
        <v>8172</v>
      </c>
      <c r="F700" s="6">
        <v>15.8625854756908</v>
      </c>
      <c r="G700" s="6">
        <v>14.9233043061689</v>
      </c>
      <c r="H700" s="6">
        <v>15.406674751196901</v>
      </c>
      <c r="I700" s="6">
        <v>16.003666008725901</v>
      </c>
      <c r="J700" s="6">
        <v>14.5055127512602</v>
      </c>
      <c r="K700" s="6">
        <v>15.106245052440601</v>
      </c>
      <c r="L700" s="6">
        <v>15.516149479298999</v>
      </c>
      <c r="M700" s="6">
        <v>14.216839644703899</v>
      </c>
      <c r="N700" s="6">
        <v>15.1627260256098</v>
      </c>
      <c r="O700" s="6">
        <v>15.5355093988859</v>
      </c>
      <c r="P700" s="6">
        <v>15.623438541439301</v>
      </c>
      <c r="Q700" s="6">
        <v>13.640327355604301</v>
      </c>
    </row>
    <row r="701" spans="1:17">
      <c r="A701" s="6" t="s">
        <v>3869</v>
      </c>
      <c r="B701" s="6" t="s">
        <v>3869</v>
      </c>
      <c r="C701" s="6" t="s">
        <v>8173</v>
      </c>
      <c r="D701" s="6" t="s">
        <v>8174</v>
      </c>
      <c r="E701" s="6" t="s">
        <v>8174</v>
      </c>
      <c r="F701" s="6">
        <v>15.6359071997362</v>
      </c>
      <c r="G701" s="6">
        <v>14.6204416917867</v>
      </c>
      <c r="H701" s="6">
        <v>15.3043909942926</v>
      </c>
      <c r="I701" s="6">
        <v>16.0610372119842</v>
      </c>
      <c r="J701" s="6">
        <v>14.7860932357579</v>
      </c>
      <c r="K701" s="6">
        <v>15.160464739431699</v>
      </c>
      <c r="L701" s="6">
        <v>15.5922813376891</v>
      </c>
      <c r="M701" s="6">
        <v>14.227743433781001</v>
      </c>
      <c r="N701" s="6">
        <v>14.561894604254199</v>
      </c>
      <c r="O701" s="6">
        <v>15.667320728249001</v>
      </c>
      <c r="P701" s="6">
        <v>15.440184892845499</v>
      </c>
      <c r="Q701" s="6">
        <v>14.3532247349083</v>
      </c>
    </row>
    <row r="702" spans="1:17">
      <c r="A702" s="6" t="s">
        <v>8175</v>
      </c>
      <c r="B702" s="6" t="s">
        <v>8176</v>
      </c>
      <c r="C702" s="6" t="s">
        <v>8177</v>
      </c>
      <c r="D702" s="6" t="s">
        <v>8178</v>
      </c>
      <c r="E702" s="6" t="s">
        <v>8179</v>
      </c>
      <c r="F702" s="6">
        <v>15.695092823643</v>
      </c>
      <c r="G702" s="6">
        <v>15.3547749263097</v>
      </c>
      <c r="H702" s="6">
        <v>15.0512503861125</v>
      </c>
      <c r="I702" s="6">
        <v>15.724899691609799</v>
      </c>
      <c r="J702" s="6" t="s">
        <v>6254</v>
      </c>
      <c r="K702" s="6" t="s">
        <v>6254</v>
      </c>
      <c r="L702" s="6">
        <v>15.5940682833116</v>
      </c>
      <c r="M702" s="6">
        <v>14.4817589526657</v>
      </c>
      <c r="N702" s="6">
        <v>14.6127458886118</v>
      </c>
      <c r="O702" s="6">
        <v>15.061325235922</v>
      </c>
      <c r="P702" s="6">
        <v>15.0514426776636</v>
      </c>
      <c r="Q702" s="6" t="s">
        <v>6254</v>
      </c>
    </row>
    <row r="703" spans="1:17">
      <c r="A703" s="6" t="s">
        <v>2483</v>
      </c>
      <c r="B703" s="6" t="s">
        <v>2483</v>
      </c>
      <c r="C703" s="6" t="s">
        <v>8180</v>
      </c>
      <c r="D703" s="6" t="s">
        <v>8181</v>
      </c>
      <c r="E703" s="6" t="s">
        <v>8181</v>
      </c>
      <c r="F703" s="6">
        <v>15.4594606942124</v>
      </c>
      <c r="G703" s="6">
        <v>15.4445867644743</v>
      </c>
      <c r="H703" s="6">
        <v>13.7985643070551</v>
      </c>
      <c r="I703" s="6">
        <v>15.775953772532599</v>
      </c>
      <c r="J703" s="6">
        <v>14.1634483488764</v>
      </c>
      <c r="K703" s="6">
        <v>15.3917478314699</v>
      </c>
      <c r="L703" s="6">
        <v>16.226802004771201</v>
      </c>
      <c r="M703" s="6">
        <v>14.6440949545912</v>
      </c>
      <c r="N703" s="6">
        <v>16.141468274128499</v>
      </c>
      <c r="O703" s="6">
        <v>15.939271671172699</v>
      </c>
      <c r="P703" s="6">
        <v>15.149182068977201</v>
      </c>
      <c r="Q703" s="6" t="s">
        <v>6254</v>
      </c>
    </row>
    <row r="704" spans="1:17">
      <c r="A704" s="6" t="s">
        <v>2504</v>
      </c>
      <c r="B704" s="6" t="s">
        <v>2504</v>
      </c>
      <c r="C704" s="6" t="s">
        <v>8182</v>
      </c>
      <c r="D704" s="6" t="s">
        <v>8183</v>
      </c>
      <c r="E704" s="6" t="s">
        <v>8183</v>
      </c>
      <c r="F704" s="6">
        <v>15.1183535445185</v>
      </c>
      <c r="G704" s="6">
        <v>15.030777332554701</v>
      </c>
      <c r="H704" s="6">
        <v>15.152921530523701</v>
      </c>
      <c r="I704" s="6">
        <v>15.9513331473979</v>
      </c>
      <c r="J704" s="6">
        <v>14.5214421983181</v>
      </c>
      <c r="K704" s="6">
        <v>15.402399306758101</v>
      </c>
      <c r="L704" s="6">
        <v>16.024529477525</v>
      </c>
      <c r="M704" s="6">
        <v>13.9164902368097</v>
      </c>
      <c r="N704" s="6">
        <v>13.563221860659599</v>
      </c>
      <c r="O704" s="6">
        <v>15.5804774016195</v>
      </c>
      <c r="P704" s="6">
        <v>15.1595113254451</v>
      </c>
      <c r="Q704" s="6">
        <v>14.3350355564219</v>
      </c>
    </row>
    <row r="705" spans="1:17">
      <c r="A705" s="6" t="s">
        <v>980</v>
      </c>
      <c r="B705" s="6" t="s">
        <v>980</v>
      </c>
      <c r="C705" s="6" t="s">
        <v>8184</v>
      </c>
      <c r="D705" s="6" t="s">
        <v>8185</v>
      </c>
      <c r="E705" s="6" t="s">
        <v>8185</v>
      </c>
      <c r="F705" s="6">
        <v>15.582907494249</v>
      </c>
      <c r="G705" s="6">
        <v>14.975959306498201</v>
      </c>
      <c r="H705" s="6">
        <v>15.3597724992048</v>
      </c>
      <c r="I705" s="6">
        <v>15.8742770303923</v>
      </c>
      <c r="J705" s="6">
        <v>14.4344948187561</v>
      </c>
      <c r="K705" s="6">
        <v>14.8923169953146</v>
      </c>
      <c r="L705" s="6">
        <v>15.984041008871699</v>
      </c>
      <c r="M705" s="6">
        <v>14.2640430866951</v>
      </c>
      <c r="N705" s="6">
        <v>15.4540978349255</v>
      </c>
      <c r="O705" s="6">
        <v>15.3540101917292</v>
      </c>
      <c r="P705" s="6">
        <v>14.7666401840861</v>
      </c>
      <c r="Q705" s="6">
        <v>13.830813469872099</v>
      </c>
    </row>
    <row r="706" spans="1:17">
      <c r="A706" s="6" t="s">
        <v>2054</v>
      </c>
      <c r="B706" s="6" t="s">
        <v>2054</v>
      </c>
      <c r="C706" s="6" t="s">
        <v>8186</v>
      </c>
      <c r="D706" s="6" t="s">
        <v>8187</v>
      </c>
      <c r="E706" s="6" t="s">
        <v>8187</v>
      </c>
      <c r="F706" s="6">
        <v>13.701681392977701</v>
      </c>
      <c r="G706" s="6">
        <v>15.2472260118517</v>
      </c>
      <c r="H706" s="6">
        <v>14.5276594184504</v>
      </c>
      <c r="I706" s="6">
        <v>17.355841935693</v>
      </c>
      <c r="J706" s="6">
        <v>13.736593938780601</v>
      </c>
      <c r="K706" s="6">
        <v>15.825519510702099</v>
      </c>
      <c r="L706" s="6">
        <v>17.282857344159101</v>
      </c>
      <c r="M706" s="6">
        <v>15.611389792752201</v>
      </c>
      <c r="N706" s="6">
        <v>14.978234972595599</v>
      </c>
      <c r="O706" s="6">
        <v>13.9870564818</v>
      </c>
      <c r="P706" s="6">
        <v>13.8439924511357</v>
      </c>
      <c r="Q706" s="6">
        <v>13.9921286350191</v>
      </c>
    </row>
    <row r="707" spans="1:17">
      <c r="A707" s="6" t="s">
        <v>8188</v>
      </c>
      <c r="B707" s="6" t="s">
        <v>8188</v>
      </c>
      <c r="C707" s="6" t="s">
        <v>8189</v>
      </c>
      <c r="D707" s="6" t="s">
        <v>8190</v>
      </c>
      <c r="E707" s="6" t="s">
        <v>8190</v>
      </c>
      <c r="F707" s="6">
        <v>15.189574474967101</v>
      </c>
      <c r="G707" s="6" t="s">
        <v>6254</v>
      </c>
      <c r="H707" s="6" t="s">
        <v>6254</v>
      </c>
      <c r="I707" s="6">
        <v>16.351012305127998</v>
      </c>
      <c r="J707" s="6" t="s">
        <v>6254</v>
      </c>
      <c r="K707" s="6" t="s">
        <v>6254</v>
      </c>
      <c r="L707" s="6" t="s">
        <v>6254</v>
      </c>
      <c r="M707" s="6" t="s">
        <v>6254</v>
      </c>
      <c r="N707" s="6" t="s">
        <v>6254</v>
      </c>
      <c r="O707" s="6">
        <v>14.4930458371208</v>
      </c>
      <c r="P707" s="6" t="s">
        <v>6254</v>
      </c>
      <c r="Q707" s="6" t="s">
        <v>6254</v>
      </c>
    </row>
    <row r="708" spans="1:17">
      <c r="A708" s="6" t="s">
        <v>1972</v>
      </c>
      <c r="B708" s="6" t="s">
        <v>1974</v>
      </c>
      <c r="C708" s="6" t="s">
        <v>8191</v>
      </c>
      <c r="D708" s="6" t="s">
        <v>8192</v>
      </c>
      <c r="E708" s="6" t="s">
        <v>8193</v>
      </c>
      <c r="F708" s="6">
        <v>15.126685804468099</v>
      </c>
      <c r="G708" s="6">
        <v>13.9955060395459</v>
      </c>
      <c r="H708" s="6">
        <v>15.091099828172601</v>
      </c>
      <c r="I708" s="6">
        <v>15.697981162377101</v>
      </c>
      <c r="J708" s="6">
        <v>13.607698670680399</v>
      </c>
      <c r="K708" s="6">
        <v>14.7446568694773</v>
      </c>
      <c r="L708" s="6">
        <v>15.888714517922301</v>
      </c>
      <c r="M708" s="6">
        <v>14.4462285160118</v>
      </c>
      <c r="N708" s="6">
        <v>15.561461268836499</v>
      </c>
      <c r="O708" s="6">
        <v>15.133079534192801</v>
      </c>
      <c r="P708" s="6">
        <v>15.2710905642125</v>
      </c>
      <c r="Q708" s="6" t="s">
        <v>6254</v>
      </c>
    </row>
    <row r="709" spans="1:17">
      <c r="A709" s="6" t="s">
        <v>651</v>
      </c>
      <c r="B709" s="6" t="s">
        <v>653</v>
      </c>
      <c r="C709" s="6" t="s">
        <v>8194</v>
      </c>
      <c r="D709" s="6" t="s">
        <v>8195</v>
      </c>
      <c r="E709" s="6" t="s">
        <v>8196</v>
      </c>
      <c r="F709" s="6">
        <v>15.6420551489794</v>
      </c>
      <c r="G709" s="6">
        <v>15.0162736220407</v>
      </c>
      <c r="H709" s="6">
        <v>15.060762422639</v>
      </c>
      <c r="I709" s="6">
        <v>15.913023549616099</v>
      </c>
      <c r="J709" s="6">
        <v>14.2786256016404</v>
      </c>
      <c r="K709" s="6">
        <v>15.008237797389899</v>
      </c>
      <c r="L709" s="6">
        <v>15.727115979697601</v>
      </c>
      <c r="M709" s="6">
        <v>14.4171918940254</v>
      </c>
      <c r="N709" s="6">
        <v>14.6080514916722</v>
      </c>
      <c r="O709" s="6">
        <v>15.5536483610103</v>
      </c>
      <c r="P709" s="6">
        <v>15.819317722231499</v>
      </c>
      <c r="Q709" s="6">
        <v>13.763247538309299</v>
      </c>
    </row>
    <row r="710" spans="1:17">
      <c r="A710" s="6" t="s">
        <v>1260</v>
      </c>
      <c r="B710" s="6" t="s">
        <v>1260</v>
      </c>
      <c r="C710" s="6" t="s">
        <v>8197</v>
      </c>
      <c r="D710" s="6" t="s">
        <v>8198</v>
      </c>
      <c r="E710" s="6" t="s">
        <v>8198</v>
      </c>
      <c r="F710" s="6">
        <v>15.923934841015701</v>
      </c>
      <c r="G710" s="6">
        <v>15.576597478198501</v>
      </c>
      <c r="H710" s="6">
        <v>14.7600847326053</v>
      </c>
      <c r="I710" s="6">
        <v>14.744183543146301</v>
      </c>
      <c r="J710" s="6">
        <v>15.114008863915799</v>
      </c>
      <c r="K710" s="6">
        <v>15.2448510544654</v>
      </c>
      <c r="L710" s="6">
        <v>14.801016590207301</v>
      </c>
      <c r="M710" s="6">
        <v>15.5717467562891</v>
      </c>
      <c r="N710" s="6">
        <v>14.8868217993321</v>
      </c>
      <c r="O710" s="6">
        <v>15.125985503224101</v>
      </c>
      <c r="P710" s="6">
        <v>14.5800426426675</v>
      </c>
      <c r="Q710" s="6">
        <v>15.2124925866687</v>
      </c>
    </row>
    <row r="711" spans="1:17">
      <c r="A711" s="6" t="s">
        <v>3778</v>
      </c>
      <c r="B711" s="6" t="s">
        <v>3778</v>
      </c>
      <c r="C711" s="6" t="s">
        <v>8199</v>
      </c>
      <c r="D711" s="6" t="s">
        <v>8200</v>
      </c>
      <c r="E711" s="6" t="s">
        <v>8200</v>
      </c>
      <c r="F711" s="6">
        <v>15.3961725627347</v>
      </c>
      <c r="G711" s="6">
        <v>15.021225023762801</v>
      </c>
      <c r="H711" s="6">
        <v>15.042242366985301</v>
      </c>
      <c r="I711" s="6">
        <v>15.6725713909739</v>
      </c>
      <c r="J711" s="6">
        <v>14.601340141426</v>
      </c>
      <c r="K711" s="6">
        <v>15.297676354468001</v>
      </c>
      <c r="L711" s="6">
        <v>15.7148882496599</v>
      </c>
      <c r="M711" s="6">
        <v>14.472668480039401</v>
      </c>
      <c r="N711" s="6">
        <v>14.2832420143981</v>
      </c>
      <c r="O711" s="6">
        <v>15.409198693197199</v>
      </c>
      <c r="P711" s="6">
        <v>15.295689136438501</v>
      </c>
      <c r="Q711" s="6">
        <v>13.9884625919334</v>
      </c>
    </row>
    <row r="712" spans="1:17">
      <c r="A712" s="6" t="s">
        <v>3782</v>
      </c>
      <c r="B712" s="6" t="s">
        <v>3782</v>
      </c>
      <c r="C712" s="6" t="s">
        <v>8201</v>
      </c>
      <c r="D712" s="6" t="s">
        <v>8202</v>
      </c>
      <c r="E712" s="6" t="s">
        <v>8202</v>
      </c>
      <c r="F712" s="6">
        <v>15.416030411933599</v>
      </c>
      <c r="G712" s="6">
        <v>15.228289526033899</v>
      </c>
      <c r="H712" s="6">
        <v>15.0715790902455</v>
      </c>
      <c r="I712" s="6">
        <v>15.880554870426201</v>
      </c>
      <c r="J712" s="6">
        <v>14.7822877420487</v>
      </c>
      <c r="K712" s="6">
        <v>15.1567930645391</v>
      </c>
      <c r="L712" s="6">
        <v>15.761371071862399</v>
      </c>
      <c r="M712" s="6">
        <v>13.8341434597643</v>
      </c>
      <c r="N712" s="6">
        <v>14.3192618686716</v>
      </c>
      <c r="O712" s="6">
        <v>15.628880652334599</v>
      </c>
      <c r="P712" s="6">
        <v>15.762502401837301</v>
      </c>
      <c r="Q712" s="6">
        <v>14.378209693612501</v>
      </c>
    </row>
    <row r="713" spans="1:17">
      <c r="A713" s="6" t="s">
        <v>8203</v>
      </c>
      <c r="B713" s="6" t="s">
        <v>8203</v>
      </c>
      <c r="C713" s="6" t="s">
        <v>8204</v>
      </c>
      <c r="D713" s="6" t="s">
        <v>8205</v>
      </c>
      <c r="E713" s="6" t="s">
        <v>8205</v>
      </c>
      <c r="F713" s="6">
        <v>15.4376559910426</v>
      </c>
      <c r="G713" s="6">
        <v>14.9002460387262</v>
      </c>
      <c r="H713" s="6">
        <v>15.5105744820263</v>
      </c>
      <c r="I713" s="6">
        <v>14.936700891412199</v>
      </c>
      <c r="J713" s="6">
        <v>14.350399214678299</v>
      </c>
      <c r="K713" s="6">
        <v>15.403781250670001</v>
      </c>
      <c r="L713" s="6">
        <v>15.5410872054859</v>
      </c>
      <c r="M713" s="6">
        <v>13.507571762805499</v>
      </c>
      <c r="N713" s="6">
        <v>14.395293002968501</v>
      </c>
      <c r="O713" s="6">
        <v>16.008845986577398</v>
      </c>
      <c r="P713" s="6">
        <v>16.221885486391201</v>
      </c>
      <c r="Q713" s="6">
        <v>13.729796008697701</v>
      </c>
    </row>
    <row r="714" spans="1:17">
      <c r="A714" s="6" t="s">
        <v>8206</v>
      </c>
      <c r="B714" s="6" t="s">
        <v>804</v>
      </c>
      <c r="C714" s="6" t="s">
        <v>8207</v>
      </c>
      <c r="D714" s="6" t="s">
        <v>8208</v>
      </c>
      <c r="E714" s="6" t="s">
        <v>8209</v>
      </c>
      <c r="F714" s="6">
        <v>15.0353047642433</v>
      </c>
      <c r="G714" s="6">
        <v>14.668473813383301</v>
      </c>
      <c r="H714" s="6">
        <v>15.231330984042801</v>
      </c>
      <c r="I714" s="6">
        <v>16.083581275301</v>
      </c>
      <c r="J714" s="6">
        <v>14.4934001424876</v>
      </c>
      <c r="K714" s="6">
        <v>14.8145979856974</v>
      </c>
      <c r="L714" s="6">
        <v>15.5859963218775</v>
      </c>
      <c r="M714" s="6">
        <v>14.4158409888928</v>
      </c>
      <c r="N714" s="6">
        <v>15.148352536310799</v>
      </c>
      <c r="O714" s="6">
        <v>15.5978494780075</v>
      </c>
      <c r="P714" s="6">
        <v>15.519160982280001</v>
      </c>
      <c r="Q714" s="6">
        <v>13.3802089359177</v>
      </c>
    </row>
    <row r="715" spans="1:17">
      <c r="A715" s="6" t="s">
        <v>8210</v>
      </c>
      <c r="B715" s="6" t="s">
        <v>8210</v>
      </c>
      <c r="C715" s="6" t="s">
        <v>8211</v>
      </c>
      <c r="D715" s="6" t="s">
        <v>8212</v>
      </c>
      <c r="E715" s="6" t="s">
        <v>8212</v>
      </c>
      <c r="F715" s="6">
        <v>14.5037795853326</v>
      </c>
      <c r="G715" s="6">
        <v>14.7741974775701</v>
      </c>
      <c r="H715" s="6">
        <v>15.314393729556</v>
      </c>
      <c r="I715" s="6">
        <v>14.2095997710897</v>
      </c>
      <c r="J715" s="6">
        <v>15.2525301426864</v>
      </c>
      <c r="K715" s="6">
        <v>13.929472400424601</v>
      </c>
      <c r="L715" s="6">
        <v>15.052299297525799</v>
      </c>
      <c r="M715" s="6">
        <v>16.164946197006199</v>
      </c>
      <c r="N715" s="6">
        <v>15.9176472417857</v>
      </c>
      <c r="O715" s="6">
        <v>15.2468124085262</v>
      </c>
      <c r="P715" s="6">
        <v>15.373185310941199</v>
      </c>
      <c r="Q715" s="6">
        <v>14.924255223822</v>
      </c>
    </row>
    <row r="716" spans="1:17">
      <c r="A716" s="6" t="s">
        <v>1568</v>
      </c>
      <c r="B716" s="6" t="s">
        <v>1568</v>
      </c>
      <c r="C716" s="6" t="s">
        <v>8213</v>
      </c>
      <c r="D716" s="6" t="s">
        <v>8214</v>
      </c>
      <c r="E716" s="6" t="s">
        <v>8214</v>
      </c>
      <c r="F716" s="6">
        <v>15.649930901726201</v>
      </c>
      <c r="G716" s="6">
        <v>15.148052328163899</v>
      </c>
      <c r="H716" s="6">
        <v>15.3356797887963</v>
      </c>
      <c r="I716" s="6">
        <v>15.8039705299632</v>
      </c>
      <c r="J716" s="6">
        <v>14.455014605507801</v>
      </c>
      <c r="K716" s="6">
        <v>15.412195804863099</v>
      </c>
      <c r="L716" s="6">
        <v>15.372648536767899</v>
      </c>
      <c r="M716" s="6">
        <v>14.2519069141008</v>
      </c>
      <c r="N716" s="6">
        <v>15.1663844978803</v>
      </c>
      <c r="O716" s="6">
        <v>15.504407547252301</v>
      </c>
      <c r="P716" s="6">
        <v>15.7736403436215</v>
      </c>
      <c r="Q716" s="6">
        <v>13.7355243027806</v>
      </c>
    </row>
    <row r="717" spans="1:17">
      <c r="A717" s="6" t="s">
        <v>8215</v>
      </c>
      <c r="B717" s="6" t="s">
        <v>8216</v>
      </c>
      <c r="C717" s="6" t="s">
        <v>8217</v>
      </c>
      <c r="D717" s="6" t="s">
        <v>8218</v>
      </c>
      <c r="E717" s="6" t="s">
        <v>8219</v>
      </c>
      <c r="F717" s="6">
        <v>15.5094142606579</v>
      </c>
      <c r="G717" s="6">
        <v>15.048392770782201</v>
      </c>
      <c r="H717" s="6">
        <v>15.2765835342563</v>
      </c>
      <c r="I717" s="6">
        <v>15.802657423787601</v>
      </c>
      <c r="J717" s="6">
        <v>14.629140623184499</v>
      </c>
      <c r="K717" s="6">
        <v>15.099835237035</v>
      </c>
      <c r="L717" s="6">
        <v>15.9947152135301</v>
      </c>
      <c r="M717" s="6">
        <v>14.7767080409689</v>
      </c>
      <c r="N717" s="6">
        <v>14.9116194040566</v>
      </c>
      <c r="O717" s="6">
        <v>15.340879061532601</v>
      </c>
      <c r="P717" s="6">
        <v>15.2610944938655</v>
      </c>
      <c r="Q717" s="6">
        <v>13.755901952427999</v>
      </c>
    </row>
    <row r="718" spans="1:17">
      <c r="A718" s="6" t="s">
        <v>3367</v>
      </c>
      <c r="B718" s="6" t="s">
        <v>3367</v>
      </c>
      <c r="C718" s="6" t="s">
        <v>8220</v>
      </c>
      <c r="D718" s="6" t="s">
        <v>8221</v>
      </c>
      <c r="E718" s="6" t="s">
        <v>8221</v>
      </c>
      <c r="F718" s="6">
        <v>13.359764714165699</v>
      </c>
      <c r="G718" s="6">
        <v>13.005566930595901</v>
      </c>
      <c r="H718" s="6">
        <v>15.092559352997</v>
      </c>
      <c r="I718" s="6">
        <v>16.425680051775601</v>
      </c>
      <c r="J718" s="6">
        <v>15.4194132646206</v>
      </c>
      <c r="K718" s="6">
        <v>15.9187945448883</v>
      </c>
      <c r="L718" s="6">
        <v>16.227644575692999</v>
      </c>
      <c r="M718" s="6">
        <v>14.332369943647899</v>
      </c>
      <c r="N718" s="6">
        <v>15.6942291237378</v>
      </c>
      <c r="O718" s="6">
        <v>15.0139182074003</v>
      </c>
      <c r="P718" s="6">
        <v>14.772926422325501</v>
      </c>
      <c r="Q718" s="6">
        <v>14.632591398206801</v>
      </c>
    </row>
    <row r="719" spans="1:17">
      <c r="A719" s="6" t="s">
        <v>2931</v>
      </c>
      <c r="B719" s="6" t="s">
        <v>2931</v>
      </c>
      <c r="C719" s="6" t="s">
        <v>8222</v>
      </c>
      <c r="D719" s="6" t="s">
        <v>8223</v>
      </c>
      <c r="E719" s="6" t="s">
        <v>8223</v>
      </c>
      <c r="F719" s="6">
        <v>15.599988121563801</v>
      </c>
      <c r="G719" s="6">
        <v>15.2020236485202</v>
      </c>
      <c r="H719" s="6">
        <v>15.040038243581099</v>
      </c>
      <c r="I719" s="6">
        <v>15.4509701842381</v>
      </c>
      <c r="J719" s="6">
        <v>14.5179353352028</v>
      </c>
      <c r="K719" s="6">
        <v>15.213606418218101</v>
      </c>
      <c r="L719" s="6">
        <v>15.761239316751301</v>
      </c>
      <c r="M719" s="6">
        <v>14.473994838997699</v>
      </c>
      <c r="N719" s="6">
        <v>14.3919180043828</v>
      </c>
      <c r="O719" s="6">
        <v>15.2319719186398</v>
      </c>
      <c r="P719" s="6">
        <v>15.0697379687613</v>
      </c>
      <c r="Q719" s="6">
        <v>13.947929585384999</v>
      </c>
    </row>
    <row r="720" spans="1:17">
      <c r="A720" s="6" t="s">
        <v>5997</v>
      </c>
      <c r="B720" s="6" t="s">
        <v>5997</v>
      </c>
      <c r="C720" s="6" t="s">
        <v>8224</v>
      </c>
      <c r="D720" s="6" t="s">
        <v>8225</v>
      </c>
      <c r="E720" s="6" t="s">
        <v>8225</v>
      </c>
      <c r="F720" s="6">
        <v>16.2213329857716</v>
      </c>
      <c r="G720" s="6">
        <v>15.1708063457788</v>
      </c>
      <c r="H720" s="6">
        <v>15.1117601792636</v>
      </c>
      <c r="I720" s="6">
        <v>15.735550303329701</v>
      </c>
      <c r="J720" s="6">
        <v>14.462708999812699</v>
      </c>
      <c r="K720" s="6">
        <v>14.933235880655699</v>
      </c>
      <c r="L720" s="6">
        <v>15.6302467856002</v>
      </c>
      <c r="M720" s="6">
        <v>14.261169630106499</v>
      </c>
      <c r="N720" s="6">
        <v>15.208521589643899</v>
      </c>
      <c r="O720" s="6">
        <v>15.3420044828997</v>
      </c>
      <c r="P720" s="6">
        <v>15.176299265775199</v>
      </c>
      <c r="Q720" s="6">
        <v>13.527054375258199</v>
      </c>
    </row>
    <row r="721" spans="1:17">
      <c r="A721" s="6" t="s">
        <v>807</v>
      </c>
      <c r="B721" s="6" t="s">
        <v>807</v>
      </c>
      <c r="C721" s="6" t="s">
        <v>8226</v>
      </c>
      <c r="D721" s="6" t="s">
        <v>8227</v>
      </c>
      <c r="E721" s="6" t="s">
        <v>8227</v>
      </c>
      <c r="F721" s="6">
        <v>15.2569982762138</v>
      </c>
      <c r="G721" s="6">
        <v>14.9427818942335</v>
      </c>
      <c r="H721" s="6">
        <v>15.0304361353683</v>
      </c>
      <c r="I721" s="6">
        <v>15.7342601690618</v>
      </c>
      <c r="J721" s="6">
        <v>14.258095216591901</v>
      </c>
      <c r="K721" s="6">
        <v>14.892394388020501</v>
      </c>
      <c r="L721" s="6">
        <v>15.4553296955691</v>
      </c>
      <c r="M721" s="6">
        <v>14.536836613583301</v>
      </c>
      <c r="N721" s="6">
        <v>14.808291905031</v>
      </c>
      <c r="O721" s="6">
        <v>15.374411876797099</v>
      </c>
      <c r="P721" s="6">
        <v>15.311841044372001</v>
      </c>
      <c r="Q721" s="6">
        <v>13.960545947770999</v>
      </c>
    </row>
    <row r="722" spans="1:17">
      <c r="A722" s="6" t="s">
        <v>861</v>
      </c>
      <c r="B722" s="6" t="s">
        <v>861</v>
      </c>
      <c r="C722" s="6" t="s">
        <v>8228</v>
      </c>
      <c r="D722" s="6" t="s">
        <v>8229</v>
      </c>
      <c r="E722" s="6" t="s">
        <v>8229</v>
      </c>
      <c r="F722" s="6">
        <v>15.708008453728</v>
      </c>
      <c r="G722" s="6">
        <v>14.6950669209838</v>
      </c>
      <c r="H722" s="6">
        <v>15.048228071821301</v>
      </c>
      <c r="I722" s="6">
        <v>15.7008582038513</v>
      </c>
      <c r="J722" s="6">
        <v>14.466579432395401</v>
      </c>
      <c r="K722" s="6">
        <v>14.766774524615901</v>
      </c>
      <c r="L722" s="6">
        <v>15.731606364909901</v>
      </c>
      <c r="M722" s="6">
        <v>14.5326984291563</v>
      </c>
      <c r="N722" s="6">
        <v>15.514646526266899</v>
      </c>
      <c r="O722" s="6">
        <v>15.305001308973299</v>
      </c>
      <c r="P722" s="6">
        <v>15.250779600357101</v>
      </c>
      <c r="Q722" s="6">
        <v>13.7694780226741</v>
      </c>
    </row>
    <row r="723" spans="1:17">
      <c r="A723" s="6" t="s">
        <v>1349</v>
      </c>
      <c r="B723" s="6" t="s">
        <v>1349</v>
      </c>
      <c r="C723" s="6" t="s">
        <v>8230</v>
      </c>
      <c r="D723" s="6" t="s">
        <v>8231</v>
      </c>
      <c r="E723" s="6" t="s">
        <v>8231</v>
      </c>
      <c r="F723" s="6">
        <v>15.422319756575501</v>
      </c>
      <c r="G723" s="6">
        <v>15.021171970643801</v>
      </c>
      <c r="H723" s="6">
        <v>15.0390104335725</v>
      </c>
      <c r="I723" s="6">
        <v>15.791308997363799</v>
      </c>
      <c r="J723" s="6">
        <v>14.301636936563501</v>
      </c>
      <c r="K723" s="6">
        <v>15.3562211438555</v>
      </c>
      <c r="L723" s="6">
        <v>15.7226448847625</v>
      </c>
      <c r="M723" s="6">
        <v>13.922134992631101</v>
      </c>
      <c r="N723" s="6">
        <v>14.475395298842299</v>
      </c>
      <c r="O723" s="6">
        <v>14.639890187111201</v>
      </c>
      <c r="P723" s="6">
        <v>15.207860953269099</v>
      </c>
      <c r="Q723" s="6">
        <v>13.7504885492292</v>
      </c>
    </row>
    <row r="724" spans="1:17">
      <c r="A724" s="6" t="s">
        <v>4024</v>
      </c>
      <c r="B724" s="6" t="s">
        <v>4024</v>
      </c>
      <c r="C724" s="6" t="s">
        <v>8232</v>
      </c>
      <c r="D724" s="6" t="s">
        <v>8233</v>
      </c>
      <c r="E724" s="6" t="s">
        <v>8233</v>
      </c>
      <c r="F724" s="6">
        <v>15.4598428748288</v>
      </c>
      <c r="G724" s="6">
        <v>14.884774656727499</v>
      </c>
      <c r="H724" s="6">
        <v>15.0819609160125</v>
      </c>
      <c r="I724" s="6">
        <v>15.634400875800999</v>
      </c>
      <c r="J724" s="6" t="s">
        <v>6254</v>
      </c>
      <c r="K724" s="6" t="s">
        <v>6254</v>
      </c>
      <c r="L724" s="6">
        <v>15.088327514652599</v>
      </c>
      <c r="M724" s="6" t="s">
        <v>6254</v>
      </c>
      <c r="N724" s="6" t="s">
        <v>6254</v>
      </c>
      <c r="O724" s="6">
        <v>15.2916895295233</v>
      </c>
      <c r="P724" s="6">
        <v>14.9466321699907</v>
      </c>
      <c r="Q724" s="6" t="s">
        <v>6254</v>
      </c>
    </row>
    <row r="725" spans="1:17">
      <c r="A725" s="6" t="s">
        <v>1845</v>
      </c>
      <c r="B725" s="6" t="s">
        <v>1845</v>
      </c>
      <c r="C725" s="6" t="s">
        <v>8234</v>
      </c>
      <c r="D725" s="6" t="s">
        <v>8235</v>
      </c>
      <c r="E725" s="6" t="s">
        <v>8235</v>
      </c>
      <c r="F725" s="6">
        <v>15.356777952387599</v>
      </c>
      <c r="G725" s="6">
        <v>15.128229546378099</v>
      </c>
      <c r="H725" s="6">
        <v>15.2665459865727</v>
      </c>
      <c r="I725" s="6">
        <v>15.503105450290899</v>
      </c>
      <c r="J725" s="6">
        <v>14.8413978584734</v>
      </c>
      <c r="K725" s="6">
        <v>15.2835790173496</v>
      </c>
      <c r="L725" s="6">
        <v>15.295171948495</v>
      </c>
      <c r="M725" s="6">
        <v>14.5856422451964</v>
      </c>
      <c r="N725" s="6">
        <v>14.9528224376146</v>
      </c>
      <c r="O725" s="6">
        <v>15.304723989216299</v>
      </c>
      <c r="P725" s="6">
        <v>15.1927386259341</v>
      </c>
      <c r="Q725" s="6">
        <v>14.3991555246758</v>
      </c>
    </row>
    <row r="726" spans="1:17">
      <c r="A726" s="6" t="s">
        <v>2149</v>
      </c>
      <c r="B726" s="6" t="s">
        <v>2149</v>
      </c>
      <c r="C726" s="6" t="s">
        <v>8236</v>
      </c>
      <c r="D726" s="6" t="s">
        <v>8237</v>
      </c>
      <c r="E726" s="6" t="s">
        <v>8237</v>
      </c>
      <c r="F726" s="6">
        <v>15.7538399978268</v>
      </c>
      <c r="G726" s="6">
        <v>14.9789233623807</v>
      </c>
      <c r="H726" s="6">
        <v>15.070026292832701</v>
      </c>
      <c r="I726" s="6">
        <v>15.800386503566401</v>
      </c>
      <c r="J726" s="6">
        <v>14.2521757065657</v>
      </c>
      <c r="K726" s="6">
        <v>15.0334620127439</v>
      </c>
      <c r="L726" s="6">
        <v>15.7216938416683</v>
      </c>
      <c r="M726" s="6">
        <v>14.2810707768862</v>
      </c>
      <c r="N726" s="6">
        <v>14.7510051026459</v>
      </c>
      <c r="O726" s="6">
        <v>15.262124000772401</v>
      </c>
      <c r="P726" s="6" t="s">
        <v>6254</v>
      </c>
      <c r="Q726" s="6">
        <v>13.9396619031612</v>
      </c>
    </row>
    <row r="727" spans="1:17">
      <c r="A727" s="6" t="s">
        <v>8238</v>
      </c>
      <c r="B727" s="6" t="s">
        <v>8239</v>
      </c>
      <c r="C727" s="6" t="s">
        <v>8240</v>
      </c>
      <c r="D727" s="6" t="s">
        <v>8241</v>
      </c>
      <c r="E727" s="6" t="s">
        <v>8242</v>
      </c>
      <c r="F727" s="6" t="s">
        <v>6254</v>
      </c>
      <c r="G727" s="6" t="s">
        <v>6254</v>
      </c>
      <c r="H727" s="6" t="s">
        <v>6254</v>
      </c>
      <c r="I727" s="6" t="s">
        <v>6254</v>
      </c>
      <c r="J727" s="6" t="s">
        <v>6254</v>
      </c>
      <c r="K727" s="6" t="s">
        <v>6254</v>
      </c>
      <c r="L727" s="6" t="s">
        <v>6254</v>
      </c>
      <c r="M727" s="6" t="s">
        <v>6254</v>
      </c>
      <c r="N727" s="6">
        <v>14.530850358446701</v>
      </c>
      <c r="O727" s="6" t="s">
        <v>6254</v>
      </c>
      <c r="P727" s="6" t="s">
        <v>6254</v>
      </c>
      <c r="Q727" s="6" t="s">
        <v>6254</v>
      </c>
    </row>
    <row r="728" spans="1:17">
      <c r="A728" s="6" t="s">
        <v>3631</v>
      </c>
      <c r="B728" s="6" t="s">
        <v>3631</v>
      </c>
      <c r="C728" s="6" t="s">
        <v>8243</v>
      </c>
      <c r="D728" s="6" t="s">
        <v>8244</v>
      </c>
      <c r="E728" s="6" t="s">
        <v>8244</v>
      </c>
      <c r="F728" s="6">
        <v>16.026811259741201</v>
      </c>
      <c r="G728" s="6">
        <v>15.202354705463801</v>
      </c>
      <c r="H728" s="6">
        <v>14.630538885840901</v>
      </c>
      <c r="I728" s="6">
        <v>15.9171954314898</v>
      </c>
      <c r="J728" s="6">
        <v>14.412820996847501</v>
      </c>
      <c r="K728" s="6">
        <v>15.535352150477401</v>
      </c>
      <c r="L728" s="6">
        <v>15.2466655717115</v>
      </c>
      <c r="M728" s="6" t="s">
        <v>6254</v>
      </c>
      <c r="N728" s="6">
        <v>14.559204222553999</v>
      </c>
      <c r="O728" s="6">
        <v>14.7820152801917</v>
      </c>
      <c r="P728" s="6">
        <v>14.7805882261896</v>
      </c>
      <c r="Q728" s="6">
        <v>14.766905793259699</v>
      </c>
    </row>
    <row r="729" spans="1:17">
      <c r="A729" s="6" t="s">
        <v>711</v>
      </c>
      <c r="B729" s="6" t="s">
        <v>711</v>
      </c>
      <c r="C729" s="6" t="s">
        <v>8245</v>
      </c>
      <c r="D729" s="6" t="s">
        <v>8246</v>
      </c>
      <c r="E729" s="6" t="s">
        <v>8246</v>
      </c>
      <c r="F729" s="6">
        <v>14.759454841881899</v>
      </c>
      <c r="G729" s="6">
        <v>15.6884553182429</v>
      </c>
      <c r="H729" s="6">
        <v>15.7120656601865</v>
      </c>
      <c r="I729" s="6">
        <v>14.421066109736101</v>
      </c>
      <c r="J729" s="6">
        <v>15.336148068841499</v>
      </c>
      <c r="K729" s="6">
        <v>13.8381704915338</v>
      </c>
      <c r="L729" s="6">
        <v>14.866065398346599</v>
      </c>
      <c r="M729" s="6">
        <v>14.953456440834</v>
      </c>
      <c r="N729" s="6">
        <v>16.135589844808099</v>
      </c>
      <c r="O729" s="6">
        <v>15.6257991782328</v>
      </c>
      <c r="P729" s="6">
        <v>15.171757154152999</v>
      </c>
      <c r="Q729" s="6">
        <v>15.484827399945001</v>
      </c>
    </row>
    <row r="730" spans="1:17">
      <c r="A730" s="6" t="s">
        <v>4178</v>
      </c>
      <c r="B730" s="6" t="s">
        <v>4178</v>
      </c>
      <c r="C730" s="6" t="s">
        <v>8247</v>
      </c>
      <c r="D730" s="6" t="s">
        <v>8248</v>
      </c>
      <c r="E730" s="6" t="s">
        <v>8248</v>
      </c>
      <c r="F730" s="6">
        <v>15.757067020164399</v>
      </c>
      <c r="G730" s="6">
        <v>14.9220718915657</v>
      </c>
      <c r="H730" s="6">
        <v>15.0854576362273</v>
      </c>
      <c r="I730" s="6">
        <v>15.950512025436399</v>
      </c>
      <c r="J730" s="6" t="s">
        <v>6254</v>
      </c>
      <c r="K730" s="6">
        <v>15.4933116694062</v>
      </c>
      <c r="L730" s="6">
        <v>15.9794955712778</v>
      </c>
      <c r="M730" s="6">
        <v>14.4807991793579</v>
      </c>
      <c r="N730" s="6">
        <v>14.4151065207834</v>
      </c>
      <c r="O730" s="6">
        <v>15.231425470235401</v>
      </c>
      <c r="P730" s="6">
        <v>14.7426711817225</v>
      </c>
      <c r="Q730" s="6">
        <v>12.7147276876678</v>
      </c>
    </row>
    <row r="731" spans="1:17">
      <c r="A731" s="6" t="s">
        <v>2259</v>
      </c>
      <c r="B731" s="6" t="s">
        <v>2259</v>
      </c>
      <c r="C731" s="6" t="s">
        <v>8249</v>
      </c>
      <c r="D731" s="6" t="s">
        <v>8250</v>
      </c>
      <c r="E731" s="6" t="s">
        <v>8250</v>
      </c>
      <c r="F731" s="6">
        <v>15.446303186364601</v>
      </c>
      <c r="G731" s="6">
        <v>15.111855650133499</v>
      </c>
      <c r="H731" s="6">
        <v>15.070244145924701</v>
      </c>
      <c r="I731" s="6">
        <v>15.628783090509099</v>
      </c>
      <c r="J731" s="6">
        <v>14.4630375821811</v>
      </c>
      <c r="K731" s="6">
        <v>15.4340993589191</v>
      </c>
      <c r="L731" s="6">
        <v>15.634594876820399</v>
      </c>
      <c r="M731" s="6">
        <v>14.396553082957</v>
      </c>
      <c r="N731" s="6">
        <v>14.5146801929759</v>
      </c>
      <c r="O731" s="6">
        <v>15.159885810258499</v>
      </c>
      <c r="P731" s="6">
        <v>15.155218581413999</v>
      </c>
      <c r="Q731" s="6">
        <v>14.223873021724</v>
      </c>
    </row>
    <row r="732" spans="1:17">
      <c r="A732" s="6" t="s">
        <v>4466</v>
      </c>
      <c r="B732" s="6" t="s">
        <v>4466</v>
      </c>
      <c r="C732" s="6" t="s">
        <v>8251</v>
      </c>
      <c r="D732" s="6" t="s">
        <v>8252</v>
      </c>
      <c r="E732" s="6" t="s">
        <v>8252</v>
      </c>
      <c r="F732" s="6" t="s">
        <v>6254</v>
      </c>
      <c r="G732" s="6" t="s">
        <v>6254</v>
      </c>
      <c r="H732" s="6" t="s">
        <v>6254</v>
      </c>
      <c r="I732" s="6">
        <v>15.211598030869901</v>
      </c>
      <c r="J732" s="6" t="s">
        <v>6254</v>
      </c>
      <c r="K732" s="6">
        <v>14.7884341712973</v>
      </c>
      <c r="L732" s="6">
        <v>15.666945804989</v>
      </c>
      <c r="M732" s="6" t="s">
        <v>6254</v>
      </c>
      <c r="N732" s="6" t="s">
        <v>6254</v>
      </c>
      <c r="O732" s="6" t="s">
        <v>6254</v>
      </c>
      <c r="P732" s="6" t="s">
        <v>6254</v>
      </c>
      <c r="Q732" s="6" t="s">
        <v>6254</v>
      </c>
    </row>
    <row r="733" spans="1:17">
      <c r="A733" s="6" t="s">
        <v>982</v>
      </c>
      <c r="B733" s="6" t="s">
        <v>982</v>
      </c>
      <c r="C733" s="6" t="s">
        <v>8253</v>
      </c>
      <c r="D733" s="6" t="s">
        <v>8254</v>
      </c>
      <c r="E733" s="6" t="s">
        <v>8254</v>
      </c>
      <c r="F733" s="6">
        <v>15.5800375938783</v>
      </c>
      <c r="G733" s="6">
        <v>14.898211204532799</v>
      </c>
      <c r="H733" s="6">
        <v>15.1193419371129</v>
      </c>
      <c r="I733" s="6">
        <v>15.7326514653423</v>
      </c>
      <c r="J733" s="6">
        <v>13.9414422681586</v>
      </c>
      <c r="K733" s="6">
        <v>15.0927824390268</v>
      </c>
      <c r="L733" s="6">
        <v>15.795534125036299</v>
      </c>
      <c r="M733" s="6">
        <v>14.1753394873523</v>
      </c>
      <c r="N733" s="6">
        <v>14.9586262423091</v>
      </c>
      <c r="O733" s="6">
        <v>15.4439611846812</v>
      </c>
      <c r="P733" s="6">
        <v>15.1153704845403</v>
      </c>
      <c r="Q733" s="6">
        <v>13.5664841802213</v>
      </c>
    </row>
    <row r="734" spans="1:17">
      <c r="A734" s="6" t="s">
        <v>8255</v>
      </c>
      <c r="B734" s="6" t="s">
        <v>8256</v>
      </c>
      <c r="C734" s="6" t="s">
        <v>8257</v>
      </c>
      <c r="D734" s="6" t="s">
        <v>8258</v>
      </c>
      <c r="E734" s="6" t="s">
        <v>8259</v>
      </c>
      <c r="F734" s="6">
        <v>15.783616238373799</v>
      </c>
      <c r="G734" s="6">
        <v>14.914815741364899</v>
      </c>
      <c r="H734" s="6">
        <v>15.3232960860147</v>
      </c>
      <c r="I734" s="6">
        <v>15.095673148285799</v>
      </c>
      <c r="J734" s="6">
        <v>14.4438458709297</v>
      </c>
      <c r="K734" s="6">
        <v>14.902287051168599</v>
      </c>
      <c r="L734" s="6">
        <v>16.1403443317671</v>
      </c>
      <c r="M734" s="6">
        <v>14.2884220706158</v>
      </c>
      <c r="N734" s="6">
        <v>14.770861386292699</v>
      </c>
      <c r="O734" s="6">
        <v>15.3866018281892</v>
      </c>
      <c r="P734" s="6">
        <v>15.465855522055101</v>
      </c>
      <c r="Q734" s="6">
        <v>14.1021228824199</v>
      </c>
    </row>
    <row r="735" spans="1:17">
      <c r="A735" s="6" t="s">
        <v>8260</v>
      </c>
      <c r="B735" s="6" t="s">
        <v>8261</v>
      </c>
      <c r="C735" s="6" t="s">
        <v>8262</v>
      </c>
      <c r="D735" s="6" t="s">
        <v>8263</v>
      </c>
      <c r="E735" s="6" t="s">
        <v>8264</v>
      </c>
      <c r="F735" s="6">
        <v>15.787240383555099</v>
      </c>
      <c r="G735" s="6">
        <v>14.909470717245901</v>
      </c>
      <c r="H735" s="6">
        <v>15.142515863285199</v>
      </c>
      <c r="I735" s="6">
        <v>16.158542812326299</v>
      </c>
      <c r="J735" s="6">
        <v>14.4545015410211</v>
      </c>
      <c r="K735" s="6">
        <v>15.1373079445487</v>
      </c>
      <c r="L735" s="6">
        <v>15.820097078123601</v>
      </c>
      <c r="M735" s="6">
        <v>14.4544357794781</v>
      </c>
      <c r="N735" s="6">
        <v>15.4641900137281</v>
      </c>
      <c r="O735" s="6">
        <v>15.444451416682099</v>
      </c>
      <c r="P735" s="6">
        <v>15.0910324972008</v>
      </c>
      <c r="Q735" s="6">
        <v>12.9641800062267</v>
      </c>
    </row>
    <row r="736" spans="1:17">
      <c r="A736" s="6" t="s">
        <v>1327</v>
      </c>
      <c r="B736" s="6" t="s">
        <v>1327</v>
      </c>
      <c r="C736" s="6" t="s">
        <v>8265</v>
      </c>
      <c r="D736" s="6" t="s">
        <v>8266</v>
      </c>
      <c r="E736" s="6" t="s">
        <v>8266</v>
      </c>
      <c r="F736" s="6">
        <v>15.066860847940299</v>
      </c>
      <c r="G736" s="6">
        <v>14.962948913858501</v>
      </c>
      <c r="H736" s="6">
        <v>14.9777338134527</v>
      </c>
      <c r="I736" s="6">
        <v>15.7171574365086</v>
      </c>
      <c r="J736" s="6">
        <v>14.425702482044599</v>
      </c>
      <c r="K736" s="6">
        <v>14.9784144931686</v>
      </c>
      <c r="L736" s="6">
        <v>15.7107692319815</v>
      </c>
      <c r="M736" s="6">
        <v>14.160360879388</v>
      </c>
      <c r="N736" s="6">
        <v>14.1946068161414</v>
      </c>
      <c r="O736" s="6">
        <v>15.1730933132784</v>
      </c>
      <c r="P736" s="6">
        <v>14.927951612419699</v>
      </c>
      <c r="Q736" s="6">
        <v>14.180155442423301</v>
      </c>
    </row>
    <row r="737" spans="1:17">
      <c r="A737" s="6" t="s">
        <v>3191</v>
      </c>
      <c r="B737" s="6" t="s">
        <v>3191</v>
      </c>
      <c r="C737" s="6" t="s">
        <v>8267</v>
      </c>
      <c r="D737" s="6" t="s">
        <v>8268</v>
      </c>
      <c r="E737" s="6" t="s">
        <v>8268</v>
      </c>
      <c r="F737" s="6">
        <v>15.474298876030399</v>
      </c>
      <c r="G737" s="6">
        <v>15.0571573925378</v>
      </c>
      <c r="H737" s="6">
        <v>15.285541520577199</v>
      </c>
      <c r="I737" s="6">
        <v>16.042596881967899</v>
      </c>
      <c r="J737" s="6">
        <v>14.464656403534301</v>
      </c>
      <c r="K737" s="6">
        <v>14.963986129843301</v>
      </c>
      <c r="L737" s="6">
        <v>16.136080978766699</v>
      </c>
      <c r="M737" s="6">
        <v>14.0766769882128</v>
      </c>
      <c r="N737" s="6">
        <v>15.024044062532001</v>
      </c>
      <c r="O737" s="6">
        <v>15.1039301156648</v>
      </c>
      <c r="P737" s="6">
        <v>14.424149983939699</v>
      </c>
      <c r="Q737" s="6">
        <v>14.0230784315091</v>
      </c>
    </row>
    <row r="738" spans="1:17">
      <c r="A738" s="6" t="s">
        <v>2697</v>
      </c>
      <c r="B738" s="6" t="s">
        <v>2697</v>
      </c>
      <c r="C738" s="6" t="s">
        <v>8269</v>
      </c>
      <c r="D738" s="6" t="s">
        <v>8270</v>
      </c>
      <c r="E738" s="6" t="s">
        <v>8270</v>
      </c>
      <c r="F738" s="6">
        <v>15.6164913797413</v>
      </c>
      <c r="G738" s="6">
        <v>14.756540628937101</v>
      </c>
      <c r="H738" s="6">
        <v>15.183897128847001</v>
      </c>
      <c r="I738" s="6">
        <v>15.707829817467299</v>
      </c>
      <c r="J738" s="6">
        <v>14.3942296740519</v>
      </c>
      <c r="K738" s="6">
        <v>14.8848713414068</v>
      </c>
      <c r="L738" s="6">
        <v>15.3809077917103</v>
      </c>
      <c r="M738" s="6">
        <v>14.1094811067435</v>
      </c>
      <c r="N738" s="6">
        <v>15.165095477944901</v>
      </c>
      <c r="O738" s="6">
        <v>15.1463580397523</v>
      </c>
      <c r="P738" s="6">
        <v>15.1073253403334</v>
      </c>
      <c r="Q738" s="6">
        <v>13.783162016894901</v>
      </c>
    </row>
    <row r="739" spans="1:17">
      <c r="A739" s="6" t="s">
        <v>1254</v>
      </c>
      <c r="B739" s="6" t="s">
        <v>1254</v>
      </c>
      <c r="C739" s="6" t="s">
        <v>8271</v>
      </c>
      <c r="D739" s="6" t="s">
        <v>8272</v>
      </c>
      <c r="E739" s="6" t="s">
        <v>8272</v>
      </c>
      <c r="F739" s="6">
        <v>15.0760871627079</v>
      </c>
      <c r="G739" s="6">
        <v>14.800552114126701</v>
      </c>
      <c r="H739" s="6">
        <v>14.572380219372899</v>
      </c>
      <c r="I739" s="6">
        <v>15.823481190202299</v>
      </c>
      <c r="J739" s="6">
        <v>15.5195035782227</v>
      </c>
      <c r="K739" s="6">
        <v>16.546656347450401</v>
      </c>
      <c r="L739" s="6">
        <v>16.8047718584919</v>
      </c>
      <c r="M739" s="6">
        <v>14.8322084084735</v>
      </c>
      <c r="N739" s="6">
        <v>14.15636501865</v>
      </c>
      <c r="O739" s="6">
        <v>14.0612428800512</v>
      </c>
      <c r="P739" s="6">
        <v>13.8269068389303</v>
      </c>
      <c r="Q739" s="6">
        <v>14.308639346858699</v>
      </c>
    </row>
    <row r="740" spans="1:17">
      <c r="A740" s="6" t="s">
        <v>8273</v>
      </c>
      <c r="B740" s="6" t="s">
        <v>8274</v>
      </c>
      <c r="C740" s="6" t="s">
        <v>8275</v>
      </c>
      <c r="D740" s="6" t="s">
        <v>8276</v>
      </c>
      <c r="E740" s="6" t="s">
        <v>8277</v>
      </c>
      <c r="F740" s="6">
        <v>15.758609421676701</v>
      </c>
      <c r="G740" s="6">
        <v>15.0971484894275</v>
      </c>
      <c r="H740" s="6">
        <v>15.104158525022299</v>
      </c>
      <c r="I740" s="6">
        <v>15.6448127403921</v>
      </c>
      <c r="J740" s="6">
        <v>14.484971752734699</v>
      </c>
      <c r="K740" s="6">
        <v>15.2008905424403</v>
      </c>
      <c r="L740" s="6">
        <v>15.324632483712399</v>
      </c>
      <c r="M740" s="6">
        <v>14.1269450044185</v>
      </c>
      <c r="N740" s="6">
        <v>14.581182443763399</v>
      </c>
      <c r="O740" s="6">
        <v>15.3973569210926</v>
      </c>
      <c r="P740" s="6">
        <v>15.127167555541501</v>
      </c>
      <c r="Q740" s="6">
        <v>14.196962673777399</v>
      </c>
    </row>
    <row r="741" spans="1:17">
      <c r="A741" s="6" t="s">
        <v>8278</v>
      </c>
      <c r="B741" s="6" t="s">
        <v>8279</v>
      </c>
      <c r="C741" s="6" t="s">
        <v>8280</v>
      </c>
      <c r="D741" s="6" t="s">
        <v>8281</v>
      </c>
      <c r="E741" s="6" t="s">
        <v>8282</v>
      </c>
      <c r="F741" s="6">
        <v>15.3205168562273</v>
      </c>
      <c r="G741" s="6">
        <v>15.017186354589301</v>
      </c>
      <c r="H741" s="6">
        <v>14.9253847912927</v>
      </c>
      <c r="I741" s="6">
        <v>15.912392048307799</v>
      </c>
      <c r="J741" s="6">
        <v>14.119700147895101</v>
      </c>
      <c r="K741" s="6">
        <v>14.658777475112</v>
      </c>
      <c r="L741" s="6">
        <v>15.854820885403701</v>
      </c>
      <c r="M741" s="6">
        <v>14.3621575331277</v>
      </c>
      <c r="N741" s="6">
        <v>14.9236173269344</v>
      </c>
      <c r="O741" s="6">
        <v>15.4470104202576</v>
      </c>
      <c r="P741" s="6">
        <v>15.004847499654201</v>
      </c>
      <c r="Q741" s="6">
        <v>13.7573034974344</v>
      </c>
    </row>
    <row r="742" spans="1:17">
      <c r="A742" s="6" t="s">
        <v>3308</v>
      </c>
      <c r="B742" s="6" t="s">
        <v>3308</v>
      </c>
      <c r="C742" s="6" t="s">
        <v>8283</v>
      </c>
      <c r="D742" s="6" t="s">
        <v>8284</v>
      </c>
      <c r="E742" s="6" t="s">
        <v>8284</v>
      </c>
      <c r="F742" s="6">
        <v>15.5347832187464</v>
      </c>
      <c r="G742" s="6">
        <v>15.0150738594734</v>
      </c>
      <c r="H742" s="6">
        <v>14.6993201279902</v>
      </c>
      <c r="I742" s="6">
        <v>16.130730849245801</v>
      </c>
      <c r="J742" s="6">
        <v>14.254933276690601</v>
      </c>
      <c r="K742" s="6">
        <v>15.198104724922599</v>
      </c>
      <c r="L742" s="6">
        <v>15.684788462060499</v>
      </c>
      <c r="M742" s="6" t="s">
        <v>6254</v>
      </c>
      <c r="N742" s="6">
        <v>14.378138950195201</v>
      </c>
      <c r="O742" s="6">
        <v>15.330516402121001</v>
      </c>
      <c r="P742" s="6">
        <v>15.471817009662599</v>
      </c>
      <c r="Q742" s="6">
        <v>13.3209704037527</v>
      </c>
    </row>
    <row r="743" spans="1:17">
      <c r="A743" s="6" t="s">
        <v>8285</v>
      </c>
      <c r="B743" s="6" t="s">
        <v>8286</v>
      </c>
      <c r="C743" s="6" t="s">
        <v>8287</v>
      </c>
      <c r="D743" s="6" t="s">
        <v>8288</v>
      </c>
      <c r="E743" s="6" t="s">
        <v>8289</v>
      </c>
      <c r="F743" s="6">
        <v>15.682719420977399</v>
      </c>
      <c r="G743" s="6">
        <v>15.033384358106201</v>
      </c>
      <c r="H743" s="6">
        <v>15.0589542474795</v>
      </c>
      <c r="I743" s="6">
        <v>15.668024054465</v>
      </c>
      <c r="J743" s="6">
        <v>14.337637457764201</v>
      </c>
      <c r="K743" s="6">
        <v>14.654981550734201</v>
      </c>
      <c r="L743" s="6">
        <v>15.561788890786101</v>
      </c>
      <c r="M743" s="6">
        <v>13.975302811362001</v>
      </c>
      <c r="N743" s="6">
        <v>15.2006878079674</v>
      </c>
      <c r="O743" s="6">
        <v>15.435379859563801</v>
      </c>
      <c r="P743" s="6">
        <v>15.072921142790401</v>
      </c>
      <c r="Q743" s="6">
        <v>13.7144187967763</v>
      </c>
    </row>
    <row r="744" spans="1:17">
      <c r="A744" s="6" t="s">
        <v>8290</v>
      </c>
      <c r="B744" s="6" t="s">
        <v>8291</v>
      </c>
      <c r="C744" s="6" t="s">
        <v>8292</v>
      </c>
      <c r="D744" s="6" t="s">
        <v>8293</v>
      </c>
      <c r="E744" s="6" t="s">
        <v>8294</v>
      </c>
      <c r="F744" s="6">
        <v>15.614226966699199</v>
      </c>
      <c r="G744" s="6" t="s">
        <v>6254</v>
      </c>
      <c r="H744" s="6" t="s">
        <v>6254</v>
      </c>
      <c r="I744" s="6">
        <v>15.502906754325601</v>
      </c>
      <c r="J744" s="6" t="s">
        <v>6254</v>
      </c>
      <c r="K744" s="6">
        <v>14.709103813290101</v>
      </c>
      <c r="L744" s="6" t="s">
        <v>6254</v>
      </c>
      <c r="M744" s="6" t="s">
        <v>6254</v>
      </c>
      <c r="N744" s="6" t="s">
        <v>6254</v>
      </c>
      <c r="O744" s="6" t="s">
        <v>6254</v>
      </c>
      <c r="P744" s="6">
        <v>15.0120702753036</v>
      </c>
      <c r="Q744" s="6" t="s">
        <v>6254</v>
      </c>
    </row>
    <row r="745" spans="1:17">
      <c r="A745" s="6" t="s">
        <v>2859</v>
      </c>
      <c r="B745" s="6" t="s">
        <v>2859</v>
      </c>
      <c r="C745" s="6" t="s">
        <v>8295</v>
      </c>
      <c r="D745" s="6" t="s">
        <v>8296</v>
      </c>
      <c r="E745" s="6" t="s">
        <v>8296</v>
      </c>
      <c r="F745" s="6">
        <v>15.7556364879675</v>
      </c>
      <c r="G745" s="6">
        <v>15.7315566563642</v>
      </c>
      <c r="H745" s="6">
        <v>15.045500255787401</v>
      </c>
      <c r="I745" s="6">
        <v>15.6335436974361</v>
      </c>
      <c r="J745" s="6">
        <v>14.681281564360299</v>
      </c>
      <c r="K745" s="6">
        <v>14.299546536967901</v>
      </c>
      <c r="L745" s="6">
        <v>14.9329544364656</v>
      </c>
      <c r="M745" s="6">
        <v>14.0157760300647</v>
      </c>
      <c r="N745" s="6">
        <v>15.4565194684034</v>
      </c>
      <c r="O745" s="6">
        <v>15.294805706830299</v>
      </c>
      <c r="P745" s="6">
        <v>15.4372748369994</v>
      </c>
      <c r="Q745" s="6">
        <v>14.213395700426201</v>
      </c>
    </row>
    <row r="746" spans="1:17">
      <c r="A746" s="6" t="s">
        <v>8297</v>
      </c>
      <c r="B746" s="6" t="s">
        <v>8297</v>
      </c>
      <c r="C746" s="6" t="s">
        <v>8298</v>
      </c>
      <c r="D746" s="6" t="s">
        <v>8299</v>
      </c>
      <c r="E746" s="6" t="s">
        <v>8299</v>
      </c>
      <c r="F746" s="6">
        <v>15.0301334953765</v>
      </c>
      <c r="G746" s="6">
        <v>14.9055352181882</v>
      </c>
      <c r="H746" s="6">
        <v>15.0332033691777</v>
      </c>
      <c r="I746" s="6">
        <v>15.573253786234201</v>
      </c>
      <c r="J746" s="6" t="s">
        <v>6254</v>
      </c>
      <c r="K746" s="6">
        <v>14.861436334775799</v>
      </c>
      <c r="L746" s="6">
        <v>15.318904527705399</v>
      </c>
      <c r="M746" s="6">
        <v>14.1730520429025</v>
      </c>
      <c r="N746" s="6">
        <v>14.208099163490701</v>
      </c>
      <c r="O746" s="6">
        <v>15.170921642102901</v>
      </c>
      <c r="P746" s="6">
        <v>15.5386046172547</v>
      </c>
      <c r="Q746" s="6" t="s">
        <v>6254</v>
      </c>
    </row>
    <row r="747" spans="1:17">
      <c r="A747" s="6" t="s">
        <v>8300</v>
      </c>
      <c r="B747" s="6" t="s">
        <v>8301</v>
      </c>
      <c r="C747" s="6" t="s">
        <v>8302</v>
      </c>
      <c r="D747" s="6" t="s">
        <v>8303</v>
      </c>
      <c r="E747" s="6" t="s">
        <v>8304</v>
      </c>
      <c r="F747" s="6">
        <v>15.7483511535209</v>
      </c>
      <c r="G747" s="6">
        <v>15.5572121873864</v>
      </c>
      <c r="H747" s="6">
        <v>15.6133088400908</v>
      </c>
      <c r="I747" s="6">
        <v>16.190700415756101</v>
      </c>
      <c r="J747" s="6">
        <v>15.099758242026899</v>
      </c>
      <c r="K747" s="6">
        <v>15.8876477688124</v>
      </c>
      <c r="L747" s="6">
        <v>14.799214600833199</v>
      </c>
      <c r="M747" s="6">
        <v>13.9716764709333</v>
      </c>
      <c r="N747" s="6">
        <v>14.591891211868999</v>
      </c>
      <c r="O747" s="6">
        <v>14.7372610125615</v>
      </c>
      <c r="P747" s="6">
        <v>15.7825857816857</v>
      </c>
      <c r="Q747" s="6">
        <v>12.907715304445199</v>
      </c>
    </row>
    <row r="748" spans="1:17">
      <c r="A748" s="6" t="s">
        <v>2460</v>
      </c>
      <c r="B748" s="6" t="s">
        <v>2460</v>
      </c>
      <c r="C748" s="6" t="s">
        <v>8305</v>
      </c>
      <c r="D748" s="6" t="s">
        <v>8306</v>
      </c>
      <c r="E748" s="6" t="s">
        <v>8306</v>
      </c>
      <c r="F748" s="6">
        <v>15.6059704701421</v>
      </c>
      <c r="G748" s="6">
        <v>15.260467226973301</v>
      </c>
      <c r="H748" s="6">
        <v>14.565724936251399</v>
      </c>
      <c r="I748" s="6">
        <v>15.769731606496199</v>
      </c>
      <c r="J748" s="6">
        <v>14.0866637912395</v>
      </c>
      <c r="K748" s="6">
        <v>15.186851206933399</v>
      </c>
      <c r="L748" s="6">
        <v>15.5035962363254</v>
      </c>
      <c r="M748" s="6">
        <v>14.4979642418522</v>
      </c>
      <c r="N748" s="6">
        <v>14.664687150034601</v>
      </c>
      <c r="O748" s="6">
        <v>14.921643821532101</v>
      </c>
      <c r="P748" s="6">
        <v>15.228176713534999</v>
      </c>
      <c r="Q748" s="6">
        <v>14.147876277392699</v>
      </c>
    </row>
    <row r="749" spans="1:17">
      <c r="A749" s="6" t="s">
        <v>8307</v>
      </c>
      <c r="B749" s="6" t="s">
        <v>8307</v>
      </c>
      <c r="C749" s="6" t="s">
        <v>8308</v>
      </c>
      <c r="D749" s="6" t="s">
        <v>8309</v>
      </c>
      <c r="E749" s="6" t="s">
        <v>8309</v>
      </c>
      <c r="F749" s="6">
        <v>15.545994140076701</v>
      </c>
      <c r="G749" s="6">
        <v>14.8676290251396</v>
      </c>
      <c r="H749" s="6">
        <v>15.041016024461101</v>
      </c>
      <c r="I749" s="6">
        <v>15.4999114590156</v>
      </c>
      <c r="J749" s="6" t="s">
        <v>6254</v>
      </c>
      <c r="K749" s="6">
        <v>15.135671606487801</v>
      </c>
      <c r="L749" s="6">
        <v>15.570103830061299</v>
      </c>
      <c r="M749" s="6" t="s">
        <v>6254</v>
      </c>
      <c r="N749" s="6">
        <v>14.6970113004033</v>
      </c>
      <c r="O749" s="6">
        <v>15.452733532559099</v>
      </c>
      <c r="P749" s="6">
        <v>15.4442068533662</v>
      </c>
      <c r="Q749" s="6" t="s">
        <v>6254</v>
      </c>
    </row>
    <row r="750" spans="1:17">
      <c r="A750" s="6" t="s">
        <v>862</v>
      </c>
      <c r="B750" s="6" t="s">
        <v>862</v>
      </c>
      <c r="C750" s="6" t="s">
        <v>8310</v>
      </c>
      <c r="D750" s="6" t="s">
        <v>8311</v>
      </c>
      <c r="E750" s="6" t="s">
        <v>8311</v>
      </c>
      <c r="F750" s="6">
        <v>15.6745716054046</v>
      </c>
      <c r="G750" s="6">
        <v>15.7356962496502</v>
      </c>
      <c r="H750" s="6">
        <v>15.1109841935956</v>
      </c>
      <c r="I750" s="6">
        <v>16.003753182985101</v>
      </c>
      <c r="J750" s="6">
        <v>14.5855943489672</v>
      </c>
      <c r="K750" s="6">
        <v>14.936774036865</v>
      </c>
      <c r="L750" s="6">
        <v>15.5177774321035</v>
      </c>
      <c r="M750" s="6">
        <v>14.325549682851999</v>
      </c>
      <c r="N750" s="6">
        <v>15.3637172028298</v>
      </c>
      <c r="O750" s="6">
        <v>14.9807719342115</v>
      </c>
      <c r="P750" s="6">
        <v>14.926754710550799</v>
      </c>
      <c r="Q750" s="6">
        <v>13.8934330845553</v>
      </c>
    </row>
    <row r="751" spans="1:17">
      <c r="A751" s="6" t="s">
        <v>8312</v>
      </c>
      <c r="B751" s="6" t="s">
        <v>846</v>
      </c>
      <c r="C751" s="6" t="s">
        <v>8313</v>
      </c>
      <c r="D751" s="6" t="s">
        <v>8314</v>
      </c>
      <c r="E751" s="6" t="s">
        <v>8315</v>
      </c>
      <c r="F751" s="6">
        <v>15.330649287736801</v>
      </c>
      <c r="G751" s="6">
        <v>14.941922031323401</v>
      </c>
      <c r="H751" s="6">
        <v>15.0503048743074</v>
      </c>
      <c r="I751" s="6">
        <v>15.846161773035099</v>
      </c>
      <c r="J751" s="6">
        <v>14.351904973979799</v>
      </c>
      <c r="K751" s="6">
        <v>15.0007047559385</v>
      </c>
      <c r="L751" s="6">
        <v>15.6272331618861</v>
      </c>
      <c r="M751" s="6">
        <v>14.120873880386499</v>
      </c>
      <c r="N751" s="6">
        <v>14.497237681819</v>
      </c>
      <c r="O751" s="6">
        <v>15.278440869668099</v>
      </c>
      <c r="P751" s="6">
        <v>15.5341176187281</v>
      </c>
      <c r="Q751" s="6">
        <v>13.89798945686</v>
      </c>
    </row>
    <row r="752" spans="1:17">
      <c r="A752" s="6" t="s">
        <v>8316</v>
      </c>
      <c r="B752" s="6" t="s">
        <v>8316</v>
      </c>
      <c r="C752" s="6" t="s">
        <v>8317</v>
      </c>
      <c r="D752" s="6" t="s">
        <v>8318</v>
      </c>
      <c r="E752" s="6" t="s">
        <v>8318</v>
      </c>
      <c r="F752" s="6">
        <v>15.649185188745999</v>
      </c>
      <c r="G752" s="6">
        <v>14.9445419267093</v>
      </c>
      <c r="H752" s="6">
        <v>14.8563549901681</v>
      </c>
      <c r="I752" s="6">
        <v>15.7250404248766</v>
      </c>
      <c r="J752" s="6">
        <v>14.8945537414107</v>
      </c>
      <c r="K752" s="6" t="s">
        <v>6254</v>
      </c>
      <c r="L752" s="6">
        <v>15.719736191115301</v>
      </c>
      <c r="M752" s="6" t="s">
        <v>6254</v>
      </c>
      <c r="N752" s="6">
        <v>11.9048231985619</v>
      </c>
      <c r="O752" s="6">
        <v>15.4864044576551</v>
      </c>
      <c r="P752" s="6">
        <v>15.146673586990801</v>
      </c>
      <c r="Q752" s="6">
        <v>14.2981766585412</v>
      </c>
    </row>
    <row r="753" spans="1:17">
      <c r="A753" s="6" t="s">
        <v>8319</v>
      </c>
      <c r="B753" s="6" t="s">
        <v>1223</v>
      </c>
      <c r="C753" s="6" t="s">
        <v>8320</v>
      </c>
      <c r="D753" s="6" t="s">
        <v>8321</v>
      </c>
      <c r="E753" s="6" t="s">
        <v>8322</v>
      </c>
      <c r="F753" s="6">
        <v>15.548341485508001</v>
      </c>
      <c r="G753" s="6">
        <v>15.063477389954199</v>
      </c>
      <c r="H753" s="6">
        <v>15.2128135308207</v>
      </c>
      <c r="I753" s="6">
        <v>15.5599054356432</v>
      </c>
      <c r="J753" s="6">
        <v>14.2342854166988</v>
      </c>
      <c r="K753" s="6">
        <v>14.889291650270099</v>
      </c>
      <c r="L753" s="6">
        <v>15.550137251791901</v>
      </c>
      <c r="M753" s="6">
        <v>14.195567942308401</v>
      </c>
      <c r="N753" s="6">
        <v>14.9629194555014</v>
      </c>
      <c r="O753" s="6">
        <v>15.498814987298999</v>
      </c>
      <c r="P753" s="6">
        <v>15.3110052665604</v>
      </c>
      <c r="Q753" s="6">
        <v>13.6584581895449</v>
      </c>
    </row>
    <row r="754" spans="1:17">
      <c r="A754" s="6" t="s">
        <v>3077</v>
      </c>
      <c r="B754" s="6" t="s">
        <v>3079</v>
      </c>
      <c r="C754" s="6" t="s">
        <v>8323</v>
      </c>
      <c r="D754" s="6" t="s">
        <v>8324</v>
      </c>
      <c r="E754" s="6" t="s">
        <v>8325</v>
      </c>
      <c r="F754" s="6">
        <v>15.456855153426799</v>
      </c>
      <c r="G754" s="6">
        <v>15.060421676251201</v>
      </c>
      <c r="H754" s="6">
        <v>15.0176632811599</v>
      </c>
      <c r="I754" s="6">
        <v>15.802580727210801</v>
      </c>
      <c r="J754" s="6">
        <v>14.5077914623854</v>
      </c>
      <c r="K754" s="6">
        <v>15.067811350174001</v>
      </c>
      <c r="L754" s="6">
        <v>15.6413959053141</v>
      </c>
      <c r="M754" s="6">
        <v>14.229887944978</v>
      </c>
      <c r="N754" s="6">
        <v>14.5143692469108</v>
      </c>
      <c r="O754" s="6">
        <v>15.2328722702647</v>
      </c>
      <c r="P754" s="6">
        <v>15.2712815019452</v>
      </c>
      <c r="Q754" s="6">
        <v>13.8625373182547</v>
      </c>
    </row>
    <row r="755" spans="1:17">
      <c r="A755" s="6" t="s">
        <v>8326</v>
      </c>
      <c r="B755" s="6" t="s">
        <v>2948</v>
      </c>
      <c r="C755" s="6" t="s">
        <v>8327</v>
      </c>
      <c r="D755" s="6" t="s">
        <v>8328</v>
      </c>
      <c r="E755" s="6" t="s">
        <v>8329</v>
      </c>
      <c r="F755" s="6">
        <v>15.390704065598101</v>
      </c>
      <c r="G755" s="6">
        <v>14.724205330255099</v>
      </c>
      <c r="H755" s="6">
        <v>15.2187718033348</v>
      </c>
      <c r="I755" s="6">
        <v>15.7893318609788</v>
      </c>
      <c r="J755" s="6">
        <v>14.463869278951799</v>
      </c>
      <c r="K755" s="6">
        <v>15.2350599777496</v>
      </c>
      <c r="L755" s="6">
        <v>15.6583643303944</v>
      </c>
      <c r="M755" s="6">
        <v>14.535785733450901</v>
      </c>
      <c r="N755" s="6">
        <v>14.696807058867099</v>
      </c>
      <c r="O755" s="6">
        <v>15.228826303964</v>
      </c>
      <c r="P755" s="6">
        <v>15.637012842296199</v>
      </c>
      <c r="Q755" s="6">
        <v>14.252095578087999</v>
      </c>
    </row>
    <row r="756" spans="1:17">
      <c r="A756" s="6" t="s">
        <v>1197</v>
      </c>
      <c r="B756" s="6" t="s">
        <v>1197</v>
      </c>
      <c r="C756" s="6" t="s">
        <v>8330</v>
      </c>
      <c r="D756" s="6" t="s">
        <v>8331</v>
      </c>
      <c r="E756" s="6" t="s">
        <v>8331</v>
      </c>
      <c r="F756" s="6">
        <v>14.778307668791101</v>
      </c>
      <c r="G756" s="6">
        <v>14.903819305183999</v>
      </c>
      <c r="H756" s="6">
        <v>15.2969499388917</v>
      </c>
      <c r="I756" s="6">
        <v>15.7622900059241</v>
      </c>
      <c r="J756" s="6">
        <v>13.7486758511097</v>
      </c>
      <c r="K756" s="6">
        <v>14.91203479805</v>
      </c>
      <c r="L756" s="6">
        <v>15.4123916070275</v>
      </c>
      <c r="M756" s="6">
        <v>14.0555545467085</v>
      </c>
      <c r="N756" s="6">
        <v>13.801427504843</v>
      </c>
      <c r="O756" s="6">
        <v>15.459450523675001</v>
      </c>
      <c r="P756" s="6">
        <v>15.1643703306547</v>
      </c>
      <c r="Q756" s="6">
        <v>13.8383902465073</v>
      </c>
    </row>
    <row r="757" spans="1:17">
      <c r="A757" s="6" t="s">
        <v>1248</v>
      </c>
      <c r="B757" s="6" t="s">
        <v>1248</v>
      </c>
      <c r="C757" s="6" t="s">
        <v>8332</v>
      </c>
      <c r="D757" s="6" t="s">
        <v>8333</v>
      </c>
      <c r="E757" s="6" t="s">
        <v>8333</v>
      </c>
      <c r="F757" s="6">
        <v>15.649873890047999</v>
      </c>
      <c r="G757" s="6">
        <v>14.7658690891666</v>
      </c>
      <c r="H757" s="6">
        <v>14.9388676240776</v>
      </c>
      <c r="I757" s="6">
        <v>15.717823023049</v>
      </c>
      <c r="J757" s="6">
        <v>14.4192711553059</v>
      </c>
      <c r="K757" s="6">
        <v>14.8069121554849</v>
      </c>
      <c r="L757" s="6">
        <v>15.714583917932201</v>
      </c>
      <c r="M757" s="6">
        <v>14.573039910725599</v>
      </c>
      <c r="N757" s="6">
        <v>14.271730225272901</v>
      </c>
      <c r="O757" s="6">
        <v>15.1936420038758</v>
      </c>
      <c r="P757" s="6">
        <v>15.0757455417813</v>
      </c>
      <c r="Q757" s="6">
        <v>13.856131769544399</v>
      </c>
    </row>
    <row r="758" spans="1:17">
      <c r="A758" s="6" t="s">
        <v>759</v>
      </c>
      <c r="B758" s="6" t="s">
        <v>759</v>
      </c>
      <c r="C758" s="6" t="s">
        <v>8334</v>
      </c>
      <c r="D758" s="6" t="s">
        <v>8335</v>
      </c>
      <c r="E758" s="6" t="s">
        <v>8335</v>
      </c>
      <c r="F758" s="6">
        <v>15.536070572431701</v>
      </c>
      <c r="G758" s="6">
        <v>15.077360176559001</v>
      </c>
      <c r="H758" s="6">
        <v>15.0585959078222</v>
      </c>
      <c r="I758" s="6">
        <v>15.152551595678901</v>
      </c>
      <c r="J758" s="6">
        <v>14.5699920066146</v>
      </c>
      <c r="K758" s="6">
        <v>14.684818014513301</v>
      </c>
      <c r="L758" s="6">
        <v>15.621304803176701</v>
      </c>
      <c r="M758" s="6">
        <v>14.5255071095232</v>
      </c>
      <c r="N758" s="6">
        <v>14.6420211930946</v>
      </c>
      <c r="O758" s="6">
        <v>15.0112657587473</v>
      </c>
      <c r="P758" s="6">
        <v>15.415934655834199</v>
      </c>
      <c r="Q758" s="6">
        <v>13.4593545030308</v>
      </c>
    </row>
    <row r="759" spans="1:17">
      <c r="A759" s="6" t="s">
        <v>8336</v>
      </c>
      <c r="B759" s="6" t="s">
        <v>8336</v>
      </c>
      <c r="C759" s="6" t="s">
        <v>8337</v>
      </c>
      <c r="D759" s="6" t="s">
        <v>8338</v>
      </c>
      <c r="E759" s="6" t="s">
        <v>8338</v>
      </c>
      <c r="F759" s="6">
        <v>16.388629989094099</v>
      </c>
      <c r="G759" s="6">
        <v>15.656209128588699</v>
      </c>
      <c r="H759" s="6">
        <v>15.4054241485016</v>
      </c>
      <c r="I759" s="6">
        <v>15.636429300124201</v>
      </c>
      <c r="J759" s="6">
        <v>15.0388733735481</v>
      </c>
      <c r="K759" s="6">
        <v>14.5565582426782</v>
      </c>
      <c r="L759" s="6">
        <v>15.2964031444137</v>
      </c>
      <c r="M759" s="6">
        <v>15.4871496896726</v>
      </c>
      <c r="N759" s="6">
        <v>16.1717404289152</v>
      </c>
      <c r="O759" s="6">
        <v>14.9806478147849</v>
      </c>
      <c r="P759" s="6">
        <v>15.5419002601976</v>
      </c>
      <c r="Q759" s="6">
        <v>13.787543235919401</v>
      </c>
    </row>
    <row r="760" spans="1:17">
      <c r="A760" s="6" t="s">
        <v>2769</v>
      </c>
      <c r="B760" s="6" t="s">
        <v>2769</v>
      </c>
      <c r="C760" s="6" t="s">
        <v>8339</v>
      </c>
      <c r="D760" s="6" t="s">
        <v>8340</v>
      </c>
      <c r="E760" s="6" t="s">
        <v>8340</v>
      </c>
      <c r="F760" s="6">
        <v>15.687826620152199</v>
      </c>
      <c r="G760" s="6">
        <v>14.9949143972513</v>
      </c>
      <c r="H760" s="6">
        <v>15.065714536823601</v>
      </c>
      <c r="I760" s="6">
        <v>15.5831711986234</v>
      </c>
      <c r="J760" s="6">
        <v>14.418017371731301</v>
      </c>
      <c r="K760" s="6">
        <v>14.996043949384701</v>
      </c>
      <c r="L760" s="6">
        <v>15.5731702252922</v>
      </c>
      <c r="M760" s="6">
        <v>14.422296488629399</v>
      </c>
      <c r="N760" s="6">
        <v>14.6238771851732</v>
      </c>
      <c r="O760" s="6">
        <v>15.0999972983857</v>
      </c>
      <c r="P760" s="6">
        <v>15.441229143862699</v>
      </c>
      <c r="Q760" s="6">
        <v>14.011159938616901</v>
      </c>
    </row>
    <row r="761" spans="1:17">
      <c r="A761" s="6" t="s">
        <v>3422</v>
      </c>
      <c r="B761" s="6" t="s">
        <v>3424</v>
      </c>
      <c r="C761" s="6" t="s">
        <v>8341</v>
      </c>
      <c r="D761" s="6" t="s">
        <v>8342</v>
      </c>
      <c r="E761" s="6" t="s">
        <v>8343</v>
      </c>
      <c r="F761" s="6">
        <v>15.263381406800001</v>
      </c>
      <c r="G761" s="6">
        <v>14.6185259801175</v>
      </c>
      <c r="H761" s="6">
        <v>14.768753813114699</v>
      </c>
      <c r="I761" s="6">
        <v>15.838577332257101</v>
      </c>
      <c r="J761" s="6">
        <v>13.985598194853999</v>
      </c>
      <c r="K761" s="6">
        <v>14.9483019526328</v>
      </c>
      <c r="L761" s="6">
        <v>15.4594965050685</v>
      </c>
      <c r="M761" s="6">
        <v>14.1930903429382</v>
      </c>
      <c r="N761" s="6">
        <v>14.5856652856667</v>
      </c>
      <c r="O761" s="6">
        <v>15.3935352208022</v>
      </c>
      <c r="P761" s="6">
        <v>15.334243126305701</v>
      </c>
      <c r="Q761" s="6" t="s">
        <v>6254</v>
      </c>
    </row>
    <row r="762" spans="1:17">
      <c r="A762" s="6" t="s">
        <v>1034</v>
      </c>
      <c r="B762" s="6" t="s">
        <v>1034</v>
      </c>
      <c r="C762" s="6" t="s">
        <v>8344</v>
      </c>
      <c r="D762" s="6" t="s">
        <v>8345</v>
      </c>
      <c r="E762" s="6" t="s">
        <v>8345</v>
      </c>
      <c r="F762" s="6">
        <v>16.133711069013199</v>
      </c>
      <c r="G762" s="6">
        <v>14.667102989601201</v>
      </c>
      <c r="H762" s="6">
        <v>14.7685296100522</v>
      </c>
      <c r="I762" s="6">
        <v>15.694880816751899</v>
      </c>
      <c r="J762" s="6">
        <v>14.249244171487</v>
      </c>
      <c r="K762" s="6">
        <v>15.103873965764199</v>
      </c>
      <c r="L762" s="6">
        <v>15.7634109594681</v>
      </c>
      <c r="M762" s="6">
        <v>14.0363546630419</v>
      </c>
      <c r="N762" s="6">
        <v>15.002874487740501</v>
      </c>
      <c r="O762" s="6">
        <v>15.5248635893503</v>
      </c>
      <c r="P762" s="6">
        <v>14.9797972849533</v>
      </c>
      <c r="Q762" s="6">
        <v>14.339397255536401</v>
      </c>
    </row>
    <row r="763" spans="1:17">
      <c r="A763" s="6" t="s">
        <v>8346</v>
      </c>
      <c r="B763" s="6" t="s">
        <v>458</v>
      </c>
      <c r="C763" s="6" t="s">
        <v>8347</v>
      </c>
      <c r="D763" s="6" t="s">
        <v>8348</v>
      </c>
      <c r="E763" s="6" t="s">
        <v>8349</v>
      </c>
      <c r="F763" s="6">
        <v>15.4454577116027</v>
      </c>
      <c r="G763" s="6">
        <v>15.033989820854201</v>
      </c>
      <c r="H763" s="6">
        <v>14.8935617535461</v>
      </c>
      <c r="I763" s="6">
        <v>15.8303537217511</v>
      </c>
      <c r="J763" s="6">
        <v>14.072631256362399</v>
      </c>
      <c r="K763" s="6">
        <v>14.865152142456999</v>
      </c>
      <c r="L763" s="6">
        <v>15.6678531576402</v>
      </c>
      <c r="M763" s="6">
        <v>13.9097872990212</v>
      </c>
      <c r="N763" s="6">
        <v>15.0814198003513</v>
      </c>
      <c r="O763" s="6">
        <v>15.4442011200574</v>
      </c>
      <c r="P763" s="6">
        <v>14.8836080983919</v>
      </c>
      <c r="Q763" s="6">
        <v>13.875604645685801</v>
      </c>
    </row>
    <row r="764" spans="1:17">
      <c r="A764" s="6" t="s">
        <v>8350</v>
      </c>
      <c r="B764" s="6" t="s">
        <v>8351</v>
      </c>
      <c r="C764" s="6" t="s">
        <v>8352</v>
      </c>
      <c r="D764" s="6" t="s">
        <v>8353</v>
      </c>
      <c r="E764" s="6" t="s">
        <v>8354</v>
      </c>
      <c r="F764" s="6">
        <v>15.4175300319228</v>
      </c>
      <c r="G764" s="6">
        <v>15.1037340496153</v>
      </c>
      <c r="H764" s="6">
        <v>15.0470589858501</v>
      </c>
      <c r="I764" s="6">
        <v>15.541522426958</v>
      </c>
      <c r="J764" s="6">
        <v>14.3724835688739</v>
      </c>
      <c r="K764" s="6">
        <v>15.026234990429501</v>
      </c>
      <c r="L764" s="6">
        <v>15.5319110252769</v>
      </c>
      <c r="M764" s="6">
        <v>14.031922806479001</v>
      </c>
      <c r="N764" s="6">
        <v>14.588716912345101</v>
      </c>
      <c r="O764" s="6">
        <v>15.2266769956201</v>
      </c>
      <c r="P764" s="6">
        <v>15.6276596400924</v>
      </c>
      <c r="Q764" s="6">
        <v>13.713480811642199</v>
      </c>
    </row>
    <row r="765" spans="1:17">
      <c r="A765" s="6" t="s">
        <v>1608</v>
      </c>
      <c r="B765" s="6" t="s">
        <v>1608</v>
      </c>
      <c r="C765" s="6" t="s">
        <v>8355</v>
      </c>
      <c r="D765" s="6" t="s">
        <v>8356</v>
      </c>
      <c r="E765" s="6" t="s">
        <v>8356</v>
      </c>
      <c r="F765" s="6">
        <v>15.6573714055779</v>
      </c>
      <c r="G765" s="6">
        <v>15.029171064758801</v>
      </c>
      <c r="H765" s="6">
        <v>14.757957980394901</v>
      </c>
      <c r="I765" s="6">
        <v>15.842546927295</v>
      </c>
      <c r="J765" s="6">
        <v>14.5018697135412</v>
      </c>
      <c r="K765" s="6">
        <v>15.0883486855196</v>
      </c>
      <c r="L765" s="6">
        <v>15.4192876042008</v>
      </c>
      <c r="M765" s="6">
        <v>13.8634806227897</v>
      </c>
      <c r="N765" s="6">
        <v>14.3892865253491</v>
      </c>
      <c r="O765" s="6">
        <v>15.125002817190801</v>
      </c>
      <c r="P765" s="6">
        <v>15.0611055293863</v>
      </c>
      <c r="Q765" s="6">
        <v>14.0429720364804</v>
      </c>
    </row>
    <row r="766" spans="1:17">
      <c r="A766" s="6" t="s">
        <v>8357</v>
      </c>
      <c r="B766" s="6" t="s">
        <v>8358</v>
      </c>
      <c r="C766" s="6" t="s">
        <v>8359</v>
      </c>
      <c r="D766" s="6" t="s">
        <v>8360</v>
      </c>
      <c r="E766" s="6" t="s">
        <v>8361</v>
      </c>
      <c r="F766" s="6">
        <v>14.047553451970501</v>
      </c>
      <c r="G766" s="6">
        <v>15.1110946125455</v>
      </c>
      <c r="H766" s="6">
        <v>15.3092341508637</v>
      </c>
      <c r="I766" s="6">
        <v>15.101807347562699</v>
      </c>
      <c r="J766" s="6">
        <v>15.292036531804399</v>
      </c>
      <c r="K766" s="6">
        <v>15.066769590402201</v>
      </c>
      <c r="L766" s="6">
        <v>15.1810973037098</v>
      </c>
      <c r="M766" s="6">
        <v>15.3648342639635</v>
      </c>
      <c r="N766" s="6">
        <v>15.626749933528099</v>
      </c>
      <c r="O766" s="6">
        <v>14.0429507013072</v>
      </c>
      <c r="P766" s="6">
        <v>14.3949460067976</v>
      </c>
      <c r="Q766" s="6">
        <v>15.1100495437737</v>
      </c>
    </row>
    <row r="767" spans="1:17">
      <c r="A767" s="6" t="s">
        <v>8362</v>
      </c>
      <c r="B767" s="6" t="s">
        <v>8362</v>
      </c>
      <c r="C767" s="6" t="s">
        <v>8363</v>
      </c>
      <c r="D767" s="6" t="s">
        <v>8364</v>
      </c>
      <c r="E767" s="6" t="s">
        <v>8364</v>
      </c>
      <c r="F767" s="6" t="s">
        <v>6254</v>
      </c>
      <c r="G767" s="6">
        <v>17.136851187613001</v>
      </c>
      <c r="H767" s="6" t="s">
        <v>6254</v>
      </c>
      <c r="I767" s="6" t="s">
        <v>6254</v>
      </c>
      <c r="J767" s="6" t="s">
        <v>6254</v>
      </c>
      <c r="K767" s="6" t="s">
        <v>6254</v>
      </c>
      <c r="L767" s="6" t="s">
        <v>6254</v>
      </c>
      <c r="M767" s="6" t="s">
        <v>6254</v>
      </c>
      <c r="N767" s="6" t="s">
        <v>6254</v>
      </c>
      <c r="O767" s="6" t="s">
        <v>6254</v>
      </c>
      <c r="P767" s="6" t="s">
        <v>6254</v>
      </c>
      <c r="Q767" s="6" t="s">
        <v>6254</v>
      </c>
    </row>
    <row r="768" spans="1:17">
      <c r="A768" s="6" t="s">
        <v>1937</v>
      </c>
      <c r="B768" s="6" t="s">
        <v>1937</v>
      </c>
      <c r="C768" s="6" t="s">
        <v>8365</v>
      </c>
      <c r="D768" s="6" t="s">
        <v>8366</v>
      </c>
      <c r="E768" s="6" t="s">
        <v>8366</v>
      </c>
      <c r="F768" s="6">
        <v>15.289567826576899</v>
      </c>
      <c r="G768" s="6">
        <v>15.057603193560899</v>
      </c>
      <c r="H768" s="6">
        <v>15.1197664170581</v>
      </c>
      <c r="I768" s="6">
        <v>15.7327998127278</v>
      </c>
      <c r="J768" s="6">
        <v>14.383077547429</v>
      </c>
      <c r="K768" s="6">
        <v>14.992430464580201</v>
      </c>
      <c r="L768" s="6">
        <v>15.550559522137901</v>
      </c>
      <c r="M768" s="6">
        <v>14.5733344657693</v>
      </c>
      <c r="N768" s="6">
        <v>14.6452290663455</v>
      </c>
      <c r="O768" s="6">
        <v>15.2585432295547</v>
      </c>
      <c r="P768" s="6">
        <v>15.0454648257014</v>
      </c>
      <c r="Q768" s="6">
        <v>13.896326659187901</v>
      </c>
    </row>
    <row r="769" spans="1:17">
      <c r="A769" s="6" t="s">
        <v>517</v>
      </c>
      <c r="B769" s="6" t="s">
        <v>517</v>
      </c>
      <c r="C769" s="6" t="s">
        <v>8367</v>
      </c>
      <c r="D769" s="6" t="s">
        <v>8368</v>
      </c>
      <c r="E769" s="6" t="s">
        <v>8368</v>
      </c>
      <c r="F769" s="6">
        <v>15.550498890445599</v>
      </c>
      <c r="G769" s="6">
        <v>15.3022364138247</v>
      </c>
      <c r="H769" s="6">
        <v>14.840819561789299</v>
      </c>
      <c r="I769" s="6">
        <v>15.196277470298501</v>
      </c>
      <c r="J769" s="6">
        <v>14.207890150088099</v>
      </c>
      <c r="K769" s="6">
        <v>14.0512733119443</v>
      </c>
      <c r="L769" s="6">
        <v>15.2416396313617</v>
      </c>
      <c r="M769" s="6">
        <v>13.952760990835699</v>
      </c>
      <c r="N769" s="6">
        <v>14.7537595512838</v>
      </c>
      <c r="O769" s="6">
        <v>15.1521427521542</v>
      </c>
      <c r="P769" s="6">
        <v>15.7419652394205</v>
      </c>
      <c r="Q769" s="6">
        <v>13.853657708796501</v>
      </c>
    </row>
    <row r="770" spans="1:17">
      <c r="A770" s="6" t="s">
        <v>8369</v>
      </c>
      <c r="B770" s="6" t="s">
        <v>8370</v>
      </c>
      <c r="C770" s="6" t="s">
        <v>8371</v>
      </c>
      <c r="D770" s="6" t="s">
        <v>8372</v>
      </c>
      <c r="E770" s="6" t="s">
        <v>8373</v>
      </c>
      <c r="F770" s="6">
        <v>14.8712907965462</v>
      </c>
      <c r="G770" s="6" t="s">
        <v>6254</v>
      </c>
      <c r="H770" s="6">
        <v>14.8339654952595</v>
      </c>
      <c r="I770" s="6">
        <v>15.7286552908245</v>
      </c>
      <c r="J770" s="6" t="s">
        <v>6254</v>
      </c>
      <c r="K770" s="6">
        <v>14.230943406895801</v>
      </c>
      <c r="L770" s="6">
        <v>15.939694197951299</v>
      </c>
      <c r="M770" s="6">
        <v>14.6103229492716</v>
      </c>
      <c r="N770" s="6">
        <v>14.391360835828401</v>
      </c>
      <c r="O770" s="6">
        <v>15.138023997695299</v>
      </c>
      <c r="P770" s="6" t="s">
        <v>6254</v>
      </c>
      <c r="Q770" s="6" t="s">
        <v>6254</v>
      </c>
    </row>
    <row r="771" spans="1:17">
      <c r="A771" s="6" t="s">
        <v>8374</v>
      </c>
      <c r="B771" s="6" t="s">
        <v>8375</v>
      </c>
      <c r="C771" s="6" t="s">
        <v>8376</v>
      </c>
      <c r="D771" s="6" t="s">
        <v>8377</v>
      </c>
      <c r="E771" s="6" t="s">
        <v>8378</v>
      </c>
      <c r="F771" s="6" t="s">
        <v>6254</v>
      </c>
      <c r="G771" s="6" t="s">
        <v>6254</v>
      </c>
      <c r="H771" s="6" t="s">
        <v>6254</v>
      </c>
      <c r="I771" s="6">
        <v>14.3469756505097</v>
      </c>
      <c r="J771" s="6" t="s">
        <v>6254</v>
      </c>
      <c r="K771" s="6" t="s">
        <v>6254</v>
      </c>
      <c r="L771" s="6">
        <v>16.223802373039501</v>
      </c>
      <c r="M771" s="6" t="s">
        <v>6254</v>
      </c>
      <c r="N771" s="6" t="s">
        <v>6254</v>
      </c>
      <c r="O771" s="6" t="s">
        <v>6254</v>
      </c>
      <c r="P771" s="6" t="s">
        <v>6254</v>
      </c>
      <c r="Q771" s="6" t="s">
        <v>6254</v>
      </c>
    </row>
    <row r="772" spans="1:17">
      <c r="A772" s="6" t="s">
        <v>8379</v>
      </c>
      <c r="B772" s="6" t="s">
        <v>8380</v>
      </c>
      <c r="C772" s="6" t="s">
        <v>8381</v>
      </c>
      <c r="D772" s="6" t="s">
        <v>8382</v>
      </c>
      <c r="E772" s="6" t="s">
        <v>8383</v>
      </c>
      <c r="F772" s="6">
        <v>15.438897902319001</v>
      </c>
      <c r="G772" s="6">
        <v>14.957639447922</v>
      </c>
      <c r="H772" s="6">
        <v>15.2241198640661</v>
      </c>
      <c r="I772" s="6">
        <v>15.631504939246501</v>
      </c>
      <c r="J772" s="6">
        <v>14.2650257115576</v>
      </c>
      <c r="K772" s="6">
        <v>14.903325814549</v>
      </c>
      <c r="L772" s="6">
        <v>15.613929071380101</v>
      </c>
      <c r="M772" s="6">
        <v>14.225510046595099</v>
      </c>
      <c r="N772" s="6">
        <v>15.1255899857044</v>
      </c>
      <c r="O772" s="6">
        <v>14.8105801851141</v>
      </c>
      <c r="P772" s="6">
        <v>15.385108414344501</v>
      </c>
      <c r="Q772" s="6">
        <v>13.386109653093801</v>
      </c>
    </row>
    <row r="773" spans="1:17">
      <c r="A773" s="6" t="s">
        <v>5381</v>
      </c>
      <c r="B773" s="6" t="s">
        <v>5381</v>
      </c>
      <c r="C773" s="6" t="s">
        <v>8384</v>
      </c>
      <c r="D773" s="6" t="s">
        <v>7509</v>
      </c>
      <c r="E773" s="6" t="s">
        <v>7509</v>
      </c>
      <c r="F773" s="6">
        <v>15.6563970913856</v>
      </c>
      <c r="G773" s="6" t="s">
        <v>6254</v>
      </c>
      <c r="H773" s="6" t="s">
        <v>6254</v>
      </c>
      <c r="I773" s="6">
        <v>14.669645502824199</v>
      </c>
      <c r="J773" s="6" t="s">
        <v>6254</v>
      </c>
      <c r="K773" s="6" t="s">
        <v>6254</v>
      </c>
      <c r="L773" s="6" t="s">
        <v>6254</v>
      </c>
      <c r="M773" s="6" t="s">
        <v>6254</v>
      </c>
      <c r="N773" s="6" t="s">
        <v>6254</v>
      </c>
      <c r="O773" s="6" t="s">
        <v>6254</v>
      </c>
      <c r="P773" s="6">
        <v>16.912522300007101</v>
      </c>
      <c r="Q773" s="6">
        <v>12.850924400257799</v>
      </c>
    </row>
    <row r="774" spans="1:17">
      <c r="A774" s="6" t="s">
        <v>1996</v>
      </c>
      <c r="B774" s="6" t="s">
        <v>1996</v>
      </c>
      <c r="C774" s="6" t="s">
        <v>8385</v>
      </c>
      <c r="D774" s="6" t="s">
        <v>8386</v>
      </c>
      <c r="E774" s="6" t="s">
        <v>8386</v>
      </c>
      <c r="F774" s="6">
        <v>15.7849498781347</v>
      </c>
      <c r="G774" s="6">
        <v>14.679735868761201</v>
      </c>
      <c r="H774" s="6">
        <v>15.0321638261786</v>
      </c>
      <c r="I774" s="6">
        <v>15.640905293714599</v>
      </c>
      <c r="J774" s="6">
        <v>13.924694217478599</v>
      </c>
      <c r="K774" s="6">
        <v>15.148399667016101</v>
      </c>
      <c r="L774" s="6">
        <v>15.7263130517332</v>
      </c>
      <c r="M774" s="6">
        <v>14.260381642682599</v>
      </c>
      <c r="N774" s="6">
        <v>14.880534156225099</v>
      </c>
      <c r="O774" s="6">
        <v>14.6733604190688</v>
      </c>
      <c r="P774" s="6">
        <v>14.6688645204034</v>
      </c>
      <c r="Q774" s="6">
        <v>14.013789525367599</v>
      </c>
    </row>
    <row r="775" spans="1:17">
      <c r="A775" s="6" t="s">
        <v>1091</v>
      </c>
      <c r="B775" s="6" t="s">
        <v>1091</v>
      </c>
      <c r="C775" s="6" t="s">
        <v>8387</v>
      </c>
      <c r="D775" s="6" t="s">
        <v>8388</v>
      </c>
      <c r="E775" s="6" t="s">
        <v>8388</v>
      </c>
      <c r="F775" s="6">
        <v>15.4534733365967</v>
      </c>
      <c r="G775" s="6">
        <v>14.985048477271</v>
      </c>
      <c r="H775" s="6">
        <v>14.875023612179399</v>
      </c>
      <c r="I775" s="6">
        <v>15.6669804148897</v>
      </c>
      <c r="J775" s="6">
        <v>14.167345844332001</v>
      </c>
      <c r="K775" s="6">
        <v>14.677293810032401</v>
      </c>
      <c r="L775" s="6">
        <v>15.4751452471482</v>
      </c>
      <c r="M775" s="6">
        <v>13.982436444120999</v>
      </c>
      <c r="N775" s="6">
        <v>14.649753908112899</v>
      </c>
      <c r="O775" s="6">
        <v>15.5252820385635</v>
      </c>
      <c r="P775" s="6">
        <v>15.3739957625864</v>
      </c>
      <c r="Q775" s="6">
        <v>13.6784104038215</v>
      </c>
    </row>
    <row r="776" spans="1:17">
      <c r="A776" s="6" t="s">
        <v>2266</v>
      </c>
      <c r="B776" s="6" t="s">
        <v>2268</v>
      </c>
      <c r="C776" s="6" t="s">
        <v>8389</v>
      </c>
      <c r="D776" s="6" t="s">
        <v>8390</v>
      </c>
      <c r="E776" s="6" t="s">
        <v>8391</v>
      </c>
      <c r="F776" s="6">
        <v>15.3021754285868</v>
      </c>
      <c r="G776" s="6">
        <v>14.9686224948099</v>
      </c>
      <c r="H776" s="6">
        <v>14.804775560529199</v>
      </c>
      <c r="I776" s="6">
        <v>15.4181348858801</v>
      </c>
      <c r="J776" s="6">
        <v>14.511964651032899</v>
      </c>
      <c r="K776" s="6">
        <v>14.6379520793047</v>
      </c>
      <c r="L776" s="6">
        <v>15.2664620190438</v>
      </c>
      <c r="M776" s="6">
        <v>14.0628872810614</v>
      </c>
      <c r="N776" s="6">
        <v>14.5534719876539</v>
      </c>
      <c r="O776" s="6">
        <v>15.524665489417099</v>
      </c>
      <c r="P776" s="6">
        <v>15.3477053926393</v>
      </c>
      <c r="Q776" s="6">
        <v>14.627934719945699</v>
      </c>
    </row>
    <row r="777" spans="1:17">
      <c r="A777" s="6" t="s">
        <v>8392</v>
      </c>
      <c r="B777" s="6" t="s">
        <v>8393</v>
      </c>
      <c r="C777" s="6" t="s">
        <v>8394</v>
      </c>
      <c r="D777" s="6" t="s">
        <v>8395</v>
      </c>
      <c r="E777" s="6" t="s">
        <v>8396</v>
      </c>
      <c r="F777" s="6">
        <v>14.1076201015461</v>
      </c>
      <c r="G777" s="6">
        <v>14.3721755299373</v>
      </c>
      <c r="H777" s="6">
        <v>15.7023875493578</v>
      </c>
      <c r="I777" s="6">
        <v>15.740339606980699</v>
      </c>
      <c r="J777" s="6">
        <v>14.4198873625445</v>
      </c>
      <c r="K777" s="6">
        <v>15.477251625225501</v>
      </c>
      <c r="L777" s="6">
        <v>16.0626890752302</v>
      </c>
      <c r="M777" s="6">
        <v>14.207048393670901</v>
      </c>
      <c r="N777" s="6">
        <v>14.7750656257922</v>
      </c>
      <c r="O777" s="6">
        <v>14.9558497941493</v>
      </c>
      <c r="P777" s="6">
        <v>14.9617650504276</v>
      </c>
      <c r="Q777" s="6" t="s">
        <v>6254</v>
      </c>
    </row>
    <row r="778" spans="1:17">
      <c r="A778" s="6" t="s">
        <v>1784</v>
      </c>
      <c r="B778" s="6" t="s">
        <v>1784</v>
      </c>
      <c r="C778" s="6" t="s">
        <v>1784</v>
      </c>
      <c r="D778" s="6" t="s">
        <v>1784</v>
      </c>
      <c r="E778" s="6" t="s">
        <v>1784</v>
      </c>
      <c r="F778" s="6" t="s">
        <v>6254</v>
      </c>
      <c r="G778" s="6" t="s">
        <v>6254</v>
      </c>
      <c r="H778" s="6" t="s">
        <v>6254</v>
      </c>
      <c r="I778" s="6">
        <v>15.701498544498699</v>
      </c>
      <c r="J778" s="6" t="s">
        <v>6254</v>
      </c>
      <c r="K778" s="6">
        <v>15.3728706228621</v>
      </c>
      <c r="L778" s="6">
        <v>15.260400812021301</v>
      </c>
      <c r="M778" s="6" t="s">
        <v>6254</v>
      </c>
      <c r="N778" s="6">
        <v>14.2671379953302</v>
      </c>
      <c r="O778" s="6" t="s">
        <v>6254</v>
      </c>
      <c r="P778" s="6" t="s">
        <v>6254</v>
      </c>
      <c r="Q778" s="6" t="s">
        <v>6254</v>
      </c>
    </row>
    <row r="779" spans="1:17">
      <c r="A779" s="6" t="s">
        <v>843</v>
      </c>
      <c r="B779" s="6" t="s">
        <v>843</v>
      </c>
      <c r="C779" s="6" t="s">
        <v>8397</v>
      </c>
      <c r="D779" s="6" t="s">
        <v>8398</v>
      </c>
      <c r="E779" s="6" t="s">
        <v>8398</v>
      </c>
      <c r="F779" s="6">
        <v>15.4885288732895</v>
      </c>
      <c r="G779" s="6">
        <v>14.955731055503099</v>
      </c>
      <c r="H779" s="6">
        <v>14.936260067632601</v>
      </c>
      <c r="I779" s="6">
        <v>15.3985056409414</v>
      </c>
      <c r="J779" s="6">
        <v>14.3317878642205</v>
      </c>
      <c r="K779" s="6">
        <v>14.7865200526447</v>
      </c>
      <c r="L779" s="6">
        <v>15.478187265360599</v>
      </c>
      <c r="M779" s="6">
        <v>14.040695607139901</v>
      </c>
      <c r="N779" s="6">
        <v>14.800077252029601</v>
      </c>
      <c r="O779" s="6">
        <v>15.348976800073499</v>
      </c>
      <c r="P779" s="6">
        <v>15.115075588296801</v>
      </c>
      <c r="Q779" s="6">
        <v>13.849566901749499</v>
      </c>
    </row>
    <row r="780" spans="1:17">
      <c r="A780" s="6" t="s">
        <v>8399</v>
      </c>
      <c r="B780" s="6" t="s">
        <v>8399</v>
      </c>
      <c r="C780" s="6" t="s">
        <v>8400</v>
      </c>
      <c r="D780" s="6" t="s">
        <v>8401</v>
      </c>
      <c r="E780" s="6" t="s">
        <v>8401</v>
      </c>
      <c r="F780" s="6">
        <v>16.791392266664499</v>
      </c>
      <c r="G780" s="6">
        <v>15.426468010564401</v>
      </c>
      <c r="H780" s="6">
        <v>12.8516926356765</v>
      </c>
      <c r="I780" s="6">
        <v>16.0994187547021</v>
      </c>
      <c r="J780" s="6">
        <v>15.286360094916301</v>
      </c>
      <c r="K780" s="6">
        <v>14.675839385039099</v>
      </c>
      <c r="L780" s="6">
        <v>15.795051682741001</v>
      </c>
      <c r="M780" s="6">
        <v>15.7768637277628</v>
      </c>
      <c r="N780" s="6">
        <v>16.6512524704548</v>
      </c>
      <c r="O780" s="6">
        <v>15.3960335686284</v>
      </c>
      <c r="P780" s="6">
        <v>12.982003564658701</v>
      </c>
      <c r="Q780" s="6">
        <v>13.869558277256999</v>
      </c>
    </row>
    <row r="781" spans="1:17">
      <c r="A781" s="6" t="s">
        <v>8402</v>
      </c>
      <c r="B781" s="6" t="s">
        <v>8403</v>
      </c>
      <c r="C781" s="6" t="s">
        <v>8404</v>
      </c>
      <c r="D781" s="6" t="s">
        <v>8405</v>
      </c>
      <c r="E781" s="6" t="s">
        <v>8406</v>
      </c>
      <c r="F781" s="6">
        <v>15.191769422983301</v>
      </c>
      <c r="G781" s="6">
        <v>14.767291183191499</v>
      </c>
      <c r="H781" s="6">
        <v>15.041556432841199</v>
      </c>
      <c r="I781" s="6">
        <v>15.9167410556463</v>
      </c>
      <c r="J781" s="6">
        <v>14.519798079062401</v>
      </c>
      <c r="K781" s="6">
        <v>15.015949944852601</v>
      </c>
      <c r="L781" s="6">
        <v>15.382170626264299</v>
      </c>
      <c r="M781" s="6">
        <v>14.411369812582199</v>
      </c>
      <c r="N781" s="6">
        <v>14.650950075384101</v>
      </c>
      <c r="O781" s="6">
        <v>15.351657278632899</v>
      </c>
      <c r="P781" s="6">
        <v>15.4245058777518</v>
      </c>
      <c r="Q781" s="6">
        <v>13.5657633788809</v>
      </c>
    </row>
    <row r="782" spans="1:17">
      <c r="A782" s="6" t="s">
        <v>8407</v>
      </c>
      <c r="B782" s="6" t="s">
        <v>8407</v>
      </c>
      <c r="C782" s="6" t="s">
        <v>8408</v>
      </c>
      <c r="D782" s="6" t="s">
        <v>8409</v>
      </c>
      <c r="E782" s="6" t="s">
        <v>8409</v>
      </c>
      <c r="F782" s="6">
        <v>15.6143439566093</v>
      </c>
      <c r="G782" s="6">
        <v>14.557089265843899</v>
      </c>
      <c r="H782" s="6">
        <v>14.989932884534801</v>
      </c>
      <c r="I782" s="6">
        <v>15.5562437806884</v>
      </c>
      <c r="J782" s="6">
        <v>14.153992095453299</v>
      </c>
      <c r="K782" s="6">
        <v>15.194192040973199</v>
      </c>
      <c r="L782" s="6">
        <v>15.6672851286918</v>
      </c>
      <c r="M782" s="6">
        <v>14.298669870569601</v>
      </c>
      <c r="N782" s="6">
        <v>14.915106215424499</v>
      </c>
      <c r="O782" s="6">
        <v>15.075512427085901</v>
      </c>
      <c r="P782" s="6">
        <v>15.393958260188301</v>
      </c>
      <c r="Q782" s="6">
        <v>13.6644310205445</v>
      </c>
    </row>
    <row r="783" spans="1:17">
      <c r="A783" s="6" t="s">
        <v>3227</v>
      </c>
      <c r="B783" s="6" t="s">
        <v>3227</v>
      </c>
      <c r="C783" s="6" t="s">
        <v>8410</v>
      </c>
      <c r="D783" s="6" t="s">
        <v>8411</v>
      </c>
      <c r="E783" s="6" t="s">
        <v>8411</v>
      </c>
      <c r="F783" s="6">
        <v>15.7737759439547</v>
      </c>
      <c r="G783" s="6">
        <v>14.226003909265801</v>
      </c>
      <c r="H783" s="6">
        <v>14.9798593055919</v>
      </c>
      <c r="I783" s="6">
        <v>16.582740518568301</v>
      </c>
      <c r="J783" s="6">
        <v>14.0746791543584</v>
      </c>
      <c r="K783" s="6">
        <v>15.587354472985099</v>
      </c>
      <c r="L783" s="6">
        <v>16.154287170305199</v>
      </c>
      <c r="M783" s="6" t="s">
        <v>6254</v>
      </c>
      <c r="N783" s="6">
        <v>14.9976314239763</v>
      </c>
      <c r="O783" s="6">
        <v>15.044585899585901</v>
      </c>
      <c r="P783" s="6">
        <v>15.732215760595601</v>
      </c>
      <c r="Q783" s="6">
        <v>13.0831256992186</v>
      </c>
    </row>
    <row r="784" spans="1:17">
      <c r="A784" s="6" t="s">
        <v>8412</v>
      </c>
      <c r="B784" s="6" t="s">
        <v>8412</v>
      </c>
      <c r="C784" s="6" t="s">
        <v>8413</v>
      </c>
      <c r="D784" s="6" t="s">
        <v>8414</v>
      </c>
      <c r="E784" s="6" t="s">
        <v>8414</v>
      </c>
      <c r="F784" s="6">
        <v>15.5370143087261</v>
      </c>
      <c r="G784" s="6">
        <v>15.0860820929806</v>
      </c>
      <c r="H784" s="6">
        <v>14.9965249074857</v>
      </c>
      <c r="I784" s="6">
        <v>15.809030787756001</v>
      </c>
      <c r="J784" s="6">
        <v>14.5196595321061</v>
      </c>
      <c r="K784" s="6">
        <v>14.983703399484501</v>
      </c>
      <c r="L784" s="6">
        <v>15.407647699578201</v>
      </c>
      <c r="M784" s="6">
        <v>13.9564185519978</v>
      </c>
      <c r="N784" s="6">
        <v>13.687380019054601</v>
      </c>
      <c r="O784" s="6">
        <v>15.213462131681601</v>
      </c>
      <c r="P784" s="6">
        <v>15.6883757364637</v>
      </c>
      <c r="Q784" s="6">
        <v>14.140537605232501</v>
      </c>
    </row>
    <row r="785" spans="1:17">
      <c r="A785" s="6" t="s">
        <v>2844</v>
      </c>
      <c r="B785" s="6" t="s">
        <v>2844</v>
      </c>
      <c r="C785" s="6" t="s">
        <v>8415</v>
      </c>
      <c r="D785" s="6" t="s">
        <v>8416</v>
      </c>
      <c r="E785" s="6" t="s">
        <v>8416</v>
      </c>
      <c r="F785" s="6">
        <v>15.6819419166359</v>
      </c>
      <c r="G785" s="6">
        <v>14.891307958875201</v>
      </c>
      <c r="H785" s="6">
        <v>15.345271387425299</v>
      </c>
      <c r="I785" s="6">
        <v>15.9206819896126</v>
      </c>
      <c r="J785" s="6">
        <v>14.256958777208199</v>
      </c>
      <c r="K785" s="6" t="s">
        <v>6254</v>
      </c>
      <c r="L785" s="6">
        <v>15.545960467195099</v>
      </c>
      <c r="M785" s="6" t="s">
        <v>6254</v>
      </c>
      <c r="N785" s="6">
        <v>14.3534728968762</v>
      </c>
      <c r="O785" s="6">
        <v>15.362973149830401</v>
      </c>
      <c r="P785" s="6">
        <v>15.236923553205701</v>
      </c>
      <c r="Q785" s="6">
        <v>13.6404709218583</v>
      </c>
    </row>
    <row r="786" spans="1:17">
      <c r="A786" s="6" t="s">
        <v>2131</v>
      </c>
      <c r="B786" s="6" t="s">
        <v>2131</v>
      </c>
      <c r="C786" s="6" t="s">
        <v>8417</v>
      </c>
      <c r="D786" s="6" t="s">
        <v>8418</v>
      </c>
      <c r="E786" s="6" t="s">
        <v>8418</v>
      </c>
      <c r="F786" s="6">
        <v>15.4953459521829</v>
      </c>
      <c r="G786" s="6">
        <v>15.2022468902532</v>
      </c>
      <c r="H786" s="6">
        <v>15.105109874870401</v>
      </c>
      <c r="I786" s="6">
        <v>15.703736847609401</v>
      </c>
      <c r="J786" s="6">
        <v>14.4655005479111</v>
      </c>
      <c r="K786" s="6">
        <v>14.802286990972901</v>
      </c>
      <c r="L786" s="6">
        <v>15.572282829720701</v>
      </c>
      <c r="M786" s="6">
        <v>14.215102527931901</v>
      </c>
      <c r="N786" s="6">
        <v>15.0834468019741</v>
      </c>
      <c r="O786" s="6">
        <v>15.0979044186019</v>
      </c>
      <c r="P786" s="6">
        <v>15.160920396517399</v>
      </c>
      <c r="Q786" s="6">
        <v>13.96665822596</v>
      </c>
    </row>
    <row r="787" spans="1:17">
      <c r="A787" s="6" t="s">
        <v>1533</v>
      </c>
      <c r="B787" s="6" t="s">
        <v>1533</v>
      </c>
      <c r="C787" s="6" t="s">
        <v>8419</v>
      </c>
      <c r="D787" s="6" t="s">
        <v>8420</v>
      </c>
      <c r="E787" s="6" t="s">
        <v>8420</v>
      </c>
      <c r="F787" s="6">
        <v>15.514414850891701</v>
      </c>
      <c r="G787" s="6">
        <v>15.109547426365999</v>
      </c>
      <c r="H787" s="6">
        <v>14.900568802115799</v>
      </c>
      <c r="I787" s="6">
        <v>16.180098059986999</v>
      </c>
      <c r="J787" s="6">
        <v>14.1542874335953</v>
      </c>
      <c r="K787" s="6">
        <v>15.3289137509138</v>
      </c>
      <c r="L787" s="6">
        <v>15.676403418695401</v>
      </c>
      <c r="M787" s="6">
        <v>14.130679768680301</v>
      </c>
      <c r="N787" s="6">
        <v>14.631514846849401</v>
      </c>
      <c r="O787" s="6">
        <v>14.8015480326216</v>
      </c>
      <c r="P787" s="6">
        <v>15.0193398006049</v>
      </c>
      <c r="Q787" s="6">
        <v>13.891797939073401</v>
      </c>
    </row>
    <row r="788" spans="1:17">
      <c r="A788" s="6" t="s">
        <v>2985</v>
      </c>
      <c r="B788" s="6" t="s">
        <v>2987</v>
      </c>
      <c r="C788" s="6" t="s">
        <v>8421</v>
      </c>
      <c r="D788" s="6" t="s">
        <v>8422</v>
      </c>
      <c r="E788" s="6" t="s">
        <v>8423</v>
      </c>
      <c r="F788" s="6">
        <v>15.2182803218013</v>
      </c>
      <c r="G788" s="6">
        <v>14.406732774394699</v>
      </c>
      <c r="H788" s="6">
        <v>14.708677368442901</v>
      </c>
      <c r="I788" s="6">
        <v>15.795122157822</v>
      </c>
      <c r="J788" s="6">
        <v>14.3829745906773</v>
      </c>
      <c r="K788" s="6">
        <v>14.931668120288</v>
      </c>
      <c r="L788" s="6">
        <v>15.1534290265138</v>
      </c>
      <c r="M788" s="6">
        <v>14.2548944023071</v>
      </c>
      <c r="N788" s="6">
        <v>14.266464754083</v>
      </c>
      <c r="O788" s="6">
        <v>15.324975207588601</v>
      </c>
      <c r="P788" s="6">
        <v>15.110313904475399</v>
      </c>
      <c r="Q788" s="6" t="s">
        <v>6254</v>
      </c>
    </row>
    <row r="789" spans="1:17">
      <c r="A789" s="6" t="s">
        <v>8424</v>
      </c>
      <c r="B789" s="6" t="s">
        <v>8425</v>
      </c>
      <c r="C789" s="6" t="s">
        <v>8426</v>
      </c>
      <c r="D789" s="6" t="s">
        <v>8427</v>
      </c>
      <c r="E789" s="6" t="s">
        <v>8428</v>
      </c>
      <c r="F789" s="6" t="s">
        <v>6254</v>
      </c>
      <c r="G789" s="6">
        <v>15.536707992109999</v>
      </c>
      <c r="H789" s="6" t="s">
        <v>6254</v>
      </c>
      <c r="I789" s="6">
        <v>15.4046762232313</v>
      </c>
      <c r="J789" s="6" t="s">
        <v>6254</v>
      </c>
      <c r="K789" s="6">
        <v>14.998180219311701</v>
      </c>
      <c r="L789" s="6">
        <v>15.129777031732401</v>
      </c>
      <c r="M789" s="6" t="s">
        <v>6254</v>
      </c>
      <c r="N789" s="6">
        <v>13.637001524742301</v>
      </c>
      <c r="O789" s="6">
        <v>15.248277806893199</v>
      </c>
      <c r="P789" s="6">
        <v>15.2958437852307</v>
      </c>
      <c r="Q789" s="6" t="s">
        <v>6254</v>
      </c>
    </row>
    <row r="790" spans="1:17">
      <c r="A790" s="6" t="s">
        <v>674</v>
      </c>
      <c r="B790" s="6" t="s">
        <v>674</v>
      </c>
      <c r="C790" s="6" t="s">
        <v>8429</v>
      </c>
      <c r="D790" s="6" t="s">
        <v>8430</v>
      </c>
      <c r="E790" s="6" t="s">
        <v>8430</v>
      </c>
      <c r="F790" s="6">
        <v>15.270048168301001</v>
      </c>
      <c r="G790" s="6">
        <v>14.676871388971399</v>
      </c>
      <c r="H790" s="6">
        <v>15.2052789277356</v>
      </c>
      <c r="I790" s="6">
        <v>15.473122413957601</v>
      </c>
      <c r="J790" s="6">
        <v>14.235428776852901</v>
      </c>
      <c r="K790" s="6">
        <v>15.2335539984054</v>
      </c>
      <c r="L790" s="6">
        <v>15.6074403603851</v>
      </c>
      <c r="M790" s="6">
        <v>14.3194312867851</v>
      </c>
      <c r="N790" s="6">
        <v>14.692821871758399</v>
      </c>
      <c r="O790" s="6">
        <v>15.117956761500499</v>
      </c>
      <c r="P790" s="6">
        <v>15.3583387855076</v>
      </c>
      <c r="Q790" s="6">
        <v>14.0373196254888</v>
      </c>
    </row>
    <row r="791" spans="1:17">
      <c r="A791" s="6" t="s">
        <v>3458</v>
      </c>
      <c r="B791" s="6" t="s">
        <v>3458</v>
      </c>
      <c r="C791" s="6" t="s">
        <v>8431</v>
      </c>
      <c r="D791" s="6" t="s">
        <v>8432</v>
      </c>
      <c r="E791" s="6" t="s">
        <v>8432</v>
      </c>
      <c r="F791" s="6">
        <v>15.1340802079384</v>
      </c>
      <c r="G791" s="6">
        <v>14.2448836153328</v>
      </c>
      <c r="H791" s="6">
        <v>14.9665053512027</v>
      </c>
      <c r="I791" s="6">
        <v>15.8811974047963</v>
      </c>
      <c r="J791" s="6">
        <v>12.815864872755901</v>
      </c>
      <c r="K791" s="6">
        <v>15.328163522509101</v>
      </c>
      <c r="L791" s="6">
        <v>15.52545927059</v>
      </c>
      <c r="M791" s="6" t="s">
        <v>6254</v>
      </c>
      <c r="N791" s="6">
        <v>14.035308256903299</v>
      </c>
      <c r="O791" s="6">
        <v>14.244631018684499</v>
      </c>
      <c r="P791" s="6">
        <v>15.422810478115901</v>
      </c>
      <c r="Q791" s="6">
        <v>12.707714185691801</v>
      </c>
    </row>
    <row r="792" spans="1:17">
      <c r="A792" s="6" t="s">
        <v>3767</v>
      </c>
      <c r="B792" s="6" t="s">
        <v>3767</v>
      </c>
      <c r="C792" s="6" t="s">
        <v>8433</v>
      </c>
      <c r="D792" s="6" t="s">
        <v>8434</v>
      </c>
      <c r="E792" s="6" t="s">
        <v>8434</v>
      </c>
      <c r="F792" s="6">
        <v>15.483295469192401</v>
      </c>
      <c r="G792" s="6">
        <v>15.206725937613699</v>
      </c>
      <c r="H792" s="6">
        <v>15.059769644337299</v>
      </c>
      <c r="I792" s="6">
        <v>15.301999647295901</v>
      </c>
      <c r="J792" s="6">
        <v>13.727767768802901</v>
      </c>
      <c r="K792" s="6">
        <v>15.0253558079937</v>
      </c>
      <c r="L792" s="6">
        <v>15.5510103300102</v>
      </c>
      <c r="M792" s="6">
        <v>13.721124456022901</v>
      </c>
      <c r="N792" s="6">
        <v>14.5537554099344</v>
      </c>
      <c r="O792" s="6">
        <v>14.4023501190948</v>
      </c>
      <c r="P792" s="6">
        <v>14.0842463412827</v>
      </c>
      <c r="Q792" s="6">
        <v>14.1645481533159</v>
      </c>
    </row>
    <row r="793" spans="1:17">
      <c r="A793" s="6" t="s">
        <v>8435</v>
      </c>
      <c r="B793" s="6" t="s">
        <v>8436</v>
      </c>
      <c r="C793" s="6" t="s">
        <v>8437</v>
      </c>
      <c r="D793" s="6" t="s">
        <v>8438</v>
      </c>
      <c r="E793" s="6" t="s">
        <v>8439</v>
      </c>
      <c r="F793" s="6">
        <v>13.782069682347499</v>
      </c>
      <c r="G793" s="6">
        <v>14.4166580453869</v>
      </c>
      <c r="H793" s="6">
        <v>14.3504669711535</v>
      </c>
      <c r="I793" s="6">
        <v>15.9299315861876</v>
      </c>
      <c r="J793" s="6" t="s">
        <v>6254</v>
      </c>
      <c r="K793" s="6">
        <v>15.081218945576101</v>
      </c>
      <c r="L793" s="6">
        <v>16.594074549420501</v>
      </c>
      <c r="M793" s="6" t="s">
        <v>6254</v>
      </c>
      <c r="N793" s="6" t="s">
        <v>6254</v>
      </c>
      <c r="O793" s="6">
        <v>13.672232943356599</v>
      </c>
      <c r="P793" s="6">
        <v>14.1092989919114</v>
      </c>
      <c r="Q793" s="6" t="s">
        <v>6254</v>
      </c>
    </row>
    <row r="794" spans="1:17">
      <c r="A794" s="6" t="s">
        <v>427</v>
      </c>
      <c r="B794" s="6" t="s">
        <v>427</v>
      </c>
      <c r="C794" s="6" t="s">
        <v>8440</v>
      </c>
      <c r="D794" s="6" t="s">
        <v>8441</v>
      </c>
      <c r="E794" s="6" t="s">
        <v>8441</v>
      </c>
      <c r="F794" s="6">
        <v>15.3650119699103</v>
      </c>
      <c r="G794" s="6">
        <v>14.923534843641599</v>
      </c>
      <c r="H794" s="6">
        <v>14.996869193052</v>
      </c>
      <c r="I794" s="6">
        <v>15.746511993350101</v>
      </c>
      <c r="J794" s="6">
        <v>14.3378116292171</v>
      </c>
      <c r="K794" s="6">
        <v>14.9629044130533</v>
      </c>
      <c r="L794" s="6">
        <v>15.370168692367599</v>
      </c>
      <c r="M794" s="6">
        <v>14.146875423791499</v>
      </c>
      <c r="N794" s="6">
        <v>14.532731491276801</v>
      </c>
      <c r="O794" s="6">
        <v>15.357381115096301</v>
      </c>
      <c r="P794" s="6">
        <v>15.417488485327</v>
      </c>
      <c r="Q794" s="6">
        <v>13.7283729803417</v>
      </c>
    </row>
    <row r="795" spans="1:17">
      <c r="A795" s="6" t="s">
        <v>1415</v>
      </c>
      <c r="B795" s="6" t="s">
        <v>1415</v>
      </c>
      <c r="C795" s="6" t="s">
        <v>8442</v>
      </c>
      <c r="D795" s="6" t="s">
        <v>8443</v>
      </c>
      <c r="E795" s="6" t="s">
        <v>8443</v>
      </c>
      <c r="F795" s="6">
        <v>15.1389197728932</v>
      </c>
      <c r="G795" s="6">
        <v>15.0418204513315</v>
      </c>
      <c r="H795" s="6">
        <v>15.068154924421201</v>
      </c>
      <c r="I795" s="6">
        <v>15.425910175289401</v>
      </c>
      <c r="J795" s="6">
        <v>14.201211759205099</v>
      </c>
      <c r="K795" s="6">
        <v>15.117870884767701</v>
      </c>
      <c r="L795" s="6">
        <v>15.639430743940601</v>
      </c>
      <c r="M795" s="6">
        <v>14.2281377474963</v>
      </c>
      <c r="N795" s="6">
        <v>13.491614184080101</v>
      </c>
      <c r="O795" s="6">
        <v>15.344418864047</v>
      </c>
      <c r="P795" s="6">
        <v>14.9958099063769</v>
      </c>
      <c r="Q795" s="6">
        <v>14.353098149006099</v>
      </c>
    </row>
    <row r="796" spans="1:17">
      <c r="A796" s="6" t="s">
        <v>3633</v>
      </c>
      <c r="B796" s="6" t="s">
        <v>3633</v>
      </c>
      <c r="C796" s="6" t="s">
        <v>8444</v>
      </c>
      <c r="D796" s="6" t="s">
        <v>8445</v>
      </c>
      <c r="E796" s="6" t="s">
        <v>8445</v>
      </c>
      <c r="F796" s="6">
        <v>15.7305671812029</v>
      </c>
      <c r="G796" s="6">
        <v>14.922226112235199</v>
      </c>
      <c r="H796" s="6">
        <v>14.6100877069573</v>
      </c>
      <c r="I796" s="6">
        <v>15.6544795251849</v>
      </c>
      <c r="J796" s="6">
        <v>14.4048647447928</v>
      </c>
      <c r="K796" s="6" t="s">
        <v>6254</v>
      </c>
      <c r="L796" s="6">
        <v>15.3059875798084</v>
      </c>
      <c r="M796" s="6" t="s">
        <v>6254</v>
      </c>
      <c r="N796" s="6">
        <v>14.1070905615972</v>
      </c>
      <c r="O796" s="6" t="s">
        <v>6254</v>
      </c>
      <c r="P796" s="6">
        <v>15.3563431671449</v>
      </c>
      <c r="Q796" s="6">
        <v>14.2959293620516</v>
      </c>
    </row>
    <row r="797" spans="1:17">
      <c r="A797" s="6" t="s">
        <v>8446</v>
      </c>
      <c r="B797" s="6" t="s">
        <v>8447</v>
      </c>
      <c r="C797" s="6" t="s">
        <v>8448</v>
      </c>
      <c r="D797" s="6" t="s">
        <v>8449</v>
      </c>
      <c r="E797" s="6" t="s">
        <v>8450</v>
      </c>
      <c r="F797" s="6">
        <v>15.4768059232005</v>
      </c>
      <c r="G797" s="6">
        <v>14.166308148264701</v>
      </c>
      <c r="H797" s="6">
        <v>15.2219004073145</v>
      </c>
      <c r="I797" s="6">
        <v>15.8593802995358</v>
      </c>
      <c r="J797" s="6">
        <v>14.702906920203599</v>
      </c>
      <c r="K797" s="6">
        <v>15.1687707591555</v>
      </c>
      <c r="L797" s="6">
        <v>15.825445721063399</v>
      </c>
      <c r="M797" s="6">
        <v>14.3406333072137</v>
      </c>
      <c r="N797" s="6">
        <v>14.266479041091401</v>
      </c>
      <c r="O797" s="6">
        <v>15.304800913308</v>
      </c>
      <c r="P797" s="6">
        <v>15.167316773736401</v>
      </c>
      <c r="Q797" s="6" t="s">
        <v>6254</v>
      </c>
    </row>
    <row r="798" spans="1:17">
      <c r="A798" s="6" t="s">
        <v>8451</v>
      </c>
      <c r="B798" s="6" t="s">
        <v>8451</v>
      </c>
      <c r="C798" s="6" t="s">
        <v>8451</v>
      </c>
      <c r="D798" s="6" t="s">
        <v>8451</v>
      </c>
      <c r="E798" s="6" t="s">
        <v>8451</v>
      </c>
      <c r="F798" s="6" t="s">
        <v>6254</v>
      </c>
      <c r="G798" s="6" t="s">
        <v>6254</v>
      </c>
      <c r="H798" s="6" t="s">
        <v>6254</v>
      </c>
      <c r="I798" s="6">
        <v>14.802807420473201</v>
      </c>
      <c r="J798" s="6" t="s">
        <v>6254</v>
      </c>
      <c r="K798" s="6" t="s">
        <v>6254</v>
      </c>
      <c r="L798" s="6">
        <v>16.193767812233801</v>
      </c>
      <c r="M798" s="6" t="s">
        <v>6254</v>
      </c>
      <c r="N798" s="6">
        <v>15.9389807764408</v>
      </c>
      <c r="O798" s="6" t="s">
        <v>6254</v>
      </c>
      <c r="P798" s="6" t="s">
        <v>6254</v>
      </c>
      <c r="Q798" s="6" t="s">
        <v>6254</v>
      </c>
    </row>
    <row r="799" spans="1:17">
      <c r="A799" s="6" t="s">
        <v>8452</v>
      </c>
      <c r="B799" s="6" t="s">
        <v>8453</v>
      </c>
      <c r="C799" s="6" t="s">
        <v>8454</v>
      </c>
      <c r="D799" s="6" t="s">
        <v>8455</v>
      </c>
      <c r="E799" s="6" t="s">
        <v>8456</v>
      </c>
      <c r="F799" s="6">
        <v>15.382900159146599</v>
      </c>
      <c r="G799" s="6">
        <v>14.941083130244801</v>
      </c>
      <c r="H799" s="6">
        <v>15.0596093352388</v>
      </c>
      <c r="I799" s="6">
        <v>15.754813132811</v>
      </c>
      <c r="J799" s="6">
        <v>14.3249360006609</v>
      </c>
      <c r="K799" s="6">
        <v>14.876343228421099</v>
      </c>
      <c r="L799" s="6">
        <v>15.6028011259738</v>
      </c>
      <c r="M799" s="6">
        <v>14.1557563598417</v>
      </c>
      <c r="N799" s="6">
        <v>14.558820249993</v>
      </c>
      <c r="O799" s="6">
        <v>15.3194346930816</v>
      </c>
      <c r="P799" s="6">
        <v>15.0455754130939</v>
      </c>
      <c r="Q799" s="6">
        <v>13.680615514797701</v>
      </c>
    </row>
    <row r="800" spans="1:17">
      <c r="A800" s="6" t="s">
        <v>1396</v>
      </c>
      <c r="B800" s="6" t="s">
        <v>1396</v>
      </c>
      <c r="C800" s="6" t="s">
        <v>8457</v>
      </c>
      <c r="D800" s="6" t="s">
        <v>8458</v>
      </c>
      <c r="E800" s="6" t="s">
        <v>8458</v>
      </c>
      <c r="F800" s="6">
        <v>15.5129478017599</v>
      </c>
      <c r="G800" s="6">
        <v>15.3219640600758</v>
      </c>
      <c r="H800" s="6">
        <v>14.797034581520199</v>
      </c>
      <c r="I800" s="6">
        <v>15.5953526137351</v>
      </c>
      <c r="J800" s="6">
        <v>14.372477739384999</v>
      </c>
      <c r="K800" s="6">
        <v>14.867387772357</v>
      </c>
      <c r="L800" s="6">
        <v>15.235575673481099</v>
      </c>
      <c r="M800" s="6">
        <v>14.220684087823599</v>
      </c>
      <c r="N800" s="6">
        <v>14.536280593548801</v>
      </c>
      <c r="O800" s="6">
        <v>15.2017113505817</v>
      </c>
      <c r="P800" s="6">
        <v>15.410833772309401</v>
      </c>
      <c r="Q800" s="6">
        <v>14.513053731240699</v>
      </c>
    </row>
    <row r="801" spans="1:17">
      <c r="A801" s="6" t="s">
        <v>8459</v>
      </c>
      <c r="B801" s="6" t="s">
        <v>8460</v>
      </c>
      <c r="C801" s="6" t="s">
        <v>8461</v>
      </c>
      <c r="D801" s="6" t="s">
        <v>8462</v>
      </c>
      <c r="E801" s="6" t="s">
        <v>8463</v>
      </c>
      <c r="F801" s="6">
        <v>15.693655772785201</v>
      </c>
      <c r="G801" s="6">
        <v>14.821211690318</v>
      </c>
      <c r="H801" s="6">
        <v>15.2253374482786</v>
      </c>
      <c r="I801" s="6">
        <v>15.582946100985</v>
      </c>
      <c r="J801" s="6">
        <v>14.5534392434566</v>
      </c>
      <c r="K801" s="6">
        <v>15.2201326886002</v>
      </c>
      <c r="L801" s="6">
        <v>15.6952395443993</v>
      </c>
      <c r="M801" s="6">
        <v>13.2551296367766</v>
      </c>
      <c r="N801" s="6">
        <v>14.5317107322797</v>
      </c>
      <c r="O801" s="6">
        <v>15.222632116609701</v>
      </c>
      <c r="P801" s="6">
        <v>15.1100763259732</v>
      </c>
      <c r="Q801" s="6">
        <v>14.001326777408901</v>
      </c>
    </row>
    <row r="802" spans="1:17">
      <c r="A802" s="6" t="s">
        <v>1098</v>
      </c>
      <c r="B802" s="6" t="s">
        <v>1100</v>
      </c>
      <c r="C802" s="6" t="s">
        <v>8464</v>
      </c>
      <c r="D802" s="6" t="s">
        <v>8465</v>
      </c>
      <c r="E802" s="6" t="s">
        <v>8466</v>
      </c>
      <c r="F802" s="6">
        <v>15.582942408228099</v>
      </c>
      <c r="G802" s="6">
        <v>14.9473584658814</v>
      </c>
      <c r="H802" s="6">
        <v>14.9284341974901</v>
      </c>
      <c r="I802" s="6">
        <v>15.8556607470448</v>
      </c>
      <c r="J802" s="6">
        <v>14.585417650082301</v>
      </c>
      <c r="K802" s="6">
        <v>14.9560766725593</v>
      </c>
      <c r="L802" s="6">
        <v>15.2576088720269</v>
      </c>
      <c r="M802" s="6">
        <v>14.0429671630469</v>
      </c>
      <c r="N802" s="6">
        <v>14.186260868251599</v>
      </c>
      <c r="O802" s="6">
        <v>15.232909743344401</v>
      </c>
      <c r="P802" s="6">
        <v>15.2209404714276</v>
      </c>
      <c r="Q802" s="6">
        <v>13.553381403438999</v>
      </c>
    </row>
    <row r="803" spans="1:17">
      <c r="A803" s="6" t="s">
        <v>699</v>
      </c>
      <c r="B803" s="6" t="s">
        <v>699</v>
      </c>
      <c r="C803" s="6" t="s">
        <v>8467</v>
      </c>
      <c r="D803" s="6" t="s">
        <v>8468</v>
      </c>
      <c r="E803" s="6" t="s">
        <v>8468</v>
      </c>
      <c r="F803" s="6">
        <v>15.612710699753199</v>
      </c>
      <c r="G803" s="6">
        <v>14.990545104008699</v>
      </c>
      <c r="H803" s="6">
        <v>14.910476573480301</v>
      </c>
      <c r="I803" s="6">
        <v>15.6056520681531</v>
      </c>
      <c r="J803" s="6">
        <v>14.2645400108117</v>
      </c>
      <c r="K803" s="6">
        <v>14.760470562025599</v>
      </c>
      <c r="L803" s="6">
        <v>15.514759272181999</v>
      </c>
      <c r="M803" s="6">
        <v>13.914489164619001</v>
      </c>
      <c r="N803" s="6">
        <v>14.8086963385791</v>
      </c>
      <c r="O803" s="6">
        <v>15.2368712103519</v>
      </c>
      <c r="P803" s="6">
        <v>15.3604592594428</v>
      </c>
      <c r="Q803" s="6">
        <v>13.530388418503399</v>
      </c>
    </row>
    <row r="804" spans="1:17">
      <c r="A804" s="6" t="s">
        <v>8469</v>
      </c>
      <c r="B804" s="6" t="s">
        <v>8470</v>
      </c>
      <c r="C804" s="6" t="s">
        <v>8471</v>
      </c>
      <c r="D804" s="6" t="s">
        <v>8472</v>
      </c>
      <c r="E804" s="6" t="s">
        <v>8473</v>
      </c>
      <c r="F804" s="6">
        <v>14.3760655228419</v>
      </c>
      <c r="G804" s="6">
        <v>13.672561502863401</v>
      </c>
      <c r="H804" s="6" t="s">
        <v>6254</v>
      </c>
      <c r="I804" s="6" t="s">
        <v>6254</v>
      </c>
      <c r="J804" s="6">
        <v>13.539715989952199</v>
      </c>
      <c r="K804" s="6" t="s">
        <v>6254</v>
      </c>
      <c r="L804" s="6">
        <v>14.949158882890799</v>
      </c>
      <c r="M804" s="6">
        <v>17.695951668336601</v>
      </c>
      <c r="N804" s="6">
        <v>15.084226921194499</v>
      </c>
      <c r="O804" s="6">
        <v>14.6305583066564</v>
      </c>
      <c r="P804" s="6" t="s">
        <v>6254</v>
      </c>
      <c r="Q804" s="6">
        <v>16.6929808481683</v>
      </c>
    </row>
    <row r="805" spans="1:17">
      <c r="A805" s="6" t="s">
        <v>2255</v>
      </c>
      <c r="B805" s="6" t="s">
        <v>2255</v>
      </c>
      <c r="C805" s="6" t="s">
        <v>8474</v>
      </c>
      <c r="D805" s="6" t="s">
        <v>8475</v>
      </c>
      <c r="E805" s="6" t="s">
        <v>8475</v>
      </c>
      <c r="F805" s="6">
        <v>15.6559904206374</v>
      </c>
      <c r="G805" s="6">
        <v>15.0279771955935</v>
      </c>
      <c r="H805" s="6">
        <v>14.7975099169449</v>
      </c>
      <c r="I805" s="6">
        <v>15.8408846146258</v>
      </c>
      <c r="J805" s="6">
        <v>13.971318756801899</v>
      </c>
      <c r="K805" s="6">
        <v>14.9773216690081</v>
      </c>
      <c r="L805" s="6">
        <v>15.3285263493229</v>
      </c>
      <c r="M805" s="6">
        <v>13.534689042147001</v>
      </c>
      <c r="N805" s="6">
        <v>14.4983801852696</v>
      </c>
      <c r="O805" s="6">
        <v>15.293335926334899</v>
      </c>
      <c r="P805" s="6">
        <v>14.816069563112899</v>
      </c>
      <c r="Q805" s="6">
        <v>13.9829595966167</v>
      </c>
    </row>
    <row r="806" spans="1:17">
      <c r="A806" s="6" t="s">
        <v>1838</v>
      </c>
      <c r="B806" s="6" t="s">
        <v>1838</v>
      </c>
      <c r="C806" s="6" t="s">
        <v>8476</v>
      </c>
      <c r="D806" s="6" t="s">
        <v>8477</v>
      </c>
      <c r="E806" s="6" t="s">
        <v>8477</v>
      </c>
      <c r="F806" s="6">
        <v>15.188090719249001</v>
      </c>
      <c r="G806" s="6">
        <v>14.667508846484299</v>
      </c>
      <c r="H806" s="6">
        <v>15.068046836830099</v>
      </c>
      <c r="I806" s="6">
        <v>15.677841851378</v>
      </c>
      <c r="J806" s="6">
        <v>14.189011762757399</v>
      </c>
      <c r="K806" s="6">
        <v>14.935485458219601</v>
      </c>
      <c r="L806" s="6">
        <v>15.570693288412301</v>
      </c>
      <c r="M806" s="6">
        <v>14.1608114737294</v>
      </c>
      <c r="N806" s="6">
        <v>14.748943112097001</v>
      </c>
      <c r="O806" s="6">
        <v>15.383650825701</v>
      </c>
      <c r="P806" s="6">
        <v>15.4009852802076</v>
      </c>
      <c r="Q806" s="6">
        <v>13.336873916584199</v>
      </c>
    </row>
    <row r="807" spans="1:17">
      <c r="A807" s="6" t="s">
        <v>589</v>
      </c>
      <c r="B807" s="6" t="s">
        <v>589</v>
      </c>
      <c r="C807" s="6" t="s">
        <v>8478</v>
      </c>
      <c r="D807" s="6" t="s">
        <v>8479</v>
      </c>
      <c r="E807" s="6" t="s">
        <v>8479</v>
      </c>
      <c r="F807" s="6">
        <v>15.304282004410799</v>
      </c>
      <c r="G807" s="6">
        <v>14.775716327971899</v>
      </c>
      <c r="H807" s="6">
        <v>14.969790758664899</v>
      </c>
      <c r="I807" s="6">
        <v>15.610892901619399</v>
      </c>
      <c r="J807" s="6">
        <v>13.992407982721099</v>
      </c>
      <c r="K807" s="6">
        <v>14.639722546855999</v>
      </c>
      <c r="L807" s="6">
        <v>15.440678255159501</v>
      </c>
      <c r="M807" s="6">
        <v>14.057661314641001</v>
      </c>
      <c r="N807" s="6">
        <v>15.5488952377284</v>
      </c>
      <c r="O807" s="6">
        <v>15.2498567846208</v>
      </c>
      <c r="P807" s="6">
        <v>14.8790468366415</v>
      </c>
      <c r="Q807" s="6">
        <v>13.4381672573085</v>
      </c>
    </row>
    <row r="808" spans="1:17">
      <c r="A808" s="6" t="s">
        <v>636</v>
      </c>
      <c r="B808" s="6" t="s">
        <v>636</v>
      </c>
      <c r="C808" s="6" t="s">
        <v>8480</v>
      </c>
      <c r="D808" s="6" t="s">
        <v>8481</v>
      </c>
      <c r="E808" s="6" t="s">
        <v>8481</v>
      </c>
      <c r="F808" s="6">
        <v>15.5056081079655</v>
      </c>
      <c r="G808" s="6">
        <v>14.9909612223907</v>
      </c>
      <c r="H808" s="6">
        <v>14.7726950908245</v>
      </c>
      <c r="I808" s="6">
        <v>15.552802379610201</v>
      </c>
      <c r="J808" s="6">
        <v>14.202783229246901</v>
      </c>
      <c r="K808" s="6">
        <v>15.049938160803899</v>
      </c>
      <c r="L808" s="6">
        <v>15.5184835574376</v>
      </c>
      <c r="M808" s="6">
        <v>14.0546388584117</v>
      </c>
      <c r="N808" s="6">
        <v>14.722891286507201</v>
      </c>
      <c r="O808" s="6">
        <v>15.269526724210699</v>
      </c>
      <c r="P808" s="6">
        <v>14.899374130103199</v>
      </c>
      <c r="Q808" s="6">
        <v>13.935062223500401</v>
      </c>
    </row>
    <row r="809" spans="1:17">
      <c r="A809" s="6" t="s">
        <v>8482</v>
      </c>
      <c r="B809" s="6" t="s">
        <v>596</v>
      </c>
      <c r="C809" s="6" t="s">
        <v>8483</v>
      </c>
      <c r="D809" s="6" t="s">
        <v>8484</v>
      </c>
      <c r="E809" s="6" t="s">
        <v>8485</v>
      </c>
      <c r="F809" s="6">
        <v>15.197452346053201</v>
      </c>
      <c r="G809" s="6">
        <v>14.622290414435501</v>
      </c>
      <c r="H809" s="6">
        <v>14.9727090333545</v>
      </c>
      <c r="I809" s="6">
        <v>15.587215358444899</v>
      </c>
      <c r="J809" s="6">
        <v>14.0172261941463</v>
      </c>
      <c r="K809" s="6">
        <v>14.5411881588231</v>
      </c>
      <c r="L809" s="6">
        <v>15.4681506104181</v>
      </c>
      <c r="M809" s="6">
        <v>13.8743604672914</v>
      </c>
      <c r="N809" s="6">
        <v>15.210077741695599</v>
      </c>
      <c r="O809" s="6">
        <v>15.2583725139999</v>
      </c>
      <c r="P809" s="6">
        <v>15.1775651811193</v>
      </c>
      <c r="Q809" s="6">
        <v>13.755412259274401</v>
      </c>
    </row>
    <row r="810" spans="1:17">
      <c r="A810" s="6" t="s">
        <v>971</v>
      </c>
      <c r="B810" s="6" t="s">
        <v>971</v>
      </c>
      <c r="C810" s="6" t="s">
        <v>8486</v>
      </c>
      <c r="D810" s="6" t="s">
        <v>8487</v>
      </c>
      <c r="E810" s="6" t="s">
        <v>8487</v>
      </c>
      <c r="F810" s="6">
        <v>14.0750587075119</v>
      </c>
      <c r="G810" s="6">
        <v>15.191860427147001</v>
      </c>
      <c r="H810" s="6">
        <v>16.054589112553799</v>
      </c>
      <c r="I810" s="6">
        <v>14.012926964151401</v>
      </c>
      <c r="J810" s="6">
        <v>15.110725727303301</v>
      </c>
      <c r="K810" s="6">
        <v>15.8011480227566</v>
      </c>
      <c r="L810" s="6">
        <v>14.199277959680501</v>
      </c>
      <c r="M810" s="6">
        <v>15.109353858281599</v>
      </c>
      <c r="N810" s="6">
        <v>15.4239741581942</v>
      </c>
      <c r="O810" s="6">
        <v>14.847970158154601</v>
      </c>
      <c r="P810" s="6">
        <v>14.180853693134299</v>
      </c>
      <c r="Q810" s="6">
        <v>15.256367959770801</v>
      </c>
    </row>
    <row r="811" spans="1:17">
      <c r="A811" s="6" t="s">
        <v>8488</v>
      </c>
      <c r="B811" s="6" t="s">
        <v>8489</v>
      </c>
      <c r="C811" s="6" t="s">
        <v>8490</v>
      </c>
      <c r="D811" s="6" t="s">
        <v>8491</v>
      </c>
      <c r="E811" s="6" t="s">
        <v>8492</v>
      </c>
      <c r="F811" s="6" t="s">
        <v>6254</v>
      </c>
      <c r="G811" s="6" t="s">
        <v>6254</v>
      </c>
      <c r="H811" s="6">
        <v>15.205506731076399</v>
      </c>
      <c r="I811" s="6">
        <v>15.605412071564601</v>
      </c>
      <c r="J811" s="6">
        <v>15.3541681763831</v>
      </c>
      <c r="K811" s="6">
        <v>14.4573074463149</v>
      </c>
      <c r="L811" s="6">
        <v>15.2200908893776</v>
      </c>
      <c r="M811" s="6" t="s">
        <v>6254</v>
      </c>
      <c r="N811" s="6" t="s">
        <v>6254</v>
      </c>
      <c r="O811" s="6" t="s">
        <v>6254</v>
      </c>
      <c r="P811" s="6" t="s">
        <v>6254</v>
      </c>
      <c r="Q811" s="6" t="s">
        <v>6254</v>
      </c>
    </row>
    <row r="812" spans="1:17">
      <c r="A812" s="6" t="s">
        <v>912</v>
      </c>
      <c r="B812" s="6" t="s">
        <v>912</v>
      </c>
      <c r="C812" s="6" t="s">
        <v>8493</v>
      </c>
      <c r="D812" s="6" t="s">
        <v>8494</v>
      </c>
      <c r="E812" s="6" t="s">
        <v>8494</v>
      </c>
      <c r="F812" s="6">
        <v>15.3822956789973</v>
      </c>
      <c r="G812" s="6">
        <v>14.9442998435708</v>
      </c>
      <c r="H812" s="6">
        <v>14.947529853883101</v>
      </c>
      <c r="I812" s="6">
        <v>15.6393613963854</v>
      </c>
      <c r="J812" s="6">
        <v>14.167253745263499</v>
      </c>
      <c r="K812" s="6">
        <v>14.8949956303496</v>
      </c>
      <c r="L812" s="6">
        <v>15.540331462191199</v>
      </c>
      <c r="M812" s="6">
        <v>14.2096773253138</v>
      </c>
      <c r="N812" s="6">
        <v>14.447258004377</v>
      </c>
      <c r="O812" s="6">
        <v>15.0188318238392</v>
      </c>
      <c r="P812" s="6">
        <v>14.967482700443799</v>
      </c>
      <c r="Q812" s="6">
        <v>13.770260602673</v>
      </c>
    </row>
    <row r="813" spans="1:17">
      <c r="A813" s="6" t="s">
        <v>8495</v>
      </c>
      <c r="B813" s="6" t="s">
        <v>8495</v>
      </c>
      <c r="C813" s="6" t="s">
        <v>8495</v>
      </c>
      <c r="D813" s="6" t="s">
        <v>8495</v>
      </c>
      <c r="E813" s="6" t="s">
        <v>8495</v>
      </c>
      <c r="F813" s="6" t="s">
        <v>6254</v>
      </c>
      <c r="G813" s="6" t="s">
        <v>6254</v>
      </c>
      <c r="H813" s="6" t="s">
        <v>6254</v>
      </c>
      <c r="I813" s="6" t="s">
        <v>6254</v>
      </c>
      <c r="J813" s="6" t="s">
        <v>6254</v>
      </c>
      <c r="K813" s="6" t="s">
        <v>6254</v>
      </c>
      <c r="L813" s="6" t="s">
        <v>6254</v>
      </c>
      <c r="M813" s="6" t="s">
        <v>6254</v>
      </c>
      <c r="N813" s="6" t="s">
        <v>6254</v>
      </c>
      <c r="O813" s="6" t="s">
        <v>6254</v>
      </c>
      <c r="P813" s="6" t="s">
        <v>6254</v>
      </c>
      <c r="Q813" s="6" t="s">
        <v>6254</v>
      </c>
    </row>
    <row r="814" spans="1:17">
      <c r="A814" s="6" t="s">
        <v>8496</v>
      </c>
      <c r="B814" s="6" t="s">
        <v>8496</v>
      </c>
      <c r="C814" s="6" t="s">
        <v>8497</v>
      </c>
      <c r="D814" s="6" t="s">
        <v>8498</v>
      </c>
      <c r="E814" s="6" t="s">
        <v>8498</v>
      </c>
      <c r="F814" s="6">
        <v>17.2820357592935</v>
      </c>
      <c r="G814" s="6">
        <v>16.231187202444399</v>
      </c>
      <c r="H814" s="6">
        <v>14.8852595689208</v>
      </c>
      <c r="I814" s="6">
        <v>14.7272617594236</v>
      </c>
      <c r="J814" s="6">
        <v>15.065530426908699</v>
      </c>
      <c r="K814" s="6">
        <v>13.1626592669095</v>
      </c>
      <c r="L814" s="6">
        <v>14.0381956665526</v>
      </c>
      <c r="M814" s="6">
        <v>15.112355178814701</v>
      </c>
      <c r="N814" s="6">
        <v>15.4654097113522</v>
      </c>
      <c r="O814" s="6">
        <v>15.080745308569901</v>
      </c>
      <c r="P814" s="6">
        <v>17.089738728368701</v>
      </c>
      <c r="Q814" s="6">
        <v>13.3067509452517</v>
      </c>
    </row>
    <row r="815" spans="1:17">
      <c r="A815" s="6" t="s">
        <v>1840</v>
      </c>
      <c r="B815" s="6" t="s">
        <v>1842</v>
      </c>
      <c r="C815" s="6" t="s">
        <v>8499</v>
      </c>
      <c r="D815" s="6" t="s">
        <v>8500</v>
      </c>
      <c r="E815" s="6" t="s">
        <v>8501</v>
      </c>
      <c r="F815" s="6">
        <v>15.4837763154946</v>
      </c>
      <c r="G815" s="6">
        <v>14.831542503748</v>
      </c>
      <c r="H815" s="6">
        <v>14.868135478431</v>
      </c>
      <c r="I815" s="6">
        <v>15.7230846977216</v>
      </c>
      <c r="J815" s="6">
        <v>14.092908483101199</v>
      </c>
      <c r="K815" s="6">
        <v>15.103435907775401</v>
      </c>
      <c r="L815" s="6">
        <v>15.5809696225226</v>
      </c>
      <c r="M815" s="6">
        <v>13.737921425855401</v>
      </c>
      <c r="N815" s="6">
        <v>14.548969793587601</v>
      </c>
      <c r="O815" s="6">
        <v>15.337057740877601</v>
      </c>
      <c r="P815" s="6">
        <v>15.199216718110099</v>
      </c>
      <c r="Q815" s="6">
        <v>13.6307006221182</v>
      </c>
    </row>
    <row r="816" spans="1:17">
      <c r="A816" s="6" t="s">
        <v>8502</v>
      </c>
      <c r="B816" s="6" t="s">
        <v>8503</v>
      </c>
      <c r="C816" s="6" t="s">
        <v>8504</v>
      </c>
      <c r="D816" s="6" t="s">
        <v>8505</v>
      </c>
      <c r="E816" s="6" t="s">
        <v>8506</v>
      </c>
      <c r="F816" s="6">
        <v>15.159319520695</v>
      </c>
      <c r="G816" s="6">
        <v>15.143498691134999</v>
      </c>
      <c r="H816" s="6">
        <v>14.738450927883999</v>
      </c>
      <c r="I816" s="6">
        <v>15.2323191530719</v>
      </c>
      <c r="J816" s="6">
        <v>13.947329793083901</v>
      </c>
      <c r="K816" s="6">
        <v>14.395596600295001</v>
      </c>
      <c r="L816" s="6">
        <v>15.6766651268524</v>
      </c>
      <c r="M816" s="6" t="s">
        <v>6254</v>
      </c>
      <c r="N816" s="6">
        <v>15.037073715554101</v>
      </c>
      <c r="O816" s="6">
        <v>15.1781845209471</v>
      </c>
      <c r="P816" s="6">
        <v>14.7980788705132</v>
      </c>
      <c r="Q816" s="6">
        <v>13.531493653933</v>
      </c>
    </row>
    <row r="817" spans="1:17">
      <c r="A817" s="6" t="s">
        <v>2404</v>
      </c>
      <c r="B817" s="6" t="s">
        <v>2404</v>
      </c>
      <c r="C817" s="6" t="s">
        <v>8507</v>
      </c>
      <c r="D817" s="6" t="s">
        <v>8508</v>
      </c>
      <c r="E817" s="6" t="s">
        <v>8508</v>
      </c>
      <c r="F817" s="6">
        <v>15.1116077539322</v>
      </c>
      <c r="G817" s="6">
        <v>14.7637770795076</v>
      </c>
      <c r="H817" s="6">
        <v>15.2143835257812</v>
      </c>
      <c r="I817" s="6">
        <v>15.562052302929301</v>
      </c>
      <c r="J817" s="6">
        <v>13.8342744228929</v>
      </c>
      <c r="K817" s="6">
        <v>15.228473474006</v>
      </c>
      <c r="L817" s="6">
        <v>15.5638323127299</v>
      </c>
      <c r="M817" s="6">
        <v>14.138756573639</v>
      </c>
      <c r="N817" s="6">
        <v>14.463228599434199</v>
      </c>
      <c r="O817" s="6">
        <v>15.5191256432605</v>
      </c>
      <c r="P817" s="6">
        <v>15.3944243533664</v>
      </c>
      <c r="Q817" s="6">
        <v>13.6387348066025</v>
      </c>
    </row>
    <row r="818" spans="1:17">
      <c r="A818" s="6" t="s">
        <v>3787</v>
      </c>
      <c r="B818" s="6" t="s">
        <v>3787</v>
      </c>
      <c r="C818" s="6" t="s">
        <v>8509</v>
      </c>
      <c r="D818" s="6" t="s">
        <v>8510</v>
      </c>
      <c r="E818" s="6" t="s">
        <v>8510</v>
      </c>
      <c r="F818" s="6" t="s">
        <v>6254</v>
      </c>
      <c r="G818" s="6" t="s">
        <v>6254</v>
      </c>
      <c r="H818" s="6">
        <v>15.140089256855999</v>
      </c>
      <c r="I818" s="6">
        <v>16.665712856653201</v>
      </c>
      <c r="J818" s="6">
        <v>13.622483908323099</v>
      </c>
      <c r="K818" s="6">
        <v>15.2252021731961</v>
      </c>
      <c r="L818" s="6">
        <v>16.5154948045843</v>
      </c>
      <c r="M818" s="6" t="s">
        <v>6254</v>
      </c>
      <c r="N818" s="6">
        <v>14.7721817985177</v>
      </c>
      <c r="O818" s="6" t="s">
        <v>6254</v>
      </c>
      <c r="P818" s="6">
        <v>14.165970834711</v>
      </c>
      <c r="Q818" s="6" t="s">
        <v>6254</v>
      </c>
    </row>
    <row r="819" spans="1:17">
      <c r="A819" s="6" t="s">
        <v>8511</v>
      </c>
      <c r="B819" s="6" t="s">
        <v>8512</v>
      </c>
      <c r="C819" s="6" t="s">
        <v>8513</v>
      </c>
      <c r="D819" s="6" t="s">
        <v>8514</v>
      </c>
      <c r="E819" s="6" t="s">
        <v>8515</v>
      </c>
      <c r="F819" s="6">
        <v>15.5193076462437</v>
      </c>
      <c r="G819" s="6">
        <v>14.752279081753301</v>
      </c>
      <c r="H819" s="6">
        <v>14.9302072227664</v>
      </c>
      <c r="I819" s="6">
        <v>15.839720983016999</v>
      </c>
      <c r="J819" s="6">
        <v>14.1743001716686</v>
      </c>
      <c r="K819" s="6">
        <v>14.9898825935093</v>
      </c>
      <c r="L819" s="6">
        <v>15.3928577060294</v>
      </c>
      <c r="M819" s="6">
        <v>13.8109351805183</v>
      </c>
      <c r="N819" s="6">
        <v>14.653771347483399</v>
      </c>
      <c r="O819" s="6">
        <v>15.365072632282001</v>
      </c>
      <c r="P819" s="6">
        <v>15.067269407318101</v>
      </c>
      <c r="Q819" s="6">
        <v>13.597099615488499</v>
      </c>
    </row>
    <row r="820" spans="1:17">
      <c r="A820" s="6" t="s">
        <v>1385</v>
      </c>
      <c r="B820" s="6" t="s">
        <v>1387</v>
      </c>
      <c r="C820" s="6" t="s">
        <v>8516</v>
      </c>
      <c r="D820" s="6" t="s">
        <v>8517</v>
      </c>
      <c r="E820" s="6" t="s">
        <v>8518</v>
      </c>
      <c r="F820" s="6">
        <v>15.277773661072199</v>
      </c>
      <c r="G820" s="6">
        <v>15.2449996804871</v>
      </c>
      <c r="H820" s="6">
        <v>14.769284729470201</v>
      </c>
      <c r="I820" s="6">
        <v>15.3762604300254</v>
      </c>
      <c r="J820" s="6">
        <v>14.0332550301538</v>
      </c>
      <c r="K820" s="6">
        <v>14.8073596118537</v>
      </c>
      <c r="L820" s="6">
        <v>15.221770884362099</v>
      </c>
      <c r="M820" s="6">
        <v>14.0781262958314</v>
      </c>
      <c r="N820" s="6">
        <v>14.426130916986301</v>
      </c>
      <c r="O820" s="6">
        <v>15.0545436002083</v>
      </c>
      <c r="P820" s="6">
        <v>15.1439956577789</v>
      </c>
      <c r="Q820" s="6">
        <v>14.045240818136</v>
      </c>
    </row>
    <row r="821" spans="1:17">
      <c r="A821" s="6" t="s">
        <v>1475</v>
      </c>
      <c r="B821" s="6" t="s">
        <v>1477</v>
      </c>
      <c r="C821" s="6" t="s">
        <v>8519</v>
      </c>
      <c r="D821" s="6" t="s">
        <v>8520</v>
      </c>
      <c r="E821" s="6" t="s">
        <v>8521</v>
      </c>
      <c r="F821" s="6">
        <v>15.0888357589709</v>
      </c>
      <c r="G821" s="6">
        <v>14.4991476532162</v>
      </c>
      <c r="H821" s="6">
        <v>14.9854424665187</v>
      </c>
      <c r="I821" s="6">
        <v>15.5557215336102</v>
      </c>
      <c r="J821" s="6">
        <v>14.652331242007</v>
      </c>
      <c r="K821" s="6">
        <v>14.7606265035609</v>
      </c>
      <c r="L821" s="6">
        <v>15.420985369778601</v>
      </c>
      <c r="M821" s="6">
        <v>14.3157064377565</v>
      </c>
      <c r="N821" s="6">
        <v>14.337229287875701</v>
      </c>
      <c r="O821" s="6">
        <v>15.2159699859602</v>
      </c>
      <c r="P821" s="6">
        <v>15.097203487814999</v>
      </c>
      <c r="Q821" s="6">
        <v>14.015597805495901</v>
      </c>
    </row>
    <row r="822" spans="1:17">
      <c r="A822" s="6" t="s">
        <v>1788</v>
      </c>
      <c r="B822" s="6" t="s">
        <v>1788</v>
      </c>
      <c r="C822" s="6" t="s">
        <v>8522</v>
      </c>
      <c r="D822" s="6" t="s">
        <v>8523</v>
      </c>
      <c r="E822" s="6" t="s">
        <v>8523</v>
      </c>
      <c r="F822" s="6">
        <v>15.2928739742399</v>
      </c>
      <c r="G822" s="6">
        <v>14.871353450549799</v>
      </c>
      <c r="H822" s="6">
        <v>14.9649695871429</v>
      </c>
      <c r="I822" s="6">
        <v>16.005602789427201</v>
      </c>
      <c r="J822" s="6">
        <v>14.409472576922401</v>
      </c>
      <c r="K822" s="6">
        <v>15.3610807757766</v>
      </c>
      <c r="L822" s="6">
        <v>15.301245772887199</v>
      </c>
      <c r="M822" s="6">
        <v>13.9384089530702</v>
      </c>
      <c r="N822" s="6">
        <v>14.173320588256599</v>
      </c>
      <c r="O822" s="6">
        <v>15.451161091701699</v>
      </c>
      <c r="P822" s="6">
        <v>15.224036853243501</v>
      </c>
      <c r="Q822" s="6">
        <v>13.7136639375848</v>
      </c>
    </row>
    <row r="823" spans="1:17">
      <c r="A823" s="6" t="s">
        <v>986</v>
      </c>
      <c r="B823" s="6" t="s">
        <v>986</v>
      </c>
      <c r="C823" s="6" t="s">
        <v>8524</v>
      </c>
      <c r="D823" s="6" t="s">
        <v>8525</v>
      </c>
      <c r="E823" s="6" t="s">
        <v>8525</v>
      </c>
      <c r="F823" s="6">
        <v>15.5541335665758</v>
      </c>
      <c r="G823" s="6">
        <v>13.6009521994238</v>
      </c>
      <c r="H823" s="6">
        <v>14.4669636640046</v>
      </c>
      <c r="I823" s="6">
        <v>16.088679757647</v>
      </c>
      <c r="J823" s="6">
        <v>14.4257465678463</v>
      </c>
      <c r="K823" s="6">
        <v>14.5487975987133</v>
      </c>
      <c r="L823" s="6">
        <v>15.3273714507375</v>
      </c>
      <c r="M823" s="6">
        <v>14.393358175883</v>
      </c>
      <c r="N823" s="6">
        <v>15.755956347144799</v>
      </c>
      <c r="O823" s="6">
        <v>14.7942825969617</v>
      </c>
      <c r="P823" s="6">
        <v>13.958907189298699</v>
      </c>
      <c r="Q823" s="6">
        <v>13.6910598115734</v>
      </c>
    </row>
    <row r="824" spans="1:17">
      <c r="A824" s="6" t="s">
        <v>8526</v>
      </c>
      <c r="B824" s="6" t="s">
        <v>8527</v>
      </c>
      <c r="C824" s="6" t="s">
        <v>8528</v>
      </c>
      <c r="D824" s="6" t="s">
        <v>8529</v>
      </c>
      <c r="E824" s="6" t="s">
        <v>8530</v>
      </c>
      <c r="F824" s="6">
        <v>14.6014943410564</v>
      </c>
      <c r="G824" s="6">
        <v>14.640577557236901</v>
      </c>
      <c r="H824" s="6">
        <v>14.675305730819501</v>
      </c>
      <c r="I824" s="6">
        <v>15.556692811586</v>
      </c>
      <c r="J824" s="6">
        <v>13.9101288669894</v>
      </c>
      <c r="K824" s="6">
        <v>14.658297530900199</v>
      </c>
      <c r="L824" s="6">
        <v>15.3478864329883</v>
      </c>
      <c r="M824" s="6">
        <v>14.106578350491001</v>
      </c>
      <c r="N824" s="6">
        <v>14.8077731527138</v>
      </c>
      <c r="O824" s="6">
        <v>15.5566206679848</v>
      </c>
      <c r="P824" s="6">
        <v>14.935596798811201</v>
      </c>
      <c r="Q824" s="6">
        <v>13.8984088625603</v>
      </c>
    </row>
    <row r="825" spans="1:17">
      <c r="A825" s="6" t="s">
        <v>8531</v>
      </c>
      <c r="B825" s="6" t="s">
        <v>8532</v>
      </c>
      <c r="C825" s="6" t="s">
        <v>8533</v>
      </c>
      <c r="D825" s="6" t="s">
        <v>8534</v>
      </c>
      <c r="E825" s="6" t="s">
        <v>8535</v>
      </c>
      <c r="F825" s="6">
        <v>14.4491501856697</v>
      </c>
      <c r="G825" s="6">
        <v>15.0214380598782</v>
      </c>
      <c r="H825" s="6">
        <v>14.9726647339427</v>
      </c>
      <c r="I825" s="6">
        <v>15.211629498328</v>
      </c>
      <c r="J825" s="6">
        <v>14.4842361789536</v>
      </c>
      <c r="K825" s="6">
        <v>15.0457488323588</v>
      </c>
      <c r="L825" s="6">
        <v>15.0231230401131</v>
      </c>
      <c r="M825" s="6">
        <v>15.093956931327099</v>
      </c>
      <c r="N825" s="6">
        <v>14.231040074641101</v>
      </c>
      <c r="O825" s="6">
        <v>14.8381788393569</v>
      </c>
      <c r="P825" s="6">
        <v>14.954315073586701</v>
      </c>
      <c r="Q825" s="6">
        <v>14.5956916432469</v>
      </c>
    </row>
    <row r="826" spans="1:17">
      <c r="A826" s="6" t="s">
        <v>4104</v>
      </c>
      <c r="B826" s="6" t="s">
        <v>4104</v>
      </c>
      <c r="C826" s="6" t="s">
        <v>8536</v>
      </c>
      <c r="D826" s="6" t="s">
        <v>8537</v>
      </c>
      <c r="E826" s="6" t="s">
        <v>8537</v>
      </c>
      <c r="F826" s="6">
        <v>15.262376788210499</v>
      </c>
      <c r="G826" s="6">
        <v>15.4256304462959</v>
      </c>
      <c r="H826" s="6">
        <v>14.729144135138</v>
      </c>
      <c r="I826" s="6">
        <v>15.768283707714099</v>
      </c>
      <c r="J826" s="6" t="s">
        <v>6254</v>
      </c>
      <c r="K826" s="6">
        <v>15.229444376046199</v>
      </c>
      <c r="L826" s="6">
        <v>15.485622692658801</v>
      </c>
      <c r="M826" s="6">
        <v>14.1329186370823</v>
      </c>
      <c r="N826" s="6">
        <v>14.9315081925687</v>
      </c>
      <c r="O826" s="6" t="s">
        <v>6254</v>
      </c>
      <c r="P826" s="6" t="s">
        <v>6254</v>
      </c>
      <c r="Q826" s="6">
        <v>13.353173983836299</v>
      </c>
    </row>
    <row r="827" spans="1:17">
      <c r="A827" s="6" t="s">
        <v>1701</v>
      </c>
      <c r="B827" s="6" t="s">
        <v>1701</v>
      </c>
      <c r="C827" s="6" t="s">
        <v>8538</v>
      </c>
      <c r="D827" s="6" t="s">
        <v>8539</v>
      </c>
      <c r="E827" s="6" t="s">
        <v>8539</v>
      </c>
      <c r="F827" s="6">
        <v>15.475004605489501</v>
      </c>
      <c r="G827" s="6">
        <v>14.9105161923579</v>
      </c>
      <c r="H827" s="6">
        <v>14.753847820592</v>
      </c>
      <c r="I827" s="6">
        <v>15.379144024176099</v>
      </c>
      <c r="J827" s="6">
        <v>14.3754313663531</v>
      </c>
      <c r="K827" s="6">
        <v>14.997227350845099</v>
      </c>
      <c r="L827" s="6">
        <v>15.494431429848101</v>
      </c>
      <c r="M827" s="6">
        <v>14.478776727722501</v>
      </c>
      <c r="N827" s="6">
        <v>14.592328279922301</v>
      </c>
      <c r="O827" s="6">
        <v>14.7572741638295</v>
      </c>
      <c r="P827" s="6">
        <v>14.9021309724065</v>
      </c>
      <c r="Q827" s="6">
        <v>13.579781774302001</v>
      </c>
    </row>
    <row r="828" spans="1:17">
      <c r="A828" s="6" t="s">
        <v>8540</v>
      </c>
      <c r="B828" s="6" t="s">
        <v>8541</v>
      </c>
      <c r="C828" s="6" t="s">
        <v>8542</v>
      </c>
      <c r="D828" s="6" t="s">
        <v>8543</v>
      </c>
      <c r="E828" s="6" t="s">
        <v>8544</v>
      </c>
      <c r="F828" s="6">
        <v>15.8134391740439</v>
      </c>
      <c r="G828" s="6">
        <v>14.346833899931701</v>
      </c>
      <c r="H828" s="6">
        <v>15.584010286601799</v>
      </c>
      <c r="I828" s="6">
        <v>15.458301271083</v>
      </c>
      <c r="J828" s="6">
        <v>14.600434548656599</v>
      </c>
      <c r="K828" s="6">
        <v>14.721981886635</v>
      </c>
      <c r="L828" s="6" t="s">
        <v>6254</v>
      </c>
      <c r="M828" s="6">
        <v>15.050339460896399</v>
      </c>
      <c r="N828" s="6">
        <v>14.4288135332341</v>
      </c>
      <c r="O828" s="6">
        <v>14.896825118454201</v>
      </c>
      <c r="P828" s="6">
        <v>14.6411912654755</v>
      </c>
      <c r="Q828" s="6" t="s">
        <v>6254</v>
      </c>
    </row>
    <row r="829" spans="1:17">
      <c r="A829" s="6" t="s">
        <v>8545</v>
      </c>
      <c r="B829" s="6" t="s">
        <v>8546</v>
      </c>
      <c r="C829" s="6" t="s">
        <v>8547</v>
      </c>
      <c r="D829" s="6" t="s">
        <v>8548</v>
      </c>
      <c r="E829" s="6" t="s">
        <v>8549</v>
      </c>
      <c r="F829" s="6">
        <v>14.7658064200527</v>
      </c>
      <c r="G829" s="6">
        <v>15.0431106765176</v>
      </c>
      <c r="H829" s="6">
        <v>14.8362798048976</v>
      </c>
      <c r="I829" s="6">
        <v>15.548961328325801</v>
      </c>
      <c r="J829" s="6" t="s">
        <v>6254</v>
      </c>
      <c r="K829" s="6">
        <v>15.135669086267701</v>
      </c>
      <c r="L829" s="6">
        <v>15.4458572919565</v>
      </c>
      <c r="M829" s="6">
        <v>14.359549640368201</v>
      </c>
      <c r="N829" s="6">
        <v>13.828218925427301</v>
      </c>
      <c r="O829" s="6">
        <v>15.1553335848219</v>
      </c>
      <c r="P829" s="6">
        <v>15.311067478408701</v>
      </c>
      <c r="Q829" s="6" t="s">
        <v>6254</v>
      </c>
    </row>
    <row r="830" spans="1:17">
      <c r="A830" s="6" t="s">
        <v>2412</v>
      </c>
      <c r="B830" s="6" t="s">
        <v>2412</v>
      </c>
      <c r="C830" s="6" t="s">
        <v>8550</v>
      </c>
      <c r="D830" s="6" t="s">
        <v>8551</v>
      </c>
      <c r="E830" s="6" t="s">
        <v>8551</v>
      </c>
      <c r="F830" s="6">
        <v>15.176746872638599</v>
      </c>
      <c r="G830" s="6">
        <v>14.780599210123199</v>
      </c>
      <c r="H830" s="6">
        <v>14.8981223529712</v>
      </c>
      <c r="I830" s="6">
        <v>15.703989698458001</v>
      </c>
      <c r="J830" s="6">
        <v>13.879149796400499</v>
      </c>
      <c r="K830" s="6">
        <v>14.5818742530143</v>
      </c>
      <c r="L830" s="6">
        <v>15.5393340073706</v>
      </c>
      <c r="M830" s="6">
        <v>13.662098861277199</v>
      </c>
      <c r="N830" s="6">
        <v>14.914607978512899</v>
      </c>
      <c r="O830" s="6">
        <v>15.408747803037601</v>
      </c>
      <c r="P830" s="6">
        <v>14.9489861073308</v>
      </c>
      <c r="Q830" s="6">
        <v>13.538000634568499</v>
      </c>
    </row>
    <row r="831" spans="1:17">
      <c r="A831" s="6" t="s">
        <v>8552</v>
      </c>
      <c r="B831" s="6" t="s">
        <v>8553</v>
      </c>
      <c r="C831" s="6" t="s">
        <v>8554</v>
      </c>
      <c r="D831" s="6" t="s">
        <v>8555</v>
      </c>
      <c r="E831" s="6" t="s">
        <v>8556</v>
      </c>
      <c r="F831" s="6">
        <v>15.237542704716599</v>
      </c>
      <c r="G831" s="6">
        <v>14.640859591445899</v>
      </c>
      <c r="H831" s="6">
        <v>14.6799794051531</v>
      </c>
      <c r="I831" s="6">
        <v>15.6437659533503</v>
      </c>
      <c r="J831" s="6" t="s">
        <v>6254</v>
      </c>
      <c r="K831" s="6">
        <v>14.9305599575216</v>
      </c>
      <c r="L831" s="6">
        <v>15.6688427326807</v>
      </c>
      <c r="M831" s="6">
        <v>13.8526578215937</v>
      </c>
      <c r="N831" s="6">
        <v>15.068568528354501</v>
      </c>
      <c r="O831" s="6">
        <v>15.078317440323101</v>
      </c>
      <c r="P831" s="6">
        <v>14.896552146214001</v>
      </c>
      <c r="Q831" s="6" t="s">
        <v>6254</v>
      </c>
    </row>
    <row r="832" spans="1:17">
      <c r="A832" s="6" t="s">
        <v>4760</v>
      </c>
      <c r="B832" s="6" t="s">
        <v>4762</v>
      </c>
      <c r="C832" s="6" t="s">
        <v>8557</v>
      </c>
      <c r="D832" s="6" t="s">
        <v>8558</v>
      </c>
      <c r="E832" s="6" t="s">
        <v>8559</v>
      </c>
      <c r="F832" s="6" t="s">
        <v>6254</v>
      </c>
      <c r="G832" s="6">
        <v>13.5742608573258</v>
      </c>
      <c r="H832" s="6">
        <v>14.1727258141745</v>
      </c>
      <c r="I832" s="6">
        <v>13.5852008470385</v>
      </c>
      <c r="J832" s="6" t="s">
        <v>6254</v>
      </c>
      <c r="K832" s="6">
        <v>15.1740580384387</v>
      </c>
      <c r="L832" s="6">
        <v>15.565965824895899</v>
      </c>
      <c r="M832" s="6" t="s">
        <v>6254</v>
      </c>
      <c r="N832" s="6" t="s">
        <v>6254</v>
      </c>
      <c r="O832" s="6">
        <v>15.670318276133999</v>
      </c>
      <c r="P832" s="6">
        <v>15.694438446343501</v>
      </c>
      <c r="Q832" s="6" t="s">
        <v>6254</v>
      </c>
    </row>
    <row r="833" spans="1:17">
      <c r="A833" s="6" t="s">
        <v>8560</v>
      </c>
      <c r="B833" s="6" t="s">
        <v>8561</v>
      </c>
      <c r="C833" s="6" t="s">
        <v>8562</v>
      </c>
      <c r="D833" s="6" t="s">
        <v>8563</v>
      </c>
      <c r="E833" s="6" t="s">
        <v>8564</v>
      </c>
      <c r="F833" s="6">
        <v>15.2148681521182</v>
      </c>
      <c r="G833" s="6">
        <v>14.870643658628</v>
      </c>
      <c r="H833" s="6">
        <v>15.1793752563376</v>
      </c>
      <c r="I833" s="6">
        <v>15.791547719393</v>
      </c>
      <c r="J833" s="6">
        <v>14.5855546598281</v>
      </c>
      <c r="K833" s="6">
        <v>14.8915332003525</v>
      </c>
      <c r="L833" s="6">
        <v>15.542900009268999</v>
      </c>
      <c r="M833" s="6">
        <v>13.9337050236528</v>
      </c>
      <c r="N833" s="6">
        <v>14.835784776041899</v>
      </c>
      <c r="O833" s="6">
        <v>14.9002108576125</v>
      </c>
      <c r="P833" s="6">
        <v>14.425653494199601</v>
      </c>
      <c r="Q833" s="6">
        <v>14.130205081599501</v>
      </c>
    </row>
    <row r="834" spans="1:17">
      <c r="A834" s="6" t="s">
        <v>1813</v>
      </c>
      <c r="B834" s="6" t="s">
        <v>1813</v>
      </c>
      <c r="C834" s="6" t="s">
        <v>8565</v>
      </c>
      <c r="D834" s="6" t="s">
        <v>8566</v>
      </c>
      <c r="E834" s="6" t="s">
        <v>8566</v>
      </c>
      <c r="F834" s="6">
        <v>14.844571199510201</v>
      </c>
      <c r="G834" s="6">
        <v>15.174875428493699</v>
      </c>
      <c r="H834" s="6" t="s">
        <v>6254</v>
      </c>
      <c r="I834" s="6">
        <v>14.3459919198193</v>
      </c>
      <c r="J834" s="6">
        <v>14.357648507813501</v>
      </c>
      <c r="K834" s="6" t="s">
        <v>6254</v>
      </c>
      <c r="L834" s="6" t="s">
        <v>6254</v>
      </c>
      <c r="M834" s="6">
        <v>15.156462184995499</v>
      </c>
      <c r="N834" s="6">
        <v>14.4594449258006</v>
      </c>
      <c r="O834" s="6" t="s">
        <v>6254</v>
      </c>
      <c r="P834" s="6" t="s">
        <v>6254</v>
      </c>
      <c r="Q834" s="6">
        <v>13.8875385831583</v>
      </c>
    </row>
    <row r="835" spans="1:17">
      <c r="A835" s="6" t="s">
        <v>8567</v>
      </c>
      <c r="B835" s="6" t="s">
        <v>8568</v>
      </c>
      <c r="C835" s="6" t="s">
        <v>8569</v>
      </c>
      <c r="D835" s="6" t="s">
        <v>8570</v>
      </c>
      <c r="E835" s="6" t="s">
        <v>8571</v>
      </c>
      <c r="F835" s="6">
        <v>15.0398696776434</v>
      </c>
      <c r="G835" s="6">
        <v>14.7589382949377</v>
      </c>
      <c r="H835" s="6">
        <v>15.0456819521984</v>
      </c>
      <c r="I835" s="6">
        <v>15.8098108771983</v>
      </c>
      <c r="J835" s="6">
        <v>13.874556489355999</v>
      </c>
      <c r="K835" s="6">
        <v>15.000924783713</v>
      </c>
      <c r="L835" s="6">
        <v>15.1108291146833</v>
      </c>
      <c r="M835" s="6">
        <v>13.7761058310584</v>
      </c>
      <c r="N835" s="6">
        <v>14.4539495166573</v>
      </c>
      <c r="O835" s="6">
        <v>15.632733743055599</v>
      </c>
      <c r="P835" s="6">
        <v>15.308410451551801</v>
      </c>
      <c r="Q835" s="6">
        <v>13.7573520246498</v>
      </c>
    </row>
    <row r="836" spans="1:17">
      <c r="A836" s="6" t="s">
        <v>3285</v>
      </c>
      <c r="B836" s="6" t="s">
        <v>3285</v>
      </c>
      <c r="C836" s="6" t="s">
        <v>8572</v>
      </c>
      <c r="D836" s="6" t="s">
        <v>8573</v>
      </c>
      <c r="E836" s="6" t="s">
        <v>8573</v>
      </c>
      <c r="F836" s="6">
        <v>15.4743802151783</v>
      </c>
      <c r="G836" s="6">
        <v>14.605475475242599</v>
      </c>
      <c r="H836" s="6">
        <v>14.8182740789153</v>
      </c>
      <c r="I836" s="6">
        <v>15.6360260118699</v>
      </c>
      <c r="J836" s="6">
        <v>14.120411475890201</v>
      </c>
      <c r="K836" s="6">
        <v>15.174489265911401</v>
      </c>
      <c r="L836" s="6">
        <v>15.416905367358099</v>
      </c>
      <c r="M836" s="6">
        <v>13.8346140137857</v>
      </c>
      <c r="N836" s="6">
        <v>13.9864322364113</v>
      </c>
      <c r="O836" s="6">
        <v>15.2490970572393</v>
      </c>
      <c r="P836" s="6">
        <v>15.0184611222563</v>
      </c>
      <c r="Q836" s="6">
        <v>13.787452692318</v>
      </c>
    </row>
    <row r="837" spans="1:17">
      <c r="A837" s="6" t="s">
        <v>4783</v>
      </c>
      <c r="B837" s="6" t="s">
        <v>4785</v>
      </c>
      <c r="C837" s="6" t="s">
        <v>8574</v>
      </c>
      <c r="D837" s="6" t="s">
        <v>8575</v>
      </c>
      <c r="E837" s="6" t="s">
        <v>8576</v>
      </c>
      <c r="F837" s="6">
        <v>15.2762857141757</v>
      </c>
      <c r="G837" s="6">
        <v>15.018961849373699</v>
      </c>
      <c r="H837" s="6" t="s">
        <v>6254</v>
      </c>
      <c r="I837" s="6">
        <v>15.134497292510201</v>
      </c>
      <c r="J837" s="6">
        <v>13.577934741850999</v>
      </c>
      <c r="K837" s="6">
        <v>14.851547910805101</v>
      </c>
      <c r="L837" s="6">
        <v>15.0701872334444</v>
      </c>
      <c r="M837" s="6">
        <v>14.4105466270526</v>
      </c>
      <c r="N837" s="6">
        <v>14.160685734215599</v>
      </c>
      <c r="O837" s="6">
        <v>15.2003152592739</v>
      </c>
      <c r="P837" s="6">
        <v>15.0621120226155</v>
      </c>
      <c r="Q837" s="6" t="s">
        <v>6254</v>
      </c>
    </row>
    <row r="838" spans="1:17">
      <c r="A838" s="6" t="s">
        <v>8577</v>
      </c>
      <c r="B838" s="6" t="s">
        <v>279</v>
      </c>
      <c r="C838" s="6" t="s">
        <v>8578</v>
      </c>
      <c r="D838" s="6" t="s">
        <v>8579</v>
      </c>
      <c r="E838" s="6" t="s">
        <v>8580</v>
      </c>
      <c r="F838" s="6">
        <v>15.5887578060967</v>
      </c>
      <c r="G838" s="6">
        <v>14.5502325898888</v>
      </c>
      <c r="H838" s="6">
        <v>14.9206093059104</v>
      </c>
      <c r="I838" s="6">
        <v>15.3859186493316</v>
      </c>
      <c r="J838" s="6">
        <v>13.962832137457699</v>
      </c>
      <c r="K838" s="6">
        <v>14.4032434309651</v>
      </c>
      <c r="L838" s="6">
        <v>15.402781693823799</v>
      </c>
      <c r="M838" s="6">
        <v>13.849346744668599</v>
      </c>
      <c r="N838" s="6">
        <v>15.496935782009301</v>
      </c>
      <c r="O838" s="6">
        <v>15.168742466652001</v>
      </c>
      <c r="P838" s="6">
        <v>15.3460734169734</v>
      </c>
      <c r="Q838" s="6">
        <v>13.296282466983399</v>
      </c>
    </row>
    <row r="839" spans="1:17">
      <c r="A839" s="6" t="s">
        <v>3845</v>
      </c>
      <c r="B839" s="6" t="s">
        <v>3847</v>
      </c>
      <c r="C839" s="6" t="s">
        <v>8581</v>
      </c>
      <c r="D839" s="6" t="s">
        <v>8582</v>
      </c>
      <c r="E839" s="6" t="s">
        <v>8583</v>
      </c>
      <c r="F839" s="6">
        <v>15.342045826363499</v>
      </c>
      <c r="G839" s="6">
        <v>14.8721384395451</v>
      </c>
      <c r="H839" s="6">
        <v>14.8679479498783</v>
      </c>
      <c r="I839" s="6">
        <v>15.4638786887715</v>
      </c>
      <c r="J839" s="6">
        <v>14.287072389302899</v>
      </c>
      <c r="K839" s="6">
        <v>15.015131504717001</v>
      </c>
      <c r="L839" s="6">
        <v>15.194833964354199</v>
      </c>
      <c r="M839" s="6" t="s">
        <v>6254</v>
      </c>
      <c r="N839" s="6">
        <v>14.490868946692601</v>
      </c>
      <c r="O839" s="6">
        <v>15.129130595646499</v>
      </c>
      <c r="P839" s="6">
        <v>15.2578912266095</v>
      </c>
      <c r="Q839" s="6" t="s">
        <v>6254</v>
      </c>
    </row>
    <row r="840" spans="1:17">
      <c r="A840" s="6" t="s">
        <v>8584</v>
      </c>
      <c r="B840" s="6" t="s">
        <v>8585</v>
      </c>
      <c r="C840" s="6" t="s">
        <v>8586</v>
      </c>
      <c r="D840" s="6" t="s">
        <v>8587</v>
      </c>
      <c r="E840" s="6" t="s">
        <v>8588</v>
      </c>
      <c r="F840" s="6">
        <v>15.347206539308299</v>
      </c>
      <c r="G840" s="6">
        <v>14.7388238289453</v>
      </c>
      <c r="H840" s="6">
        <v>14.950492789921601</v>
      </c>
      <c r="I840" s="6">
        <v>15.673181553894</v>
      </c>
      <c r="J840" s="6">
        <v>14.2358548466072</v>
      </c>
      <c r="K840" s="6">
        <v>14.996582259328401</v>
      </c>
      <c r="L840" s="6">
        <v>15.446648578158999</v>
      </c>
      <c r="M840" s="6">
        <v>14.015803552266499</v>
      </c>
      <c r="N840" s="6">
        <v>14.499950757125101</v>
      </c>
      <c r="O840" s="6">
        <v>15.225015407238001</v>
      </c>
      <c r="P840" s="6">
        <v>15.425788029812001</v>
      </c>
      <c r="Q840" s="6">
        <v>13.5478722505283</v>
      </c>
    </row>
    <row r="841" spans="1:17">
      <c r="A841" s="6" t="s">
        <v>8589</v>
      </c>
      <c r="B841" s="6" t="s">
        <v>8590</v>
      </c>
      <c r="C841" s="6" t="s">
        <v>8591</v>
      </c>
      <c r="D841" s="6" t="s">
        <v>8592</v>
      </c>
      <c r="E841" s="6" t="s">
        <v>8593</v>
      </c>
      <c r="F841" s="6">
        <v>14.7026967137055</v>
      </c>
      <c r="G841" s="6">
        <v>14.609135614642501</v>
      </c>
      <c r="H841" s="6">
        <v>14.933622388430001</v>
      </c>
      <c r="I841" s="6">
        <v>15.3448763082299</v>
      </c>
      <c r="J841" s="6">
        <v>13.798472747117501</v>
      </c>
      <c r="K841" s="6">
        <v>14.7074670957543</v>
      </c>
      <c r="L841" s="6">
        <v>15.748075825321701</v>
      </c>
      <c r="M841" s="6" t="s">
        <v>6254</v>
      </c>
      <c r="N841" s="6">
        <v>15.2413750928594</v>
      </c>
      <c r="O841" s="6" t="s">
        <v>6254</v>
      </c>
      <c r="P841" s="6" t="s">
        <v>6254</v>
      </c>
      <c r="Q841" s="6" t="s">
        <v>6254</v>
      </c>
    </row>
    <row r="842" spans="1:17">
      <c r="A842" s="6" t="s">
        <v>1531</v>
      </c>
      <c r="B842" s="6" t="s">
        <v>1531</v>
      </c>
      <c r="C842" s="6" t="s">
        <v>8594</v>
      </c>
      <c r="D842" s="6" t="s">
        <v>8595</v>
      </c>
      <c r="E842" s="6" t="s">
        <v>8595</v>
      </c>
      <c r="F842" s="6">
        <v>15.485171535225099</v>
      </c>
      <c r="G842" s="6">
        <v>14.536581825210799</v>
      </c>
      <c r="H842" s="6">
        <v>15.528534174769799</v>
      </c>
      <c r="I842" s="6">
        <v>15.5687354234969</v>
      </c>
      <c r="J842" s="6">
        <v>14.6686694561691</v>
      </c>
      <c r="K842" s="6">
        <v>14.6821328645494</v>
      </c>
      <c r="L842" s="6">
        <v>15.8712158488181</v>
      </c>
      <c r="M842" s="6" t="s">
        <v>6254</v>
      </c>
      <c r="N842" s="6">
        <v>13.705064556227301</v>
      </c>
      <c r="O842" s="6">
        <v>15.6583247747448</v>
      </c>
      <c r="P842" s="6">
        <v>15.162449630829199</v>
      </c>
      <c r="Q842" s="6">
        <v>13.9836410837306</v>
      </c>
    </row>
    <row r="843" spans="1:17">
      <c r="A843" s="6" t="s">
        <v>4456</v>
      </c>
      <c r="B843" s="6" t="s">
        <v>4456</v>
      </c>
      <c r="C843" s="6" t="s">
        <v>8596</v>
      </c>
      <c r="D843" s="6" t="s">
        <v>8597</v>
      </c>
      <c r="E843" s="6" t="s">
        <v>8597</v>
      </c>
      <c r="F843" s="6">
        <v>15.78893371457</v>
      </c>
      <c r="G843" s="6">
        <v>15.0184306461517</v>
      </c>
      <c r="H843" s="6">
        <v>15.1333950163901</v>
      </c>
      <c r="I843" s="6">
        <v>15.7659115958834</v>
      </c>
      <c r="J843" s="6">
        <v>14.6072357886683</v>
      </c>
      <c r="K843" s="6">
        <v>15.049691249464299</v>
      </c>
      <c r="L843" s="6">
        <v>15.437531175477799</v>
      </c>
      <c r="M843" s="6">
        <v>13.167446113530501</v>
      </c>
      <c r="N843" s="6">
        <v>14.2466292646354</v>
      </c>
      <c r="O843" s="6">
        <v>14.8539171278713</v>
      </c>
      <c r="P843" s="6">
        <v>14.7772572015731</v>
      </c>
      <c r="Q843" s="6">
        <v>13.892384032956601</v>
      </c>
    </row>
    <row r="844" spans="1:17">
      <c r="A844" s="6" t="s">
        <v>994</v>
      </c>
      <c r="B844" s="6" t="s">
        <v>994</v>
      </c>
      <c r="C844" s="6" t="s">
        <v>8598</v>
      </c>
      <c r="D844" s="6" t="s">
        <v>8599</v>
      </c>
      <c r="E844" s="6" t="s">
        <v>8599</v>
      </c>
      <c r="F844" s="6">
        <v>15.2603828775139</v>
      </c>
      <c r="G844" s="6">
        <v>14.6532662898437</v>
      </c>
      <c r="H844" s="6">
        <v>15.118468763005501</v>
      </c>
      <c r="I844" s="6">
        <v>15.501846314384499</v>
      </c>
      <c r="J844" s="6">
        <v>14.0880368164198</v>
      </c>
      <c r="K844" s="6">
        <v>14.8252130635243</v>
      </c>
      <c r="L844" s="6">
        <v>15.437840486441999</v>
      </c>
      <c r="M844" s="6">
        <v>13.955705961569601</v>
      </c>
      <c r="N844" s="6">
        <v>14.6446877097639</v>
      </c>
      <c r="O844" s="6">
        <v>15.366267473407801</v>
      </c>
      <c r="P844" s="6">
        <v>15.2700616632216</v>
      </c>
      <c r="Q844" s="6">
        <v>14.131985344315099</v>
      </c>
    </row>
    <row r="845" spans="1:17">
      <c r="A845" s="6" t="s">
        <v>8600</v>
      </c>
      <c r="B845" s="6" t="s">
        <v>8600</v>
      </c>
      <c r="C845" s="6" t="s">
        <v>8601</v>
      </c>
      <c r="D845" s="6" t="s">
        <v>8602</v>
      </c>
      <c r="E845" s="6" t="s">
        <v>8602</v>
      </c>
      <c r="F845" s="6">
        <v>15.300274066541</v>
      </c>
      <c r="G845" s="6">
        <v>14.8086100500956</v>
      </c>
      <c r="H845" s="6">
        <v>15.224451227295001</v>
      </c>
      <c r="I845" s="6">
        <v>15.3845760685009</v>
      </c>
      <c r="J845" s="6">
        <v>14.6136327059675</v>
      </c>
      <c r="K845" s="6">
        <v>14.963324775238499</v>
      </c>
      <c r="L845" s="6">
        <v>15.485978681861299</v>
      </c>
      <c r="M845" s="6">
        <v>14.003341474695601</v>
      </c>
      <c r="N845" s="6">
        <v>14.372428292072</v>
      </c>
      <c r="O845" s="6">
        <v>14.949035443667199</v>
      </c>
      <c r="P845" s="6">
        <v>15.057151730427201</v>
      </c>
      <c r="Q845" s="6">
        <v>14.1850092493289</v>
      </c>
    </row>
    <row r="846" spans="1:17">
      <c r="A846" s="6" t="s">
        <v>903</v>
      </c>
      <c r="B846" s="6" t="s">
        <v>903</v>
      </c>
      <c r="C846" s="6" t="s">
        <v>8603</v>
      </c>
      <c r="D846" s="6" t="s">
        <v>8604</v>
      </c>
      <c r="E846" s="6" t="s">
        <v>8604</v>
      </c>
      <c r="F846" s="6">
        <v>15.0089957455183</v>
      </c>
      <c r="G846" s="6">
        <v>14.5615819572345</v>
      </c>
      <c r="H846" s="6">
        <v>14.9580011603594</v>
      </c>
      <c r="I846" s="6">
        <v>15.633325046315299</v>
      </c>
      <c r="J846" s="6">
        <v>13.847302037049401</v>
      </c>
      <c r="K846" s="6">
        <v>14.804323584812099</v>
      </c>
      <c r="L846" s="6">
        <v>15.262518368468101</v>
      </c>
      <c r="M846" s="6">
        <v>13.8921651239233</v>
      </c>
      <c r="N846" s="6">
        <v>14.7363234105283</v>
      </c>
      <c r="O846" s="6">
        <v>15.5678221198246</v>
      </c>
      <c r="P846" s="6">
        <v>15.0094877920065</v>
      </c>
      <c r="Q846" s="6">
        <v>13.670727016569099</v>
      </c>
    </row>
    <row r="847" spans="1:17">
      <c r="A847" s="6" t="s">
        <v>778</v>
      </c>
      <c r="B847" s="6" t="s">
        <v>778</v>
      </c>
      <c r="C847" s="6" t="s">
        <v>8605</v>
      </c>
      <c r="D847" s="6" t="s">
        <v>8606</v>
      </c>
      <c r="E847" s="6" t="s">
        <v>8606</v>
      </c>
      <c r="F847" s="6">
        <v>15.3177901810161</v>
      </c>
      <c r="G847" s="6">
        <v>14.8843140856687</v>
      </c>
      <c r="H847" s="6">
        <v>14.8517865100191</v>
      </c>
      <c r="I847" s="6">
        <v>15.517938226013801</v>
      </c>
      <c r="J847" s="6">
        <v>13.8983579998061</v>
      </c>
      <c r="K847" s="6">
        <v>14.8716846929835</v>
      </c>
      <c r="L847" s="6">
        <v>15.564185480553199</v>
      </c>
      <c r="M847" s="6">
        <v>13.971399714861001</v>
      </c>
      <c r="N847" s="6">
        <v>14.567965966142699</v>
      </c>
      <c r="O847" s="6">
        <v>14.972303557830401</v>
      </c>
      <c r="P847" s="6">
        <v>14.8463775832124</v>
      </c>
      <c r="Q847" s="6">
        <v>13.5547357606621</v>
      </c>
    </row>
    <row r="848" spans="1:17">
      <c r="A848" s="6" t="s">
        <v>1837</v>
      </c>
      <c r="B848" s="6" t="s">
        <v>1837</v>
      </c>
      <c r="C848" s="6" t="s">
        <v>8607</v>
      </c>
      <c r="D848" s="6" t="s">
        <v>8608</v>
      </c>
      <c r="E848" s="6" t="s">
        <v>8608</v>
      </c>
      <c r="F848" s="6">
        <v>15.4456781101364</v>
      </c>
      <c r="G848" s="6">
        <v>14.797529357921</v>
      </c>
      <c r="H848" s="6">
        <v>15.2061170309965</v>
      </c>
      <c r="I848" s="6">
        <v>15.5411592395985</v>
      </c>
      <c r="J848" s="6">
        <v>14.1815818554352</v>
      </c>
      <c r="K848" s="6">
        <v>14.8284711854569</v>
      </c>
      <c r="L848" s="6">
        <v>15.5045553655291</v>
      </c>
      <c r="M848" s="6">
        <v>14.2682983407488</v>
      </c>
      <c r="N848" s="6">
        <v>15.1179589250606</v>
      </c>
      <c r="O848" s="6">
        <v>14.9804653138718</v>
      </c>
      <c r="P848" s="6">
        <v>14.5010310895488</v>
      </c>
      <c r="Q848" s="6">
        <v>13.672878822343501</v>
      </c>
    </row>
    <row r="849" spans="1:17">
      <c r="A849" s="6" t="s">
        <v>3179</v>
      </c>
      <c r="B849" s="6" t="s">
        <v>3179</v>
      </c>
      <c r="C849" s="6" t="s">
        <v>8609</v>
      </c>
      <c r="D849" s="6" t="s">
        <v>8610</v>
      </c>
      <c r="E849" s="6" t="s">
        <v>8610</v>
      </c>
      <c r="F849" s="6">
        <v>15.1151066387998</v>
      </c>
      <c r="G849" s="6">
        <v>14.635724563815399</v>
      </c>
      <c r="H849" s="6">
        <v>14.889534142262001</v>
      </c>
      <c r="I849" s="6">
        <v>15.597169156577101</v>
      </c>
      <c r="J849" s="6">
        <v>14.327008499429001</v>
      </c>
      <c r="K849" s="6">
        <v>15.0490504973047</v>
      </c>
      <c r="L849" s="6">
        <v>15.4118385689007</v>
      </c>
      <c r="M849" s="6">
        <v>14.0357464382376</v>
      </c>
      <c r="N849" s="6">
        <v>14.070105550409201</v>
      </c>
      <c r="O849" s="6">
        <v>15.1988771273042</v>
      </c>
      <c r="P849" s="6">
        <v>15.272213029452599</v>
      </c>
      <c r="Q849" s="6">
        <v>14.0380836399379</v>
      </c>
    </row>
    <row r="850" spans="1:17">
      <c r="A850" s="6" t="s">
        <v>3359</v>
      </c>
      <c r="B850" s="6" t="s">
        <v>3359</v>
      </c>
      <c r="C850" s="6" t="s">
        <v>8611</v>
      </c>
      <c r="D850" s="6" t="s">
        <v>8612</v>
      </c>
      <c r="E850" s="6" t="s">
        <v>8612</v>
      </c>
      <c r="F850" s="6">
        <v>15.240823605238401</v>
      </c>
      <c r="G850" s="6">
        <v>14.242654655666099</v>
      </c>
      <c r="H850" s="6">
        <v>15.1250057940397</v>
      </c>
      <c r="I850" s="6">
        <v>15.646804758458501</v>
      </c>
      <c r="J850" s="6">
        <v>14.088364253605199</v>
      </c>
      <c r="K850" s="6">
        <v>14.6010073745411</v>
      </c>
      <c r="L850" s="6">
        <v>15.4782179775041</v>
      </c>
      <c r="M850" s="6">
        <v>14.304709891158099</v>
      </c>
      <c r="N850" s="6">
        <v>14.6758329768201</v>
      </c>
      <c r="O850" s="6">
        <v>14.795365996603801</v>
      </c>
      <c r="P850" s="6">
        <v>14.9759201633412</v>
      </c>
      <c r="Q850" s="6" t="s">
        <v>6254</v>
      </c>
    </row>
    <row r="851" spans="1:17">
      <c r="A851" s="6" t="s">
        <v>8613</v>
      </c>
      <c r="B851" s="6" t="s">
        <v>8614</v>
      </c>
      <c r="C851" s="6" t="s">
        <v>8615</v>
      </c>
      <c r="D851" s="6" t="s">
        <v>8616</v>
      </c>
      <c r="E851" s="6" t="s">
        <v>8617</v>
      </c>
      <c r="F851" s="6">
        <v>15.6525351937588</v>
      </c>
      <c r="G851" s="6">
        <v>14.793266726868801</v>
      </c>
      <c r="H851" s="6">
        <v>14.8828234798048</v>
      </c>
      <c r="I851" s="6">
        <v>15.7193376314732</v>
      </c>
      <c r="J851" s="6">
        <v>13.981827462411999</v>
      </c>
      <c r="K851" s="6">
        <v>14.9866331857268</v>
      </c>
      <c r="L851" s="6">
        <v>15.3226249506112</v>
      </c>
      <c r="M851" s="6">
        <v>14.0704905766591</v>
      </c>
      <c r="N851" s="6">
        <v>14.5091493276487</v>
      </c>
      <c r="O851" s="6">
        <v>15.305280653358301</v>
      </c>
      <c r="P851" s="6">
        <v>15.2788848444461</v>
      </c>
      <c r="Q851" s="6">
        <v>13.424181554667999</v>
      </c>
    </row>
    <row r="852" spans="1:17">
      <c r="A852" s="6" t="s">
        <v>8618</v>
      </c>
      <c r="B852" s="6" t="s">
        <v>8618</v>
      </c>
      <c r="C852" s="6" t="s">
        <v>8619</v>
      </c>
      <c r="D852" s="6" t="s">
        <v>8620</v>
      </c>
      <c r="E852" s="6" t="s">
        <v>8620</v>
      </c>
      <c r="F852" s="6">
        <v>15.253396496693799</v>
      </c>
      <c r="G852" s="6">
        <v>15.255080202193801</v>
      </c>
      <c r="H852" s="6">
        <v>14.3496800314306</v>
      </c>
      <c r="I852" s="6">
        <v>16.1420498040194</v>
      </c>
      <c r="J852" s="6">
        <v>13.342794077202401</v>
      </c>
      <c r="K852" s="6">
        <v>14.7840234111857</v>
      </c>
      <c r="L852" s="6">
        <v>15.8977948457617</v>
      </c>
      <c r="M852" s="6" t="s">
        <v>6254</v>
      </c>
      <c r="N852" s="6">
        <v>13.9144877859269</v>
      </c>
      <c r="O852" s="6">
        <v>15.0823285091715</v>
      </c>
      <c r="P852" s="6">
        <v>14.4891134309393</v>
      </c>
      <c r="Q852" s="6" t="s">
        <v>6254</v>
      </c>
    </row>
    <row r="853" spans="1:17">
      <c r="A853" s="6" t="s">
        <v>1461</v>
      </c>
      <c r="B853" s="6" t="s">
        <v>1461</v>
      </c>
      <c r="C853" s="6" t="s">
        <v>8621</v>
      </c>
      <c r="D853" s="6" t="s">
        <v>8622</v>
      </c>
      <c r="E853" s="6" t="s">
        <v>8622</v>
      </c>
      <c r="F853" s="6">
        <v>15.3822032949262</v>
      </c>
      <c r="G853" s="6">
        <v>14.539622557550899</v>
      </c>
      <c r="H853" s="6">
        <v>14.9155972505222</v>
      </c>
      <c r="I853" s="6">
        <v>15.4696845306035</v>
      </c>
      <c r="J853" s="6">
        <v>14.166410241243501</v>
      </c>
      <c r="K853" s="6">
        <v>14.769611915995901</v>
      </c>
      <c r="L853" s="6">
        <v>15.5580185337519</v>
      </c>
      <c r="M853" s="6">
        <v>13.9263054613875</v>
      </c>
      <c r="N853" s="6">
        <v>14.98218408284</v>
      </c>
      <c r="O853" s="6">
        <v>15.321717406822399</v>
      </c>
      <c r="P853" s="6">
        <v>15.036118188180501</v>
      </c>
      <c r="Q853" s="6">
        <v>13.5139790614146</v>
      </c>
    </row>
    <row r="854" spans="1:17">
      <c r="A854" s="6" t="s">
        <v>3463</v>
      </c>
      <c r="B854" s="6" t="s">
        <v>3463</v>
      </c>
      <c r="C854" s="6" t="s">
        <v>8623</v>
      </c>
      <c r="D854" s="6" t="s">
        <v>8624</v>
      </c>
      <c r="E854" s="6" t="s">
        <v>8624</v>
      </c>
      <c r="F854" s="6">
        <v>15.4330346647334</v>
      </c>
      <c r="G854" s="6">
        <v>14.668542038115399</v>
      </c>
      <c r="H854" s="6">
        <v>14.251613002501299</v>
      </c>
      <c r="I854" s="6">
        <v>15.672852969091499</v>
      </c>
      <c r="J854" s="6">
        <v>14.1993378988288</v>
      </c>
      <c r="K854" s="6">
        <v>14.898715443407401</v>
      </c>
      <c r="L854" s="6">
        <v>15.186801376086899</v>
      </c>
      <c r="M854" s="6" t="s">
        <v>6254</v>
      </c>
      <c r="N854" s="6">
        <v>13.8815696440219</v>
      </c>
      <c r="O854" s="6">
        <v>15.318789331981201</v>
      </c>
      <c r="P854" s="6">
        <v>15.2972156344841</v>
      </c>
      <c r="Q854" s="6">
        <v>13.988798182273101</v>
      </c>
    </row>
    <row r="855" spans="1:17">
      <c r="A855" s="6" t="s">
        <v>8625</v>
      </c>
      <c r="B855" s="6" t="s">
        <v>8626</v>
      </c>
      <c r="C855" s="6" t="s">
        <v>8627</v>
      </c>
      <c r="D855" s="6" t="s">
        <v>8628</v>
      </c>
      <c r="E855" s="6" t="s">
        <v>8629</v>
      </c>
      <c r="F855" s="6">
        <v>15.4485174040814</v>
      </c>
      <c r="G855" s="6">
        <v>14.916569793621001</v>
      </c>
      <c r="H855" s="6">
        <v>14.6886781480107</v>
      </c>
      <c r="I855" s="6">
        <v>15.416375337401499</v>
      </c>
      <c r="J855" s="6">
        <v>13.959612362838399</v>
      </c>
      <c r="K855" s="6">
        <v>14.856299367975501</v>
      </c>
      <c r="L855" s="6">
        <v>15.2777813327746</v>
      </c>
      <c r="M855" s="6" t="s">
        <v>6254</v>
      </c>
      <c r="N855" s="6" t="s">
        <v>6254</v>
      </c>
      <c r="O855" s="6">
        <v>14.8077463762755</v>
      </c>
      <c r="P855" s="6">
        <v>14.8865564502056</v>
      </c>
      <c r="Q855" s="6" t="s">
        <v>6254</v>
      </c>
    </row>
    <row r="856" spans="1:17">
      <c r="A856" s="6" t="s">
        <v>2590</v>
      </c>
      <c r="B856" s="6" t="s">
        <v>2590</v>
      </c>
      <c r="C856" s="6" t="s">
        <v>8630</v>
      </c>
      <c r="D856" s="6" t="s">
        <v>8631</v>
      </c>
      <c r="E856" s="6" t="s">
        <v>8631</v>
      </c>
      <c r="F856" s="6">
        <v>15.3382365568997</v>
      </c>
      <c r="G856" s="6">
        <v>14.641788754306599</v>
      </c>
      <c r="H856" s="6">
        <v>14.527587443372299</v>
      </c>
      <c r="I856" s="6">
        <v>15.588415853061599</v>
      </c>
      <c r="J856" s="6">
        <v>14.2449819065063</v>
      </c>
      <c r="K856" s="6">
        <v>14.879790857894401</v>
      </c>
      <c r="L856" s="6">
        <v>15.245198729953501</v>
      </c>
      <c r="M856" s="6">
        <v>13.453004908132</v>
      </c>
      <c r="N856" s="6">
        <v>14.4329692287819</v>
      </c>
      <c r="O856" s="6">
        <v>15.090981512091499</v>
      </c>
      <c r="P856" s="6">
        <v>14.9916774547488</v>
      </c>
      <c r="Q856" s="6">
        <v>13.8661591060541</v>
      </c>
    </row>
    <row r="857" spans="1:17">
      <c r="A857" s="6" t="s">
        <v>1130</v>
      </c>
      <c r="B857" s="6" t="s">
        <v>1130</v>
      </c>
      <c r="C857" s="6" t="s">
        <v>8632</v>
      </c>
      <c r="D857" s="6" t="s">
        <v>8633</v>
      </c>
      <c r="E857" s="6" t="s">
        <v>8633</v>
      </c>
      <c r="F857" s="6">
        <v>15.421736550310399</v>
      </c>
      <c r="G857" s="6">
        <v>14.788008372861601</v>
      </c>
      <c r="H857" s="6">
        <v>14.847237796640201</v>
      </c>
      <c r="I857" s="6">
        <v>15.3985416019617</v>
      </c>
      <c r="J857" s="6">
        <v>14.1030481306864</v>
      </c>
      <c r="K857" s="6">
        <v>14.6311402023582</v>
      </c>
      <c r="L857" s="6">
        <v>15.3485485069261</v>
      </c>
      <c r="M857" s="6">
        <v>14.004903336868599</v>
      </c>
      <c r="N857" s="6">
        <v>14.8653981227858</v>
      </c>
      <c r="O857" s="6">
        <v>15.2091800818261</v>
      </c>
      <c r="P857" s="6">
        <v>15.0117070731825</v>
      </c>
      <c r="Q857" s="6">
        <v>13.2742409791074</v>
      </c>
    </row>
    <row r="858" spans="1:17">
      <c r="A858" s="6" t="s">
        <v>900</v>
      </c>
      <c r="B858" s="6" t="s">
        <v>900</v>
      </c>
      <c r="C858" s="6" t="s">
        <v>8634</v>
      </c>
      <c r="D858" s="6" t="s">
        <v>8635</v>
      </c>
      <c r="E858" s="6" t="s">
        <v>8635</v>
      </c>
      <c r="F858" s="6">
        <v>15.420779432421</v>
      </c>
      <c r="G858" s="6">
        <v>14.8799222770967</v>
      </c>
      <c r="H858" s="6">
        <v>14.9899110619622</v>
      </c>
      <c r="I858" s="6">
        <v>15.485651406754799</v>
      </c>
      <c r="J858" s="6">
        <v>14.062907107975001</v>
      </c>
      <c r="K858" s="6">
        <v>14.7856729925434</v>
      </c>
      <c r="L858" s="6">
        <v>15.391729299701</v>
      </c>
      <c r="M858" s="6">
        <v>13.944851948716</v>
      </c>
      <c r="N858" s="6">
        <v>14.407236257554599</v>
      </c>
      <c r="O858" s="6">
        <v>15.209527525616799</v>
      </c>
      <c r="P858" s="6">
        <v>15.212079889103</v>
      </c>
      <c r="Q858" s="6">
        <v>13.6061911761399</v>
      </c>
    </row>
    <row r="859" spans="1:17">
      <c r="A859" s="6" t="s">
        <v>8636</v>
      </c>
      <c r="B859" s="6" t="s">
        <v>8637</v>
      </c>
      <c r="C859" s="6" t="s">
        <v>8638</v>
      </c>
      <c r="D859" s="6" t="s">
        <v>8639</v>
      </c>
      <c r="E859" s="6" t="s">
        <v>8640</v>
      </c>
      <c r="F859" s="6">
        <v>15.115044894143701</v>
      </c>
      <c r="G859" s="6">
        <v>14.5462160563651</v>
      </c>
      <c r="H859" s="6">
        <v>14.8897491900966</v>
      </c>
      <c r="I859" s="6">
        <v>15.442212152842</v>
      </c>
      <c r="J859" s="6">
        <v>14.1341432625791</v>
      </c>
      <c r="K859" s="6">
        <v>14.866202944305201</v>
      </c>
      <c r="L859" s="6">
        <v>15.1617212852388</v>
      </c>
      <c r="M859" s="6">
        <v>13.8333033443673</v>
      </c>
      <c r="N859" s="6">
        <v>14.622155898323101</v>
      </c>
      <c r="O859" s="6">
        <v>15.0730354928504</v>
      </c>
      <c r="P859" s="6">
        <v>15.2548730190312</v>
      </c>
      <c r="Q859" s="6">
        <v>13.8663379644895</v>
      </c>
    </row>
    <row r="860" spans="1:17">
      <c r="A860" s="6" t="s">
        <v>5404</v>
      </c>
      <c r="B860" s="6" t="s">
        <v>5404</v>
      </c>
      <c r="C860" s="6" t="s">
        <v>8641</v>
      </c>
      <c r="D860" s="6" t="s">
        <v>6604</v>
      </c>
      <c r="E860" s="6" t="s">
        <v>6604</v>
      </c>
      <c r="F860" s="6" t="s">
        <v>6254</v>
      </c>
      <c r="G860" s="6" t="s">
        <v>6254</v>
      </c>
      <c r="H860" s="6" t="s">
        <v>6254</v>
      </c>
      <c r="I860" s="6">
        <v>14.8592945881713</v>
      </c>
      <c r="J860" s="6" t="s">
        <v>6254</v>
      </c>
      <c r="K860" s="6" t="s">
        <v>6254</v>
      </c>
      <c r="L860" s="6" t="s">
        <v>6254</v>
      </c>
      <c r="M860" s="6" t="s">
        <v>6254</v>
      </c>
      <c r="N860" s="6" t="s">
        <v>6254</v>
      </c>
      <c r="O860" s="6" t="s">
        <v>6254</v>
      </c>
      <c r="P860" s="6" t="s">
        <v>6254</v>
      </c>
      <c r="Q860" s="6" t="s">
        <v>6254</v>
      </c>
    </row>
    <row r="861" spans="1:17">
      <c r="A861" s="6" t="s">
        <v>8642</v>
      </c>
      <c r="B861" s="6" t="s">
        <v>8643</v>
      </c>
      <c r="C861" s="6" t="s">
        <v>8644</v>
      </c>
      <c r="D861" s="6" t="s">
        <v>8645</v>
      </c>
      <c r="E861" s="6" t="s">
        <v>8646</v>
      </c>
      <c r="F861" s="6" t="s">
        <v>6254</v>
      </c>
      <c r="G861" s="6" t="s">
        <v>6254</v>
      </c>
      <c r="H861" s="6" t="s">
        <v>6254</v>
      </c>
      <c r="I861" s="6">
        <v>15.435393721857499</v>
      </c>
      <c r="J861" s="6" t="s">
        <v>6254</v>
      </c>
      <c r="K861" s="6" t="s">
        <v>6254</v>
      </c>
      <c r="L861" s="6">
        <v>14.970665312952001</v>
      </c>
      <c r="M861" s="6" t="s">
        <v>6254</v>
      </c>
      <c r="N861" s="6" t="s">
        <v>6254</v>
      </c>
      <c r="O861" s="6">
        <v>14.700866771852001</v>
      </c>
      <c r="P861" s="6" t="s">
        <v>6254</v>
      </c>
      <c r="Q861" s="6" t="s">
        <v>6254</v>
      </c>
    </row>
    <row r="862" spans="1:17">
      <c r="A862" s="6" t="s">
        <v>2911</v>
      </c>
      <c r="B862" s="6" t="s">
        <v>2911</v>
      </c>
      <c r="C862" s="6" t="s">
        <v>8647</v>
      </c>
      <c r="D862" s="6" t="s">
        <v>8648</v>
      </c>
      <c r="E862" s="6" t="s">
        <v>8648</v>
      </c>
      <c r="F862" s="6">
        <v>15.4953277697266</v>
      </c>
      <c r="G862" s="6">
        <v>14.615037022647799</v>
      </c>
      <c r="H862" s="6">
        <v>15.112457821574401</v>
      </c>
      <c r="I862" s="6">
        <v>15.8139310885476</v>
      </c>
      <c r="J862" s="6">
        <v>13.749165711472999</v>
      </c>
      <c r="K862" s="6">
        <v>15.0516150672569</v>
      </c>
      <c r="L862" s="6">
        <v>15.5790173810674</v>
      </c>
      <c r="M862" s="6">
        <v>13.633317915386201</v>
      </c>
      <c r="N862" s="6">
        <v>14.7375196922698</v>
      </c>
      <c r="O862" s="6">
        <v>15.2417884376988</v>
      </c>
      <c r="P862" s="6">
        <v>15.3088490555505</v>
      </c>
      <c r="Q862" s="6">
        <v>12.9056196327629</v>
      </c>
    </row>
    <row r="863" spans="1:17">
      <c r="A863" s="6" t="s">
        <v>449</v>
      </c>
      <c r="B863" s="6" t="s">
        <v>449</v>
      </c>
      <c r="C863" s="6" t="s">
        <v>8649</v>
      </c>
      <c r="D863" s="6" t="s">
        <v>8650</v>
      </c>
      <c r="E863" s="6" t="s">
        <v>8650</v>
      </c>
      <c r="F863" s="6">
        <v>15.2038369039964</v>
      </c>
      <c r="G863" s="6">
        <v>14.7681568728055</v>
      </c>
      <c r="H863" s="6">
        <v>15.3785164174733</v>
      </c>
      <c r="I863" s="6">
        <v>14.931355697288501</v>
      </c>
      <c r="J863" s="6">
        <v>14.7723243497532</v>
      </c>
      <c r="K863" s="6">
        <v>14.4688771616132</v>
      </c>
      <c r="L863" s="6">
        <v>14.635606764439199</v>
      </c>
      <c r="M863" s="6">
        <v>15.2023975110693</v>
      </c>
      <c r="N863" s="6">
        <v>14.8621930551692</v>
      </c>
      <c r="O863" s="6">
        <v>14.835944958357601</v>
      </c>
      <c r="P863" s="6">
        <v>14.857100149984401</v>
      </c>
      <c r="Q863" s="6">
        <v>14.4449882722084</v>
      </c>
    </row>
    <row r="864" spans="1:17">
      <c r="A864" s="6" t="s">
        <v>8651</v>
      </c>
      <c r="B864" s="6" t="s">
        <v>8651</v>
      </c>
      <c r="C864" s="6" t="s">
        <v>8652</v>
      </c>
      <c r="D864" s="6" t="s">
        <v>8653</v>
      </c>
      <c r="E864" s="6" t="s">
        <v>8653</v>
      </c>
      <c r="F864" s="6">
        <v>15.5660010422006</v>
      </c>
      <c r="G864" s="6">
        <v>14.515472719980901</v>
      </c>
      <c r="H864" s="6">
        <v>14.579090859934899</v>
      </c>
      <c r="I864" s="6">
        <v>14.934138198484799</v>
      </c>
      <c r="J864" s="6">
        <v>13.314340444790901</v>
      </c>
      <c r="K864" s="6">
        <v>13.278534639958901</v>
      </c>
      <c r="L864" s="6">
        <v>15.347886127853601</v>
      </c>
      <c r="M864" s="6">
        <v>14.072891091677899</v>
      </c>
      <c r="N864" s="6">
        <v>15.966990741043499</v>
      </c>
      <c r="O864" s="6">
        <v>15.606217246006601</v>
      </c>
      <c r="P864" s="6">
        <v>14.9453951948196</v>
      </c>
      <c r="Q864" s="6">
        <v>13.6604000428684</v>
      </c>
    </row>
    <row r="865" spans="1:17">
      <c r="A865" s="6" t="s">
        <v>8654</v>
      </c>
      <c r="B865" s="6" t="s">
        <v>8654</v>
      </c>
      <c r="C865" s="6" t="s">
        <v>8655</v>
      </c>
      <c r="D865" s="6" t="s">
        <v>8656</v>
      </c>
      <c r="E865" s="6" t="s">
        <v>8656</v>
      </c>
      <c r="F865" s="6">
        <v>15.423974076159</v>
      </c>
      <c r="G865" s="6">
        <v>14.879166829172901</v>
      </c>
      <c r="H865" s="6">
        <v>14.757355293382201</v>
      </c>
      <c r="I865" s="6">
        <v>15.654855924508199</v>
      </c>
      <c r="J865" s="6">
        <v>14.184426641022901</v>
      </c>
      <c r="K865" s="6">
        <v>15.168526466998699</v>
      </c>
      <c r="L865" s="6">
        <v>15.367658010305799</v>
      </c>
      <c r="M865" s="6">
        <v>13.9744517638454</v>
      </c>
      <c r="N865" s="6">
        <v>14.3995998487992</v>
      </c>
      <c r="O865" s="6">
        <v>15.0374969829303</v>
      </c>
      <c r="P865" s="6">
        <v>14.8054926775966</v>
      </c>
      <c r="Q865" s="6">
        <v>13.646406920418301</v>
      </c>
    </row>
    <row r="866" spans="1:17">
      <c r="A866" s="6" t="s">
        <v>3082</v>
      </c>
      <c r="B866" s="6" t="s">
        <v>3082</v>
      </c>
      <c r="C866" s="6" t="s">
        <v>8657</v>
      </c>
      <c r="D866" s="6" t="s">
        <v>8658</v>
      </c>
      <c r="E866" s="6" t="s">
        <v>8658</v>
      </c>
      <c r="F866" s="6">
        <v>15.237204115763999</v>
      </c>
      <c r="G866" s="6">
        <v>14.676304209674599</v>
      </c>
      <c r="H866" s="6">
        <v>14.8897339056146</v>
      </c>
      <c r="I866" s="6">
        <v>15.270048622325101</v>
      </c>
      <c r="J866" s="6">
        <v>14.060973223021101</v>
      </c>
      <c r="K866" s="6">
        <v>14.750611552445999</v>
      </c>
      <c r="L866" s="6">
        <v>15.1809992310473</v>
      </c>
      <c r="M866" s="6">
        <v>14.307060654677</v>
      </c>
      <c r="N866" s="6">
        <v>14.2864429580102</v>
      </c>
      <c r="O866" s="6">
        <v>15.4367699470753</v>
      </c>
      <c r="P866" s="6">
        <v>15.412849035893901</v>
      </c>
      <c r="Q866" s="6">
        <v>13.8646952996569</v>
      </c>
    </row>
    <row r="867" spans="1:17">
      <c r="A867" s="6" t="s">
        <v>1709</v>
      </c>
      <c r="B867" s="6" t="s">
        <v>1709</v>
      </c>
      <c r="C867" s="6" t="s">
        <v>8659</v>
      </c>
      <c r="D867" s="6" t="s">
        <v>8660</v>
      </c>
      <c r="E867" s="6" t="s">
        <v>8660</v>
      </c>
      <c r="F867" s="6">
        <v>15.3382775878387</v>
      </c>
      <c r="G867" s="6">
        <v>14.8623035018403</v>
      </c>
      <c r="H867" s="6">
        <v>14.900217089301799</v>
      </c>
      <c r="I867" s="6">
        <v>15.409427101822001</v>
      </c>
      <c r="J867" s="6">
        <v>14.1419784384279</v>
      </c>
      <c r="K867" s="6">
        <v>15.0254313286043</v>
      </c>
      <c r="L867" s="6">
        <v>15.457797752122399</v>
      </c>
      <c r="M867" s="6">
        <v>14.0558519302965</v>
      </c>
      <c r="N867" s="6">
        <v>14.1271774951085</v>
      </c>
      <c r="O867" s="6">
        <v>15.164017697150401</v>
      </c>
      <c r="P867" s="6">
        <v>15.2319814833967</v>
      </c>
      <c r="Q867" s="6">
        <v>13.747143479774101</v>
      </c>
    </row>
    <row r="868" spans="1:17">
      <c r="A868" s="6" t="s">
        <v>8661</v>
      </c>
      <c r="B868" s="6" t="s">
        <v>8661</v>
      </c>
      <c r="C868" s="6" t="s">
        <v>8662</v>
      </c>
      <c r="D868" s="6" t="s">
        <v>8663</v>
      </c>
      <c r="E868" s="6" t="s">
        <v>8663</v>
      </c>
      <c r="F868" s="6">
        <v>15.4448967727132</v>
      </c>
      <c r="G868" s="6">
        <v>14.607647025233501</v>
      </c>
      <c r="H868" s="6">
        <v>15.085257495178</v>
      </c>
      <c r="I868" s="6">
        <v>14.6093269160147</v>
      </c>
      <c r="J868" s="6">
        <v>15.181972493447701</v>
      </c>
      <c r="K868" s="6">
        <v>15.5810895528908</v>
      </c>
      <c r="L868" s="6">
        <v>14.9024254418603</v>
      </c>
      <c r="M868" s="6">
        <v>14.9315145639651</v>
      </c>
      <c r="N868" s="6">
        <v>15.064258437436299</v>
      </c>
      <c r="O868" s="6" t="s">
        <v>6254</v>
      </c>
      <c r="P868" s="6">
        <v>14.4762169248293</v>
      </c>
      <c r="Q868" s="6">
        <v>15.0751343739052</v>
      </c>
    </row>
    <row r="869" spans="1:17">
      <c r="A869" s="6" t="s">
        <v>8664</v>
      </c>
      <c r="B869" s="6" t="s">
        <v>8665</v>
      </c>
      <c r="C869" s="6" t="s">
        <v>8666</v>
      </c>
      <c r="D869" s="6" t="s">
        <v>8667</v>
      </c>
      <c r="E869" s="6" t="s">
        <v>8668</v>
      </c>
      <c r="F869" s="6">
        <v>15.3803526380264</v>
      </c>
      <c r="G869" s="6">
        <v>14.8342986243008</v>
      </c>
      <c r="H869" s="6">
        <v>14.807868823782901</v>
      </c>
      <c r="I869" s="6">
        <v>15.875774678631799</v>
      </c>
      <c r="J869" s="6">
        <v>13.9529010742721</v>
      </c>
      <c r="K869" s="6">
        <v>15.099608393403001</v>
      </c>
      <c r="L869" s="6">
        <v>15.554184445422599</v>
      </c>
      <c r="M869" s="6">
        <v>13.6630786709504</v>
      </c>
      <c r="N869" s="6">
        <v>14.302059791687499</v>
      </c>
      <c r="O869" s="6">
        <v>15.143116944898299</v>
      </c>
      <c r="P869" s="6">
        <v>14.9811884339857</v>
      </c>
      <c r="Q869" s="6">
        <v>13.4415335954879</v>
      </c>
    </row>
    <row r="870" spans="1:17">
      <c r="A870" s="6" t="s">
        <v>8669</v>
      </c>
      <c r="B870" s="6" t="s">
        <v>8669</v>
      </c>
      <c r="C870" s="6" t="s">
        <v>8670</v>
      </c>
      <c r="D870" s="6" t="s">
        <v>8671</v>
      </c>
      <c r="E870" s="6" t="s">
        <v>8671</v>
      </c>
      <c r="F870" s="6">
        <v>15.491409748563299</v>
      </c>
      <c r="G870" s="6">
        <v>14.688080122084999</v>
      </c>
      <c r="H870" s="6">
        <v>14.8324512764195</v>
      </c>
      <c r="I870" s="6" t="s">
        <v>6254</v>
      </c>
      <c r="J870" s="6" t="s">
        <v>6254</v>
      </c>
      <c r="K870" s="6" t="s">
        <v>6254</v>
      </c>
      <c r="L870" s="6">
        <v>15.0304034337807</v>
      </c>
      <c r="M870" s="6" t="s">
        <v>6254</v>
      </c>
      <c r="N870" s="6">
        <v>14.7842767683267</v>
      </c>
      <c r="O870" s="6">
        <v>14.6961730683496</v>
      </c>
      <c r="P870" s="6">
        <v>14.7584269734612</v>
      </c>
      <c r="Q870" s="6" t="s">
        <v>6254</v>
      </c>
    </row>
    <row r="871" spans="1:17">
      <c r="A871" s="6" t="s">
        <v>1354</v>
      </c>
      <c r="B871" s="6" t="s">
        <v>1356</v>
      </c>
      <c r="C871" s="6" t="s">
        <v>8672</v>
      </c>
      <c r="D871" s="6" t="s">
        <v>8673</v>
      </c>
      <c r="E871" s="6" t="s">
        <v>8674</v>
      </c>
      <c r="F871" s="6">
        <v>15.799649404076501</v>
      </c>
      <c r="G871" s="6">
        <v>15.108052573821899</v>
      </c>
      <c r="H871" s="6">
        <v>14.5858799450767</v>
      </c>
      <c r="I871" s="6">
        <v>15.3148094762181</v>
      </c>
      <c r="J871" s="6">
        <v>14.013002740114899</v>
      </c>
      <c r="K871" s="6">
        <v>16.051028380260199</v>
      </c>
      <c r="L871" s="6">
        <v>14.7833439823942</v>
      </c>
      <c r="M871" s="6">
        <v>13.126243658626899</v>
      </c>
      <c r="N871" s="6">
        <v>13.4917797227319</v>
      </c>
      <c r="O871" s="6">
        <v>15.700939328387999</v>
      </c>
      <c r="P871" s="6">
        <v>15.0289191415917</v>
      </c>
      <c r="Q871" s="6">
        <v>12.946423590714399</v>
      </c>
    </row>
    <row r="872" spans="1:17">
      <c r="A872" s="6" t="s">
        <v>1017</v>
      </c>
      <c r="B872" s="6" t="s">
        <v>1017</v>
      </c>
      <c r="C872" s="6" t="s">
        <v>8675</v>
      </c>
      <c r="D872" s="6" t="s">
        <v>8676</v>
      </c>
      <c r="E872" s="6" t="s">
        <v>8676</v>
      </c>
      <c r="F872" s="6">
        <v>15.367709864732101</v>
      </c>
      <c r="G872" s="6">
        <v>14.701674909968499</v>
      </c>
      <c r="H872" s="6">
        <v>14.706272677687201</v>
      </c>
      <c r="I872" s="6">
        <v>15.479583192640201</v>
      </c>
      <c r="J872" s="6">
        <v>14.0216168705317</v>
      </c>
      <c r="K872" s="6">
        <v>14.9291358846368</v>
      </c>
      <c r="L872" s="6">
        <v>15.1823156793282</v>
      </c>
      <c r="M872" s="6">
        <v>13.945064619677799</v>
      </c>
      <c r="N872" s="6">
        <v>14.669016995039399</v>
      </c>
      <c r="O872" s="6">
        <v>15.0825521523031</v>
      </c>
      <c r="P872" s="6">
        <v>15.3613480859277</v>
      </c>
      <c r="Q872" s="6">
        <v>13.604178039325699</v>
      </c>
    </row>
    <row r="873" spans="1:17">
      <c r="A873" s="6" t="s">
        <v>1362</v>
      </c>
      <c r="B873" s="6" t="s">
        <v>1362</v>
      </c>
      <c r="C873" s="6" t="s">
        <v>8677</v>
      </c>
      <c r="D873" s="6" t="s">
        <v>8678</v>
      </c>
      <c r="E873" s="6" t="s">
        <v>8678</v>
      </c>
      <c r="F873" s="6">
        <v>15.2078163491166</v>
      </c>
      <c r="G873" s="6">
        <v>14.800455559798699</v>
      </c>
      <c r="H873" s="6">
        <v>15.0373374865834</v>
      </c>
      <c r="I873" s="6">
        <v>15.5607597043073</v>
      </c>
      <c r="J873" s="6">
        <v>14.2713304867735</v>
      </c>
      <c r="K873" s="6">
        <v>14.9722139397609</v>
      </c>
      <c r="L873" s="6">
        <v>15.5258353588963</v>
      </c>
      <c r="M873" s="6">
        <v>14.1534761369505</v>
      </c>
      <c r="N873" s="6">
        <v>14.3534431596931</v>
      </c>
      <c r="O873" s="6">
        <v>14.817237593026899</v>
      </c>
      <c r="P873" s="6">
        <v>14.2606536248538</v>
      </c>
      <c r="Q873" s="6">
        <v>13.953699402387899</v>
      </c>
    </row>
    <row r="874" spans="1:17">
      <c r="A874" s="6" t="s">
        <v>3083</v>
      </c>
      <c r="B874" s="6" t="s">
        <v>3083</v>
      </c>
      <c r="C874" s="6" t="s">
        <v>8679</v>
      </c>
      <c r="D874" s="6" t="s">
        <v>8680</v>
      </c>
      <c r="E874" s="6" t="s">
        <v>8680</v>
      </c>
      <c r="F874" s="6">
        <v>15.479806728925301</v>
      </c>
      <c r="G874" s="6">
        <v>14.045057708923901</v>
      </c>
      <c r="H874" s="6">
        <v>15.1328475172055</v>
      </c>
      <c r="I874" s="6">
        <v>15.364839833854999</v>
      </c>
      <c r="J874" s="6">
        <v>14.0958945198752</v>
      </c>
      <c r="K874" s="6">
        <v>14.549760825904499</v>
      </c>
      <c r="L874" s="6">
        <v>15.7703480582057</v>
      </c>
      <c r="M874" s="6">
        <v>14.0451445337418</v>
      </c>
      <c r="N874" s="6">
        <v>15.008816565880799</v>
      </c>
      <c r="O874" s="6">
        <v>15.043154709157299</v>
      </c>
      <c r="P874" s="6">
        <v>14.3866334927907</v>
      </c>
      <c r="Q874" s="6">
        <v>13.739135242207</v>
      </c>
    </row>
    <row r="875" spans="1:17">
      <c r="A875" s="6" t="s">
        <v>3759</v>
      </c>
      <c r="B875" s="6" t="s">
        <v>3759</v>
      </c>
      <c r="C875" s="6" t="s">
        <v>8681</v>
      </c>
      <c r="D875" s="6" t="s">
        <v>8682</v>
      </c>
      <c r="E875" s="6" t="s">
        <v>8682</v>
      </c>
      <c r="F875" s="6">
        <v>14.9896510484055</v>
      </c>
      <c r="G875" s="6">
        <v>14.7534938051875</v>
      </c>
      <c r="H875" s="6">
        <v>15.0684187484843</v>
      </c>
      <c r="I875" s="6">
        <v>15.379147218098799</v>
      </c>
      <c r="J875" s="6">
        <v>14.046107052143199</v>
      </c>
      <c r="K875" s="6">
        <v>15.023640454070501</v>
      </c>
      <c r="L875" s="6">
        <v>15.3434068074067</v>
      </c>
      <c r="M875" s="6">
        <v>14.075578596381201</v>
      </c>
      <c r="N875" s="6">
        <v>14.3780140447068</v>
      </c>
      <c r="O875" s="6">
        <v>14.7730778765977</v>
      </c>
      <c r="P875" s="6">
        <v>14.8561624905104</v>
      </c>
      <c r="Q875" s="6">
        <v>13.5705665362083</v>
      </c>
    </row>
    <row r="876" spans="1:17">
      <c r="A876" s="6" t="s">
        <v>8683</v>
      </c>
      <c r="B876" s="6" t="s">
        <v>8684</v>
      </c>
      <c r="C876" s="6" t="s">
        <v>8685</v>
      </c>
      <c r="D876" s="6" t="s">
        <v>8686</v>
      </c>
      <c r="E876" s="6" t="s">
        <v>8687</v>
      </c>
      <c r="F876" s="6">
        <v>15.2942736184051</v>
      </c>
      <c r="G876" s="6">
        <v>14.881413032875701</v>
      </c>
      <c r="H876" s="6">
        <v>14.7474018985973</v>
      </c>
      <c r="I876" s="6">
        <v>15.5986813619909</v>
      </c>
      <c r="J876" s="6">
        <v>14.175019519871499</v>
      </c>
      <c r="K876" s="6">
        <v>14.947414946139199</v>
      </c>
      <c r="L876" s="6">
        <v>15.397157146333001</v>
      </c>
      <c r="M876" s="6">
        <v>13.591215417092201</v>
      </c>
      <c r="N876" s="6">
        <v>13.9323353560554</v>
      </c>
      <c r="O876" s="6">
        <v>15.1807668715647</v>
      </c>
      <c r="P876" s="6">
        <v>15.212627194765499</v>
      </c>
      <c r="Q876" s="6">
        <v>13.7370905676206</v>
      </c>
    </row>
    <row r="877" spans="1:17">
      <c r="A877" s="6" t="s">
        <v>4289</v>
      </c>
      <c r="B877" s="6" t="s">
        <v>4289</v>
      </c>
      <c r="C877" s="6" t="s">
        <v>8688</v>
      </c>
      <c r="D877" s="6" t="s">
        <v>8689</v>
      </c>
      <c r="E877" s="6" t="s">
        <v>8689</v>
      </c>
      <c r="F877" s="6">
        <v>14.9775361307443</v>
      </c>
      <c r="G877" s="6">
        <v>14.546848116537401</v>
      </c>
      <c r="H877" s="6">
        <v>14.9894475982342</v>
      </c>
      <c r="I877" s="6">
        <v>15.760283843277399</v>
      </c>
      <c r="J877" s="6">
        <v>13.6564764001117</v>
      </c>
      <c r="K877" s="6">
        <v>14.540636148226699</v>
      </c>
      <c r="L877" s="6">
        <v>15.7439178295723</v>
      </c>
      <c r="M877" s="6">
        <v>13.8349786660782</v>
      </c>
      <c r="N877" s="6">
        <v>14.2653743498434</v>
      </c>
      <c r="O877" s="6">
        <v>14.903248854462401</v>
      </c>
      <c r="P877" s="6">
        <v>15.0150024437343</v>
      </c>
      <c r="Q877" s="6">
        <v>13.479218192521699</v>
      </c>
    </row>
    <row r="878" spans="1:17">
      <c r="A878" s="6" t="s">
        <v>1723</v>
      </c>
      <c r="B878" s="6" t="s">
        <v>1723</v>
      </c>
      <c r="C878" s="6" t="s">
        <v>8690</v>
      </c>
      <c r="D878" s="6" t="s">
        <v>8691</v>
      </c>
      <c r="E878" s="6" t="s">
        <v>8691</v>
      </c>
      <c r="F878" s="6">
        <v>15.150529275847299</v>
      </c>
      <c r="G878" s="6">
        <v>14.8034885726653</v>
      </c>
      <c r="H878" s="6">
        <v>14.852130279968801</v>
      </c>
      <c r="I878" s="6">
        <v>15.4125835963493</v>
      </c>
      <c r="J878" s="6">
        <v>14.1491830603258</v>
      </c>
      <c r="K878" s="6">
        <v>14.8325251113326</v>
      </c>
      <c r="L878" s="6">
        <v>15.541716546865599</v>
      </c>
      <c r="M878" s="6">
        <v>14.245903959761399</v>
      </c>
      <c r="N878" s="6">
        <v>14.296666385625301</v>
      </c>
      <c r="O878" s="6">
        <v>15.204844504161001</v>
      </c>
      <c r="P878" s="6">
        <v>15.153162078997999</v>
      </c>
      <c r="Q878" s="6">
        <v>13.554066607912199</v>
      </c>
    </row>
    <row r="879" spans="1:17">
      <c r="A879" s="6" t="s">
        <v>8692</v>
      </c>
      <c r="B879" s="6" t="s">
        <v>5921</v>
      </c>
      <c r="C879" s="6" t="s">
        <v>8693</v>
      </c>
      <c r="D879" s="6" t="s">
        <v>8694</v>
      </c>
      <c r="E879" s="6" t="s">
        <v>8695</v>
      </c>
      <c r="F879" s="6">
        <v>14.2967079108279</v>
      </c>
      <c r="G879" s="6">
        <v>15.128316622737101</v>
      </c>
      <c r="H879" s="6">
        <v>14.667234108220899</v>
      </c>
      <c r="I879" s="6">
        <v>15.1052634745945</v>
      </c>
      <c r="J879" s="6">
        <v>14.149159126995899</v>
      </c>
      <c r="K879" s="6">
        <v>14.539791154197101</v>
      </c>
      <c r="L879" s="6">
        <v>14.9017458333301</v>
      </c>
      <c r="M879" s="6">
        <v>12.963346027769701</v>
      </c>
      <c r="N879" s="6" t="s">
        <v>6254</v>
      </c>
      <c r="O879" s="6">
        <v>14.909374604665899</v>
      </c>
      <c r="P879" s="6">
        <v>14.8542272661602</v>
      </c>
      <c r="Q879" s="6">
        <v>13.9880046933327</v>
      </c>
    </row>
    <row r="880" spans="1:17">
      <c r="A880" s="6" t="s">
        <v>3425</v>
      </c>
      <c r="B880" s="6" t="s">
        <v>3425</v>
      </c>
      <c r="C880" s="6" t="s">
        <v>8696</v>
      </c>
      <c r="D880" s="6" t="s">
        <v>8697</v>
      </c>
      <c r="E880" s="6" t="s">
        <v>8697</v>
      </c>
      <c r="F880" s="6">
        <v>15.637788746337799</v>
      </c>
      <c r="G880" s="6">
        <v>14.809942492207099</v>
      </c>
      <c r="H880" s="6">
        <v>14.4759986326644</v>
      </c>
      <c r="I880" s="6">
        <v>15.2797093411692</v>
      </c>
      <c r="J880" s="6" t="s">
        <v>6254</v>
      </c>
      <c r="K880" s="6">
        <v>14.2571394167959</v>
      </c>
      <c r="L880" s="6">
        <v>14.8265940870583</v>
      </c>
      <c r="M880" s="6">
        <v>14.9541659729215</v>
      </c>
      <c r="N880" s="6">
        <v>14.0658290613564</v>
      </c>
      <c r="O880" s="6">
        <v>15.2385561387916</v>
      </c>
      <c r="P880" s="6">
        <v>14.9928335608691</v>
      </c>
      <c r="Q880" s="6" t="s">
        <v>6254</v>
      </c>
    </row>
    <row r="881" spans="1:17">
      <c r="A881" s="6" t="s">
        <v>8698</v>
      </c>
      <c r="B881" s="6" t="s">
        <v>8699</v>
      </c>
      <c r="C881" s="6" t="s">
        <v>8700</v>
      </c>
      <c r="D881" s="6" t="s">
        <v>8701</v>
      </c>
      <c r="E881" s="6" t="s">
        <v>8702</v>
      </c>
      <c r="F881" s="6">
        <v>15.3828799783715</v>
      </c>
      <c r="G881" s="6">
        <v>14.877009148166101</v>
      </c>
      <c r="H881" s="6">
        <v>14.6211505810658</v>
      </c>
      <c r="I881" s="6">
        <v>15.6531399527159</v>
      </c>
      <c r="J881" s="6">
        <v>14.1643412032683</v>
      </c>
      <c r="K881" s="6">
        <v>14.8453974045376</v>
      </c>
      <c r="L881" s="6">
        <v>15.260193712857401</v>
      </c>
      <c r="M881" s="6">
        <v>12.903311112346399</v>
      </c>
      <c r="N881" s="6">
        <v>14.4217297879584</v>
      </c>
      <c r="O881" s="6">
        <v>15.102880900796301</v>
      </c>
      <c r="P881" s="6">
        <v>14.6067596895007</v>
      </c>
      <c r="Q881" s="6">
        <v>13.552462675383101</v>
      </c>
    </row>
    <row r="882" spans="1:17">
      <c r="A882" s="6" t="s">
        <v>2197</v>
      </c>
      <c r="B882" s="6" t="s">
        <v>2199</v>
      </c>
      <c r="C882" s="6" t="s">
        <v>8703</v>
      </c>
      <c r="D882" s="6" t="s">
        <v>8704</v>
      </c>
      <c r="E882" s="6" t="s">
        <v>8705</v>
      </c>
      <c r="F882" s="6">
        <v>15.2898043204868</v>
      </c>
      <c r="G882" s="6">
        <v>14.5714737854123</v>
      </c>
      <c r="H882" s="6">
        <v>15.3499677076704</v>
      </c>
      <c r="I882" s="6">
        <v>15.5280491227808</v>
      </c>
      <c r="J882" s="6">
        <v>14.092415945480401</v>
      </c>
      <c r="K882" s="6">
        <v>14.7097830167727</v>
      </c>
      <c r="L882" s="6">
        <v>15.3014016840072</v>
      </c>
      <c r="M882" s="6">
        <v>13.7416618534194</v>
      </c>
      <c r="N882" s="6">
        <v>13.884848231426499</v>
      </c>
      <c r="O882" s="6">
        <v>15.060094547695901</v>
      </c>
      <c r="P882" s="6">
        <v>14.458387635741801</v>
      </c>
      <c r="Q882" s="6">
        <v>13.209186698441</v>
      </c>
    </row>
    <row r="883" spans="1:17">
      <c r="A883" s="6" t="s">
        <v>4832</v>
      </c>
      <c r="B883" s="6" t="s">
        <v>4832</v>
      </c>
      <c r="C883" s="6" t="s">
        <v>8706</v>
      </c>
      <c r="D883" s="6" t="s">
        <v>8707</v>
      </c>
      <c r="E883" s="6" t="s">
        <v>8707</v>
      </c>
      <c r="F883" s="6" t="s">
        <v>6254</v>
      </c>
      <c r="G883" s="6">
        <v>14.847560452466199</v>
      </c>
      <c r="H883" s="6">
        <v>12.507386647472201</v>
      </c>
      <c r="I883" s="6">
        <v>15.5268118808505</v>
      </c>
      <c r="J883" s="6" t="s">
        <v>6254</v>
      </c>
      <c r="K883" s="6">
        <v>14.8844852845811</v>
      </c>
      <c r="L883" s="6">
        <v>15.4422544773751</v>
      </c>
      <c r="M883" s="6">
        <v>14.6139133416867</v>
      </c>
      <c r="N883" s="6" t="s">
        <v>6254</v>
      </c>
      <c r="O883" s="6" t="s">
        <v>6254</v>
      </c>
      <c r="P883" s="6" t="s">
        <v>6254</v>
      </c>
      <c r="Q883" s="6" t="s">
        <v>6254</v>
      </c>
    </row>
    <row r="884" spans="1:17">
      <c r="A884" s="6" t="s">
        <v>2908</v>
      </c>
      <c r="B884" s="6" t="s">
        <v>2908</v>
      </c>
      <c r="C884" s="6" t="s">
        <v>8708</v>
      </c>
      <c r="D884" s="6" t="s">
        <v>8709</v>
      </c>
      <c r="E884" s="6" t="s">
        <v>8709</v>
      </c>
      <c r="F884" s="6">
        <v>15.1191616071002</v>
      </c>
      <c r="G884" s="6">
        <v>14.4698755337131</v>
      </c>
      <c r="H884" s="6">
        <v>14.757426562843801</v>
      </c>
      <c r="I884" s="6">
        <v>15.298752917877801</v>
      </c>
      <c r="J884" s="6">
        <v>14.203729343952499</v>
      </c>
      <c r="K884" s="6">
        <v>14.962006238754601</v>
      </c>
      <c r="L884" s="6">
        <v>15.186325025216499</v>
      </c>
      <c r="M884" s="6">
        <v>13.829618092782299</v>
      </c>
      <c r="N884" s="6">
        <v>14.7182414890167</v>
      </c>
      <c r="O884" s="6">
        <v>15.1201865006649</v>
      </c>
      <c r="P884" s="6">
        <v>15.1200663555202</v>
      </c>
      <c r="Q884" s="6" t="s">
        <v>6254</v>
      </c>
    </row>
    <row r="885" spans="1:17">
      <c r="A885" s="6" t="s">
        <v>8710</v>
      </c>
      <c r="B885" s="6" t="s">
        <v>8711</v>
      </c>
      <c r="C885" s="6" t="s">
        <v>8712</v>
      </c>
      <c r="D885" s="6" t="s">
        <v>8713</v>
      </c>
      <c r="E885" s="6" t="s">
        <v>8714</v>
      </c>
      <c r="F885" s="6">
        <v>15.220446260982399</v>
      </c>
      <c r="G885" s="6">
        <v>14.0384042868529</v>
      </c>
      <c r="H885" s="6">
        <v>14.849245687864901</v>
      </c>
      <c r="I885" s="6">
        <v>16.160986976050001</v>
      </c>
      <c r="J885" s="6">
        <v>13.580299134274201</v>
      </c>
      <c r="K885" s="6">
        <v>15.0218219530074</v>
      </c>
      <c r="L885" s="6">
        <v>15.7260338286442</v>
      </c>
      <c r="M885" s="6">
        <v>14.100849809075999</v>
      </c>
      <c r="N885" s="6">
        <v>15.5139367744552</v>
      </c>
      <c r="O885" s="6">
        <v>14.048413234936399</v>
      </c>
      <c r="P885" s="6">
        <v>14.3750603375625</v>
      </c>
      <c r="Q885" s="6">
        <v>13.076339153124399</v>
      </c>
    </row>
    <row r="886" spans="1:17">
      <c r="A886" s="6" t="s">
        <v>735</v>
      </c>
      <c r="B886" s="6" t="s">
        <v>735</v>
      </c>
      <c r="C886" s="6" t="s">
        <v>8715</v>
      </c>
      <c r="D886" s="6" t="s">
        <v>8716</v>
      </c>
      <c r="E886" s="6" t="s">
        <v>8716</v>
      </c>
      <c r="F886" s="6">
        <v>15.3599790257683</v>
      </c>
      <c r="G886" s="6">
        <v>14.5434552498284</v>
      </c>
      <c r="H886" s="6">
        <v>14.7010742466002</v>
      </c>
      <c r="I886" s="6">
        <v>15.293062912064499</v>
      </c>
      <c r="J886" s="6">
        <v>14.2604894277839</v>
      </c>
      <c r="K886" s="6">
        <v>14.717143095079299</v>
      </c>
      <c r="L886" s="6">
        <v>15.2945301912386</v>
      </c>
      <c r="M886" s="6">
        <v>13.749069815355201</v>
      </c>
      <c r="N886" s="6">
        <v>14.6044113571254</v>
      </c>
      <c r="O886" s="6">
        <v>14.8274936169318</v>
      </c>
      <c r="P886" s="6">
        <v>14.730223261895899</v>
      </c>
      <c r="Q886" s="6">
        <v>13.7794143469002</v>
      </c>
    </row>
    <row r="887" spans="1:17">
      <c r="A887" s="6" t="s">
        <v>791</v>
      </c>
      <c r="B887" s="6" t="s">
        <v>791</v>
      </c>
      <c r="C887" s="6" t="s">
        <v>8717</v>
      </c>
      <c r="D887" s="6" t="s">
        <v>8718</v>
      </c>
      <c r="E887" s="6" t="s">
        <v>8718</v>
      </c>
      <c r="F887" s="6">
        <v>15.0769355670783</v>
      </c>
      <c r="G887" s="6">
        <v>13.843449618877999</v>
      </c>
      <c r="H887" s="6">
        <v>15.634948658891799</v>
      </c>
      <c r="I887" s="6">
        <v>16.3864486995123</v>
      </c>
      <c r="J887" s="6">
        <v>15.2015123961701</v>
      </c>
      <c r="K887" s="6">
        <v>15.2976000512274</v>
      </c>
      <c r="L887" s="6">
        <v>16.328606779014699</v>
      </c>
      <c r="M887" s="6">
        <v>14.899774319097601</v>
      </c>
      <c r="N887" s="6">
        <v>15.3095545015273</v>
      </c>
      <c r="O887" s="6">
        <v>14.1816578874064</v>
      </c>
      <c r="P887" s="6">
        <v>14.6623505145143</v>
      </c>
      <c r="Q887" s="6">
        <v>12.3575912059085</v>
      </c>
    </row>
    <row r="888" spans="1:17">
      <c r="A888" s="6" t="s">
        <v>8719</v>
      </c>
      <c r="B888" s="6" t="s">
        <v>2271</v>
      </c>
      <c r="C888" s="6" t="s">
        <v>8720</v>
      </c>
      <c r="D888" s="6" t="s">
        <v>8721</v>
      </c>
      <c r="E888" s="6" t="s">
        <v>8722</v>
      </c>
      <c r="F888" s="6">
        <v>15.5561983752114</v>
      </c>
      <c r="G888" s="6">
        <v>15.312260319828599</v>
      </c>
      <c r="H888" s="6">
        <v>15.3018251725134</v>
      </c>
      <c r="I888" s="6">
        <v>15.3473527175036</v>
      </c>
      <c r="J888" s="6">
        <v>14.724445315898601</v>
      </c>
      <c r="K888" s="6">
        <v>14.707874407250401</v>
      </c>
      <c r="L888" s="6">
        <v>15.727535271364401</v>
      </c>
      <c r="M888" s="6" t="s">
        <v>6254</v>
      </c>
      <c r="N888" s="6">
        <v>14.1284954580983</v>
      </c>
      <c r="O888" s="6">
        <v>15.6308348704057</v>
      </c>
      <c r="P888" s="6">
        <v>14.2172390310838</v>
      </c>
      <c r="Q888" s="6">
        <v>13.810878669654899</v>
      </c>
    </row>
    <row r="889" spans="1:17">
      <c r="A889" s="6" t="s">
        <v>8723</v>
      </c>
      <c r="B889" s="6" t="s">
        <v>8724</v>
      </c>
      <c r="C889" s="6" t="s">
        <v>8725</v>
      </c>
      <c r="D889" s="6" t="s">
        <v>8726</v>
      </c>
      <c r="E889" s="6" t="s">
        <v>8727</v>
      </c>
      <c r="F889" s="6">
        <v>15.094696787783301</v>
      </c>
      <c r="G889" s="6">
        <v>14.6577553646485</v>
      </c>
      <c r="H889" s="6">
        <v>15.3639688688126</v>
      </c>
      <c r="I889" s="6">
        <v>15.3810569651828</v>
      </c>
      <c r="J889" s="6">
        <v>14.086923006058001</v>
      </c>
      <c r="K889" s="6">
        <v>14.8082157897454</v>
      </c>
      <c r="L889" s="6">
        <v>15.594906041724499</v>
      </c>
      <c r="M889" s="6">
        <v>14.5556592895328</v>
      </c>
      <c r="N889" s="6">
        <v>14.589297852425201</v>
      </c>
      <c r="O889" s="6">
        <v>14.6584238765848</v>
      </c>
      <c r="P889" s="6">
        <v>14.902121564461901</v>
      </c>
      <c r="Q889" s="6">
        <v>12.5918461683362</v>
      </c>
    </row>
    <row r="890" spans="1:17">
      <c r="A890" s="6" t="s">
        <v>8728</v>
      </c>
      <c r="B890" s="6" t="s">
        <v>8729</v>
      </c>
      <c r="C890" s="6" t="s">
        <v>8730</v>
      </c>
      <c r="D890" s="6" t="s">
        <v>8731</v>
      </c>
      <c r="E890" s="6" t="s">
        <v>8732</v>
      </c>
      <c r="F890" s="6">
        <v>14.6628771496363</v>
      </c>
      <c r="G890" s="6">
        <v>14.2225344039213</v>
      </c>
      <c r="H890" s="6">
        <v>14.436511806251501</v>
      </c>
      <c r="I890" s="6">
        <v>15.4858428781077</v>
      </c>
      <c r="J890" s="6">
        <v>13.6446578422239</v>
      </c>
      <c r="K890" s="6">
        <v>14.9366960030912</v>
      </c>
      <c r="L890" s="6">
        <v>15.3965016897713</v>
      </c>
      <c r="M890" s="6" t="s">
        <v>6254</v>
      </c>
      <c r="N890" s="6" t="s">
        <v>6254</v>
      </c>
      <c r="O890" s="6">
        <v>15.0950423166259</v>
      </c>
      <c r="P890" s="6">
        <v>14.4429629731007</v>
      </c>
      <c r="Q890" s="6" t="s">
        <v>6254</v>
      </c>
    </row>
    <row r="891" spans="1:17">
      <c r="A891" s="6" t="s">
        <v>1060</v>
      </c>
      <c r="B891" s="6" t="s">
        <v>1060</v>
      </c>
      <c r="C891" s="6" t="s">
        <v>8733</v>
      </c>
      <c r="D891" s="6" t="s">
        <v>8734</v>
      </c>
      <c r="E891" s="6" t="s">
        <v>8734</v>
      </c>
      <c r="F891" s="6">
        <v>15.192581279176601</v>
      </c>
      <c r="G891" s="6">
        <v>14.7518585825964</v>
      </c>
      <c r="H891" s="6">
        <v>14.7012049439415</v>
      </c>
      <c r="I891" s="6">
        <v>15.5619874288614</v>
      </c>
      <c r="J891" s="6">
        <v>14.0392305091199</v>
      </c>
      <c r="K891" s="6">
        <v>14.660514989216001</v>
      </c>
      <c r="L891" s="6">
        <v>15.309966402855901</v>
      </c>
      <c r="M891" s="6">
        <v>13.928042795519501</v>
      </c>
      <c r="N891" s="6">
        <v>14.5862475301369</v>
      </c>
      <c r="O891" s="6">
        <v>15.1581717848242</v>
      </c>
      <c r="P891" s="6">
        <v>14.949296153190501</v>
      </c>
      <c r="Q891" s="6">
        <v>13.6401114500327</v>
      </c>
    </row>
    <row r="892" spans="1:17">
      <c r="A892" s="6" t="s">
        <v>8735</v>
      </c>
      <c r="B892" s="6" t="s">
        <v>8735</v>
      </c>
      <c r="C892" s="6" t="s">
        <v>8736</v>
      </c>
      <c r="D892" s="6" t="s">
        <v>8737</v>
      </c>
      <c r="E892" s="6" t="s">
        <v>8737</v>
      </c>
      <c r="F892" s="6">
        <v>15.0132893369236</v>
      </c>
      <c r="G892" s="6">
        <v>14.805869320683399</v>
      </c>
      <c r="H892" s="6">
        <v>14.5934217512852</v>
      </c>
      <c r="I892" s="6">
        <v>15.0939628967916</v>
      </c>
      <c r="J892" s="6">
        <v>14.2829250375079</v>
      </c>
      <c r="K892" s="6">
        <v>15.0179598479261</v>
      </c>
      <c r="L892" s="6">
        <v>15.166700898798</v>
      </c>
      <c r="M892" s="6">
        <v>14.044176185371001</v>
      </c>
      <c r="N892" s="6" t="s">
        <v>6254</v>
      </c>
      <c r="O892" s="6">
        <v>14.1927794079403</v>
      </c>
      <c r="P892" s="6">
        <v>13.9440900245355</v>
      </c>
      <c r="Q892" s="6" t="s">
        <v>6254</v>
      </c>
    </row>
    <row r="893" spans="1:17">
      <c r="A893" s="6" t="s">
        <v>8738</v>
      </c>
      <c r="B893" s="6" t="s">
        <v>2107</v>
      </c>
      <c r="C893" s="6" t="s">
        <v>8739</v>
      </c>
      <c r="D893" s="6" t="s">
        <v>8740</v>
      </c>
      <c r="E893" s="6" t="s">
        <v>8741</v>
      </c>
      <c r="F893" s="6">
        <v>15.4126788159287</v>
      </c>
      <c r="G893" s="6">
        <v>14.309856912566</v>
      </c>
      <c r="H893" s="6">
        <v>14.758906148401101</v>
      </c>
      <c r="I893" s="6">
        <v>15.7274681396599</v>
      </c>
      <c r="J893" s="6" t="s">
        <v>6254</v>
      </c>
      <c r="K893" s="6">
        <v>14.310140639754099</v>
      </c>
      <c r="L893" s="6">
        <v>15.506842049481101</v>
      </c>
      <c r="M893" s="6">
        <v>13.652316821515299</v>
      </c>
      <c r="N893" s="6">
        <v>14.6755618921657</v>
      </c>
      <c r="O893" s="6">
        <v>14.972615436934399</v>
      </c>
      <c r="P893" s="6">
        <v>15.182699744292201</v>
      </c>
      <c r="Q893" s="6">
        <v>13.0374015952594</v>
      </c>
    </row>
    <row r="894" spans="1:17">
      <c r="A894" s="6" t="s">
        <v>2058</v>
      </c>
      <c r="B894" s="6" t="s">
        <v>2058</v>
      </c>
      <c r="C894" s="6" t="s">
        <v>8742</v>
      </c>
      <c r="D894" s="6" t="s">
        <v>8743</v>
      </c>
      <c r="E894" s="6" t="s">
        <v>8743</v>
      </c>
      <c r="F894" s="6">
        <v>15.0802200513043</v>
      </c>
      <c r="G894" s="6">
        <v>14.708739880545799</v>
      </c>
      <c r="H894" s="6">
        <v>14.6952481203478</v>
      </c>
      <c r="I894" s="6">
        <v>15.2174216339438</v>
      </c>
      <c r="J894" s="6">
        <v>13.762343955246701</v>
      </c>
      <c r="K894" s="6">
        <v>14.596271171325199</v>
      </c>
      <c r="L894" s="6">
        <v>15.414100895625801</v>
      </c>
      <c r="M894" s="6">
        <v>13.256224628981499</v>
      </c>
      <c r="N894" s="6">
        <v>14.263639288509401</v>
      </c>
      <c r="O894" s="6">
        <v>15.1537289858201</v>
      </c>
      <c r="P894" s="6">
        <v>14.886541210741999</v>
      </c>
      <c r="Q894" s="6" t="s">
        <v>6254</v>
      </c>
    </row>
    <row r="895" spans="1:17">
      <c r="A895" s="6" t="s">
        <v>8744</v>
      </c>
      <c r="B895" s="6" t="s">
        <v>8745</v>
      </c>
      <c r="C895" s="6" t="s">
        <v>8746</v>
      </c>
      <c r="D895" s="6" t="s">
        <v>8747</v>
      </c>
      <c r="E895" s="6" t="s">
        <v>8748</v>
      </c>
      <c r="F895" s="6">
        <v>15.1054302839717</v>
      </c>
      <c r="G895" s="6">
        <v>14.733941641718101</v>
      </c>
      <c r="H895" s="6">
        <v>14.8414773934199</v>
      </c>
      <c r="I895" s="6">
        <v>15.5444742758208</v>
      </c>
      <c r="J895" s="6">
        <v>14.2062774332947</v>
      </c>
      <c r="K895" s="6">
        <v>14.8926279272972</v>
      </c>
      <c r="L895" s="6">
        <v>15.3483960321912</v>
      </c>
      <c r="M895" s="6">
        <v>14.085067940363601</v>
      </c>
      <c r="N895" s="6">
        <v>14.156247259078899</v>
      </c>
      <c r="O895" s="6">
        <v>15.1520613085787</v>
      </c>
      <c r="P895" s="6">
        <v>15.1466844875177</v>
      </c>
      <c r="Q895" s="6">
        <v>13.619594191752199</v>
      </c>
    </row>
    <row r="896" spans="1:17">
      <c r="A896" s="6" t="s">
        <v>1959</v>
      </c>
      <c r="B896" s="6" t="s">
        <v>1959</v>
      </c>
      <c r="C896" s="6" t="s">
        <v>8749</v>
      </c>
      <c r="D896" s="6" t="s">
        <v>8750</v>
      </c>
      <c r="E896" s="6" t="s">
        <v>8750</v>
      </c>
      <c r="F896" s="6">
        <v>14.899817248918501</v>
      </c>
      <c r="G896" s="6">
        <v>14.951477989443299</v>
      </c>
      <c r="H896" s="6">
        <v>14.986038689920701</v>
      </c>
      <c r="I896" s="6">
        <v>15.6170513332083</v>
      </c>
      <c r="J896" s="6">
        <v>14.091308388673999</v>
      </c>
      <c r="K896" s="6">
        <v>14.646217393924299</v>
      </c>
      <c r="L896" s="6">
        <v>14.935392899250401</v>
      </c>
      <c r="M896" s="6">
        <v>14.1044154817496</v>
      </c>
      <c r="N896" s="6">
        <v>13.686734057856899</v>
      </c>
      <c r="O896" s="6">
        <v>15.243231894409</v>
      </c>
      <c r="P896" s="6">
        <v>15.1448074778892</v>
      </c>
      <c r="Q896" s="6">
        <v>12.867401970491599</v>
      </c>
    </row>
    <row r="897" spans="1:17">
      <c r="A897" s="6" t="s">
        <v>952</v>
      </c>
      <c r="B897" s="6" t="s">
        <v>952</v>
      </c>
      <c r="C897" s="6" t="s">
        <v>8751</v>
      </c>
      <c r="D897" s="6" t="s">
        <v>8752</v>
      </c>
      <c r="E897" s="6" t="s">
        <v>8752</v>
      </c>
      <c r="F897" s="6">
        <v>15.4415965381134</v>
      </c>
      <c r="G897" s="6">
        <v>14.4568192691171</v>
      </c>
      <c r="H897" s="6">
        <v>14.724996809279499</v>
      </c>
      <c r="I897" s="6">
        <v>15.5612962146723</v>
      </c>
      <c r="J897" s="6">
        <v>13.702827821368199</v>
      </c>
      <c r="K897" s="6">
        <v>14.3419848089026</v>
      </c>
      <c r="L897" s="6">
        <v>15.3987241185163</v>
      </c>
      <c r="M897" s="6">
        <v>13.6576043629476</v>
      </c>
      <c r="N897" s="6">
        <v>14.7277080165406</v>
      </c>
      <c r="O897" s="6">
        <v>15.2842013223355</v>
      </c>
      <c r="P897" s="6">
        <v>15.0790533745585</v>
      </c>
      <c r="Q897" s="6">
        <v>13.482145285011701</v>
      </c>
    </row>
    <row r="898" spans="1:17">
      <c r="A898" s="6" t="s">
        <v>8753</v>
      </c>
      <c r="B898" s="6" t="s">
        <v>8754</v>
      </c>
      <c r="C898" s="6" t="s">
        <v>8755</v>
      </c>
      <c r="D898" s="6" t="s">
        <v>8756</v>
      </c>
      <c r="E898" s="6" t="s">
        <v>8757</v>
      </c>
      <c r="F898" s="6">
        <v>15.568820800393899</v>
      </c>
      <c r="G898" s="6">
        <v>14.507651174854599</v>
      </c>
      <c r="H898" s="6">
        <v>14.467824023836901</v>
      </c>
      <c r="I898" s="6">
        <v>15.4907183079807</v>
      </c>
      <c r="J898" s="6" t="s">
        <v>6254</v>
      </c>
      <c r="K898" s="6">
        <v>14.8065833222675</v>
      </c>
      <c r="L898" s="6">
        <v>15.5717542537021</v>
      </c>
      <c r="M898" s="6">
        <v>14.0869804096164</v>
      </c>
      <c r="N898" s="6">
        <v>14.5043115801688</v>
      </c>
      <c r="O898" s="6">
        <v>14.4311038200129</v>
      </c>
      <c r="P898" s="6">
        <v>14.637604324295401</v>
      </c>
      <c r="Q898" s="6">
        <v>12.721605392122701</v>
      </c>
    </row>
    <row r="899" spans="1:17">
      <c r="A899" s="6" t="s">
        <v>1063</v>
      </c>
      <c r="B899" s="6" t="s">
        <v>1063</v>
      </c>
      <c r="C899" s="6" t="s">
        <v>8758</v>
      </c>
      <c r="D899" s="6" t="s">
        <v>8759</v>
      </c>
      <c r="E899" s="6" t="s">
        <v>8759</v>
      </c>
      <c r="F899" s="6">
        <v>15.338119271896099</v>
      </c>
      <c r="G899" s="6">
        <v>14.5688337617788</v>
      </c>
      <c r="H899" s="6">
        <v>14.9171301367345</v>
      </c>
      <c r="I899" s="6">
        <v>16.1066623001031</v>
      </c>
      <c r="J899" s="6">
        <v>13.6870702673195</v>
      </c>
      <c r="K899" s="6">
        <v>14.551416412724899</v>
      </c>
      <c r="L899" s="6">
        <v>15.2418818944116</v>
      </c>
      <c r="M899" s="6">
        <v>13.6243102458194</v>
      </c>
      <c r="N899" s="6">
        <v>14.336685454034701</v>
      </c>
      <c r="O899" s="6">
        <v>14.993226134399499</v>
      </c>
      <c r="P899" s="6">
        <v>15.0123025978834</v>
      </c>
      <c r="Q899" s="6">
        <v>13.798064368667299</v>
      </c>
    </row>
    <row r="900" spans="1:17">
      <c r="A900" s="6" t="s">
        <v>8760</v>
      </c>
      <c r="B900" s="6" t="s">
        <v>1831</v>
      </c>
      <c r="C900" s="6" t="s">
        <v>8761</v>
      </c>
      <c r="D900" s="6" t="s">
        <v>8762</v>
      </c>
      <c r="E900" s="6" t="s">
        <v>8763</v>
      </c>
      <c r="F900" s="6">
        <v>15.066563874145301</v>
      </c>
      <c r="G900" s="6">
        <v>14.618062664659799</v>
      </c>
      <c r="H900" s="6">
        <v>14.8741494583898</v>
      </c>
      <c r="I900" s="6">
        <v>15.4112817901048</v>
      </c>
      <c r="J900" s="6">
        <v>13.861883487725301</v>
      </c>
      <c r="K900" s="6">
        <v>14.5417639943289</v>
      </c>
      <c r="L900" s="6">
        <v>14.990779242797201</v>
      </c>
      <c r="M900" s="6">
        <v>13.9787053222942</v>
      </c>
      <c r="N900" s="6">
        <v>14.6724627612974</v>
      </c>
      <c r="O900" s="6">
        <v>15.212150911876799</v>
      </c>
      <c r="P900" s="6">
        <v>15.010681203272499</v>
      </c>
      <c r="Q900" s="6">
        <v>14.3243089086972</v>
      </c>
    </row>
    <row r="901" spans="1:17">
      <c r="A901" s="6" t="s">
        <v>4127</v>
      </c>
      <c r="B901" s="6" t="s">
        <v>4127</v>
      </c>
      <c r="C901" s="6" t="s">
        <v>8764</v>
      </c>
      <c r="D901" s="6" t="s">
        <v>8765</v>
      </c>
      <c r="E901" s="6" t="s">
        <v>8765</v>
      </c>
      <c r="F901" s="6">
        <v>15.175358394358399</v>
      </c>
      <c r="G901" s="6">
        <v>14.4270472826885</v>
      </c>
      <c r="H901" s="6">
        <v>15.0502234387736</v>
      </c>
      <c r="I901" s="6">
        <v>15.7309900882696</v>
      </c>
      <c r="J901" s="6">
        <v>13.8818201298762</v>
      </c>
      <c r="K901" s="6">
        <v>14.7039901798996</v>
      </c>
      <c r="L901" s="6">
        <v>15.5888693591211</v>
      </c>
      <c r="M901" s="6">
        <v>13.5167560432083</v>
      </c>
      <c r="N901" s="6">
        <v>14.268483729071299</v>
      </c>
      <c r="O901" s="6">
        <v>15.3195102418061</v>
      </c>
      <c r="P901" s="6">
        <v>15.1788110676699</v>
      </c>
      <c r="Q901" s="6">
        <v>13.1839370676706</v>
      </c>
    </row>
    <row r="902" spans="1:17">
      <c r="A902" s="6" t="s">
        <v>3000</v>
      </c>
      <c r="B902" s="6" t="s">
        <v>3000</v>
      </c>
      <c r="C902" s="6" t="s">
        <v>8766</v>
      </c>
      <c r="D902" s="6" t="s">
        <v>8767</v>
      </c>
      <c r="E902" s="6" t="s">
        <v>8767</v>
      </c>
      <c r="F902" s="6">
        <v>16.259389400477499</v>
      </c>
      <c r="G902" s="6">
        <v>15.875444772110299</v>
      </c>
      <c r="H902" s="6">
        <v>14.3807416548429</v>
      </c>
      <c r="I902" s="6">
        <v>16.186884148223601</v>
      </c>
      <c r="J902" s="6">
        <v>15.0612164555871</v>
      </c>
      <c r="K902" s="6">
        <v>14.360342943248099</v>
      </c>
      <c r="L902" s="6">
        <v>15.575610291494201</v>
      </c>
      <c r="M902" s="6">
        <v>14.978239067959899</v>
      </c>
      <c r="N902" s="6">
        <v>13.5240501116398</v>
      </c>
      <c r="O902" s="6">
        <v>14.4687423844781</v>
      </c>
      <c r="P902" s="6">
        <v>14.274482579427399</v>
      </c>
      <c r="Q902" s="6">
        <v>14.1627970294245</v>
      </c>
    </row>
    <row r="903" spans="1:17">
      <c r="A903" s="6" t="s">
        <v>8768</v>
      </c>
      <c r="B903" s="6" t="s">
        <v>8769</v>
      </c>
      <c r="C903" s="6" t="s">
        <v>8770</v>
      </c>
      <c r="D903" s="6" t="s">
        <v>8771</v>
      </c>
      <c r="E903" s="6" t="s">
        <v>8772</v>
      </c>
      <c r="F903" s="6">
        <v>15.4843654889075</v>
      </c>
      <c r="G903" s="6">
        <v>14.3541493291858</v>
      </c>
      <c r="H903" s="6">
        <v>15.009005893263099</v>
      </c>
      <c r="I903" s="6">
        <v>15.832585299758501</v>
      </c>
      <c r="J903" s="6">
        <v>14.0800009593412</v>
      </c>
      <c r="K903" s="6">
        <v>14.6737185400206</v>
      </c>
      <c r="L903" s="6">
        <v>15.826275582081401</v>
      </c>
      <c r="M903" s="6">
        <v>13.817157868388801</v>
      </c>
      <c r="N903" s="6">
        <v>15.018963155554101</v>
      </c>
      <c r="O903" s="6">
        <v>14.3996455662729</v>
      </c>
      <c r="P903" s="6">
        <v>14.655133074554101</v>
      </c>
      <c r="Q903" s="6">
        <v>12.839464732426601</v>
      </c>
    </row>
    <row r="904" spans="1:17">
      <c r="A904" s="6" t="s">
        <v>1877</v>
      </c>
      <c r="B904" s="6" t="s">
        <v>1877</v>
      </c>
      <c r="C904" s="6" t="s">
        <v>8773</v>
      </c>
      <c r="D904" s="6" t="s">
        <v>8774</v>
      </c>
      <c r="E904" s="6" t="s">
        <v>8774</v>
      </c>
      <c r="F904" s="6">
        <v>12.225886927845</v>
      </c>
      <c r="G904" s="6">
        <v>15.4833135302522</v>
      </c>
      <c r="H904" s="6">
        <v>15.2913222991289</v>
      </c>
      <c r="I904" s="6">
        <v>13.9478344576792</v>
      </c>
      <c r="J904" s="6">
        <v>14.9728250875166</v>
      </c>
      <c r="K904" s="6">
        <v>14.7865782265752</v>
      </c>
      <c r="L904" s="6">
        <v>14.983619168927</v>
      </c>
      <c r="M904" s="6">
        <v>15.668698309127601</v>
      </c>
      <c r="N904" s="6">
        <v>14.7269416987842</v>
      </c>
      <c r="O904" s="6">
        <v>14.910273228619699</v>
      </c>
      <c r="P904" s="6">
        <v>14.7611740258541</v>
      </c>
      <c r="Q904" s="6">
        <v>15.5040169374996</v>
      </c>
    </row>
    <row r="905" spans="1:17">
      <c r="A905" s="6" t="s">
        <v>772</v>
      </c>
      <c r="B905" s="6" t="s">
        <v>772</v>
      </c>
      <c r="C905" s="6" t="s">
        <v>8775</v>
      </c>
      <c r="D905" s="7">
        <v>44085</v>
      </c>
      <c r="E905" s="7">
        <v>44085</v>
      </c>
      <c r="F905" s="6">
        <v>15.043095803631299</v>
      </c>
      <c r="G905" s="6">
        <v>14.6667015123664</v>
      </c>
      <c r="H905" s="6">
        <v>14.8301218654188</v>
      </c>
      <c r="I905" s="6">
        <v>15.357693145670501</v>
      </c>
      <c r="J905" s="6">
        <v>14.1502821586847</v>
      </c>
      <c r="K905" s="6">
        <v>14.539646092124</v>
      </c>
      <c r="L905" s="6">
        <v>15.377210570117301</v>
      </c>
      <c r="M905" s="6">
        <v>13.9858938960804</v>
      </c>
      <c r="N905" s="6">
        <v>15.151261009119199</v>
      </c>
      <c r="O905" s="6">
        <v>15.2850490706277</v>
      </c>
      <c r="P905" s="6">
        <v>14.7224163149587</v>
      </c>
      <c r="Q905" s="6">
        <v>13.415421072185399</v>
      </c>
    </row>
    <row r="906" spans="1:17">
      <c r="A906" s="6" t="s">
        <v>918</v>
      </c>
      <c r="B906" s="6" t="s">
        <v>918</v>
      </c>
      <c r="C906" s="6" t="s">
        <v>8776</v>
      </c>
      <c r="D906" s="6" t="s">
        <v>8777</v>
      </c>
      <c r="E906" s="6" t="s">
        <v>8777</v>
      </c>
      <c r="F906" s="6">
        <v>15.0291328408194</v>
      </c>
      <c r="G906" s="6">
        <v>14.501428328695701</v>
      </c>
      <c r="H906" s="6">
        <v>14.7426618849469</v>
      </c>
      <c r="I906" s="6">
        <v>15.589120533251901</v>
      </c>
      <c r="J906" s="6">
        <v>14.094407301278499</v>
      </c>
      <c r="K906" s="6">
        <v>14.8300821426553</v>
      </c>
      <c r="L906" s="6">
        <v>15.426129168998999</v>
      </c>
      <c r="M906" s="6">
        <v>13.922989137706599</v>
      </c>
      <c r="N906" s="6">
        <v>14.2852342816652</v>
      </c>
      <c r="O906" s="6">
        <v>15.0698197349667</v>
      </c>
      <c r="P906" s="6">
        <v>15.007202952935099</v>
      </c>
      <c r="Q906" s="6">
        <v>13.4569848293671</v>
      </c>
    </row>
    <row r="907" spans="1:17">
      <c r="A907" s="6" t="s">
        <v>633</v>
      </c>
      <c r="B907" s="6" t="s">
        <v>633</v>
      </c>
      <c r="C907" s="6" t="s">
        <v>8778</v>
      </c>
      <c r="D907" s="6" t="s">
        <v>8779</v>
      </c>
      <c r="E907" s="6" t="s">
        <v>8779</v>
      </c>
      <c r="F907" s="6">
        <v>15.1887160731213</v>
      </c>
      <c r="G907" s="6">
        <v>14.714476446232499</v>
      </c>
      <c r="H907" s="6">
        <v>14.821864210235301</v>
      </c>
      <c r="I907" s="6">
        <v>15.5719918190079</v>
      </c>
      <c r="J907" s="6">
        <v>14.0568237367037</v>
      </c>
      <c r="K907" s="6">
        <v>14.728038160627699</v>
      </c>
      <c r="L907" s="6">
        <v>15.404159555893999</v>
      </c>
      <c r="M907" s="6">
        <v>13.793820844246399</v>
      </c>
      <c r="N907" s="6">
        <v>14.0425457728662</v>
      </c>
      <c r="O907" s="6">
        <v>15.146711306970699</v>
      </c>
      <c r="P907" s="6">
        <v>15.228246699036299</v>
      </c>
      <c r="Q907" s="6">
        <v>13.4846826720461</v>
      </c>
    </row>
    <row r="908" spans="1:17">
      <c r="A908" s="6" t="s">
        <v>467</v>
      </c>
      <c r="B908" s="6" t="s">
        <v>467</v>
      </c>
      <c r="C908" s="6" t="s">
        <v>8780</v>
      </c>
      <c r="D908" s="6" t="s">
        <v>8781</v>
      </c>
      <c r="E908" s="6" t="s">
        <v>8781</v>
      </c>
      <c r="F908" s="6">
        <v>15.368495504608999</v>
      </c>
      <c r="G908" s="6">
        <v>14.859308572525901</v>
      </c>
      <c r="H908" s="6">
        <v>14.7215423778543</v>
      </c>
      <c r="I908" s="6">
        <v>15.2834335753539</v>
      </c>
      <c r="J908" s="6">
        <v>14.068631935905801</v>
      </c>
      <c r="K908" s="6">
        <v>14.104755344967</v>
      </c>
      <c r="L908" s="6">
        <v>15.391792387006401</v>
      </c>
      <c r="M908" s="6">
        <v>13.7767224823726</v>
      </c>
      <c r="N908" s="6">
        <v>15.0544685744965</v>
      </c>
      <c r="O908" s="6">
        <v>15.1741139070002</v>
      </c>
      <c r="P908" s="6">
        <v>14.831847052782599</v>
      </c>
      <c r="Q908" s="6">
        <v>13.3954355754381</v>
      </c>
    </row>
    <row r="909" spans="1:17">
      <c r="A909" s="6" t="s">
        <v>8782</v>
      </c>
      <c r="B909" s="6" t="s">
        <v>8782</v>
      </c>
      <c r="C909" s="6" t="s">
        <v>8783</v>
      </c>
      <c r="D909" s="6" t="s">
        <v>8784</v>
      </c>
      <c r="E909" s="6" t="s">
        <v>8784</v>
      </c>
      <c r="F909" s="6">
        <v>15.377145534750399</v>
      </c>
      <c r="G909" s="6" t="s">
        <v>6254</v>
      </c>
      <c r="H909" s="6">
        <v>15.1154119963646</v>
      </c>
      <c r="I909" s="6">
        <v>15.310538072546001</v>
      </c>
      <c r="J909" s="6">
        <v>13.294242652009499</v>
      </c>
      <c r="K909" s="6">
        <v>13.388929467041899</v>
      </c>
      <c r="L909" s="6">
        <v>15.721043831268201</v>
      </c>
      <c r="M909" s="6">
        <v>13.946693483002299</v>
      </c>
      <c r="N909" s="6">
        <v>15.180138120565401</v>
      </c>
      <c r="O909" s="6">
        <v>14.420319712065099</v>
      </c>
      <c r="P909" s="6" t="s">
        <v>6254</v>
      </c>
      <c r="Q909" s="6">
        <v>14.5365563526787</v>
      </c>
    </row>
    <row r="910" spans="1:17">
      <c r="A910" s="6" t="s">
        <v>2857</v>
      </c>
      <c r="B910" s="6" t="s">
        <v>2857</v>
      </c>
      <c r="C910" s="6" t="s">
        <v>8785</v>
      </c>
      <c r="D910" s="6" t="s">
        <v>8786</v>
      </c>
      <c r="E910" s="6" t="s">
        <v>8786</v>
      </c>
      <c r="F910" s="6">
        <v>15.024170839674699</v>
      </c>
      <c r="G910" s="6">
        <v>14.840464702652501</v>
      </c>
      <c r="H910" s="6">
        <v>14.605268186335</v>
      </c>
      <c r="I910" s="6">
        <v>15.249059049704901</v>
      </c>
      <c r="J910" s="6">
        <v>13.785952414591399</v>
      </c>
      <c r="K910" s="6">
        <v>15.1393937250824</v>
      </c>
      <c r="L910" s="6">
        <v>15.309366359257901</v>
      </c>
      <c r="M910" s="6">
        <v>13.8124838394099</v>
      </c>
      <c r="N910" s="6">
        <v>13.900970983795199</v>
      </c>
      <c r="O910" s="6">
        <v>14.8932285982523</v>
      </c>
      <c r="P910" s="6">
        <v>14.9538567166296</v>
      </c>
      <c r="Q910" s="6">
        <v>13.770920404707701</v>
      </c>
    </row>
    <row r="911" spans="1:17">
      <c r="A911" s="6" t="s">
        <v>8787</v>
      </c>
      <c r="B911" s="6" t="s">
        <v>1251</v>
      </c>
      <c r="C911" s="6" t="s">
        <v>8788</v>
      </c>
      <c r="D911" s="6" t="s">
        <v>8789</v>
      </c>
      <c r="E911" s="6" t="s">
        <v>8790</v>
      </c>
      <c r="F911" s="6">
        <v>14.9416015126471</v>
      </c>
      <c r="G911" s="6">
        <v>14.6595757349154</v>
      </c>
      <c r="H911" s="6">
        <v>14.6694325133905</v>
      </c>
      <c r="I911" s="6">
        <v>15.4622933252385</v>
      </c>
      <c r="J911" s="6">
        <v>13.954213408865099</v>
      </c>
      <c r="K911" s="6">
        <v>14.544122424319401</v>
      </c>
      <c r="L911" s="6">
        <v>15.1210689711036</v>
      </c>
      <c r="M911" s="6">
        <v>14.321529194021</v>
      </c>
      <c r="N911" s="6">
        <v>14.6458420290218</v>
      </c>
      <c r="O911" s="6">
        <v>14.8994369324157</v>
      </c>
      <c r="P911" s="6">
        <v>14.7893523448786</v>
      </c>
      <c r="Q911" s="6">
        <v>13.5367986180673</v>
      </c>
    </row>
    <row r="912" spans="1:17">
      <c r="A912" s="6" t="s">
        <v>8791</v>
      </c>
      <c r="B912" s="6" t="s">
        <v>3952</v>
      </c>
      <c r="C912" s="6" t="s">
        <v>8792</v>
      </c>
      <c r="D912" s="6" t="s">
        <v>8793</v>
      </c>
      <c r="E912" s="6" t="s">
        <v>8794</v>
      </c>
      <c r="F912" s="6">
        <v>14.5749536875313</v>
      </c>
      <c r="G912" s="6">
        <v>14.7185495082092</v>
      </c>
      <c r="H912" s="6">
        <v>14.074817140706401</v>
      </c>
      <c r="I912" s="6">
        <v>15.156165293317599</v>
      </c>
      <c r="J912" s="6">
        <v>14.225750300758699</v>
      </c>
      <c r="K912" s="6">
        <v>14.408656991106801</v>
      </c>
      <c r="L912" s="6">
        <v>15.485458138578</v>
      </c>
      <c r="M912" s="6" t="s">
        <v>6254</v>
      </c>
      <c r="N912" s="6">
        <v>15.239402377106099</v>
      </c>
      <c r="O912" s="6">
        <v>14.7870709639339</v>
      </c>
      <c r="P912" s="6">
        <v>15.030027036065301</v>
      </c>
      <c r="Q912" s="6" t="s">
        <v>6254</v>
      </c>
    </row>
    <row r="913" spans="1:17">
      <c r="A913" s="6" t="s">
        <v>1808</v>
      </c>
      <c r="B913" s="6" t="s">
        <v>1808</v>
      </c>
      <c r="C913" s="6" t="s">
        <v>8795</v>
      </c>
      <c r="D913" s="6" t="s">
        <v>8796</v>
      </c>
      <c r="E913" s="6" t="s">
        <v>8796</v>
      </c>
      <c r="F913" s="6">
        <v>15.4673409271261</v>
      </c>
      <c r="G913" s="6">
        <v>14.844819262531299</v>
      </c>
      <c r="H913" s="6">
        <v>14.6348633624588</v>
      </c>
      <c r="I913" s="6">
        <v>15.3311668809348</v>
      </c>
      <c r="J913" s="6">
        <v>13.965888907295099</v>
      </c>
      <c r="K913" s="6">
        <v>14.853581921170299</v>
      </c>
      <c r="L913" s="6">
        <v>15.443386422339</v>
      </c>
      <c r="M913" s="6">
        <v>13.711380675300401</v>
      </c>
      <c r="N913" s="6">
        <v>13.886371581513099</v>
      </c>
      <c r="O913" s="6">
        <v>15.316064402921301</v>
      </c>
      <c r="P913" s="6">
        <v>14.9365923460406</v>
      </c>
      <c r="Q913" s="6">
        <v>12.982483877150599</v>
      </c>
    </row>
    <row r="914" spans="1:17">
      <c r="A914" s="6" t="s">
        <v>2151</v>
      </c>
      <c r="B914" s="6" t="s">
        <v>2153</v>
      </c>
      <c r="C914" s="6" t="s">
        <v>8797</v>
      </c>
      <c r="D914" s="6" t="s">
        <v>8798</v>
      </c>
      <c r="E914" s="6" t="s">
        <v>8799</v>
      </c>
      <c r="F914" s="6">
        <v>15.016053798084601</v>
      </c>
      <c r="G914" s="6">
        <v>14.847849381723501</v>
      </c>
      <c r="H914" s="6">
        <v>14.8450750018562</v>
      </c>
      <c r="I914" s="6">
        <v>15.087036928974101</v>
      </c>
      <c r="J914" s="6">
        <v>13.9230550568348</v>
      </c>
      <c r="K914" s="6">
        <v>14.566716001276101</v>
      </c>
      <c r="L914" s="6">
        <v>15.156340636336999</v>
      </c>
      <c r="M914" s="6">
        <v>13.7939770941775</v>
      </c>
      <c r="N914" s="6">
        <v>14.737609497771</v>
      </c>
      <c r="O914" s="6">
        <v>14.961902150434099</v>
      </c>
      <c r="P914" s="6">
        <v>14.9890648526888</v>
      </c>
      <c r="Q914" s="6">
        <v>13.3270142766335</v>
      </c>
    </row>
    <row r="915" spans="1:17">
      <c r="A915" s="6" t="s">
        <v>3194</v>
      </c>
      <c r="B915" s="6" t="s">
        <v>3194</v>
      </c>
      <c r="C915" s="6" t="s">
        <v>8800</v>
      </c>
      <c r="D915" s="6" t="s">
        <v>8801</v>
      </c>
      <c r="E915" s="6" t="s">
        <v>8801</v>
      </c>
      <c r="F915" s="6">
        <v>15.4199535949494</v>
      </c>
      <c r="G915" s="6" t="s">
        <v>6254</v>
      </c>
      <c r="H915" s="6" t="s">
        <v>6254</v>
      </c>
      <c r="I915" s="6">
        <v>15.4025001027995</v>
      </c>
      <c r="J915" s="6" t="s">
        <v>6254</v>
      </c>
      <c r="K915" s="6">
        <v>14.6254846995121</v>
      </c>
      <c r="L915" s="6">
        <v>15.247880993898301</v>
      </c>
      <c r="M915" s="6" t="s">
        <v>6254</v>
      </c>
      <c r="N915" s="6">
        <v>14.521462494412701</v>
      </c>
      <c r="O915" s="6">
        <v>15.370280262727</v>
      </c>
      <c r="P915" s="6">
        <v>15.096969033081299</v>
      </c>
      <c r="Q915" s="6" t="s">
        <v>6254</v>
      </c>
    </row>
    <row r="916" spans="1:17">
      <c r="A916" s="6" t="s">
        <v>5637</v>
      </c>
      <c r="B916" s="6" t="s">
        <v>5637</v>
      </c>
      <c r="C916" s="6" t="s">
        <v>8802</v>
      </c>
      <c r="D916" s="6" t="s">
        <v>8803</v>
      </c>
      <c r="E916" s="6" t="s">
        <v>8803</v>
      </c>
      <c r="F916" s="6">
        <v>13.0597179410574</v>
      </c>
      <c r="G916" s="6">
        <v>13.3675532595358</v>
      </c>
      <c r="H916" s="6">
        <v>15.8248695811488</v>
      </c>
      <c r="I916" s="6" t="s">
        <v>6254</v>
      </c>
      <c r="J916" s="6" t="s">
        <v>6254</v>
      </c>
      <c r="K916" s="6" t="s">
        <v>6254</v>
      </c>
      <c r="L916" s="6">
        <v>16.1251967294426</v>
      </c>
      <c r="M916" s="6">
        <v>16.447332667894401</v>
      </c>
      <c r="N916" s="6" t="s">
        <v>6254</v>
      </c>
      <c r="O916" s="6" t="s">
        <v>6254</v>
      </c>
      <c r="P916" s="6">
        <v>12.8426598146368</v>
      </c>
      <c r="Q916" s="6" t="s">
        <v>6254</v>
      </c>
    </row>
    <row r="917" spans="1:17">
      <c r="A917" s="6" t="s">
        <v>8804</v>
      </c>
      <c r="B917" s="6" t="s">
        <v>3689</v>
      </c>
      <c r="C917" s="6" t="s">
        <v>8805</v>
      </c>
      <c r="D917" s="6" t="s">
        <v>8806</v>
      </c>
      <c r="E917" s="6" t="s">
        <v>8807</v>
      </c>
      <c r="F917" s="6">
        <v>14.752052393180699</v>
      </c>
      <c r="G917" s="6">
        <v>15.227011681784299</v>
      </c>
      <c r="H917" s="6" t="s">
        <v>6254</v>
      </c>
      <c r="I917" s="6">
        <v>15.40777392195</v>
      </c>
      <c r="J917" s="6" t="s">
        <v>6254</v>
      </c>
      <c r="K917" s="6" t="s">
        <v>6254</v>
      </c>
      <c r="L917" s="6">
        <v>15.281393909815399</v>
      </c>
      <c r="M917" s="6" t="s">
        <v>6254</v>
      </c>
      <c r="N917" s="6">
        <v>14.0395226796101</v>
      </c>
      <c r="O917" s="6">
        <v>14.632855635324299</v>
      </c>
      <c r="P917" s="6">
        <v>14.973695574689399</v>
      </c>
      <c r="Q917" s="6" t="s">
        <v>6254</v>
      </c>
    </row>
    <row r="918" spans="1:17">
      <c r="A918" s="6" t="s">
        <v>2758</v>
      </c>
      <c r="B918" s="6" t="s">
        <v>2758</v>
      </c>
      <c r="C918" s="6" t="s">
        <v>8808</v>
      </c>
      <c r="D918" s="6" t="s">
        <v>8809</v>
      </c>
      <c r="E918" s="6" t="s">
        <v>8809</v>
      </c>
      <c r="F918" s="6">
        <v>13.6026294636159</v>
      </c>
      <c r="G918" s="6">
        <v>13.243110228991201</v>
      </c>
      <c r="H918" s="6">
        <v>15.094416347873899</v>
      </c>
      <c r="I918" s="6">
        <v>15.7871358066855</v>
      </c>
      <c r="J918" s="6">
        <v>14.3430055794451</v>
      </c>
      <c r="K918" s="6">
        <v>14.8008173093395</v>
      </c>
      <c r="L918" s="6">
        <v>16.261517649271301</v>
      </c>
      <c r="M918" s="6">
        <v>14.350699205163</v>
      </c>
      <c r="N918" s="6">
        <v>15.3010665135492</v>
      </c>
      <c r="O918" s="6">
        <v>13.9743895766752</v>
      </c>
      <c r="P918" s="6">
        <v>13.8937232402633</v>
      </c>
      <c r="Q918" s="6" t="s">
        <v>6254</v>
      </c>
    </row>
    <row r="919" spans="1:17">
      <c r="A919" s="6" t="s">
        <v>8810</v>
      </c>
      <c r="B919" s="6" t="s">
        <v>8810</v>
      </c>
      <c r="C919" s="6" t="s">
        <v>8811</v>
      </c>
      <c r="D919" s="6" t="s">
        <v>8812</v>
      </c>
      <c r="E919" s="6" t="s">
        <v>8812</v>
      </c>
      <c r="F919" s="6">
        <v>15.2193489284449</v>
      </c>
      <c r="G919" s="6">
        <v>14.7685004342441</v>
      </c>
      <c r="H919" s="6">
        <v>14.708954525629499</v>
      </c>
      <c r="I919" s="6">
        <v>15.467262823407699</v>
      </c>
      <c r="J919" s="6">
        <v>14.0990864612384</v>
      </c>
      <c r="K919" s="6">
        <v>14.6928933407795</v>
      </c>
      <c r="L919" s="6">
        <v>15.1975615477989</v>
      </c>
      <c r="M919" s="6">
        <v>13.947857543002099</v>
      </c>
      <c r="N919" s="6">
        <v>14.1941941424455</v>
      </c>
      <c r="O919" s="6">
        <v>14.894297986710701</v>
      </c>
      <c r="P919" s="6">
        <v>14.647608631307699</v>
      </c>
      <c r="Q919" s="6">
        <v>13.8769702094087</v>
      </c>
    </row>
    <row r="920" spans="1:17">
      <c r="A920" s="6" t="s">
        <v>8813</v>
      </c>
      <c r="B920" s="6" t="s">
        <v>8813</v>
      </c>
      <c r="C920" s="6" t="s">
        <v>8814</v>
      </c>
      <c r="D920" s="6" t="s">
        <v>8815</v>
      </c>
      <c r="E920" s="6" t="s">
        <v>8815</v>
      </c>
      <c r="F920" s="6" t="s">
        <v>6254</v>
      </c>
      <c r="G920" s="6" t="s">
        <v>6254</v>
      </c>
      <c r="H920" s="6" t="s">
        <v>6254</v>
      </c>
      <c r="I920" s="6">
        <v>13.5119267981612</v>
      </c>
      <c r="J920" s="6" t="s">
        <v>6254</v>
      </c>
      <c r="K920" s="6" t="s">
        <v>6254</v>
      </c>
      <c r="L920" s="6">
        <v>14.7115824584797</v>
      </c>
      <c r="M920" s="6" t="s">
        <v>6254</v>
      </c>
      <c r="N920" s="6" t="s">
        <v>6254</v>
      </c>
      <c r="O920" s="6" t="s">
        <v>6254</v>
      </c>
      <c r="P920" s="6" t="s">
        <v>6254</v>
      </c>
      <c r="Q920" s="6" t="s">
        <v>6254</v>
      </c>
    </row>
    <row r="921" spans="1:17">
      <c r="A921" s="6" t="s">
        <v>8816</v>
      </c>
      <c r="B921" s="6" t="s">
        <v>2617</v>
      </c>
      <c r="C921" s="6" t="s">
        <v>8817</v>
      </c>
      <c r="D921" s="6" t="s">
        <v>8818</v>
      </c>
      <c r="E921" s="6" t="s">
        <v>8819</v>
      </c>
      <c r="F921" s="6">
        <v>13.190016964493701</v>
      </c>
      <c r="G921" s="6">
        <v>14.4649213208749</v>
      </c>
      <c r="H921" s="6">
        <v>14.9071951905738</v>
      </c>
      <c r="I921" s="6">
        <v>14.7245663243846</v>
      </c>
      <c r="J921" s="6">
        <v>14.5073917394063</v>
      </c>
      <c r="K921" s="6">
        <v>15.3878319265133</v>
      </c>
      <c r="L921" s="6">
        <v>16.537032002074099</v>
      </c>
      <c r="M921" s="6">
        <v>14.937859118830801</v>
      </c>
      <c r="N921" s="6">
        <v>15.2910246093323</v>
      </c>
      <c r="O921" s="6">
        <v>14.7189946456665</v>
      </c>
      <c r="P921" s="6">
        <v>15.397078936463901</v>
      </c>
      <c r="Q921" s="6">
        <v>13.1292682133158</v>
      </c>
    </row>
    <row r="922" spans="1:17">
      <c r="A922" s="6" t="s">
        <v>8820</v>
      </c>
      <c r="B922" s="6" t="s">
        <v>8821</v>
      </c>
      <c r="C922" s="6" t="s">
        <v>8822</v>
      </c>
      <c r="D922" s="6" t="s">
        <v>8823</v>
      </c>
      <c r="E922" s="6" t="s">
        <v>8824</v>
      </c>
      <c r="F922" s="6">
        <v>14.6778928829869</v>
      </c>
      <c r="G922" s="6" t="s">
        <v>6254</v>
      </c>
      <c r="H922" s="6">
        <v>14.3134771772812</v>
      </c>
      <c r="I922" s="6">
        <v>15.217427923152799</v>
      </c>
      <c r="J922" s="6" t="s">
        <v>6254</v>
      </c>
      <c r="K922" s="6" t="s">
        <v>6254</v>
      </c>
      <c r="L922" s="6">
        <v>14.9633162137208</v>
      </c>
      <c r="M922" s="6" t="s">
        <v>6254</v>
      </c>
      <c r="N922" s="6">
        <v>14.083347994997199</v>
      </c>
      <c r="O922" s="6" t="s">
        <v>6254</v>
      </c>
      <c r="P922" s="6" t="s">
        <v>6254</v>
      </c>
      <c r="Q922" s="6" t="s">
        <v>6254</v>
      </c>
    </row>
    <row r="923" spans="1:17">
      <c r="A923" s="6" t="s">
        <v>1383</v>
      </c>
      <c r="B923" s="6" t="s">
        <v>1383</v>
      </c>
      <c r="C923" s="6" t="s">
        <v>8825</v>
      </c>
      <c r="D923" s="6" t="s">
        <v>8826</v>
      </c>
      <c r="E923" s="6" t="s">
        <v>8826</v>
      </c>
      <c r="F923" s="6">
        <v>15.082030531322699</v>
      </c>
      <c r="G923" s="6">
        <v>14.7722975636509</v>
      </c>
      <c r="H923" s="6">
        <v>14.6822156725265</v>
      </c>
      <c r="I923" s="6">
        <v>15.5312807545211</v>
      </c>
      <c r="J923" s="6">
        <v>14.0968324985107</v>
      </c>
      <c r="K923" s="6">
        <v>14.3377033116794</v>
      </c>
      <c r="L923" s="6">
        <v>15.2789866707004</v>
      </c>
      <c r="M923" s="6">
        <v>13.6002854694291</v>
      </c>
      <c r="N923" s="6">
        <v>14.278396005407799</v>
      </c>
      <c r="O923" s="6">
        <v>14.9549150196785</v>
      </c>
      <c r="P923" s="6">
        <v>14.7506019766856</v>
      </c>
      <c r="Q923" s="6">
        <v>13.792839956493699</v>
      </c>
    </row>
    <row r="924" spans="1:17">
      <c r="A924" s="6" t="s">
        <v>3214</v>
      </c>
      <c r="B924" s="6" t="s">
        <v>3214</v>
      </c>
      <c r="C924" s="6" t="s">
        <v>8827</v>
      </c>
      <c r="D924" s="6" t="s">
        <v>8828</v>
      </c>
      <c r="E924" s="6" t="s">
        <v>8828</v>
      </c>
      <c r="F924" s="6">
        <v>14.7554210683883</v>
      </c>
      <c r="G924" s="6">
        <v>15.8410512549644</v>
      </c>
      <c r="H924" s="6">
        <v>14.4992642283094</v>
      </c>
      <c r="I924" s="6">
        <v>14.315983914010999</v>
      </c>
      <c r="J924" s="6">
        <v>14.199460662969001</v>
      </c>
      <c r="K924" s="6">
        <v>15.326323343503001</v>
      </c>
      <c r="L924" s="6">
        <v>14.199588725340201</v>
      </c>
      <c r="M924" s="6">
        <v>15.705441264969799</v>
      </c>
      <c r="N924" s="6">
        <v>14.2339892325228</v>
      </c>
      <c r="O924" s="6">
        <v>14.1610766595002</v>
      </c>
      <c r="P924" s="6">
        <v>14.922563268377599</v>
      </c>
      <c r="Q924" s="6">
        <v>14.8067964362899</v>
      </c>
    </row>
    <row r="925" spans="1:17">
      <c r="A925" s="6" t="s">
        <v>739</v>
      </c>
      <c r="B925" s="6" t="s">
        <v>739</v>
      </c>
      <c r="C925" s="6" t="s">
        <v>8829</v>
      </c>
      <c r="D925" s="6" t="s">
        <v>8830</v>
      </c>
      <c r="E925" s="6" t="s">
        <v>8830</v>
      </c>
      <c r="F925" s="6">
        <v>14.304096815206</v>
      </c>
      <c r="G925" s="6">
        <v>15.0959050495361</v>
      </c>
      <c r="H925" s="6">
        <v>14.931237191916001</v>
      </c>
      <c r="I925" s="6">
        <v>14.440498547849201</v>
      </c>
      <c r="J925" s="6">
        <v>14.8490818886124</v>
      </c>
      <c r="K925" s="6">
        <v>14.7085847303875</v>
      </c>
      <c r="L925" s="6">
        <v>15.0094698923492</v>
      </c>
      <c r="M925" s="6">
        <v>14.864302061596799</v>
      </c>
      <c r="N925" s="6">
        <v>14.576297551043201</v>
      </c>
      <c r="O925" s="6">
        <v>14.7404112949318</v>
      </c>
      <c r="P925" s="6">
        <v>14.8226753363626</v>
      </c>
      <c r="Q925" s="6">
        <v>14.7649282696909</v>
      </c>
    </row>
    <row r="926" spans="1:17">
      <c r="A926" s="6" t="s">
        <v>5912</v>
      </c>
      <c r="B926" s="6" t="s">
        <v>5912</v>
      </c>
      <c r="C926" s="6" t="s">
        <v>8831</v>
      </c>
      <c r="D926" s="6" t="s">
        <v>1194</v>
      </c>
      <c r="E926" s="6" t="s">
        <v>1194</v>
      </c>
      <c r="F926" s="6">
        <v>14.283477262471701</v>
      </c>
      <c r="G926" s="6">
        <v>14.7521933015231</v>
      </c>
      <c r="H926" s="6">
        <v>15.4006056219258</v>
      </c>
      <c r="I926" s="6">
        <v>15.0664603938299</v>
      </c>
      <c r="J926" s="6">
        <v>14.557155039908499</v>
      </c>
      <c r="K926" s="6" t="s">
        <v>6254</v>
      </c>
      <c r="L926" s="6">
        <v>14.330579809010001</v>
      </c>
      <c r="M926" s="6">
        <v>14.777338771400601</v>
      </c>
      <c r="N926" s="6">
        <v>14.747901981665899</v>
      </c>
      <c r="O926" s="6">
        <v>14.8903674526562</v>
      </c>
      <c r="P926" s="6">
        <v>13.8044330131361</v>
      </c>
      <c r="Q926" s="6">
        <v>14.2911218820489</v>
      </c>
    </row>
    <row r="927" spans="1:17">
      <c r="A927" s="6" t="s">
        <v>1909</v>
      </c>
      <c r="B927" s="6" t="s">
        <v>1909</v>
      </c>
      <c r="C927" s="6" t="s">
        <v>8832</v>
      </c>
      <c r="D927" s="6" t="s">
        <v>8833</v>
      </c>
      <c r="E927" s="6" t="s">
        <v>8833</v>
      </c>
      <c r="F927" s="6">
        <v>14.935584170479499</v>
      </c>
      <c r="G927" s="6">
        <v>14.4952869374837</v>
      </c>
      <c r="H927" s="6">
        <v>14.6230038082264</v>
      </c>
      <c r="I927" s="6">
        <v>15.706526084948001</v>
      </c>
      <c r="J927" s="6">
        <v>14.5368835119873</v>
      </c>
      <c r="K927" s="6">
        <v>14.629810762254399</v>
      </c>
      <c r="L927" s="6">
        <v>15.155336760011201</v>
      </c>
      <c r="M927" s="6">
        <v>13.7264527085516</v>
      </c>
      <c r="N927" s="6">
        <v>13.8829398485844</v>
      </c>
      <c r="O927" s="6">
        <v>14.845615307327501</v>
      </c>
      <c r="P927" s="6">
        <v>14.8223939206006</v>
      </c>
      <c r="Q927" s="6">
        <v>14.1143662456955</v>
      </c>
    </row>
    <row r="928" spans="1:17">
      <c r="A928" s="6" t="s">
        <v>2001</v>
      </c>
      <c r="B928" s="6" t="s">
        <v>2001</v>
      </c>
      <c r="C928" s="6" t="s">
        <v>8834</v>
      </c>
      <c r="D928" s="6" t="s">
        <v>8835</v>
      </c>
      <c r="E928" s="6" t="s">
        <v>8835</v>
      </c>
      <c r="F928" s="6">
        <v>14.974810277171599</v>
      </c>
      <c r="G928" s="6">
        <v>14.640342621388699</v>
      </c>
      <c r="H928" s="6">
        <v>14.694496776978299</v>
      </c>
      <c r="I928" s="6">
        <v>15.4223236556436</v>
      </c>
      <c r="J928" s="6">
        <v>13.406660827642099</v>
      </c>
      <c r="K928" s="6">
        <v>14.667768820815001</v>
      </c>
      <c r="L928" s="6">
        <v>15.2248208438928</v>
      </c>
      <c r="M928" s="6">
        <v>14.1195335995455</v>
      </c>
      <c r="N928" s="6">
        <v>14.511107478251599</v>
      </c>
      <c r="O928" s="6">
        <v>15.2136000681244</v>
      </c>
      <c r="P928" s="6">
        <v>14.8529531374532</v>
      </c>
      <c r="Q928" s="6">
        <v>13.5059729851956</v>
      </c>
    </row>
    <row r="929" spans="1:17">
      <c r="A929" s="6" t="s">
        <v>8836</v>
      </c>
      <c r="B929" s="6" t="s">
        <v>8837</v>
      </c>
      <c r="C929" s="6" t="s">
        <v>8838</v>
      </c>
      <c r="D929" s="6" t="s">
        <v>8839</v>
      </c>
      <c r="E929" s="6" t="s">
        <v>8840</v>
      </c>
      <c r="F929" s="6">
        <v>14.672310476340799</v>
      </c>
      <c r="G929" s="6">
        <v>14.4790899741465</v>
      </c>
      <c r="H929" s="6">
        <v>15.110336791459501</v>
      </c>
      <c r="I929" s="6">
        <v>15.2838219446023</v>
      </c>
      <c r="J929" s="6">
        <v>14.0311858280664</v>
      </c>
      <c r="K929" s="6">
        <v>14.533862069324201</v>
      </c>
      <c r="L929" s="6">
        <v>15.2168346231039</v>
      </c>
      <c r="M929" s="6">
        <v>14.2220595557481</v>
      </c>
      <c r="N929" s="6">
        <v>14.6742207310804</v>
      </c>
      <c r="O929" s="6">
        <v>15.1699066712773</v>
      </c>
      <c r="P929" s="6">
        <v>14.720246473228</v>
      </c>
      <c r="Q929" s="6">
        <v>13.6708454307885</v>
      </c>
    </row>
    <row r="930" spans="1:17">
      <c r="A930" s="6" t="s">
        <v>2818</v>
      </c>
      <c r="B930" s="6" t="s">
        <v>2818</v>
      </c>
      <c r="C930" s="6" t="s">
        <v>8841</v>
      </c>
      <c r="D930" s="6" t="s">
        <v>8842</v>
      </c>
      <c r="E930" s="6" t="s">
        <v>8842</v>
      </c>
      <c r="F930" s="6">
        <v>15.443732899055499</v>
      </c>
      <c r="G930" s="6" t="s">
        <v>6254</v>
      </c>
      <c r="H930" s="6">
        <v>14.4581198503118</v>
      </c>
      <c r="I930" s="6">
        <v>15.175009566326599</v>
      </c>
      <c r="J930" s="6">
        <v>14.0402989345677</v>
      </c>
      <c r="K930" s="6">
        <v>14.328659920975401</v>
      </c>
      <c r="L930" s="6">
        <v>15.289163700048899</v>
      </c>
      <c r="M930" s="6">
        <v>13.8392678893893</v>
      </c>
      <c r="N930" s="6">
        <v>14.6803098866552</v>
      </c>
      <c r="O930" s="6">
        <v>15.371134861880799</v>
      </c>
      <c r="P930" s="6">
        <v>14.6867294218659</v>
      </c>
      <c r="Q930" s="6">
        <v>13.2071404218326</v>
      </c>
    </row>
    <row r="931" spans="1:17">
      <c r="A931" s="6" t="s">
        <v>4151</v>
      </c>
      <c r="B931" s="6" t="s">
        <v>4151</v>
      </c>
      <c r="C931" s="6" t="s">
        <v>8843</v>
      </c>
      <c r="D931" s="6" t="s">
        <v>8844</v>
      </c>
      <c r="E931" s="6" t="s">
        <v>8844</v>
      </c>
      <c r="F931" s="6" t="s">
        <v>6254</v>
      </c>
      <c r="G931" s="6" t="s">
        <v>6254</v>
      </c>
      <c r="H931" s="6" t="s">
        <v>6254</v>
      </c>
      <c r="I931" s="6" t="s">
        <v>6254</v>
      </c>
      <c r="J931" s="6">
        <v>13.4949168630692</v>
      </c>
      <c r="K931" s="6">
        <v>16.837209106648501</v>
      </c>
      <c r="L931" s="6">
        <v>15.0911078044552</v>
      </c>
      <c r="M931" s="6" t="s">
        <v>6254</v>
      </c>
      <c r="N931" s="6" t="s">
        <v>6254</v>
      </c>
      <c r="O931" s="6" t="s">
        <v>6254</v>
      </c>
      <c r="P931" s="6" t="s">
        <v>6254</v>
      </c>
      <c r="Q931" s="6" t="s">
        <v>6254</v>
      </c>
    </row>
    <row r="932" spans="1:17">
      <c r="A932" s="6" t="s">
        <v>796</v>
      </c>
      <c r="B932" s="6" t="s">
        <v>796</v>
      </c>
      <c r="C932" s="6" t="s">
        <v>8845</v>
      </c>
      <c r="D932" s="6" t="s">
        <v>8846</v>
      </c>
      <c r="E932" s="6" t="s">
        <v>8846</v>
      </c>
      <c r="F932" s="6">
        <v>15.3669898181261</v>
      </c>
      <c r="G932" s="6">
        <v>14.4829086953856</v>
      </c>
      <c r="H932" s="6">
        <v>14.8173095061916</v>
      </c>
      <c r="I932" s="6">
        <v>15.4128774442206</v>
      </c>
      <c r="J932" s="6">
        <v>14.025425621138501</v>
      </c>
      <c r="K932" s="6">
        <v>14.771798103342</v>
      </c>
      <c r="L932" s="6">
        <v>15.2510788768213</v>
      </c>
      <c r="M932" s="6">
        <v>13.998097763452799</v>
      </c>
      <c r="N932" s="6">
        <v>14.5546884862739</v>
      </c>
      <c r="O932" s="6">
        <v>14.9708168931268</v>
      </c>
      <c r="P932" s="6">
        <v>14.7908832104387</v>
      </c>
      <c r="Q932" s="6">
        <v>13.2992681001632</v>
      </c>
    </row>
    <row r="933" spans="1:17">
      <c r="A933" s="6" t="s">
        <v>8847</v>
      </c>
      <c r="B933" s="6" t="s">
        <v>8848</v>
      </c>
      <c r="C933" s="6" t="s">
        <v>8849</v>
      </c>
      <c r="D933" s="6" t="s">
        <v>8850</v>
      </c>
      <c r="E933" s="6" t="s">
        <v>8851</v>
      </c>
      <c r="F933" s="6">
        <v>15.023565745457899</v>
      </c>
      <c r="G933" s="6">
        <v>14.7050453176207</v>
      </c>
      <c r="H933" s="6">
        <v>14.850745770451701</v>
      </c>
      <c r="I933" s="6">
        <v>15.6109940526445</v>
      </c>
      <c r="J933" s="6">
        <v>14.1981483047349</v>
      </c>
      <c r="K933" s="6">
        <v>14.4967434004918</v>
      </c>
      <c r="L933" s="6">
        <v>15.2196197736406</v>
      </c>
      <c r="M933" s="6">
        <v>13.552417899786001</v>
      </c>
      <c r="N933" s="6">
        <v>14.4130949401239</v>
      </c>
      <c r="O933" s="6">
        <v>15.373328699283</v>
      </c>
      <c r="P933" s="6">
        <v>15.019773913662201</v>
      </c>
      <c r="Q933" s="6">
        <v>12.890987524665199</v>
      </c>
    </row>
    <row r="934" spans="1:17">
      <c r="A934" s="6" t="s">
        <v>2185</v>
      </c>
      <c r="B934" s="6" t="s">
        <v>2185</v>
      </c>
      <c r="C934" s="6" t="s">
        <v>8852</v>
      </c>
      <c r="D934" s="6" t="s">
        <v>8853</v>
      </c>
      <c r="E934" s="6" t="s">
        <v>8853</v>
      </c>
      <c r="F934" s="6">
        <v>15.150467699364899</v>
      </c>
      <c r="G934" s="6">
        <v>14.519553419054899</v>
      </c>
      <c r="H934" s="6">
        <v>15.005675067724599</v>
      </c>
      <c r="I934" s="6">
        <v>15.526316515434401</v>
      </c>
      <c r="J934" s="6">
        <v>13.955233596905</v>
      </c>
      <c r="K934" s="6">
        <v>14.172636654860099</v>
      </c>
      <c r="L934" s="6">
        <v>15.5475129124296</v>
      </c>
      <c r="M934" s="6">
        <v>14.143155679984</v>
      </c>
      <c r="N934" s="6">
        <v>15.4443858985079</v>
      </c>
      <c r="O934" s="6">
        <v>15.259987184080501</v>
      </c>
      <c r="P934" s="6">
        <v>14.3459100385139</v>
      </c>
      <c r="Q934" s="6">
        <v>13.321287019942</v>
      </c>
    </row>
    <row r="935" spans="1:17">
      <c r="A935" s="6" t="s">
        <v>3231</v>
      </c>
      <c r="B935" s="6" t="s">
        <v>3231</v>
      </c>
      <c r="C935" s="6" t="s">
        <v>8854</v>
      </c>
      <c r="D935" s="6" t="s">
        <v>8855</v>
      </c>
      <c r="E935" s="6" t="s">
        <v>8855</v>
      </c>
      <c r="F935" s="6">
        <v>15.0701789197831</v>
      </c>
      <c r="G935" s="6">
        <v>14.4574793736949</v>
      </c>
      <c r="H935" s="6">
        <v>14.5959355268613</v>
      </c>
      <c r="I935" s="6">
        <v>15.061474603374201</v>
      </c>
      <c r="J935" s="6" t="s">
        <v>6254</v>
      </c>
      <c r="K935" s="6">
        <v>14.541348932811299</v>
      </c>
      <c r="L935" s="6">
        <v>15.104456758512899</v>
      </c>
      <c r="M935" s="6">
        <v>14.1462790062485</v>
      </c>
      <c r="N935" s="6" t="s">
        <v>6254</v>
      </c>
      <c r="O935" s="6">
        <v>14.8119847902732</v>
      </c>
      <c r="P935" s="6">
        <v>14.506859809274999</v>
      </c>
      <c r="Q935" s="6" t="s">
        <v>6254</v>
      </c>
    </row>
    <row r="936" spans="1:17">
      <c r="A936" s="6" t="s">
        <v>8856</v>
      </c>
      <c r="B936" s="6" t="s">
        <v>8857</v>
      </c>
      <c r="C936" s="6" t="s">
        <v>8858</v>
      </c>
      <c r="D936" s="6" t="s">
        <v>8859</v>
      </c>
      <c r="E936" s="6" t="s">
        <v>8860</v>
      </c>
      <c r="F936" s="6">
        <v>14.968082249936399</v>
      </c>
      <c r="G936" s="6">
        <v>14.5878456967961</v>
      </c>
      <c r="H936" s="6">
        <v>14.680333491114499</v>
      </c>
      <c r="I936" s="6">
        <v>15.637585118111801</v>
      </c>
      <c r="J936" s="6">
        <v>13.908219702766001</v>
      </c>
      <c r="K936" s="6">
        <v>14.8098809331537</v>
      </c>
      <c r="L936" s="6">
        <v>15.252395446830899</v>
      </c>
      <c r="M936" s="6">
        <v>14.157987495386999</v>
      </c>
      <c r="N936" s="6">
        <v>14.3326329593935</v>
      </c>
      <c r="O936" s="6">
        <v>14.905020031806499</v>
      </c>
      <c r="P936" s="6">
        <v>14.6998781785404</v>
      </c>
      <c r="Q936" s="6">
        <v>13.542090453117099</v>
      </c>
    </row>
    <row r="937" spans="1:17">
      <c r="A937" s="6" t="s">
        <v>8861</v>
      </c>
      <c r="B937" s="6" t="s">
        <v>1971</v>
      </c>
      <c r="C937" s="6" t="s">
        <v>8862</v>
      </c>
      <c r="D937" s="6" t="s">
        <v>8863</v>
      </c>
      <c r="E937" s="6" t="s">
        <v>8864</v>
      </c>
      <c r="F937" s="6">
        <v>14.2641649642727</v>
      </c>
      <c r="G937" s="6">
        <v>15.199824204050399</v>
      </c>
      <c r="H937" s="6">
        <v>14.672063885981901</v>
      </c>
      <c r="I937" s="6">
        <v>14.784905211083499</v>
      </c>
      <c r="J937" s="6">
        <v>14.2065669759005</v>
      </c>
      <c r="K937" s="6">
        <v>14.300283123801099</v>
      </c>
      <c r="L937" s="6">
        <v>14.837128215980799</v>
      </c>
      <c r="M937" s="6">
        <v>14.7812015629877</v>
      </c>
      <c r="N937" s="6">
        <v>15.435412686406799</v>
      </c>
      <c r="O937" s="6">
        <v>14.7177681621398</v>
      </c>
      <c r="P937" s="6">
        <v>14.3314871816526</v>
      </c>
      <c r="Q937" s="6">
        <v>14.4164681923753</v>
      </c>
    </row>
    <row r="938" spans="1:17">
      <c r="A938" s="6" t="s">
        <v>8865</v>
      </c>
      <c r="B938" s="6" t="s">
        <v>8866</v>
      </c>
      <c r="C938" s="6" t="s">
        <v>8867</v>
      </c>
      <c r="D938" s="6" t="s">
        <v>8868</v>
      </c>
      <c r="E938" s="6" t="s">
        <v>8869</v>
      </c>
      <c r="F938" s="6">
        <v>15.4386362125717</v>
      </c>
      <c r="G938" s="6">
        <v>14.690376087454201</v>
      </c>
      <c r="H938" s="6">
        <v>14.712225370853499</v>
      </c>
      <c r="I938" s="6">
        <v>15.3835664884141</v>
      </c>
      <c r="J938" s="6">
        <v>14.1919672569543</v>
      </c>
      <c r="K938" s="6">
        <v>14.8648461939546</v>
      </c>
      <c r="L938" s="6">
        <v>15.0898175183722</v>
      </c>
      <c r="M938" s="6">
        <v>13.508326010403399</v>
      </c>
      <c r="N938" s="6">
        <v>13.944309191193</v>
      </c>
      <c r="O938" s="6">
        <v>14.98378752102</v>
      </c>
      <c r="P938" s="6">
        <v>14.2058598986295</v>
      </c>
      <c r="Q938" s="6">
        <v>14.034919517759</v>
      </c>
    </row>
    <row r="939" spans="1:17">
      <c r="A939" s="6" t="s">
        <v>8870</v>
      </c>
      <c r="B939" s="6" t="s">
        <v>8870</v>
      </c>
      <c r="C939" s="6" t="s">
        <v>8871</v>
      </c>
      <c r="D939" s="6" t="s">
        <v>8872</v>
      </c>
      <c r="E939" s="6" t="s">
        <v>8872</v>
      </c>
      <c r="F939" s="6">
        <v>14.987350878429799</v>
      </c>
      <c r="G939" s="6">
        <v>14.880169424247701</v>
      </c>
      <c r="H939" s="6">
        <v>14.8924810807406</v>
      </c>
      <c r="I939" s="6">
        <v>15.5234271581147</v>
      </c>
      <c r="J939" s="6" t="s">
        <v>6254</v>
      </c>
      <c r="K939" s="6">
        <v>14.5201852846779</v>
      </c>
      <c r="L939" s="6">
        <v>15.36930330329</v>
      </c>
      <c r="M939" s="6" t="s">
        <v>6254</v>
      </c>
      <c r="N939" s="6">
        <v>14.0499000232903</v>
      </c>
      <c r="O939" s="6">
        <v>14.4843933226452</v>
      </c>
      <c r="P939" s="6">
        <v>14.7970268551871</v>
      </c>
      <c r="Q939" s="6" t="s">
        <v>6254</v>
      </c>
    </row>
    <row r="940" spans="1:17">
      <c r="A940" s="6" t="s">
        <v>1451</v>
      </c>
      <c r="B940" s="6" t="s">
        <v>1451</v>
      </c>
      <c r="C940" s="6" t="s">
        <v>8873</v>
      </c>
      <c r="D940" s="6" t="s">
        <v>8874</v>
      </c>
      <c r="E940" s="6" t="s">
        <v>8874</v>
      </c>
      <c r="F940" s="6">
        <v>15.3446103342401</v>
      </c>
      <c r="G940" s="6">
        <v>14.5894865138611</v>
      </c>
      <c r="H940" s="6">
        <v>15.001681828611799</v>
      </c>
      <c r="I940" s="6">
        <v>15.18425478038</v>
      </c>
      <c r="J940" s="6">
        <v>14.2097040945351</v>
      </c>
      <c r="K940" s="6">
        <v>14.703816581446301</v>
      </c>
      <c r="L940" s="6">
        <v>15.1401839914544</v>
      </c>
      <c r="M940" s="6">
        <v>13.9315694849852</v>
      </c>
      <c r="N940" s="6">
        <v>14.7912253095514</v>
      </c>
      <c r="O940" s="6">
        <v>15.181235082181299</v>
      </c>
      <c r="P940" s="6">
        <v>14.9988262284319</v>
      </c>
      <c r="Q940" s="6">
        <v>13.042368929038</v>
      </c>
    </row>
    <row r="941" spans="1:17">
      <c r="A941" s="6" t="s">
        <v>5620</v>
      </c>
      <c r="B941" s="6" t="s">
        <v>5620</v>
      </c>
      <c r="C941" s="6" t="s">
        <v>8875</v>
      </c>
      <c r="D941" s="6" t="s">
        <v>8876</v>
      </c>
      <c r="E941" s="6" t="s">
        <v>8876</v>
      </c>
      <c r="F941" s="6">
        <v>15.7453194005877</v>
      </c>
      <c r="G941" s="6">
        <v>13.9792290999219</v>
      </c>
      <c r="H941" s="6">
        <v>14.6589059557729</v>
      </c>
      <c r="I941" s="6">
        <v>15.3432373415509</v>
      </c>
      <c r="J941" s="6">
        <v>13.9098701554367</v>
      </c>
      <c r="K941" s="6">
        <v>14.386712675531999</v>
      </c>
      <c r="L941" s="6">
        <v>15.098115130455099</v>
      </c>
      <c r="M941" s="6">
        <v>13.781928072336401</v>
      </c>
      <c r="N941" s="6">
        <v>14.7138697505133</v>
      </c>
      <c r="O941" s="6">
        <v>14.830064398059999</v>
      </c>
      <c r="P941" s="6">
        <v>14.645448255811299</v>
      </c>
      <c r="Q941" s="6" t="s">
        <v>6254</v>
      </c>
    </row>
    <row r="942" spans="1:17">
      <c r="A942" s="6" t="s">
        <v>1713</v>
      </c>
      <c r="B942" s="6" t="s">
        <v>1713</v>
      </c>
      <c r="C942" s="6" t="s">
        <v>8877</v>
      </c>
      <c r="D942" s="6" t="s">
        <v>8878</v>
      </c>
      <c r="E942" s="6" t="s">
        <v>8878</v>
      </c>
      <c r="F942" s="6">
        <v>14.831834736176299</v>
      </c>
      <c r="G942" s="6">
        <v>14.5022133715302</v>
      </c>
      <c r="H942" s="6">
        <v>14.7636021244818</v>
      </c>
      <c r="I942" s="6">
        <v>14.984430188058999</v>
      </c>
      <c r="J942" s="6">
        <v>14.159307482797299</v>
      </c>
      <c r="K942" s="6">
        <v>14.666047301145101</v>
      </c>
      <c r="L942" s="6">
        <v>15.015682907479601</v>
      </c>
      <c r="M942" s="6">
        <v>13.623486596618701</v>
      </c>
      <c r="N942" s="6">
        <v>14.033097837193401</v>
      </c>
      <c r="O942" s="6">
        <v>15.100496458749999</v>
      </c>
      <c r="P942" s="6">
        <v>14.782961197675901</v>
      </c>
      <c r="Q942" s="6">
        <v>13.9759403928245</v>
      </c>
    </row>
    <row r="943" spans="1:17">
      <c r="A943" s="6" t="s">
        <v>1513</v>
      </c>
      <c r="B943" s="6" t="s">
        <v>1515</v>
      </c>
      <c r="C943" s="6" t="s">
        <v>8879</v>
      </c>
      <c r="D943" s="6" t="s">
        <v>8880</v>
      </c>
      <c r="E943" s="6" t="s">
        <v>8881</v>
      </c>
      <c r="F943" s="6">
        <v>15.226377211208501</v>
      </c>
      <c r="G943" s="6">
        <v>14.644803719751399</v>
      </c>
      <c r="H943" s="6">
        <v>14.5644001407576</v>
      </c>
      <c r="I943" s="6">
        <v>15.3403397040373</v>
      </c>
      <c r="J943" s="6">
        <v>13.9964041995557</v>
      </c>
      <c r="K943" s="6">
        <v>14.6348347794725</v>
      </c>
      <c r="L943" s="6">
        <v>15.253440249098499</v>
      </c>
      <c r="M943" s="6">
        <v>13.648420587123001</v>
      </c>
      <c r="N943" s="6">
        <v>14.3514366197978</v>
      </c>
      <c r="O943" s="6">
        <v>15.2095825304533</v>
      </c>
      <c r="P943" s="6">
        <v>14.976273876772501</v>
      </c>
      <c r="Q943" s="6">
        <v>13.759966347297301</v>
      </c>
    </row>
    <row r="944" spans="1:17">
      <c r="A944" s="6" t="s">
        <v>1066</v>
      </c>
      <c r="B944" s="6" t="s">
        <v>1066</v>
      </c>
      <c r="C944" s="6" t="s">
        <v>8882</v>
      </c>
      <c r="D944" s="6" t="s">
        <v>8883</v>
      </c>
      <c r="E944" s="6" t="s">
        <v>8883</v>
      </c>
      <c r="F944" s="6">
        <v>15.42837790738</v>
      </c>
      <c r="G944" s="6">
        <v>14.695662898409701</v>
      </c>
      <c r="H944" s="6">
        <v>14.1012590117163</v>
      </c>
      <c r="I944" s="6">
        <v>15.4717587567136</v>
      </c>
      <c r="J944" s="6">
        <v>14.028122498637201</v>
      </c>
      <c r="K944" s="6">
        <v>14.7127471352398</v>
      </c>
      <c r="L944" s="6">
        <v>15.247956237921199</v>
      </c>
      <c r="M944" s="6">
        <v>13.208970318163701</v>
      </c>
      <c r="N944" s="6">
        <v>14.9806189525878</v>
      </c>
      <c r="O944" s="6">
        <v>14.528043439251199</v>
      </c>
      <c r="P944" s="6">
        <v>14.084526967142899</v>
      </c>
      <c r="Q944" s="6">
        <v>14.166211517160599</v>
      </c>
    </row>
    <row r="945" spans="1:17">
      <c r="A945" s="6" t="s">
        <v>2036</v>
      </c>
      <c r="B945" s="6" t="s">
        <v>2036</v>
      </c>
      <c r="C945" s="6" t="s">
        <v>8884</v>
      </c>
      <c r="D945" s="6" t="s">
        <v>8885</v>
      </c>
      <c r="E945" s="6" t="s">
        <v>8885</v>
      </c>
      <c r="F945" s="6">
        <v>14.917119858187</v>
      </c>
      <c r="G945" s="6">
        <v>14.3059017102092</v>
      </c>
      <c r="H945" s="6">
        <v>14.983544893469899</v>
      </c>
      <c r="I945" s="6">
        <v>15.320665838060201</v>
      </c>
      <c r="J945" s="6">
        <v>14.2456808160492</v>
      </c>
      <c r="K945" s="6">
        <v>14.8673259030161</v>
      </c>
      <c r="L945" s="6">
        <v>15.2919490947321</v>
      </c>
      <c r="M945" s="6">
        <v>14.117312325555901</v>
      </c>
      <c r="N945" s="6">
        <v>13.651942209212899</v>
      </c>
      <c r="O945" s="6">
        <v>14.822512616753199</v>
      </c>
      <c r="P945" s="6">
        <v>14.850644692158101</v>
      </c>
      <c r="Q945" s="6">
        <v>13.295880640582901</v>
      </c>
    </row>
    <row r="946" spans="1:17">
      <c r="A946" s="6" t="s">
        <v>1158</v>
      </c>
      <c r="B946" s="6" t="s">
        <v>1158</v>
      </c>
      <c r="C946" s="6" t="s">
        <v>8886</v>
      </c>
      <c r="D946" s="6" t="s">
        <v>8887</v>
      </c>
      <c r="E946" s="6" t="s">
        <v>8887</v>
      </c>
      <c r="F946" s="6">
        <v>15.252766347345901</v>
      </c>
      <c r="G946" s="6">
        <v>14.807045453676</v>
      </c>
      <c r="H946" s="6">
        <v>14.831475478580799</v>
      </c>
      <c r="I946" s="6">
        <v>15.496173528653101</v>
      </c>
      <c r="J946" s="6">
        <v>13.9418277243809</v>
      </c>
      <c r="K946" s="6">
        <v>14.633622810402301</v>
      </c>
      <c r="L946" s="6">
        <v>15.2514148041741</v>
      </c>
      <c r="M946" s="6">
        <v>13.9077740170277</v>
      </c>
      <c r="N946" s="6">
        <v>14.0080999236765</v>
      </c>
      <c r="O946" s="6">
        <v>14.927156701417699</v>
      </c>
      <c r="P946" s="6">
        <v>14.697843807653101</v>
      </c>
      <c r="Q946" s="6">
        <v>13.748652149400799</v>
      </c>
    </row>
    <row r="947" spans="1:17">
      <c r="A947" s="6" t="s">
        <v>8888</v>
      </c>
      <c r="B947" s="6" t="s">
        <v>8889</v>
      </c>
      <c r="C947" s="6" t="s">
        <v>8890</v>
      </c>
      <c r="D947" s="6" t="s">
        <v>8891</v>
      </c>
      <c r="E947" s="7">
        <v>44080</v>
      </c>
      <c r="F947" s="6">
        <v>15.467201086612899</v>
      </c>
      <c r="G947" s="6">
        <v>14.505285684548801</v>
      </c>
      <c r="H947" s="6">
        <v>14.361934729540099</v>
      </c>
      <c r="I947" s="6">
        <v>15.410394781788399</v>
      </c>
      <c r="J947" s="6">
        <v>14.123601649826901</v>
      </c>
      <c r="K947" s="6">
        <v>14.524640700472601</v>
      </c>
      <c r="L947" s="6">
        <v>14.9097971367399</v>
      </c>
      <c r="M947" s="6">
        <v>13.7923116573785</v>
      </c>
      <c r="N947" s="6">
        <v>14.545693674669099</v>
      </c>
      <c r="O947" s="6">
        <v>15.0960274287186</v>
      </c>
      <c r="P947" s="6">
        <v>14.6681602044905</v>
      </c>
      <c r="Q947" s="6">
        <v>13.599651650535</v>
      </c>
    </row>
    <row r="948" spans="1:17">
      <c r="A948" s="6" t="s">
        <v>8892</v>
      </c>
      <c r="B948" s="6" t="s">
        <v>8892</v>
      </c>
      <c r="C948" s="6" t="s">
        <v>8893</v>
      </c>
      <c r="D948" s="6" t="s">
        <v>7980</v>
      </c>
      <c r="E948" s="6" t="s">
        <v>7980</v>
      </c>
      <c r="F948" s="6">
        <v>12.8882341447112</v>
      </c>
      <c r="G948" s="6">
        <v>13.6534095870825</v>
      </c>
      <c r="H948" s="6" t="s">
        <v>6254</v>
      </c>
      <c r="I948" s="6">
        <v>14.892824517349499</v>
      </c>
      <c r="J948" s="6">
        <v>13.904323517920201</v>
      </c>
      <c r="K948" s="6" t="s">
        <v>6254</v>
      </c>
      <c r="L948" s="6">
        <v>17.293744767961801</v>
      </c>
      <c r="M948" s="6" t="s">
        <v>6254</v>
      </c>
      <c r="N948" s="6">
        <v>14.6173219358424</v>
      </c>
      <c r="O948" s="6">
        <v>16.307352949746502</v>
      </c>
      <c r="P948" s="6">
        <v>13.915327971641799</v>
      </c>
      <c r="Q948" s="6" t="s">
        <v>6254</v>
      </c>
    </row>
    <row r="949" spans="1:17">
      <c r="A949" s="6" t="s">
        <v>1217</v>
      </c>
      <c r="B949" s="6" t="s">
        <v>1217</v>
      </c>
      <c r="C949" s="6" t="s">
        <v>8894</v>
      </c>
      <c r="D949" s="6" t="s">
        <v>8895</v>
      </c>
      <c r="E949" s="6" t="s">
        <v>8895</v>
      </c>
      <c r="F949" s="6">
        <v>15.335957820294301</v>
      </c>
      <c r="G949" s="6">
        <v>14.8785810261828</v>
      </c>
      <c r="H949" s="6">
        <v>14.697831573592801</v>
      </c>
      <c r="I949" s="6">
        <v>15.478654440624</v>
      </c>
      <c r="J949" s="6">
        <v>14.229252447701599</v>
      </c>
      <c r="K949" s="6">
        <v>14.8559261771368</v>
      </c>
      <c r="L949" s="6">
        <v>15.1720460438227</v>
      </c>
      <c r="M949" s="6">
        <v>14.0168019842548</v>
      </c>
      <c r="N949" s="6">
        <v>14.1449244647754</v>
      </c>
      <c r="O949" s="6">
        <v>13.788088746446</v>
      </c>
      <c r="P949" s="6">
        <v>14.7005929721801</v>
      </c>
      <c r="Q949" s="6">
        <v>13.714197832370401</v>
      </c>
    </row>
    <row r="950" spans="1:17">
      <c r="A950" s="6" t="s">
        <v>8896</v>
      </c>
      <c r="B950" s="6" t="s">
        <v>8897</v>
      </c>
      <c r="C950" s="6" t="s">
        <v>8898</v>
      </c>
      <c r="D950" s="6" t="s">
        <v>8899</v>
      </c>
      <c r="E950" s="6" t="s">
        <v>8900</v>
      </c>
      <c r="F950" s="6">
        <v>15.070909173018601</v>
      </c>
      <c r="G950" s="6">
        <v>14.463919933202099</v>
      </c>
      <c r="H950" s="6">
        <v>14.458504191388201</v>
      </c>
      <c r="I950" s="6">
        <v>15.464359255668001</v>
      </c>
      <c r="J950" s="6">
        <v>13.7601393004794</v>
      </c>
      <c r="K950" s="6">
        <v>14.825416654942501</v>
      </c>
      <c r="L950" s="6">
        <v>15.197136611385</v>
      </c>
      <c r="M950" s="6">
        <v>14.1909080868987</v>
      </c>
      <c r="N950" s="6">
        <v>14.0978616978528</v>
      </c>
      <c r="O950" s="6">
        <v>14.809532759012299</v>
      </c>
      <c r="P950" s="6">
        <v>15.0979258739579</v>
      </c>
      <c r="Q950" s="6">
        <v>13.7649914976147</v>
      </c>
    </row>
    <row r="951" spans="1:17">
      <c r="A951" s="6" t="s">
        <v>4145</v>
      </c>
      <c r="B951" s="6" t="s">
        <v>4145</v>
      </c>
      <c r="C951" s="6" t="s">
        <v>8901</v>
      </c>
      <c r="D951" s="6" t="s">
        <v>8902</v>
      </c>
      <c r="E951" s="6" t="s">
        <v>8902</v>
      </c>
      <c r="F951" s="6">
        <v>13.9795115312614</v>
      </c>
      <c r="G951" s="6">
        <v>12.697994580985201</v>
      </c>
      <c r="H951" s="6" t="s">
        <v>6254</v>
      </c>
      <c r="I951" s="6">
        <v>15.4300031877744</v>
      </c>
      <c r="J951" s="6" t="s">
        <v>6254</v>
      </c>
      <c r="K951" s="6">
        <v>15.228045688262601</v>
      </c>
      <c r="L951" s="6">
        <v>15.661547889022501</v>
      </c>
      <c r="M951" s="6" t="s">
        <v>6254</v>
      </c>
      <c r="N951" s="6">
        <v>15.4867096255156</v>
      </c>
      <c r="O951" s="6" t="s">
        <v>6254</v>
      </c>
      <c r="P951" s="6" t="s">
        <v>6254</v>
      </c>
      <c r="Q951" s="6" t="s">
        <v>6254</v>
      </c>
    </row>
    <row r="952" spans="1:17">
      <c r="A952" s="6" t="s">
        <v>8903</v>
      </c>
      <c r="B952" s="6" t="s">
        <v>8904</v>
      </c>
      <c r="C952" s="6" t="s">
        <v>8905</v>
      </c>
      <c r="D952" s="6" t="s">
        <v>8906</v>
      </c>
      <c r="E952" s="6" t="s">
        <v>8907</v>
      </c>
      <c r="F952" s="6">
        <v>15.3728111222651</v>
      </c>
      <c r="G952" s="6">
        <v>14.239759091546</v>
      </c>
      <c r="H952" s="6">
        <v>15.2167797289978</v>
      </c>
      <c r="I952" s="6">
        <v>15.569041899062601</v>
      </c>
      <c r="J952" s="6">
        <v>14.0997926870377</v>
      </c>
      <c r="K952" s="6">
        <v>14.091453063287499</v>
      </c>
      <c r="L952" s="6">
        <v>15.310870364724099</v>
      </c>
      <c r="M952" s="6">
        <v>14.5791030294892</v>
      </c>
      <c r="N952" s="6">
        <v>14.5701154506806</v>
      </c>
      <c r="O952" s="6">
        <v>13.925784641258799</v>
      </c>
      <c r="P952" s="6">
        <v>15.1581544091783</v>
      </c>
      <c r="Q952" s="6">
        <v>13.1428896928262</v>
      </c>
    </row>
    <row r="953" spans="1:17">
      <c r="A953" s="6" t="s">
        <v>1953</v>
      </c>
      <c r="B953" s="6" t="s">
        <v>1953</v>
      </c>
      <c r="C953" s="6" t="s">
        <v>8908</v>
      </c>
      <c r="D953" s="6" t="s">
        <v>8909</v>
      </c>
      <c r="E953" s="6" t="s">
        <v>8909</v>
      </c>
      <c r="F953" s="6">
        <v>15.3233740537445</v>
      </c>
      <c r="G953" s="6">
        <v>14.6503955242902</v>
      </c>
      <c r="H953" s="6">
        <v>14.9936500522237</v>
      </c>
      <c r="I953" s="6">
        <v>15.3747999591692</v>
      </c>
      <c r="J953" s="6">
        <v>13.5465551095077</v>
      </c>
      <c r="K953" s="6">
        <v>14.2973008487795</v>
      </c>
      <c r="L953" s="6">
        <v>15.3894304455587</v>
      </c>
      <c r="M953" s="6">
        <v>13.7594790400844</v>
      </c>
      <c r="N953" s="6">
        <v>14.3868450516623</v>
      </c>
      <c r="O953" s="6">
        <v>15.0127009208624</v>
      </c>
      <c r="P953" s="6">
        <v>14.744812060238701</v>
      </c>
      <c r="Q953" s="6">
        <v>13.6641695447204</v>
      </c>
    </row>
    <row r="954" spans="1:17">
      <c r="A954" s="6" t="s">
        <v>8910</v>
      </c>
      <c r="B954" s="6" t="s">
        <v>8910</v>
      </c>
      <c r="C954" s="6" t="s">
        <v>8910</v>
      </c>
      <c r="D954" s="6" t="s">
        <v>8910</v>
      </c>
      <c r="E954" s="6" t="s">
        <v>8910</v>
      </c>
      <c r="F954" s="6" t="s">
        <v>6254</v>
      </c>
      <c r="G954" s="6" t="s">
        <v>6254</v>
      </c>
      <c r="H954" s="6">
        <v>14.791691910785399</v>
      </c>
      <c r="I954" s="6" t="s">
        <v>6254</v>
      </c>
      <c r="J954" s="6" t="s">
        <v>6254</v>
      </c>
      <c r="K954" s="6" t="s">
        <v>6254</v>
      </c>
      <c r="L954" s="6">
        <v>15.5842935416527</v>
      </c>
      <c r="M954" s="6">
        <v>14.1651205217933</v>
      </c>
      <c r="N954" s="6" t="s">
        <v>6254</v>
      </c>
      <c r="O954" s="6">
        <v>15.3962224736674</v>
      </c>
      <c r="P954" s="6" t="s">
        <v>6254</v>
      </c>
      <c r="Q954" s="6" t="s">
        <v>6254</v>
      </c>
    </row>
    <row r="955" spans="1:17">
      <c r="A955" s="6" t="s">
        <v>8911</v>
      </c>
      <c r="B955" s="6" t="s">
        <v>3410</v>
      </c>
      <c r="C955" s="6" t="s">
        <v>8912</v>
      </c>
      <c r="D955" s="6" t="s">
        <v>8913</v>
      </c>
      <c r="E955" s="6" t="s">
        <v>8914</v>
      </c>
      <c r="F955" s="6">
        <v>14.961842531086701</v>
      </c>
      <c r="G955" s="6">
        <v>14.363131145000001</v>
      </c>
      <c r="H955" s="6">
        <v>14.8307062489685</v>
      </c>
      <c r="I955" s="6">
        <v>15.378815577898701</v>
      </c>
      <c r="J955" s="6">
        <v>13.975788659737299</v>
      </c>
      <c r="K955" s="6">
        <v>14.511962839389801</v>
      </c>
      <c r="L955" s="6">
        <v>15.388324535200701</v>
      </c>
      <c r="M955" s="6">
        <v>13.533874735323501</v>
      </c>
      <c r="N955" s="6">
        <v>14.3247771979717</v>
      </c>
      <c r="O955" s="6">
        <v>15.027332562289001</v>
      </c>
      <c r="P955" s="6">
        <v>14.957148146209301</v>
      </c>
      <c r="Q955" s="6">
        <v>13.360637626971201</v>
      </c>
    </row>
    <row r="956" spans="1:17">
      <c r="A956" s="6" t="s">
        <v>8915</v>
      </c>
      <c r="B956" s="6" t="s">
        <v>8916</v>
      </c>
      <c r="C956" s="6" t="s">
        <v>8917</v>
      </c>
      <c r="D956" s="6" t="s">
        <v>8918</v>
      </c>
      <c r="E956" s="6" t="s">
        <v>8919</v>
      </c>
      <c r="F956" s="6">
        <v>14.948931585998601</v>
      </c>
      <c r="G956" s="6">
        <v>14.4960356685493</v>
      </c>
      <c r="H956" s="6">
        <v>14.7278438544051</v>
      </c>
      <c r="I956" s="6">
        <v>15.149541154281399</v>
      </c>
      <c r="J956" s="6">
        <v>12.881012286667501</v>
      </c>
      <c r="K956" s="6">
        <v>14.4784391092759</v>
      </c>
      <c r="L956" s="6">
        <v>15.3748191109625</v>
      </c>
      <c r="M956" s="6">
        <v>14.036731397603999</v>
      </c>
      <c r="N956" s="6">
        <v>14.560245269856299</v>
      </c>
      <c r="O956" s="6">
        <v>14.749631143239499</v>
      </c>
      <c r="P956" s="6">
        <v>14.572681065840101</v>
      </c>
      <c r="Q956" s="6">
        <v>14.228212512140001</v>
      </c>
    </row>
    <row r="957" spans="1:17">
      <c r="A957" s="6" t="s">
        <v>2669</v>
      </c>
      <c r="B957" s="6" t="s">
        <v>2669</v>
      </c>
      <c r="C957" s="6" t="s">
        <v>8920</v>
      </c>
      <c r="D957" s="6" t="s">
        <v>8921</v>
      </c>
      <c r="E957" s="6" t="s">
        <v>8921</v>
      </c>
      <c r="F957" s="6">
        <v>14.580343290968999</v>
      </c>
      <c r="G957" s="6">
        <v>13.3199078420806</v>
      </c>
      <c r="H957" s="6">
        <v>14.8684746718383</v>
      </c>
      <c r="I957" s="6">
        <v>15.5665424535329</v>
      </c>
      <c r="J957" s="6">
        <v>13.934648892823301</v>
      </c>
      <c r="K957" s="6">
        <v>14.840008728362401</v>
      </c>
      <c r="L957" s="6">
        <v>15.2521029522973</v>
      </c>
      <c r="M957" s="6" t="s">
        <v>6254</v>
      </c>
      <c r="N957" s="6">
        <v>13.9517975593439</v>
      </c>
      <c r="O957" s="6">
        <v>14.756780622642999</v>
      </c>
      <c r="P957" s="6">
        <v>12.3543533166928</v>
      </c>
      <c r="Q957" s="6">
        <v>15.078265436820001</v>
      </c>
    </row>
    <row r="958" spans="1:17">
      <c r="A958" s="6" t="s">
        <v>2474</v>
      </c>
      <c r="B958" s="6" t="s">
        <v>2474</v>
      </c>
      <c r="C958" s="6" t="s">
        <v>8922</v>
      </c>
      <c r="D958" s="6" t="s">
        <v>8923</v>
      </c>
      <c r="E958" s="6" t="s">
        <v>8923</v>
      </c>
      <c r="F958" s="6">
        <v>14.862370325409399</v>
      </c>
      <c r="G958" s="6">
        <v>14.3447344574582</v>
      </c>
      <c r="H958" s="6">
        <v>14.728403676906799</v>
      </c>
      <c r="I958" s="6">
        <v>15.228056268559801</v>
      </c>
      <c r="J958" s="6">
        <v>14.1016684211338</v>
      </c>
      <c r="K958" s="6">
        <v>14.734064277584199</v>
      </c>
      <c r="L958" s="6">
        <v>15.2268077170315</v>
      </c>
      <c r="M958" s="6">
        <v>14.1452172021071</v>
      </c>
      <c r="N958" s="6">
        <v>14.678743941706299</v>
      </c>
      <c r="O958" s="6">
        <v>14.9294913208187</v>
      </c>
      <c r="P958" s="6">
        <v>14.9455147915608</v>
      </c>
      <c r="Q958" s="6">
        <v>13.7208364435542</v>
      </c>
    </row>
    <row r="959" spans="1:17">
      <c r="A959" s="6" t="s">
        <v>8924</v>
      </c>
      <c r="B959" s="6" t="s">
        <v>8924</v>
      </c>
      <c r="C959" s="6" t="s">
        <v>8925</v>
      </c>
      <c r="D959" s="6" t="s">
        <v>8926</v>
      </c>
      <c r="E959" s="6" t="s">
        <v>8926</v>
      </c>
      <c r="F959" s="6">
        <v>14.2106952487903</v>
      </c>
      <c r="G959" s="6">
        <v>15.187750603942799</v>
      </c>
      <c r="H959" s="6">
        <v>14.9563104770231</v>
      </c>
      <c r="I959" s="6">
        <v>14.3657290542714</v>
      </c>
      <c r="J959" s="6">
        <v>14.5952667353635</v>
      </c>
      <c r="K959" s="6">
        <v>13.5348732354399</v>
      </c>
      <c r="L959" s="6">
        <v>13.793674624994001</v>
      </c>
      <c r="M959" s="6">
        <v>15.0392088995028</v>
      </c>
      <c r="N959" s="6">
        <v>15.5425409430682</v>
      </c>
      <c r="O959" s="6">
        <v>14.730893440337301</v>
      </c>
      <c r="P959" s="6">
        <v>15.051129861949899</v>
      </c>
      <c r="Q959" s="6">
        <v>13.8931889385248</v>
      </c>
    </row>
    <row r="960" spans="1:17">
      <c r="A960" s="6" t="s">
        <v>8927</v>
      </c>
      <c r="B960" s="6" t="s">
        <v>8928</v>
      </c>
      <c r="C960" s="6" t="s">
        <v>8929</v>
      </c>
      <c r="D960" s="6" t="s">
        <v>8930</v>
      </c>
      <c r="E960" s="6" t="s">
        <v>8931</v>
      </c>
      <c r="F960" s="6">
        <v>15.5307588664972</v>
      </c>
      <c r="G960" s="6">
        <v>17.452739907198399</v>
      </c>
      <c r="H960" s="6">
        <v>15.091420296486801</v>
      </c>
      <c r="I960" s="6">
        <v>15.3010131243002</v>
      </c>
      <c r="J960" s="6">
        <v>12.810557575535301</v>
      </c>
      <c r="K960" s="6">
        <v>15.0850652677534</v>
      </c>
      <c r="L960" s="6">
        <v>15.8272450734171</v>
      </c>
      <c r="M960" s="6">
        <v>15.1673173238198</v>
      </c>
      <c r="N960" s="6">
        <v>15.9874609629099</v>
      </c>
      <c r="O960" s="6">
        <v>15.5676049986505</v>
      </c>
      <c r="P960" s="6">
        <v>15.384165122443299</v>
      </c>
      <c r="Q960" s="6">
        <v>12.275753703103099</v>
      </c>
    </row>
    <row r="961" spans="1:17">
      <c r="A961" s="6" t="s">
        <v>8932</v>
      </c>
      <c r="B961" s="6" t="s">
        <v>8932</v>
      </c>
      <c r="C961" s="6" t="s">
        <v>8933</v>
      </c>
      <c r="D961" s="6" t="s">
        <v>8934</v>
      </c>
      <c r="E961" s="6" t="s">
        <v>8934</v>
      </c>
      <c r="F961" s="6">
        <v>16.203634171020902</v>
      </c>
      <c r="G961" s="6">
        <v>15.2398120731447</v>
      </c>
      <c r="H961" s="6">
        <v>14.325287600572199</v>
      </c>
      <c r="I961" s="6">
        <v>15.430854987724199</v>
      </c>
      <c r="J961" s="6" t="s">
        <v>6254</v>
      </c>
      <c r="K961" s="6">
        <v>14.7586644177784</v>
      </c>
      <c r="L961" s="6">
        <v>14.4507327109849</v>
      </c>
      <c r="M961" s="6" t="s">
        <v>6254</v>
      </c>
      <c r="N961" s="6">
        <v>13.977874369110401</v>
      </c>
      <c r="O961" s="6" t="s">
        <v>6254</v>
      </c>
      <c r="P961" s="6" t="s">
        <v>6254</v>
      </c>
      <c r="Q961" s="6" t="s">
        <v>6254</v>
      </c>
    </row>
    <row r="962" spans="1:17">
      <c r="A962" s="6" t="s">
        <v>8935</v>
      </c>
      <c r="B962" s="6" t="s">
        <v>8935</v>
      </c>
      <c r="C962" s="6" t="s">
        <v>8936</v>
      </c>
      <c r="D962" s="6" t="s">
        <v>8937</v>
      </c>
      <c r="E962" s="6" t="s">
        <v>8937</v>
      </c>
      <c r="F962" s="6">
        <v>16.3359949347327</v>
      </c>
      <c r="G962" s="6">
        <v>15.5323698345394</v>
      </c>
      <c r="H962" s="6">
        <v>14.8861740033609</v>
      </c>
      <c r="I962" s="6">
        <v>15.1021296061166</v>
      </c>
      <c r="J962" s="6">
        <v>14.784970313300599</v>
      </c>
      <c r="K962" s="6">
        <v>13.979048925664401</v>
      </c>
      <c r="L962" s="6">
        <v>14.789758155470301</v>
      </c>
      <c r="M962" s="6">
        <v>14.979075441065</v>
      </c>
      <c r="N962" s="6">
        <v>15.613901271351301</v>
      </c>
      <c r="O962" s="6">
        <v>14.5125834400461</v>
      </c>
      <c r="P962" s="6">
        <v>15.414759867445101</v>
      </c>
      <c r="Q962" s="6">
        <v>13.3555813895273</v>
      </c>
    </row>
    <row r="963" spans="1:17">
      <c r="A963" s="6" t="s">
        <v>8938</v>
      </c>
      <c r="B963" s="6" t="s">
        <v>8939</v>
      </c>
      <c r="C963" s="6" t="s">
        <v>8940</v>
      </c>
      <c r="D963" s="6" t="s">
        <v>8941</v>
      </c>
      <c r="E963" s="6" t="s">
        <v>8942</v>
      </c>
      <c r="F963" s="6">
        <v>15.298111715207201</v>
      </c>
      <c r="G963" s="6">
        <v>14.680669469042099</v>
      </c>
      <c r="H963" s="6">
        <v>14.5267938902116</v>
      </c>
      <c r="I963" s="6">
        <v>15.1115190889626</v>
      </c>
      <c r="J963" s="6">
        <v>14.146782903079201</v>
      </c>
      <c r="K963" s="6">
        <v>14.742012658601601</v>
      </c>
      <c r="L963" s="6">
        <v>15.0627959372204</v>
      </c>
      <c r="M963" s="6">
        <v>13.848728597064</v>
      </c>
      <c r="N963" s="6">
        <v>13.9274227704586</v>
      </c>
      <c r="O963" s="6">
        <v>14.7705604439155</v>
      </c>
      <c r="P963" s="6">
        <v>15.240894383984999</v>
      </c>
      <c r="Q963" s="6">
        <v>13.636155255516</v>
      </c>
    </row>
    <row r="964" spans="1:17">
      <c r="A964" s="6" t="s">
        <v>4215</v>
      </c>
      <c r="B964" s="6" t="s">
        <v>4215</v>
      </c>
      <c r="C964" s="6" t="s">
        <v>8943</v>
      </c>
      <c r="D964" s="6" t="s">
        <v>8944</v>
      </c>
      <c r="E964" s="6" t="s">
        <v>8944</v>
      </c>
      <c r="F964" s="6">
        <v>15.0229240964489</v>
      </c>
      <c r="G964" s="6">
        <v>14.545907815859</v>
      </c>
      <c r="H964" s="6">
        <v>14.320618418718601</v>
      </c>
      <c r="I964" s="6">
        <v>15.1182988609385</v>
      </c>
      <c r="J964" s="6">
        <v>13.4532900166927</v>
      </c>
      <c r="K964" s="6">
        <v>14.247407033584301</v>
      </c>
      <c r="L964" s="6">
        <v>14.950070919195699</v>
      </c>
      <c r="M964" s="6">
        <v>13.5993027026629</v>
      </c>
      <c r="N964" s="6">
        <v>14.344292655584701</v>
      </c>
      <c r="O964" s="6">
        <v>14.7988457862698</v>
      </c>
      <c r="P964" s="6">
        <v>14.4996349744354</v>
      </c>
      <c r="Q964" s="6">
        <v>13.4150239876565</v>
      </c>
    </row>
    <row r="965" spans="1:17">
      <c r="A965" s="6" t="s">
        <v>3438</v>
      </c>
      <c r="B965" s="6" t="s">
        <v>3438</v>
      </c>
      <c r="C965" s="6" t="s">
        <v>8945</v>
      </c>
      <c r="D965" s="6" t="s">
        <v>8946</v>
      </c>
      <c r="E965" s="6" t="s">
        <v>8946</v>
      </c>
      <c r="F965" s="6">
        <v>14.9530359115157</v>
      </c>
      <c r="G965" s="6">
        <v>15.2937325367486</v>
      </c>
      <c r="H965" s="6">
        <v>14.8770022448482</v>
      </c>
      <c r="I965" s="6">
        <v>15.365905455586701</v>
      </c>
      <c r="J965" s="6">
        <v>14.2995712537709</v>
      </c>
      <c r="K965" s="6">
        <v>14.816560473603699</v>
      </c>
      <c r="L965" s="6">
        <v>15.389907947573599</v>
      </c>
      <c r="M965" s="6">
        <v>13.839432114213899</v>
      </c>
      <c r="N965" s="6">
        <v>13.835134437582999</v>
      </c>
      <c r="O965" s="6">
        <v>14.560670009366801</v>
      </c>
      <c r="P965" s="6">
        <v>14.572111824436201</v>
      </c>
      <c r="Q965" s="6">
        <v>13.8178236934735</v>
      </c>
    </row>
    <row r="966" spans="1:17">
      <c r="A966" s="6" t="s">
        <v>1426</v>
      </c>
      <c r="B966" s="6" t="s">
        <v>1428</v>
      </c>
      <c r="C966" s="6" t="s">
        <v>8947</v>
      </c>
      <c r="D966" s="6" t="s">
        <v>8948</v>
      </c>
      <c r="E966" s="6" t="s">
        <v>8949</v>
      </c>
      <c r="F966" s="6">
        <v>15.2775239527406</v>
      </c>
      <c r="G966" s="6">
        <v>14.221579697329799</v>
      </c>
      <c r="H966" s="6">
        <v>15.112344470958099</v>
      </c>
      <c r="I966" s="6">
        <v>15.497969505913</v>
      </c>
      <c r="J966" s="6">
        <v>13.621478506833901</v>
      </c>
      <c r="K966" s="6">
        <v>14.289405783941399</v>
      </c>
      <c r="L966" s="6">
        <v>15.300364087452399</v>
      </c>
      <c r="M966" s="6">
        <v>14.080016879782701</v>
      </c>
      <c r="N966" s="6">
        <v>15.1445970674562</v>
      </c>
      <c r="O966" s="6">
        <v>15.013842406977201</v>
      </c>
      <c r="P966" s="6">
        <v>14.8704035320443</v>
      </c>
      <c r="Q966" s="6">
        <v>13.1499972683271</v>
      </c>
    </row>
    <row r="967" spans="1:17">
      <c r="A967" s="6" t="s">
        <v>1991</v>
      </c>
      <c r="B967" s="6" t="s">
        <v>1991</v>
      </c>
      <c r="C967" s="6" t="s">
        <v>8950</v>
      </c>
      <c r="D967" s="6" t="s">
        <v>8951</v>
      </c>
      <c r="E967" s="6" t="s">
        <v>8951</v>
      </c>
      <c r="F967" s="6">
        <v>14.3854009322589</v>
      </c>
      <c r="G967" s="6">
        <v>14.303385389931901</v>
      </c>
      <c r="H967" s="6">
        <v>14.6670810710865</v>
      </c>
      <c r="I967" s="6">
        <v>15.2437357001048</v>
      </c>
      <c r="J967" s="6">
        <v>14.413959006359001</v>
      </c>
      <c r="K967" s="6">
        <v>14.3272465343452</v>
      </c>
      <c r="L967" s="6">
        <v>15.192536959201901</v>
      </c>
      <c r="M967" s="6">
        <v>14.350789890310301</v>
      </c>
      <c r="N967" s="6">
        <v>14.5536419004052</v>
      </c>
      <c r="O967" s="6">
        <v>14.693860338271801</v>
      </c>
      <c r="P967" s="6">
        <v>14.6359355690422</v>
      </c>
      <c r="Q967" s="6">
        <v>13.899456810483199</v>
      </c>
    </row>
    <row r="968" spans="1:17">
      <c r="A968" s="6" t="s">
        <v>1864</v>
      </c>
      <c r="B968" s="6" t="s">
        <v>1864</v>
      </c>
      <c r="C968" s="6" t="s">
        <v>8952</v>
      </c>
      <c r="D968" s="6" t="s">
        <v>8953</v>
      </c>
      <c r="E968" s="6" t="s">
        <v>8953</v>
      </c>
      <c r="F968" s="6">
        <v>14.978933654939899</v>
      </c>
      <c r="G968" s="6">
        <v>14.6624250815584</v>
      </c>
      <c r="H968" s="6">
        <v>14.837825121681201</v>
      </c>
      <c r="I968" s="6">
        <v>15.266111968474901</v>
      </c>
      <c r="J968" s="6">
        <v>13.9046224806238</v>
      </c>
      <c r="K968" s="6">
        <v>14.6583071499743</v>
      </c>
      <c r="L968" s="6">
        <v>15.298231334403001</v>
      </c>
      <c r="M968" s="6">
        <v>13.896740712347601</v>
      </c>
      <c r="N968" s="6">
        <v>14.383085857860999</v>
      </c>
      <c r="O968" s="6">
        <v>14.901873197517499</v>
      </c>
      <c r="P968" s="6">
        <v>14.7111881865769</v>
      </c>
      <c r="Q968" s="6">
        <v>13.476881809216801</v>
      </c>
    </row>
    <row r="969" spans="1:17">
      <c r="A969" s="6" t="s">
        <v>8954</v>
      </c>
      <c r="B969" s="6" t="s">
        <v>1116</v>
      </c>
      <c r="C969" s="6" t="s">
        <v>8955</v>
      </c>
      <c r="D969" s="6" t="s">
        <v>8956</v>
      </c>
      <c r="E969" s="6" t="s">
        <v>8957</v>
      </c>
      <c r="F969" s="6">
        <v>15.056028624321399</v>
      </c>
      <c r="G969" s="6">
        <v>14.5616361430071</v>
      </c>
      <c r="H969" s="6">
        <v>14.835467830860001</v>
      </c>
      <c r="I969" s="6">
        <v>15.281516450109001</v>
      </c>
      <c r="J969" s="6">
        <v>13.9022386816929</v>
      </c>
      <c r="K969" s="6">
        <v>14.3518908105117</v>
      </c>
      <c r="L969" s="6">
        <v>15.245406336347701</v>
      </c>
      <c r="M969" s="6">
        <v>13.9342164310039</v>
      </c>
      <c r="N969" s="6">
        <v>15.113158748977201</v>
      </c>
      <c r="O969" s="6">
        <v>14.944115603996799</v>
      </c>
      <c r="P969" s="6">
        <v>14.712428650987301</v>
      </c>
      <c r="Q969" s="6">
        <v>13.1739113919303</v>
      </c>
    </row>
    <row r="970" spans="1:17">
      <c r="A970" s="6" t="s">
        <v>2441</v>
      </c>
      <c r="B970" s="6" t="s">
        <v>2441</v>
      </c>
      <c r="C970" s="6" t="s">
        <v>8958</v>
      </c>
      <c r="D970" s="6" t="s">
        <v>8959</v>
      </c>
      <c r="E970" s="6" t="s">
        <v>8959</v>
      </c>
      <c r="F970" s="6">
        <v>15.5234379109265</v>
      </c>
      <c r="G970" s="6">
        <v>14.7445600541781</v>
      </c>
      <c r="H970" s="6">
        <v>14.4532414506933</v>
      </c>
      <c r="I970" s="6">
        <v>15.4332964261106</v>
      </c>
      <c r="J970" s="6">
        <v>13.9848777819562</v>
      </c>
      <c r="K970" s="6">
        <v>14.8968448858152</v>
      </c>
      <c r="L970" s="6">
        <v>15.274814553894901</v>
      </c>
      <c r="M970" s="6">
        <v>12.7778504932462</v>
      </c>
      <c r="N970" s="6">
        <v>13.575238375401799</v>
      </c>
      <c r="O970" s="6">
        <v>13.829616583432999</v>
      </c>
      <c r="P970" s="6">
        <v>14.348649576355999</v>
      </c>
      <c r="Q970" s="6">
        <v>13.8451277909542</v>
      </c>
    </row>
    <row r="971" spans="1:17">
      <c r="A971" s="6" t="s">
        <v>8960</v>
      </c>
      <c r="B971" s="6" t="s">
        <v>8961</v>
      </c>
      <c r="C971" s="6" t="s">
        <v>8962</v>
      </c>
      <c r="D971" s="6" t="s">
        <v>8963</v>
      </c>
      <c r="E971" s="6" t="s">
        <v>8964</v>
      </c>
      <c r="F971" s="6">
        <v>15.1239374333058</v>
      </c>
      <c r="G971" s="6">
        <v>14.4431020645426</v>
      </c>
      <c r="H971" s="6">
        <v>14.804487682406601</v>
      </c>
      <c r="I971" s="6">
        <v>15.3465306527203</v>
      </c>
      <c r="J971" s="6">
        <v>14.0684323191937</v>
      </c>
      <c r="K971" s="6">
        <v>14.552165935034299</v>
      </c>
      <c r="L971" s="6">
        <v>15.2695042116412</v>
      </c>
      <c r="M971" s="6">
        <v>13.806145883843699</v>
      </c>
      <c r="N971" s="6">
        <v>14.9881115355604</v>
      </c>
      <c r="O971" s="6">
        <v>15.0146437559718</v>
      </c>
      <c r="P971" s="6">
        <v>14.7082068467115</v>
      </c>
      <c r="Q971" s="6">
        <v>12.9027906012619</v>
      </c>
    </row>
    <row r="972" spans="1:17">
      <c r="A972" s="6" t="s">
        <v>5168</v>
      </c>
      <c r="B972" s="6" t="s">
        <v>5168</v>
      </c>
      <c r="C972" s="6" t="s">
        <v>8965</v>
      </c>
      <c r="D972" s="6" t="s">
        <v>8966</v>
      </c>
      <c r="E972" s="6" t="s">
        <v>8966</v>
      </c>
      <c r="F972" s="6">
        <v>14.426447969736101</v>
      </c>
      <c r="G972" s="6">
        <v>14.853429831233401</v>
      </c>
      <c r="H972" s="6" t="s">
        <v>6254</v>
      </c>
      <c r="I972" s="6">
        <v>15.5362958847704</v>
      </c>
      <c r="J972" s="6" t="s">
        <v>6254</v>
      </c>
      <c r="K972" s="6">
        <v>15.1179569418358</v>
      </c>
      <c r="L972" s="6">
        <v>14.894456617268601</v>
      </c>
      <c r="M972" s="6" t="s">
        <v>6254</v>
      </c>
      <c r="N972" s="6" t="s">
        <v>6254</v>
      </c>
      <c r="O972" s="6">
        <v>14.938195077587499</v>
      </c>
      <c r="P972" s="6">
        <v>13.101215212383799</v>
      </c>
      <c r="Q972" s="6" t="s">
        <v>6254</v>
      </c>
    </row>
    <row r="973" spans="1:17">
      <c r="A973" s="6" t="s">
        <v>5935</v>
      </c>
      <c r="B973" s="6" t="s">
        <v>5937</v>
      </c>
      <c r="C973" s="6" t="s">
        <v>8967</v>
      </c>
      <c r="D973" s="6" t="s">
        <v>8968</v>
      </c>
      <c r="E973" s="6" t="s">
        <v>8969</v>
      </c>
      <c r="F973" s="6">
        <v>14.938608994487399</v>
      </c>
      <c r="G973" s="6">
        <v>14.153214202501999</v>
      </c>
      <c r="H973" s="6">
        <v>14.1364082816548</v>
      </c>
      <c r="I973" s="6">
        <v>15.2513825269398</v>
      </c>
      <c r="J973" s="6">
        <v>14.204139284872699</v>
      </c>
      <c r="K973" s="6">
        <v>14.5401449462548</v>
      </c>
      <c r="L973" s="6">
        <v>14.807811117110401</v>
      </c>
      <c r="M973" s="6" t="s">
        <v>6254</v>
      </c>
      <c r="N973" s="6">
        <v>13.876941297427001</v>
      </c>
      <c r="O973" s="6">
        <v>14.8810465719961</v>
      </c>
      <c r="P973" s="6">
        <v>14.7147462731866</v>
      </c>
      <c r="Q973" s="6" t="s">
        <v>6254</v>
      </c>
    </row>
    <row r="974" spans="1:17">
      <c r="A974" s="6" t="s">
        <v>884</v>
      </c>
      <c r="B974" s="6" t="s">
        <v>886</v>
      </c>
      <c r="C974" s="6" t="s">
        <v>8970</v>
      </c>
      <c r="D974" s="6" t="s">
        <v>8971</v>
      </c>
      <c r="E974" s="6" t="s">
        <v>8972</v>
      </c>
      <c r="F974" s="6">
        <v>15.241442578729499</v>
      </c>
      <c r="G974" s="6">
        <v>14.5646280625995</v>
      </c>
      <c r="H974" s="6">
        <v>14.443478130634301</v>
      </c>
      <c r="I974" s="6">
        <v>15.577231467669</v>
      </c>
      <c r="J974" s="6">
        <v>14.0496039044942</v>
      </c>
      <c r="K974" s="6">
        <v>14.6447709341821</v>
      </c>
      <c r="L974" s="6">
        <v>15.1901106663856</v>
      </c>
      <c r="M974" s="6">
        <v>13.5456118773283</v>
      </c>
      <c r="N974" s="6">
        <v>14.0492291470983</v>
      </c>
      <c r="O974" s="6">
        <v>15.071447732644399</v>
      </c>
      <c r="P974" s="6">
        <v>15.005518120250301</v>
      </c>
      <c r="Q974" s="6">
        <v>13.440021763497899</v>
      </c>
    </row>
    <row r="975" spans="1:17">
      <c r="A975" s="6" t="s">
        <v>2220</v>
      </c>
      <c r="B975" s="6" t="s">
        <v>2220</v>
      </c>
      <c r="C975" s="6" t="s">
        <v>8973</v>
      </c>
      <c r="D975" s="6" t="s">
        <v>8974</v>
      </c>
      <c r="E975" s="6" t="s">
        <v>8974</v>
      </c>
      <c r="F975" s="6">
        <v>15.0551301677644</v>
      </c>
      <c r="G975" s="6">
        <v>14.6694196074718</v>
      </c>
      <c r="H975" s="6">
        <v>14.758083589881201</v>
      </c>
      <c r="I975" s="6">
        <v>15.7468666172071</v>
      </c>
      <c r="J975" s="6">
        <v>14.0654090836557</v>
      </c>
      <c r="K975" s="6">
        <v>15.0601618886054</v>
      </c>
      <c r="L975" s="6">
        <v>15.565440228291401</v>
      </c>
      <c r="M975" s="6">
        <v>13.6660300524196</v>
      </c>
      <c r="N975" s="6">
        <v>14.3362754048893</v>
      </c>
      <c r="O975" s="6">
        <v>14.815718176702299</v>
      </c>
      <c r="P975" s="6">
        <v>14.9091085707594</v>
      </c>
      <c r="Q975" s="6">
        <v>12.772873742321501</v>
      </c>
    </row>
    <row r="976" spans="1:17">
      <c r="A976" s="6" t="s">
        <v>8975</v>
      </c>
      <c r="B976" s="6" t="s">
        <v>8976</v>
      </c>
      <c r="C976" s="6" t="s">
        <v>8977</v>
      </c>
      <c r="D976" s="6" t="s">
        <v>8978</v>
      </c>
      <c r="E976" s="6" t="s">
        <v>8979</v>
      </c>
      <c r="F976" s="6">
        <v>15.1066537149089</v>
      </c>
      <c r="G976" s="6">
        <v>14.213381721711301</v>
      </c>
      <c r="H976" s="6">
        <v>15.4813444970506</v>
      </c>
      <c r="I976" s="6">
        <v>15.530834337794699</v>
      </c>
      <c r="J976" s="6" t="s">
        <v>6254</v>
      </c>
      <c r="K976" s="6">
        <v>14.6652981276651</v>
      </c>
      <c r="L976" s="6">
        <v>14.4650972192716</v>
      </c>
      <c r="M976" s="6">
        <v>14.2530151447296</v>
      </c>
      <c r="N976" s="6">
        <v>14.465174470460401</v>
      </c>
      <c r="O976" s="6">
        <v>15.3137405270037</v>
      </c>
      <c r="P976" s="6">
        <v>14.965929141272101</v>
      </c>
      <c r="Q976" s="6" t="s">
        <v>6254</v>
      </c>
    </row>
    <row r="977" spans="1:17">
      <c r="A977" s="6" t="s">
        <v>8980</v>
      </c>
      <c r="B977" s="6" t="s">
        <v>8981</v>
      </c>
      <c r="C977" s="6" t="s">
        <v>8982</v>
      </c>
      <c r="D977" s="6" t="s">
        <v>8983</v>
      </c>
      <c r="E977" s="6" t="s">
        <v>8984</v>
      </c>
      <c r="F977" s="6">
        <v>14.782332921726001</v>
      </c>
      <c r="G977" s="6">
        <v>14.352129680975301</v>
      </c>
      <c r="H977" s="6">
        <v>14.886869179876699</v>
      </c>
      <c r="I977" s="6">
        <v>15.410942340751401</v>
      </c>
      <c r="J977" s="6">
        <v>14.020281740290599</v>
      </c>
      <c r="K977" s="6">
        <v>14.504001262476899</v>
      </c>
      <c r="L977" s="6">
        <v>15.2555564085339</v>
      </c>
      <c r="M977" s="6">
        <v>13.8898031305031</v>
      </c>
      <c r="N977" s="6">
        <v>14.2709625986476</v>
      </c>
      <c r="O977" s="6">
        <v>14.6988831202959</v>
      </c>
      <c r="P977" s="6">
        <v>15.1382151492368</v>
      </c>
      <c r="Q977" s="6">
        <v>13.5777026110531</v>
      </c>
    </row>
    <row r="978" spans="1:17">
      <c r="A978" s="6" t="s">
        <v>8985</v>
      </c>
      <c r="B978" s="6" t="s">
        <v>8986</v>
      </c>
      <c r="C978" s="6" t="s">
        <v>8987</v>
      </c>
      <c r="D978" s="6" t="s">
        <v>8988</v>
      </c>
      <c r="E978" s="6" t="s">
        <v>8989</v>
      </c>
      <c r="F978" s="6">
        <v>15.0435628998741</v>
      </c>
      <c r="G978" s="6">
        <v>14.5257025459583</v>
      </c>
      <c r="H978" s="6">
        <v>14.7760911006727</v>
      </c>
      <c r="I978" s="6">
        <v>15.6414566332503</v>
      </c>
      <c r="J978" s="6">
        <v>14.178548975639099</v>
      </c>
      <c r="K978" s="6">
        <v>14.6946419349542</v>
      </c>
      <c r="L978" s="6">
        <v>15.2653484989274</v>
      </c>
      <c r="M978" s="6">
        <v>13.9611709096128</v>
      </c>
      <c r="N978" s="6">
        <v>13.9125393537535</v>
      </c>
      <c r="O978" s="6">
        <v>14.911835850593301</v>
      </c>
      <c r="P978" s="6">
        <v>14.7823372104141</v>
      </c>
      <c r="Q978" s="6">
        <v>13.686001342339001</v>
      </c>
    </row>
    <row r="979" spans="1:17">
      <c r="A979" s="6" t="s">
        <v>8990</v>
      </c>
      <c r="B979" s="6" t="s">
        <v>8990</v>
      </c>
      <c r="C979" s="6" t="s">
        <v>8991</v>
      </c>
      <c r="D979" s="6" t="s">
        <v>8992</v>
      </c>
      <c r="E979" s="6" t="s">
        <v>8992</v>
      </c>
      <c r="F979" s="6">
        <v>15.201794260280399</v>
      </c>
      <c r="G979" s="6">
        <v>14.592146914711201</v>
      </c>
      <c r="H979" s="6">
        <v>14.688991355106401</v>
      </c>
      <c r="I979" s="6">
        <v>15.4420946865435</v>
      </c>
      <c r="J979" s="6">
        <v>14.006925480834701</v>
      </c>
      <c r="K979" s="6">
        <v>14.774366073217299</v>
      </c>
      <c r="L979" s="6">
        <v>15.450773143181999</v>
      </c>
      <c r="M979" s="6">
        <v>14.1562248756206</v>
      </c>
      <c r="N979" s="6">
        <v>14.0814441037249</v>
      </c>
      <c r="O979" s="6">
        <v>15.0002011127731</v>
      </c>
      <c r="P979" s="6">
        <v>14.800499599625599</v>
      </c>
      <c r="Q979" s="6">
        <v>13.5085356531717</v>
      </c>
    </row>
    <row r="980" spans="1:17">
      <c r="A980" s="6" t="s">
        <v>8993</v>
      </c>
      <c r="B980" s="6" t="s">
        <v>8994</v>
      </c>
      <c r="C980" s="6" t="s">
        <v>8995</v>
      </c>
      <c r="D980" s="6" t="s">
        <v>8996</v>
      </c>
      <c r="E980" s="6" t="s">
        <v>8997</v>
      </c>
      <c r="F980" s="6">
        <v>14.953219658940901</v>
      </c>
      <c r="G980" s="6">
        <v>15.242998906714201</v>
      </c>
      <c r="H980" s="6">
        <v>14.613770164217099</v>
      </c>
      <c r="I980" s="6">
        <v>15.1594390294478</v>
      </c>
      <c r="J980" s="6">
        <v>14.2061393394223</v>
      </c>
      <c r="K980" s="6">
        <v>15.1600581554199</v>
      </c>
      <c r="L980" s="6">
        <v>14.745440935223399</v>
      </c>
      <c r="M980" s="6">
        <v>14.6629016291021</v>
      </c>
      <c r="N980" s="6">
        <v>15.083662445188599</v>
      </c>
      <c r="O980" s="6">
        <v>14.714589069631</v>
      </c>
      <c r="P980" s="6">
        <v>14.5865302177119</v>
      </c>
      <c r="Q980" s="6">
        <v>13.015239642868099</v>
      </c>
    </row>
    <row r="981" spans="1:17">
      <c r="A981" s="6" t="s">
        <v>4018</v>
      </c>
      <c r="B981" s="6" t="s">
        <v>4018</v>
      </c>
      <c r="C981" s="6" t="s">
        <v>8998</v>
      </c>
      <c r="D981" s="6" t="s">
        <v>8999</v>
      </c>
      <c r="E981" s="6" t="s">
        <v>8999</v>
      </c>
      <c r="F981" s="6">
        <v>14.023274735013199</v>
      </c>
      <c r="G981" s="6">
        <v>14.6482681617043</v>
      </c>
      <c r="H981" s="6" t="s">
        <v>6254</v>
      </c>
      <c r="I981" s="6">
        <v>14.2028958431749</v>
      </c>
      <c r="J981" s="6" t="s">
        <v>6254</v>
      </c>
      <c r="K981" s="6" t="s">
        <v>6254</v>
      </c>
      <c r="L981" s="6">
        <v>15.1397442917992</v>
      </c>
      <c r="M981" s="6" t="s">
        <v>6254</v>
      </c>
      <c r="N981" s="6">
        <v>14.8360263163824</v>
      </c>
      <c r="O981" s="6">
        <v>14.5162070680122</v>
      </c>
      <c r="P981" s="6" t="s">
        <v>6254</v>
      </c>
      <c r="Q981" s="6" t="s">
        <v>6254</v>
      </c>
    </row>
    <row r="982" spans="1:17">
      <c r="A982" s="6" t="s">
        <v>1591</v>
      </c>
      <c r="B982" s="6" t="s">
        <v>1591</v>
      </c>
      <c r="C982" s="6" t="s">
        <v>9000</v>
      </c>
      <c r="D982" s="6" t="s">
        <v>9001</v>
      </c>
      <c r="E982" s="6" t="s">
        <v>9001</v>
      </c>
      <c r="F982" s="6">
        <v>15.167034182201601</v>
      </c>
      <c r="G982" s="6">
        <v>14.7741393257645</v>
      </c>
      <c r="H982" s="6">
        <v>14.640576968237299</v>
      </c>
      <c r="I982" s="6">
        <v>15.296667694747899</v>
      </c>
      <c r="J982" s="6">
        <v>13.970460651881201</v>
      </c>
      <c r="K982" s="6">
        <v>14.8825355594246</v>
      </c>
      <c r="L982" s="6">
        <v>15.090496687433401</v>
      </c>
      <c r="M982" s="6">
        <v>13.820264474932801</v>
      </c>
      <c r="N982" s="6">
        <v>13.8084329344073</v>
      </c>
      <c r="O982" s="6">
        <v>14.5391070777841</v>
      </c>
      <c r="P982" s="6">
        <v>14.5235432541572</v>
      </c>
      <c r="Q982" s="6">
        <v>13.3852775457005</v>
      </c>
    </row>
    <row r="983" spans="1:17">
      <c r="A983" s="6" t="s">
        <v>1982</v>
      </c>
      <c r="B983" s="6" t="s">
        <v>1982</v>
      </c>
      <c r="C983" s="6" t="s">
        <v>9002</v>
      </c>
      <c r="D983" s="6" t="s">
        <v>9003</v>
      </c>
      <c r="E983" s="6" t="s">
        <v>9003</v>
      </c>
      <c r="F983" s="6">
        <v>15.432242909342699</v>
      </c>
      <c r="G983" s="6">
        <v>14.545330763192499</v>
      </c>
      <c r="H983" s="6">
        <v>14.5976755044312</v>
      </c>
      <c r="I983" s="6">
        <v>15.2508402841717</v>
      </c>
      <c r="J983" s="6">
        <v>13.5949472907543</v>
      </c>
      <c r="K983" s="6">
        <v>14.6158688585682</v>
      </c>
      <c r="L983" s="6">
        <v>15.149037704193599</v>
      </c>
      <c r="M983" s="6">
        <v>13.7726900555596</v>
      </c>
      <c r="N983" s="6">
        <v>14.529003963257001</v>
      </c>
      <c r="O983" s="6">
        <v>14.9936927570956</v>
      </c>
      <c r="P983" s="6">
        <v>15.475139279822301</v>
      </c>
      <c r="Q983" s="6">
        <v>12.497321649481901</v>
      </c>
    </row>
    <row r="984" spans="1:17">
      <c r="A984" s="6" t="s">
        <v>1680</v>
      </c>
      <c r="B984" s="6" t="s">
        <v>1682</v>
      </c>
      <c r="C984" s="6" t="s">
        <v>9004</v>
      </c>
      <c r="D984" s="6" t="s">
        <v>9005</v>
      </c>
      <c r="E984" s="6" t="s">
        <v>9006</v>
      </c>
      <c r="F984" s="6">
        <v>15.2090622896295</v>
      </c>
      <c r="G984" s="6">
        <v>14.6454935362783</v>
      </c>
      <c r="H984" s="6">
        <v>14.634540634166701</v>
      </c>
      <c r="I984" s="6">
        <v>15.5247392402144</v>
      </c>
      <c r="J984" s="6">
        <v>14.109443825483201</v>
      </c>
      <c r="K984" s="6">
        <v>14.4702851105846</v>
      </c>
      <c r="L984" s="6">
        <v>15.135150520333999</v>
      </c>
      <c r="M984" s="6">
        <v>14.101398024777399</v>
      </c>
      <c r="N984" s="6">
        <v>14.694381693956201</v>
      </c>
      <c r="O984" s="6">
        <v>14.963257090589099</v>
      </c>
      <c r="P984" s="6">
        <v>14.909676872442001</v>
      </c>
      <c r="Q984" s="6">
        <v>13.6659227701058</v>
      </c>
    </row>
    <row r="985" spans="1:17">
      <c r="A985" s="6" t="s">
        <v>9007</v>
      </c>
      <c r="B985" s="6" t="s">
        <v>9008</v>
      </c>
      <c r="C985" s="6" t="s">
        <v>9009</v>
      </c>
      <c r="D985" s="6" t="s">
        <v>9010</v>
      </c>
      <c r="E985" s="6" t="s">
        <v>9011</v>
      </c>
      <c r="F985" s="6">
        <v>12.496070255370499</v>
      </c>
      <c r="G985" s="6">
        <v>12.643654590434201</v>
      </c>
      <c r="H985" s="6">
        <v>16.703303891030501</v>
      </c>
      <c r="I985" s="6">
        <v>17.856748318648201</v>
      </c>
      <c r="J985" s="6">
        <v>17.521982328626699</v>
      </c>
      <c r="K985" s="6">
        <v>12.6302557078515</v>
      </c>
      <c r="L985" s="6">
        <v>16.814153621713</v>
      </c>
      <c r="M985" s="6">
        <v>17.471233947917099</v>
      </c>
      <c r="N985" s="6">
        <v>10.334321956941</v>
      </c>
      <c r="O985" s="6">
        <v>12.080775635327599</v>
      </c>
      <c r="P985" s="6">
        <v>12.052371828553801</v>
      </c>
      <c r="Q985" s="6">
        <v>16.484757776111699</v>
      </c>
    </row>
    <row r="986" spans="1:17">
      <c r="A986" s="6" t="s">
        <v>2076</v>
      </c>
      <c r="B986" s="6" t="s">
        <v>2078</v>
      </c>
      <c r="C986" s="6" t="s">
        <v>9012</v>
      </c>
      <c r="D986" s="6" t="s">
        <v>9013</v>
      </c>
      <c r="E986" s="6" t="s">
        <v>9014</v>
      </c>
      <c r="F986" s="6">
        <v>15.1543490440434</v>
      </c>
      <c r="G986" s="6">
        <v>14.442393996020201</v>
      </c>
      <c r="H986" s="6">
        <v>14.4305550627488</v>
      </c>
      <c r="I986" s="6">
        <v>15.42299619566</v>
      </c>
      <c r="J986" s="6">
        <v>13.999152544504399</v>
      </c>
      <c r="K986" s="6">
        <v>14.511198044194501</v>
      </c>
      <c r="L986" s="6">
        <v>14.9525123374322</v>
      </c>
      <c r="M986" s="6">
        <v>13.529751830878601</v>
      </c>
      <c r="N986" s="6">
        <v>14.0113856354</v>
      </c>
      <c r="O986" s="6">
        <v>14.967982512855</v>
      </c>
      <c r="P986" s="6">
        <v>15.1835854820769</v>
      </c>
      <c r="Q986" s="6">
        <v>13.590070284072601</v>
      </c>
    </row>
    <row r="987" spans="1:17">
      <c r="A987" s="6" t="s">
        <v>1662</v>
      </c>
      <c r="B987" s="6" t="s">
        <v>1662</v>
      </c>
      <c r="C987" s="6" t="s">
        <v>9015</v>
      </c>
      <c r="D987" s="6" t="s">
        <v>9016</v>
      </c>
      <c r="E987" s="6" t="s">
        <v>9016</v>
      </c>
      <c r="F987" s="6">
        <v>15.203123691663</v>
      </c>
      <c r="G987" s="6">
        <v>14.338329608812</v>
      </c>
      <c r="H987" s="6">
        <v>14.822219298856099</v>
      </c>
      <c r="I987" s="6">
        <v>15.335167888602999</v>
      </c>
      <c r="J987" s="6">
        <v>13.854774935908299</v>
      </c>
      <c r="K987" s="6">
        <v>14.7401409157515</v>
      </c>
      <c r="L987" s="6">
        <v>15.2068579462005</v>
      </c>
      <c r="M987" s="6">
        <v>13.955193325487199</v>
      </c>
      <c r="N987" s="6">
        <v>14.1134152201861</v>
      </c>
      <c r="O987" s="6">
        <v>14.8407144610914</v>
      </c>
      <c r="P987" s="6">
        <v>14.604231339512801</v>
      </c>
      <c r="Q987" s="6">
        <v>13.220665600757499</v>
      </c>
    </row>
    <row r="988" spans="1:17">
      <c r="A988" s="6" t="s">
        <v>1314</v>
      </c>
      <c r="B988" s="6" t="s">
        <v>1314</v>
      </c>
      <c r="C988" s="6" t="s">
        <v>9017</v>
      </c>
      <c r="D988" s="6" t="s">
        <v>9018</v>
      </c>
      <c r="E988" s="6" t="s">
        <v>9018</v>
      </c>
      <c r="F988" s="6">
        <v>15.432907183819299</v>
      </c>
      <c r="G988" s="6">
        <v>14.4128751728111</v>
      </c>
      <c r="H988" s="6">
        <v>14.5698208389336</v>
      </c>
      <c r="I988" s="6">
        <v>15.557291245559201</v>
      </c>
      <c r="J988" s="6">
        <v>13.685522909064399</v>
      </c>
      <c r="K988" s="6">
        <v>14.4286226785122</v>
      </c>
      <c r="L988" s="6">
        <v>14.997457001221299</v>
      </c>
      <c r="M988" s="6">
        <v>13.6147240965179</v>
      </c>
      <c r="N988" s="6">
        <v>14.1410630116753</v>
      </c>
      <c r="O988" s="6">
        <v>15.1224179363298</v>
      </c>
      <c r="P988" s="6">
        <v>14.4604402511934</v>
      </c>
      <c r="Q988" s="6">
        <v>13.609872463728101</v>
      </c>
    </row>
    <row r="989" spans="1:17">
      <c r="A989" s="6" t="s">
        <v>2800</v>
      </c>
      <c r="B989" s="6" t="s">
        <v>2800</v>
      </c>
      <c r="C989" s="6" t="s">
        <v>9019</v>
      </c>
      <c r="D989" s="6" t="s">
        <v>9020</v>
      </c>
      <c r="E989" s="6" t="s">
        <v>9020</v>
      </c>
      <c r="F989" s="6">
        <v>14.4223678114452</v>
      </c>
      <c r="G989" s="6">
        <v>14.7584844601875</v>
      </c>
      <c r="H989" s="6">
        <v>13.1125987415839</v>
      </c>
      <c r="I989" s="6">
        <v>16.664891821387499</v>
      </c>
      <c r="J989" s="6">
        <v>12.643218912427299</v>
      </c>
      <c r="K989" s="6">
        <v>16.948828223709</v>
      </c>
      <c r="L989" s="6">
        <v>14.462118893816699</v>
      </c>
      <c r="M989" s="6">
        <v>13.348102309197699</v>
      </c>
      <c r="N989" s="6">
        <v>13.9298078071026</v>
      </c>
      <c r="O989" s="6">
        <v>16.648477132792699</v>
      </c>
      <c r="P989" s="6">
        <v>16.444654941765499</v>
      </c>
      <c r="Q989" s="6">
        <v>12.836467177941</v>
      </c>
    </row>
    <row r="990" spans="1:17">
      <c r="A990" s="6" t="s">
        <v>5365</v>
      </c>
      <c r="B990" s="6" t="s">
        <v>5365</v>
      </c>
      <c r="C990" s="6" t="s">
        <v>9021</v>
      </c>
      <c r="D990" s="6" t="s">
        <v>9022</v>
      </c>
      <c r="E990" s="6" t="s">
        <v>9022</v>
      </c>
      <c r="F990" s="6">
        <v>13.991802280151701</v>
      </c>
      <c r="G990" s="6">
        <v>13.9796961509602</v>
      </c>
      <c r="H990" s="6">
        <v>14.7827597380125</v>
      </c>
      <c r="I990" s="6">
        <v>15.790073302538699</v>
      </c>
      <c r="J990" s="6">
        <v>14.051785193019001</v>
      </c>
      <c r="K990" s="6">
        <v>14.5713962687701</v>
      </c>
      <c r="L990" s="6">
        <v>15.6402694077376</v>
      </c>
      <c r="M990" s="6">
        <v>13.7307343817871</v>
      </c>
      <c r="N990" s="6">
        <v>14.796100270919901</v>
      </c>
      <c r="O990" s="6">
        <v>14.7502146623758</v>
      </c>
      <c r="P990" s="6">
        <v>14.369648343420399</v>
      </c>
      <c r="Q990" s="6">
        <v>13.4859454047201</v>
      </c>
    </row>
    <row r="991" spans="1:17">
      <c r="A991" s="6" t="s">
        <v>1940</v>
      </c>
      <c r="B991" s="6" t="s">
        <v>1940</v>
      </c>
      <c r="C991" s="6" t="s">
        <v>9023</v>
      </c>
      <c r="D991" s="6" t="s">
        <v>9024</v>
      </c>
      <c r="E991" s="6" t="s">
        <v>9024</v>
      </c>
      <c r="F991" s="6">
        <v>15.1593198401271</v>
      </c>
      <c r="G991" s="6">
        <v>14.593760926751999</v>
      </c>
      <c r="H991" s="6">
        <v>14.692956685760199</v>
      </c>
      <c r="I991" s="6">
        <v>15.2451707900599</v>
      </c>
      <c r="J991" s="6">
        <v>13.8116319479173</v>
      </c>
      <c r="K991" s="6">
        <v>14.4561234823758</v>
      </c>
      <c r="L991" s="6">
        <v>14.8614123811219</v>
      </c>
      <c r="M991" s="6">
        <v>13.6129496295924</v>
      </c>
      <c r="N991" s="6">
        <v>14.3999163288312</v>
      </c>
      <c r="O991" s="6">
        <v>15.137750706606401</v>
      </c>
      <c r="P991" s="6">
        <v>14.942317447115901</v>
      </c>
      <c r="Q991" s="6">
        <v>13.9949350282615</v>
      </c>
    </row>
    <row r="992" spans="1:17">
      <c r="A992" s="6" t="s">
        <v>9025</v>
      </c>
      <c r="B992" s="6" t="s">
        <v>9025</v>
      </c>
      <c r="C992" s="6" t="s">
        <v>9026</v>
      </c>
      <c r="D992" s="6" t="s">
        <v>9027</v>
      </c>
      <c r="E992" s="6" t="s">
        <v>9027</v>
      </c>
      <c r="F992" s="6" t="s">
        <v>6254</v>
      </c>
      <c r="G992" s="6" t="s">
        <v>6254</v>
      </c>
      <c r="H992" s="6" t="s">
        <v>6254</v>
      </c>
      <c r="I992" s="6" t="s">
        <v>6254</v>
      </c>
      <c r="J992" s="6" t="s">
        <v>6254</v>
      </c>
      <c r="K992" s="6">
        <v>13.9836874418533</v>
      </c>
      <c r="L992" s="6">
        <v>15.612470993006101</v>
      </c>
      <c r="M992" s="6" t="s">
        <v>6254</v>
      </c>
      <c r="N992" s="6" t="s">
        <v>6254</v>
      </c>
      <c r="O992" s="6" t="s">
        <v>6254</v>
      </c>
      <c r="P992" s="6" t="s">
        <v>6254</v>
      </c>
      <c r="Q992" s="6" t="s">
        <v>6254</v>
      </c>
    </row>
    <row r="993" spans="1:17">
      <c r="A993" s="6" t="s">
        <v>1179</v>
      </c>
      <c r="B993" s="6" t="s">
        <v>1179</v>
      </c>
      <c r="C993" s="6" t="s">
        <v>9028</v>
      </c>
      <c r="D993" s="6" t="s">
        <v>9029</v>
      </c>
      <c r="E993" s="6" t="s">
        <v>9029</v>
      </c>
      <c r="F993" s="6">
        <v>13.554433638982999</v>
      </c>
      <c r="G993" s="6">
        <v>15.215547152054</v>
      </c>
      <c r="H993" s="6">
        <v>14.869414762477</v>
      </c>
      <c r="I993" s="6">
        <v>14.5908237434237</v>
      </c>
      <c r="J993" s="6">
        <v>14.3349647386132</v>
      </c>
      <c r="K993" s="6">
        <v>14.566346300657401</v>
      </c>
      <c r="L993" s="6">
        <v>14.7698228877874</v>
      </c>
      <c r="M993" s="6">
        <v>14.961259833367301</v>
      </c>
      <c r="N993" s="6">
        <v>14.396813352775199</v>
      </c>
      <c r="O993" s="6">
        <v>14.8070362635204</v>
      </c>
      <c r="P993" s="6">
        <v>14.387212178453099</v>
      </c>
      <c r="Q993" s="6">
        <v>14.8246070508961</v>
      </c>
    </row>
    <row r="994" spans="1:17">
      <c r="A994" s="6" t="s">
        <v>2421</v>
      </c>
      <c r="B994" s="6" t="s">
        <v>2421</v>
      </c>
      <c r="C994" s="6" t="s">
        <v>9030</v>
      </c>
      <c r="D994" s="6" t="s">
        <v>9031</v>
      </c>
      <c r="E994" s="6" t="s">
        <v>9031</v>
      </c>
      <c r="F994" s="6">
        <v>14.7780292867242</v>
      </c>
      <c r="G994" s="6">
        <v>14.5224108348181</v>
      </c>
      <c r="H994" s="6">
        <v>14.5444762112707</v>
      </c>
      <c r="I994" s="6">
        <v>15.315417700559101</v>
      </c>
      <c r="J994" s="6">
        <v>13.762203446317301</v>
      </c>
      <c r="K994" s="6">
        <v>15.080019743252301</v>
      </c>
      <c r="L994" s="6">
        <v>15.0399327322218</v>
      </c>
      <c r="M994" s="6">
        <v>13.8041918733683</v>
      </c>
      <c r="N994" s="6">
        <v>13.885957733219801</v>
      </c>
      <c r="O994" s="6">
        <v>14.724130779945501</v>
      </c>
      <c r="P994" s="6">
        <v>15.315702489123099</v>
      </c>
      <c r="Q994" s="6">
        <v>13.6511731050569</v>
      </c>
    </row>
    <row r="995" spans="1:17">
      <c r="A995" s="6" t="s">
        <v>9032</v>
      </c>
      <c r="B995" s="6" t="s">
        <v>9033</v>
      </c>
      <c r="C995" s="6" t="s">
        <v>9034</v>
      </c>
      <c r="D995" s="6" t="s">
        <v>9035</v>
      </c>
      <c r="E995" s="6" t="s">
        <v>9036</v>
      </c>
      <c r="F995" s="6">
        <v>15.399626529288501</v>
      </c>
      <c r="G995" s="6">
        <v>14.1733168215468</v>
      </c>
      <c r="H995" s="6">
        <v>14.729472358164299</v>
      </c>
      <c r="I995" s="6">
        <v>15.426870340004101</v>
      </c>
      <c r="J995" s="6">
        <v>13.1954958222369</v>
      </c>
      <c r="K995" s="6">
        <v>14.800685782630801</v>
      </c>
      <c r="L995" s="6">
        <v>15.1381841683273</v>
      </c>
      <c r="M995" s="6">
        <v>13.486138631529</v>
      </c>
      <c r="N995" s="6">
        <v>14.0603469357508</v>
      </c>
      <c r="O995" s="6">
        <v>14.790194662992601</v>
      </c>
      <c r="P995" s="6">
        <v>14.909062138435001</v>
      </c>
      <c r="Q995" s="6" t="s">
        <v>6254</v>
      </c>
    </row>
    <row r="996" spans="1:17">
      <c r="A996" s="6" t="s">
        <v>3640</v>
      </c>
      <c r="B996" s="6" t="s">
        <v>3640</v>
      </c>
      <c r="C996" s="6" t="s">
        <v>9037</v>
      </c>
      <c r="D996" s="6" t="s">
        <v>9038</v>
      </c>
      <c r="E996" s="6" t="s">
        <v>9038</v>
      </c>
      <c r="F996" s="6">
        <v>15.228842838470699</v>
      </c>
      <c r="G996" s="6">
        <v>14.897408387693201</v>
      </c>
      <c r="H996" s="6">
        <v>14.7292956388289</v>
      </c>
      <c r="I996" s="6">
        <v>15.483892777336401</v>
      </c>
      <c r="J996" s="6">
        <v>13.981776293132899</v>
      </c>
      <c r="K996" s="6">
        <v>14.737102076744099</v>
      </c>
      <c r="L996" s="6">
        <v>15.1935128791461</v>
      </c>
      <c r="M996" s="6">
        <v>13.966413794014599</v>
      </c>
      <c r="N996" s="6">
        <v>14.386274291529899</v>
      </c>
      <c r="O996" s="6">
        <v>14.7054261399191</v>
      </c>
      <c r="P996" s="6">
        <v>13.8999277422111</v>
      </c>
      <c r="Q996" s="6">
        <v>13.348972403989899</v>
      </c>
    </row>
    <row r="997" spans="1:17">
      <c r="A997" s="6" t="s">
        <v>3365</v>
      </c>
      <c r="B997" s="6" t="s">
        <v>3365</v>
      </c>
      <c r="C997" s="6" t="s">
        <v>9039</v>
      </c>
      <c r="D997" s="6" t="s">
        <v>9040</v>
      </c>
      <c r="E997" s="6" t="s">
        <v>9040</v>
      </c>
      <c r="F997" s="6" t="s">
        <v>6254</v>
      </c>
      <c r="G997" s="6">
        <v>14.562720717997999</v>
      </c>
      <c r="H997" s="6">
        <v>13.8696907226573</v>
      </c>
      <c r="I997" s="6">
        <v>16.177889077237499</v>
      </c>
      <c r="J997" s="6">
        <v>13.5258852260485</v>
      </c>
      <c r="K997" s="6">
        <v>15.2700791944839</v>
      </c>
      <c r="L997" s="6">
        <v>16.377876689395801</v>
      </c>
      <c r="M997" s="6">
        <v>14.810831882367101</v>
      </c>
      <c r="N997" s="6">
        <v>13.6509657885435</v>
      </c>
      <c r="O997" s="6" t="s">
        <v>6254</v>
      </c>
      <c r="P997" s="6" t="s">
        <v>6254</v>
      </c>
      <c r="Q997" s="6" t="s">
        <v>6254</v>
      </c>
    </row>
    <row r="998" spans="1:17">
      <c r="A998" s="6" t="s">
        <v>606</v>
      </c>
      <c r="B998" s="6" t="s">
        <v>606</v>
      </c>
      <c r="C998" s="6" t="s">
        <v>9041</v>
      </c>
      <c r="D998" s="6" t="s">
        <v>9042</v>
      </c>
      <c r="E998" s="6" t="s">
        <v>9042</v>
      </c>
      <c r="F998" s="6">
        <v>14.889928336056901</v>
      </c>
      <c r="G998" s="6">
        <v>14.4624508427185</v>
      </c>
      <c r="H998" s="6">
        <v>14.5006917477856</v>
      </c>
      <c r="I998" s="6">
        <v>15.1163310866686</v>
      </c>
      <c r="J998" s="6">
        <v>13.7077359878273</v>
      </c>
      <c r="K998" s="6">
        <v>14.6114743400629</v>
      </c>
      <c r="L998" s="6">
        <v>15.3159634221142</v>
      </c>
      <c r="M998" s="6">
        <v>13.6987337863396</v>
      </c>
      <c r="N998" s="6">
        <v>14.889527579692</v>
      </c>
      <c r="O998" s="6">
        <v>14.998947431262099</v>
      </c>
      <c r="P998" s="6">
        <v>14.8643921851603</v>
      </c>
      <c r="Q998" s="6">
        <v>13.1904444705477</v>
      </c>
    </row>
    <row r="999" spans="1:17">
      <c r="A999" s="6" t="s">
        <v>9043</v>
      </c>
      <c r="B999" s="6" t="s">
        <v>9043</v>
      </c>
      <c r="C999" s="6" t="s">
        <v>9043</v>
      </c>
      <c r="D999" s="6" t="s">
        <v>9043</v>
      </c>
      <c r="E999" s="6" t="s">
        <v>9043</v>
      </c>
      <c r="F999" s="6" t="s">
        <v>6254</v>
      </c>
      <c r="G999" s="6">
        <v>14.934012419256</v>
      </c>
      <c r="H999" s="6" t="s">
        <v>6254</v>
      </c>
      <c r="I999" s="6" t="s">
        <v>6254</v>
      </c>
      <c r="J999" s="6" t="s">
        <v>6254</v>
      </c>
      <c r="K999" s="6" t="s">
        <v>6254</v>
      </c>
      <c r="L999" s="6" t="s">
        <v>6254</v>
      </c>
      <c r="M999" s="6" t="s">
        <v>6254</v>
      </c>
      <c r="N999" s="6" t="s">
        <v>6254</v>
      </c>
      <c r="O999" s="6">
        <v>14.581713359216799</v>
      </c>
      <c r="P999" s="6" t="s">
        <v>6254</v>
      </c>
      <c r="Q999" s="6" t="s">
        <v>6254</v>
      </c>
    </row>
    <row r="1000" spans="1:17">
      <c r="A1000" s="6" t="s">
        <v>9044</v>
      </c>
      <c r="B1000" s="6" t="s">
        <v>9045</v>
      </c>
      <c r="C1000" s="6" t="s">
        <v>9046</v>
      </c>
      <c r="D1000" s="6" t="s">
        <v>9047</v>
      </c>
      <c r="E1000" s="6" t="s">
        <v>9048</v>
      </c>
      <c r="F1000" s="6">
        <v>15.710774832117099</v>
      </c>
      <c r="G1000" s="6">
        <v>14.3346010139611</v>
      </c>
      <c r="H1000" s="6">
        <v>14.242088681743001</v>
      </c>
      <c r="I1000" s="6">
        <v>15.9497863407772</v>
      </c>
      <c r="J1000" s="6">
        <v>13.4474438058497</v>
      </c>
      <c r="K1000" s="6">
        <v>14.272837533115601</v>
      </c>
      <c r="L1000" s="6">
        <v>15.1461301344512</v>
      </c>
      <c r="M1000" s="6">
        <v>13.247454680158301</v>
      </c>
      <c r="N1000" s="6">
        <v>14.798040822166801</v>
      </c>
      <c r="O1000" s="6">
        <v>14.4840981052619</v>
      </c>
      <c r="P1000" s="6">
        <v>14.9442855526811</v>
      </c>
      <c r="Q1000" s="6">
        <v>14.5202546979282</v>
      </c>
    </row>
    <row r="1001" spans="1:17">
      <c r="A1001" s="6" t="s">
        <v>3039</v>
      </c>
      <c r="B1001" s="6" t="s">
        <v>3039</v>
      </c>
      <c r="C1001" s="6" t="s">
        <v>9049</v>
      </c>
      <c r="D1001" s="6" t="s">
        <v>9050</v>
      </c>
      <c r="E1001" s="6" t="s">
        <v>9050</v>
      </c>
      <c r="F1001" s="6">
        <v>14.5321166701022</v>
      </c>
      <c r="G1001" s="6">
        <v>14.302110058156901</v>
      </c>
      <c r="H1001" s="6">
        <v>14.9245018355737</v>
      </c>
      <c r="I1001" s="6">
        <v>15.228573834472099</v>
      </c>
      <c r="J1001" s="6">
        <v>14.236299785726599</v>
      </c>
      <c r="K1001" s="6">
        <v>14.4814146640781</v>
      </c>
      <c r="L1001" s="6">
        <v>14.8925109666277</v>
      </c>
      <c r="M1001" s="6">
        <v>14.0765103234944</v>
      </c>
      <c r="N1001" s="6">
        <v>13.8809783704725</v>
      </c>
      <c r="O1001" s="6">
        <v>14.338467242415099</v>
      </c>
      <c r="P1001" s="6">
        <v>15.137162722416299</v>
      </c>
      <c r="Q1001" s="6">
        <v>14.394515603559199</v>
      </c>
    </row>
    <row r="1002" spans="1:17">
      <c r="A1002" s="6" t="s">
        <v>1012</v>
      </c>
      <c r="B1002" s="6" t="s">
        <v>1012</v>
      </c>
      <c r="C1002" s="6" t="s">
        <v>9051</v>
      </c>
      <c r="D1002" s="6" t="s">
        <v>9052</v>
      </c>
      <c r="E1002" s="6" t="s">
        <v>9052</v>
      </c>
      <c r="F1002" s="6">
        <v>15.1155992399329</v>
      </c>
      <c r="G1002" s="6">
        <v>14.727969312954301</v>
      </c>
      <c r="H1002" s="6">
        <v>14.659802799345099</v>
      </c>
      <c r="I1002" s="6">
        <v>15.096887328566501</v>
      </c>
      <c r="J1002" s="6">
        <v>14.101680781571799</v>
      </c>
      <c r="K1002" s="6">
        <v>14.206688729702799</v>
      </c>
      <c r="L1002" s="6">
        <v>15.0209205179787</v>
      </c>
      <c r="M1002" s="6">
        <v>14.0772959832693</v>
      </c>
      <c r="N1002" s="6">
        <v>15.413393667852599</v>
      </c>
      <c r="O1002" s="6">
        <v>15.0403661303188</v>
      </c>
      <c r="P1002" s="6">
        <v>14.8273643425036</v>
      </c>
      <c r="Q1002" s="6">
        <v>12.9819446344531</v>
      </c>
    </row>
    <row r="1003" spans="1:17">
      <c r="A1003" s="6" t="s">
        <v>9053</v>
      </c>
      <c r="B1003" s="6" t="s">
        <v>9054</v>
      </c>
      <c r="C1003" s="6" t="s">
        <v>9055</v>
      </c>
      <c r="D1003" s="6" t="s">
        <v>9056</v>
      </c>
      <c r="E1003" s="6" t="s">
        <v>9057</v>
      </c>
      <c r="F1003" s="6">
        <v>14.5353619085421</v>
      </c>
      <c r="G1003" s="6">
        <v>14.3028308794488</v>
      </c>
      <c r="H1003" s="6">
        <v>14.9245156337509</v>
      </c>
      <c r="I1003" s="6">
        <v>15.4860579840479</v>
      </c>
      <c r="J1003" s="6">
        <v>13.6570090912933</v>
      </c>
      <c r="K1003" s="6">
        <v>14.929374590880499</v>
      </c>
      <c r="L1003" s="6">
        <v>15.308316255612</v>
      </c>
      <c r="M1003" s="6">
        <v>13.486926327578599</v>
      </c>
      <c r="N1003" s="6">
        <v>14.2837686594146</v>
      </c>
      <c r="O1003" s="6">
        <v>15.0509833178213</v>
      </c>
      <c r="P1003" s="6">
        <v>14.8038218839917</v>
      </c>
      <c r="Q1003" s="6">
        <v>13.5866122586214</v>
      </c>
    </row>
    <row r="1004" spans="1:17">
      <c r="A1004" s="6" t="s">
        <v>2949</v>
      </c>
      <c r="B1004" s="6" t="s">
        <v>2949</v>
      </c>
      <c r="C1004" s="6" t="s">
        <v>9058</v>
      </c>
      <c r="D1004" s="6" t="s">
        <v>9059</v>
      </c>
      <c r="E1004" s="6" t="s">
        <v>9059</v>
      </c>
      <c r="F1004" s="6">
        <v>14.355407994251401</v>
      </c>
      <c r="G1004" s="6">
        <v>14.968729129458699</v>
      </c>
      <c r="H1004" s="6">
        <v>14.1579659912386</v>
      </c>
      <c r="I1004" s="6">
        <v>15.668268604085499</v>
      </c>
      <c r="J1004" s="6">
        <v>15.326107477296601</v>
      </c>
      <c r="K1004" s="6">
        <v>14.918127540736799</v>
      </c>
      <c r="L1004" s="6">
        <v>13.932728202387</v>
      </c>
      <c r="M1004" s="6">
        <v>14.207401643172</v>
      </c>
      <c r="N1004" s="6">
        <v>14.2283160389713</v>
      </c>
      <c r="O1004" s="6">
        <v>14.789555317652001</v>
      </c>
      <c r="P1004" s="6">
        <v>15.4640079132457</v>
      </c>
      <c r="Q1004" s="6">
        <v>13.947327190631601</v>
      </c>
    </row>
    <row r="1005" spans="1:17">
      <c r="A1005" s="6" t="s">
        <v>9060</v>
      </c>
      <c r="B1005" s="6" t="s">
        <v>9060</v>
      </c>
      <c r="C1005" s="6" t="s">
        <v>9061</v>
      </c>
      <c r="D1005" s="6" t="s">
        <v>9062</v>
      </c>
      <c r="E1005" s="6" t="s">
        <v>9062</v>
      </c>
      <c r="F1005" s="6">
        <v>14.817549329758</v>
      </c>
      <c r="G1005" s="6">
        <v>14.476104459958201</v>
      </c>
      <c r="H1005" s="6">
        <v>13.905797496495399</v>
      </c>
      <c r="I1005" s="6">
        <v>15.235082367308401</v>
      </c>
      <c r="J1005" s="6" t="s">
        <v>6254</v>
      </c>
      <c r="K1005" s="6">
        <v>14.1661959210363</v>
      </c>
      <c r="L1005" s="6" t="s">
        <v>6254</v>
      </c>
      <c r="M1005" s="6" t="s">
        <v>6254</v>
      </c>
      <c r="N1005" s="6">
        <v>12.788877924067</v>
      </c>
      <c r="O1005" s="6">
        <v>14.330285813047301</v>
      </c>
      <c r="P1005" s="6">
        <v>14.951246228888801</v>
      </c>
      <c r="Q1005" s="6" t="s">
        <v>6254</v>
      </c>
    </row>
    <row r="1006" spans="1:17">
      <c r="A1006" s="6" t="s">
        <v>2459</v>
      </c>
      <c r="B1006" s="6" t="s">
        <v>2459</v>
      </c>
      <c r="C1006" s="6" t="s">
        <v>9063</v>
      </c>
      <c r="D1006" s="6" t="s">
        <v>9064</v>
      </c>
      <c r="E1006" s="6" t="s">
        <v>9064</v>
      </c>
      <c r="F1006" s="6">
        <v>15.111034439431</v>
      </c>
      <c r="G1006" s="6">
        <v>15.043239083207901</v>
      </c>
      <c r="H1006" s="6">
        <v>14.3752603381936</v>
      </c>
      <c r="I1006" s="6">
        <v>15.5052183180819</v>
      </c>
      <c r="J1006" s="6">
        <v>13.751522319206501</v>
      </c>
      <c r="K1006" s="6">
        <v>14.729101401633599</v>
      </c>
      <c r="L1006" s="6">
        <v>15.180444848125401</v>
      </c>
      <c r="M1006" s="6">
        <v>13.534413359534501</v>
      </c>
      <c r="N1006" s="6">
        <v>13.9505843134235</v>
      </c>
      <c r="O1006" s="6">
        <v>14.904012683321399</v>
      </c>
      <c r="P1006" s="6">
        <v>14.864181721231899</v>
      </c>
      <c r="Q1006" s="6">
        <v>12.5692478472149</v>
      </c>
    </row>
    <row r="1007" spans="1:17">
      <c r="A1007" s="6" t="s">
        <v>9065</v>
      </c>
      <c r="B1007" s="6" t="s">
        <v>9066</v>
      </c>
      <c r="C1007" s="6" t="s">
        <v>9067</v>
      </c>
      <c r="D1007" s="6" t="s">
        <v>9068</v>
      </c>
      <c r="E1007" s="6" t="s">
        <v>9069</v>
      </c>
      <c r="F1007" s="6">
        <v>14.644616515148099</v>
      </c>
      <c r="G1007" s="6">
        <v>14.5904626691838</v>
      </c>
      <c r="H1007" s="6" t="s">
        <v>6254</v>
      </c>
      <c r="I1007" s="6" t="s">
        <v>6254</v>
      </c>
      <c r="J1007" s="6" t="s">
        <v>6254</v>
      </c>
      <c r="K1007" s="6">
        <v>14.742227569685101</v>
      </c>
      <c r="L1007" s="6">
        <v>14.930283377911101</v>
      </c>
      <c r="M1007" s="6">
        <v>14.5410041067805</v>
      </c>
      <c r="N1007" s="6">
        <v>14.7861930725776</v>
      </c>
      <c r="O1007" s="6" t="s">
        <v>6254</v>
      </c>
      <c r="P1007" s="6">
        <v>14.5040577261013</v>
      </c>
      <c r="Q1007" s="6">
        <v>13.4166869383729</v>
      </c>
    </row>
    <row r="1008" spans="1:17">
      <c r="A1008" s="6" t="s">
        <v>969</v>
      </c>
      <c r="B1008" s="6" t="s">
        <v>969</v>
      </c>
      <c r="C1008" s="6" t="s">
        <v>9070</v>
      </c>
      <c r="D1008" s="6" t="s">
        <v>9071</v>
      </c>
      <c r="E1008" s="6" t="s">
        <v>9071</v>
      </c>
      <c r="F1008" s="6">
        <v>15.505306810943701</v>
      </c>
      <c r="G1008" s="6">
        <v>14.3134890877514</v>
      </c>
      <c r="H1008" s="6">
        <v>14.4873471040305</v>
      </c>
      <c r="I1008" s="6">
        <v>15.246173242343099</v>
      </c>
      <c r="J1008" s="6">
        <v>13.920358191581601</v>
      </c>
      <c r="K1008" s="6">
        <v>14.379968963433299</v>
      </c>
      <c r="L1008" s="6">
        <v>15.172100128094099</v>
      </c>
      <c r="M1008" s="6">
        <v>13.6222296984718</v>
      </c>
      <c r="N1008" s="6">
        <v>14.7173747447921</v>
      </c>
      <c r="O1008" s="6">
        <v>14.8454905892621</v>
      </c>
      <c r="P1008" s="6">
        <v>14.5669008291619</v>
      </c>
      <c r="Q1008" s="6">
        <v>13.404893464036</v>
      </c>
    </row>
    <row r="1009" spans="1:17">
      <c r="A1009" s="6" t="s">
        <v>9072</v>
      </c>
      <c r="B1009" s="6" t="s">
        <v>9073</v>
      </c>
      <c r="C1009" s="6" t="s">
        <v>9074</v>
      </c>
      <c r="D1009" s="6" t="s">
        <v>9075</v>
      </c>
      <c r="E1009" s="6" t="s">
        <v>9076</v>
      </c>
      <c r="F1009" s="6">
        <v>15.0949797486214</v>
      </c>
      <c r="G1009" s="6">
        <v>14.3417934810227</v>
      </c>
      <c r="H1009" s="6">
        <v>14.3255870998258</v>
      </c>
      <c r="I1009" s="6">
        <v>15.255592097038599</v>
      </c>
      <c r="J1009" s="6">
        <v>13.860529500460901</v>
      </c>
      <c r="K1009" s="6">
        <v>13.9152401417489</v>
      </c>
      <c r="L1009" s="6">
        <v>15.0249932573964</v>
      </c>
      <c r="M1009" s="6" t="s">
        <v>6254</v>
      </c>
      <c r="N1009" s="6">
        <v>14.6651307267374</v>
      </c>
      <c r="O1009" s="6">
        <v>14.885572338646099</v>
      </c>
      <c r="P1009" s="6">
        <v>14.701761848213501</v>
      </c>
      <c r="Q1009" s="6">
        <v>13.1505943511848</v>
      </c>
    </row>
    <row r="1010" spans="1:17">
      <c r="A1010" s="6" t="s">
        <v>9077</v>
      </c>
      <c r="B1010" s="6" t="s">
        <v>9077</v>
      </c>
      <c r="C1010" s="6" t="s">
        <v>9078</v>
      </c>
      <c r="D1010" s="6" t="s">
        <v>9079</v>
      </c>
      <c r="E1010" s="6" t="s">
        <v>9079</v>
      </c>
      <c r="F1010" s="6">
        <v>14.889129147401601</v>
      </c>
      <c r="G1010" s="6" t="s">
        <v>6254</v>
      </c>
      <c r="H1010" s="6">
        <v>14.4886796425551</v>
      </c>
      <c r="I1010" s="6">
        <v>15.545936943276001</v>
      </c>
      <c r="J1010" s="6" t="s">
        <v>6254</v>
      </c>
      <c r="K1010" s="6">
        <v>14.645539518664799</v>
      </c>
      <c r="L1010" s="6" t="s">
        <v>6254</v>
      </c>
      <c r="M1010" s="6" t="s">
        <v>6254</v>
      </c>
      <c r="N1010" s="6" t="s">
        <v>6254</v>
      </c>
      <c r="O1010" s="6">
        <v>14.0229290960888</v>
      </c>
      <c r="P1010" s="6">
        <v>13.9439047469558</v>
      </c>
      <c r="Q1010" s="6" t="s">
        <v>6254</v>
      </c>
    </row>
    <row r="1011" spans="1:17">
      <c r="A1011" s="6" t="s">
        <v>1295</v>
      </c>
      <c r="B1011" s="6" t="s">
        <v>1297</v>
      </c>
      <c r="C1011" s="6" t="s">
        <v>9080</v>
      </c>
      <c r="D1011" s="6" t="s">
        <v>9081</v>
      </c>
      <c r="E1011" s="6" t="s">
        <v>9082</v>
      </c>
      <c r="F1011" s="6">
        <v>15.2146440081421</v>
      </c>
      <c r="G1011" s="6">
        <v>14.5288797842602</v>
      </c>
      <c r="H1011" s="6">
        <v>14.668379825038199</v>
      </c>
      <c r="I1011" s="6">
        <v>15.3362571712236</v>
      </c>
      <c r="J1011" s="6">
        <v>14.1244133761841</v>
      </c>
      <c r="K1011" s="6">
        <v>14.2993595865956</v>
      </c>
      <c r="L1011" s="6">
        <v>14.8577808694768</v>
      </c>
      <c r="M1011" s="6">
        <v>13.917914967823201</v>
      </c>
      <c r="N1011" s="6">
        <v>14.130484690468601</v>
      </c>
      <c r="O1011" s="6">
        <v>14.9885672595613</v>
      </c>
      <c r="P1011" s="6">
        <v>15.1727536822658</v>
      </c>
      <c r="Q1011" s="6">
        <v>13.6428436667362</v>
      </c>
    </row>
    <row r="1012" spans="1:17">
      <c r="A1012" s="6" t="s">
        <v>3524</v>
      </c>
      <c r="B1012" s="6" t="s">
        <v>3524</v>
      </c>
      <c r="C1012" s="6" t="s">
        <v>9083</v>
      </c>
      <c r="D1012" s="6" t="s">
        <v>9084</v>
      </c>
      <c r="E1012" s="6" t="s">
        <v>9084</v>
      </c>
      <c r="F1012" s="6">
        <v>14.6739076898919</v>
      </c>
      <c r="G1012" s="6">
        <v>14.343535019695301</v>
      </c>
      <c r="H1012" s="6">
        <v>14.5083285430999</v>
      </c>
      <c r="I1012" s="6">
        <v>15.087829584540801</v>
      </c>
      <c r="J1012" s="6">
        <v>13.828755542985601</v>
      </c>
      <c r="K1012" s="6">
        <v>14.2748980370909</v>
      </c>
      <c r="L1012" s="6">
        <v>15.283898317187401</v>
      </c>
      <c r="M1012" s="6">
        <v>13.1641270262947</v>
      </c>
      <c r="N1012" s="6" t="s">
        <v>6254</v>
      </c>
      <c r="O1012" s="6">
        <v>13.7018135215701</v>
      </c>
      <c r="P1012" s="6">
        <v>13.7399525484068</v>
      </c>
      <c r="Q1012" s="6" t="s">
        <v>6254</v>
      </c>
    </row>
    <row r="1013" spans="1:17">
      <c r="A1013" s="6" t="s">
        <v>520</v>
      </c>
      <c r="B1013" s="6" t="s">
        <v>520</v>
      </c>
      <c r="C1013" s="6" t="s">
        <v>9085</v>
      </c>
      <c r="D1013" s="6" t="s">
        <v>9086</v>
      </c>
      <c r="E1013" s="6" t="s">
        <v>9086</v>
      </c>
      <c r="F1013" s="6">
        <v>15.083639310678601</v>
      </c>
      <c r="G1013" s="6">
        <v>14.4381511918788</v>
      </c>
      <c r="H1013" s="6">
        <v>14.356615442877199</v>
      </c>
      <c r="I1013" s="6">
        <v>15.3032813312754</v>
      </c>
      <c r="J1013" s="6">
        <v>13.8773271119867</v>
      </c>
      <c r="K1013" s="6">
        <v>14.272087264415999</v>
      </c>
      <c r="L1013" s="6">
        <v>14.8142383224562</v>
      </c>
      <c r="M1013" s="6">
        <v>13.5445002302059</v>
      </c>
      <c r="N1013" s="6">
        <v>14.9545344610819</v>
      </c>
      <c r="O1013" s="6">
        <v>14.916149349622801</v>
      </c>
      <c r="P1013" s="6">
        <v>15.1662107370557</v>
      </c>
      <c r="Q1013" s="6">
        <v>13.0992564167402</v>
      </c>
    </row>
    <row r="1014" spans="1:17">
      <c r="A1014" s="6" t="s">
        <v>9087</v>
      </c>
      <c r="B1014" s="6" t="s">
        <v>9087</v>
      </c>
      <c r="C1014" s="6" t="s">
        <v>9088</v>
      </c>
      <c r="D1014" s="6" t="s">
        <v>9089</v>
      </c>
      <c r="E1014" s="6" t="s">
        <v>9089</v>
      </c>
      <c r="F1014" s="6" t="s">
        <v>6254</v>
      </c>
      <c r="G1014" s="6" t="s">
        <v>6254</v>
      </c>
      <c r="H1014" s="6">
        <v>14.580343323978401</v>
      </c>
      <c r="I1014" s="6" t="s">
        <v>6254</v>
      </c>
      <c r="J1014" s="6" t="s">
        <v>6254</v>
      </c>
      <c r="K1014" s="6">
        <v>15.120514481978899</v>
      </c>
      <c r="L1014" s="6">
        <v>14.940149243677199</v>
      </c>
      <c r="M1014" s="6" t="s">
        <v>6254</v>
      </c>
      <c r="N1014" s="6" t="s">
        <v>6254</v>
      </c>
      <c r="O1014" s="6">
        <v>14.7225214891881</v>
      </c>
      <c r="P1014" s="6">
        <v>15.230508486859</v>
      </c>
      <c r="Q1014" s="6" t="s">
        <v>6254</v>
      </c>
    </row>
    <row r="1015" spans="1:17">
      <c r="A1015" s="6" t="s">
        <v>5778</v>
      </c>
      <c r="B1015" s="6" t="s">
        <v>5780</v>
      </c>
      <c r="C1015" s="6" t="s">
        <v>9090</v>
      </c>
      <c r="D1015" s="6" t="s">
        <v>9091</v>
      </c>
      <c r="E1015" s="6" t="s">
        <v>9092</v>
      </c>
      <c r="F1015" s="6" t="s">
        <v>6254</v>
      </c>
      <c r="G1015" s="6" t="s">
        <v>6254</v>
      </c>
      <c r="H1015" s="6">
        <v>14.456212734590901</v>
      </c>
      <c r="I1015" s="6">
        <v>15.2349814862004</v>
      </c>
      <c r="J1015" s="6" t="s">
        <v>6254</v>
      </c>
      <c r="K1015" s="6">
        <v>14.713357871376701</v>
      </c>
      <c r="L1015" s="6">
        <v>14.9349659975676</v>
      </c>
      <c r="M1015" s="6" t="s">
        <v>6254</v>
      </c>
      <c r="N1015" s="6" t="s">
        <v>6254</v>
      </c>
      <c r="O1015" s="6">
        <v>14.8550628612929</v>
      </c>
      <c r="P1015" s="6">
        <v>15.111962353360999</v>
      </c>
      <c r="Q1015" s="6">
        <v>13.654510018016</v>
      </c>
    </row>
    <row r="1016" spans="1:17">
      <c r="A1016" s="6" t="s">
        <v>9093</v>
      </c>
      <c r="B1016" s="6" t="s">
        <v>9093</v>
      </c>
      <c r="C1016" s="6" t="s">
        <v>9094</v>
      </c>
      <c r="D1016" s="6" t="s">
        <v>9095</v>
      </c>
      <c r="E1016" s="6" t="s">
        <v>9095</v>
      </c>
      <c r="F1016" s="6">
        <v>14.605063525345701</v>
      </c>
      <c r="G1016" s="6" t="s">
        <v>6254</v>
      </c>
      <c r="H1016" s="6">
        <v>14.810708389725001</v>
      </c>
      <c r="I1016" s="6">
        <v>15.185460080015099</v>
      </c>
      <c r="J1016" s="6" t="s">
        <v>6254</v>
      </c>
      <c r="K1016" s="6">
        <v>14.588301605505301</v>
      </c>
      <c r="L1016" s="6">
        <v>14.999527455161401</v>
      </c>
      <c r="M1016" s="6" t="s">
        <v>6254</v>
      </c>
      <c r="N1016" s="6" t="s">
        <v>6254</v>
      </c>
      <c r="O1016" s="6">
        <v>14.503308470753</v>
      </c>
      <c r="P1016" s="6">
        <v>13.665380482240201</v>
      </c>
      <c r="Q1016" s="6" t="s">
        <v>6254</v>
      </c>
    </row>
    <row r="1017" spans="1:17">
      <c r="A1017" s="6" t="s">
        <v>1266</v>
      </c>
      <c r="B1017" s="6" t="s">
        <v>1266</v>
      </c>
      <c r="C1017" s="6" t="s">
        <v>9096</v>
      </c>
      <c r="D1017" s="6" t="s">
        <v>9097</v>
      </c>
      <c r="E1017" s="6" t="s">
        <v>9097</v>
      </c>
      <c r="F1017" s="6">
        <v>14.9654261665627</v>
      </c>
      <c r="G1017" s="6">
        <v>14.5978522463839</v>
      </c>
      <c r="H1017" s="6">
        <v>14.6494998940193</v>
      </c>
      <c r="I1017" s="6">
        <v>15.348247254954</v>
      </c>
      <c r="J1017" s="6">
        <v>13.887294127796601</v>
      </c>
      <c r="K1017" s="6">
        <v>14.4023994631213</v>
      </c>
      <c r="L1017" s="6">
        <v>14.978232318118099</v>
      </c>
      <c r="M1017" s="6">
        <v>13.7410717850259</v>
      </c>
      <c r="N1017" s="6">
        <v>14.373272547890799</v>
      </c>
      <c r="O1017" s="6">
        <v>15.1235657266327</v>
      </c>
      <c r="P1017" s="6">
        <v>14.703657060718699</v>
      </c>
      <c r="Q1017" s="6">
        <v>13.6114576457532</v>
      </c>
    </row>
    <row r="1018" spans="1:17">
      <c r="A1018" s="6" t="s">
        <v>1802</v>
      </c>
      <c r="B1018" s="6" t="s">
        <v>1802</v>
      </c>
      <c r="C1018" s="6" t="s">
        <v>9098</v>
      </c>
      <c r="D1018" s="6" t="s">
        <v>9099</v>
      </c>
      <c r="E1018" s="6" t="s">
        <v>9099</v>
      </c>
      <c r="F1018" s="6">
        <v>15.1019050710033</v>
      </c>
      <c r="G1018" s="6">
        <v>14.7846221497137</v>
      </c>
      <c r="H1018" s="6">
        <v>14.495005875782001</v>
      </c>
      <c r="I1018" s="6">
        <v>15.229239950273</v>
      </c>
      <c r="J1018" s="6">
        <v>14.2248688385968</v>
      </c>
      <c r="K1018" s="6">
        <v>14.7358199227874</v>
      </c>
      <c r="L1018" s="6">
        <v>14.967563679598801</v>
      </c>
      <c r="M1018" s="6">
        <v>13.906369857382501</v>
      </c>
      <c r="N1018" s="6">
        <v>13.882942128652701</v>
      </c>
      <c r="O1018" s="6">
        <v>14.888266453647301</v>
      </c>
      <c r="P1018" s="6">
        <v>14.588847142351399</v>
      </c>
      <c r="Q1018" s="6">
        <v>13.6955550117945</v>
      </c>
    </row>
    <row r="1019" spans="1:17">
      <c r="A1019" s="6" t="s">
        <v>942</v>
      </c>
      <c r="B1019" s="6" t="s">
        <v>942</v>
      </c>
      <c r="C1019" s="6" t="s">
        <v>9100</v>
      </c>
      <c r="D1019" s="6" t="s">
        <v>9101</v>
      </c>
      <c r="E1019" s="6" t="s">
        <v>9101</v>
      </c>
      <c r="F1019" s="6">
        <v>14.9688449459859</v>
      </c>
      <c r="G1019" s="6">
        <v>14.350984321192101</v>
      </c>
      <c r="H1019" s="6">
        <v>14.554058084815299</v>
      </c>
      <c r="I1019" s="6">
        <v>15.1153644533575</v>
      </c>
      <c r="J1019" s="6">
        <v>13.515487816981301</v>
      </c>
      <c r="K1019" s="6">
        <v>14.528041020643199</v>
      </c>
      <c r="L1019" s="6">
        <v>15.3244892072484</v>
      </c>
      <c r="M1019" s="6">
        <v>13.8619124867061</v>
      </c>
      <c r="N1019" s="6">
        <v>14.5811667544529</v>
      </c>
      <c r="O1019" s="6">
        <v>14.8237242261944</v>
      </c>
      <c r="P1019" s="6">
        <v>14.5721364076679</v>
      </c>
      <c r="Q1019" s="6">
        <v>13.3763922124835</v>
      </c>
    </row>
    <row r="1020" spans="1:17">
      <c r="A1020" s="6" t="s">
        <v>2012</v>
      </c>
      <c r="B1020" s="6" t="s">
        <v>2012</v>
      </c>
      <c r="C1020" s="6" t="s">
        <v>9102</v>
      </c>
      <c r="D1020" s="6" t="s">
        <v>9103</v>
      </c>
      <c r="E1020" s="6" t="s">
        <v>9103</v>
      </c>
      <c r="F1020" s="6">
        <v>15.3236956756664</v>
      </c>
      <c r="G1020" s="6">
        <v>14.660488178488499</v>
      </c>
      <c r="H1020" s="6">
        <v>14.609451800995201</v>
      </c>
      <c r="I1020" s="6">
        <v>15.1876858490622</v>
      </c>
      <c r="J1020" s="6">
        <v>13.7922182653943</v>
      </c>
      <c r="K1020" s="6">
        <v>14.702429327605399</v>
      </c>
      <c r="L1020" s="6">
        <v>14.939256813319901</v>
      </c>
      <c r="M1020" s="6">
        <v>13.5864521859646</v>
      </c>
      <c r="N1020" s="6">
        <v>13.2742604606618</v>
      </c>
      <c r="O1020" s="6">
        <v>14.7666959549521</v>
      </c>
      <c r="P1020" s="6">
        <v>15.207097669589899</v>
      </c>
      <c r="Q1020" s="6">
        <v>12.9004879435342</v>
      </c>
    </row>
    <row r="1021" spans="1:17">
      <c r="A1021" s="6" t="s">
        <v>9104</v>
      </c>
      <c r="B1021" s="6" t="s">
        <v>9105</v>
      </c>
      <c r="C1021" s="6" t="s">
        <v>9106</v>
      </c>
      <c r="D1021" s="6" t="s">
        <v>9107</v>
      </c>
      <c r="E1021" s="6" t="s">
        <v>9108</v>
      </c>
      <c r="F1021" s="6">
        <v>14.975726080647499</v>
      </c>
      <c r="G1021" s="6" t="s">
        <v>6254</v>
      </c>
      <c r="H1021" s="6">
        <v>14.237965905286099</v>
      </c>
      <c r="I1021" s="6">
        <v>15.4728939158252</v>
      </c>
      <c r="J1021" s="6">
        <v>13.4274810619732</v>
      </c>
      <c r="K1021" s="6">
        <v>14.684496179712999</v>
      </c>
      <c r="L1021" s="6">
        <v>15.0263358945221</v>
      </c>
      <c r="M1021" s="6" t="s">
        <v>6254</v>
      </c>
      <c r="N1021" s="6" t="s">
        <v>6254</v>
      </c>
      <c r="O1021" s="6">
        <v>14.7828716044574</v>
      </c>
      <c r="P1021" s="6">
        <v>14.7074786230072</v>
      </c>
      <c r="Q1021" s="6">
        <v>12.5032687748347</v>
      </c>
    </row>
    <row r="1022" spans="1:17">
      <c r="A1022" s="6" t="s">
        <v>1353</v>
      </c>
      <c r="B1022" s="6" t="s">
        <v>1353</v>
      </c>
      <c r="C1022" s="6" t="s">
        <v>9109</v>
      </c>
      <c r="D1022" s="6" t="s">
        <v>9110</v>
      </c>
      <c r="E1022" s="6" t="s">
        <v>9110</v>
      </c>
      <c r="F1022" s="6">
        <v>15.001504214210501</v>
      </c>
      <c r="G1022" s="6">
        <v>14.187623521304999</v>
      </c>
      <c r="H1022" s="6">
        <v>14.847511548368001</v>
      </c>
      <c r="I1022" s="6">
        <v>15.0488598792447</v>
      </c>
      <c r="J1022" s="6">
        <v>13.867629678267299</v>
      </c>
      <c r="K1022" s="6">
        <v>14.392178165068801</v>
      </c>
      <c r="L1022" s="6">
        <v>15.511619777658</v>
      </c>
      <c r="M1022" s="6">
        <v>13.672011187353601</v>
      </c>
      <c r="N1022" s="6">
        <v>15.325542889656701</v>
      </c>
      <c r="O1022" s="6">
        <v>14.912298725992599</v>
      </c>
      <c r="P1022" s="6">
        <v>15.007398137449099</v>
      </c>
      <c r="Q1022" s="6">
        <v>13.008666733215501</v>
      </c>
    </row>
    <row r="1023" spans="1:17">
      <c r="A1023" s="6" t="s">
        <v>3943</v>
      </c>
      <c r="B1023" s="6" t="s">
        <v>3943</v>
      </c>
      <c r="C1023" s="6" t="s">
        <v>9111</v>
      </c>
      <c r="D1023" s="6" t="s">
        <v>9112</v>
      </c>
      <c r="E1023" s="6" t="s">
        <v>9112</v>
      </c>
      <c r="F1023" s="6" t="s">
        <v>6254</v>
      </c>
      <c r="G1023" s="6">
        <v>13.3250241667007</v>
      </c>
      <c r="H1023" s="6">
        <v>15.1816807855636</v>
      </c>
      <c r="I1023" s="6">
        <v>15.669023740776</v>
      </c>
      <c r="J1023" s="6">
        <v>14.1342429771839</v>
      </c>
      <c r="K1023" s="6">
        <v>14.737971448899801</v>
      </c>
      <c r="L1023" s="6">
        <v>14.6528207051399</v>
      </c>
      <c r="M1023" s="6">
        <v>13.8893896548683</v>
      </c>
      <c r="N1023" s="6">
        <v>14.104363083783401</v>
      </c>
      <c r="O1023" s="6">
        <v>14.7300908703583</v>
      </c>
      <c r="P1023" s="6">
        <v>14.7148330393896</v>
      </c>
      <c r="Q1023" s="6">
        <v>13.192362650720201</v>
      </c>
    </row>
    <row r="1024" spans="1:17">
      <c r="A1024" s="6" t="s">
        <v>9113</v>
      </c>
      <c r="B1024" s="6" t="s">
        <v>9114</v>
      </c>
      <c r="C1024" s="6" t="s">
        <v>9115</v>
      </c>
      <c r="D1024" s="6" t="s">
        <v>9116</v>
      </c>
      <c r="E1024" s="6" t="s">
        <v>9117</v>
      </c>
      <c r="F1024" s="6">
        <v>15.238013562128099</v>
      </c>
      <c r="G1024" s="6">
        <v>14.389312898150299</v>
      </c>
      <c r="H1024" s="6">
        <v>14.297344622713901</v>
      </c>
      <c r="I1024" s="6">
        <v>15.517898513916901</v>
      </c>
      <c r="J1024" s="6">
        <v>14.160006856455601</v>
      </c>
      <c r="K1024" s="6">
        <v>14.630979702574001</v>
      </c>
      <c r="L1024" s="6">
        <v>15.1618374926685</v>
      </c>
      <c r="M1024" s="6">
        <v>12.316375742020099</v>
      </c>
      <c r="N1024" s="6">
        <v>13.889791131434301</v>
      </c>
      <c r="O1024" s="6">
        <v>14.9350391204246</v>
      </c>
      <c r="P1024" s="6">
        <v>15.2987115357541</v>
      </c>
      <c r="Q1024" s="6">
        <v>12.542181554014601</v>
      </c>
    </row>
    <row r="1025" spans="1:17">
      <c r="A1025" s="6" t="s">
        <v>9118</v>
      </c>
      <c r="B1025" s="6" t="s">
        <v>9119</v>
      </c>
      <c r="C1025" s="6" t="s">
        <v>9120</v>
      </c>
      <c r="D1025" s="6" t="s">
        <v>9121</v>
      </c>
      <c r="E1025" s="6" t="s">
        <v>9122</v>
      </c>
      <c r="F1025" s="6">
        <v>14.365833375621101</v>
      </c>
      <c r="G1025" s="6">
        <v>14.2476406550135</v>
      </c>
      <c r="H1025" s="6">
        <v>14.4071446355921</v>
      </c>
      <c r="I1025" s="6">
        <v>16.422565156527899</v>
      </c>
      <c r="J1025" s="6" t="s">
        <v>6254</v>
      </c>
      <c r="K1025" s="6">
        <v>15.256431694277101</v>
      </c>
      <c r="L1025" s="6">
        <v>17.484966004376599</v>
      </c>
      <c r="M1025" s="6">
        <v>13.905824620343701</v>
      </c>
      <c r="N1025" s="6">
        <v>13.5226023371076</v>
      </c>
      <c r="O1025" s="6">
        <v>14.137504872267201</v>
      </c>
      <c r="P1025" s="6">
        <v>14.2632282032425</v>
      </c>
      <c r="Q1025" s="6">
        <v>12.899040044509601</v>
      </c>
    </row>
    <row r="1026" spans="1:17">
      <c r="A1026" s="6" t="s">
        <v>9123</v>
      </c>
      <c r="B1026" s="6" t="s">
        <v>9124</v>
      </c>
      <c r="C1026" s="6" t="s">
        <v>9125</v>
      </c>
      <c r="D1026" s="6" t="s">
        <v>9126</v>
      </c>
      <c r="E1026" s="6" t="s">
        <v>9127</v>
      </c>
      <c r="F1026" s="6">
        <v>14.441493859700101</v>
      </c>
      <c r="G1026" s="6">
        <v>14.7987942385423</v>
      </c>
      <c r="H1026" s="6">
        <v>14.173011558769099</v>
      </c>
      <c r="I1026" s="6">
        <v>15.155812175963099</v>
      </c>
      <c r="J1026" s="6">
        <v>14.1252825594198</v>
      </c>
      <c r="K1026" s="6">
        <v>14.650079589138</v>
      </c>
      <c r="L1026" s="6">
        <v>15.282207025429701</v>
      </c>
      <c r="M1026" s="6" t="s">
        <v>6254</v>
      </c>
      <c r="N1026" s="6" t="s">
        <v>6254</v>
      </c>
      <c r="O1026" s="6">
        <v>14.803690848875901</v>
      </c>
      <c r="P1026" s="6">
        <v>15.010985602863499</v>
      </c>
      <c r="Q1026" s="6" t="s">
        <v>6254</v>
      </c>
    </row>
    <row r="1027" spans="1:17">
      <c r="A1027" s="6" t="s">
        <v>9128</v>
      </c>
      <c r="B1027" s="6" t="s">
        <v>2180</v>
      </c>
      <c r="C1027" s="6" t="s">
        <v>9129</v>
      </c>
      <c r="D1027" s="6" t="s">
        <v>9130</v>
      </c>
      <c r="E1027" s="6" t="s">
        <v>9131</v>
      </c>
      <c r="F1027" s="6">
        <v>15.238953367585999</v>
      </c>
      <c r="G1027" s="6">
        <v>14.895065100914801</v>
      </c>
      <c r="H1027" s="6">
        <v>14.5640957917139</v>
      </c>
      <c r="I1027" s="6">
        <v>15.0307966449263</v>
      </c>
      <c r="J1027" s="6">
        <v>14.098182503351699</v>
      </c>
      <c r="K1027" s="6">
        <v>13.910711343093899</v>
      </c>
      <c r="L1027" s="6">
        <v>14.624128104852399</v>
      </c>
      <c r="M1027" s="6">
        <v>13.7519643526552</v>
      </c>
      <c r="N1027" s="6">
        <v>14.3698681353167</v>
      </c>
      <c r="O1027" s="6">
        <v>14.888882637096099</v>
      </c>
      <c r="P1027" s="6">
        <v>15.3152936556843</v>
      </c>
      <c r="Q1027" s="6">
        <v>13.6137927074692</v>
      </c>
    </row>
    <row r="1028" spans="1:17">
      <c r="A1028" s="6" t="s">
        <v>1443</v>
      </c>
      <c r="B1028" s="6" t="s">
        <v>1443</v>
      </c>
      <c r="C1028" s="6" t="s">
        <v>9132</v>
      </c>
      <c r="D1028" s="6" t="s">
        <v>9133</v>
      </c>
      <c r="E1028" s="6" t="s">
        <v>9133</v>
      </c>
      <c r="F1028" s="6">
        <v>15.0418015874407</v>
      </c>
      <c r="G1028" s="6">
        <v>14.8804176672732</v>
      </c>
      <c r="H1028" s="6">
        <v>14.5117810079637</v>
      </c>
      <c r="I1028" s="6">
        <v>15.341868438788399</v>
      </c>
      <c r="J1028" s="6">
        <v>13.877757674251299</v>
      </c>
      <c r="K1028" s="6">
        <v>14.717951067288601</v>
      </c>
      <c r="L1028" s="6">
        <v>15.284847100899301</v>
      </c>
      <c r="M1028" s="6">
        <v>13.9683279619282</v>
      </c>
      <c r="N1028" s="6">
        <v>14.494338038355799</v>
      </c>
      <c r="O1028" s="6">
        <v>14.132671084019901</v>
      </c>
      <c r="P1028" s="6">
        <v>14.080139904487799</v>
      </c>
      <c r="Q1028" s="6">
        <v>13.4867236652965</v>
      </c>
    </row>
    <row r="1029" spans="1:17">
      <c r="A1029" s="6" t="s">
        <v>9134</v>
      </c>
      <c r="B1029" s="6" t="s">
        <v>9134</v>
      </c>
      <c r="C1029" s="6" t="s">
        <v>9135</v>
      </c>
      <c r="D1029" s="6" t="s">
        <v>9136</v>
      </c>
      <c r="E1029" s="6" t="s">
        <v>9136</v>
      </c>
      <c r="F1029" s="6">
        <v>15.0346019573633</v>
      </c>
      <c r="G1029" s="6">
        <v>14.782523854816899</v>
      </c>
      <c r="H1029" s="6">
        <v>14.478348276611101</v>
      </c>
      <c r="I1029" s="6">
        <v>15.197833263875101</v>
      </c>
      <c r="J1029" s="6">
        <v>13.825249168903699</v>
      </c>
      <c r="K1029" s="6">
        <v>14.910775736169599</v>
      </c>
      <c r="L1029" s="6">
        <v>15.225762634276901</v>
      </c>
      <c r="M1029" s="6">
        <v>13.7356670816682</v>
      </c>
      <c r="N1029" s="6">
        <v>13.8958382063204</v>
      </c>
      <c r="O1029" s="6">
        <v>14.4385088516155</v>
      </c>
      <c r="P1029" s="6">
        <v>14.5862365071011</v>
      </c>
      <c r="Q1029" s="6">
        <v>12.9445209308033</v>
      </c>
    </row>
    <row r="1030" spans="1:17">
      <c r="A1030" s="6" t="s">
        <v>3596</v>
      </c>
      <c r="B1030" s="6" t="s">
        <v>3596</v>
      </c>
      <c r="C1030" s="6" t="s">
        <v>9137</v>
      </c>
      <c r="D1030" s="6" t="s">
        <v>9138</v>
      </c>
      <c r="E1030" s="6" t="s">
        <v>9138</v>
      </c>
      <c r="F1030" s="6">
        <v>15.656688473956301</v>
      </c>
      <c r="G1030" s="6" t="s">
        <v>6254</v>
      </c>
      <c r="H1030" s="6">
        <v>14.7942454125183</v>
      </c>
      <c r="I1030" s="6">
        <v>14.535686922975099</v>
      </c>
      <c r="J1030" s="6" t="s">
        <v>6254</v>
      </c>
      <c r="K1030" s="6">
        <v>13.9183964457154</v>
      </c>
      <c r="L1030" s="6">
        <v>14.2848189764371</v>
      </c>
      <c r="M1030" s="6">
        <v>14.3759800634458</v>
      </c>
      <c r="N1030" s="6">
        <v>12.938264521326801</v>
      </c>
      <c r="O1030" s="6">
        <v>14.3969695168556</v>
      </c>
      <c r="P1030" s="6">
        <v>14.6901847848344</v>
      </c>
      <c r="Q1030" s="6" t="s">
        <v>6254</v>
      </c>
    </row>
    <row r="1031" spans="1:17">
      <c r="A1031" s="6" t="s">
        <v>9139</v>
      </c>
      <c r="B1031" s="6" t="s">
        <v>9140</v>
      </c>
      <c r="C1031" s="6" t="s">
        <v>9141</v>
      </c>
      <c r="D1031" s="6" t="s">
        <v>9142</v>
      </c>
      <c r="E1031" s="6" t="s">
        <v>9143</v>
      </c>
      <c r="F1031" s="6">
        <v>14.9314698133074</v>
      </c>
      <c r="G1031" s="6">
        <v>14.4224642946527</v>
      </c>
      <c r="H1031" s="6">
        <v>14.5304221960797</v>
      </c>
      <c r="I1031" s="6">
        <v>15.257243778569901</v>
      </c>
      <c r="J1031" s="6">
        <v>13.738647733455901</v>
      </c>
      <c r="K1031" s="6">
        <v>14.705286970945</v>
      </c>
      <c r="L1031" s="6">
        <v>15.0141248618439</v>
      </c>
      <c r="M1031" s="6">
        <v>13.603886754326901</v>
      </c>
      <c r="N1031" s="6">
        <v>13.9365818842435</v>
      </c>
      <c r="O1031" s="6">
        <v>15.0705273595336</v>
      </c>
      <c r="P1031" s="6">
        <v>14.8723355528779</v>
      </c>
      <c r="Q1031" s="6">
        <v>13.237735361709101</v>
      </c>
    </row>
    <row r="1032" spans="1:17">
      <c r="A1032" s="6" t="s">
        <v>9144</v>
      </c>
      <c r="B1032" s="6" t="s">
        <v>9145</v>
      </c>
      <c r="C1032" s="6" t="s">
        <v>9146</v>
      </c>
      <c r="D1032" s="6" t="s">
        <v>9147</v>
      </c>
      <c r="E1032" s="6" t="s">
        <v>9148</v>
      </c>
      <c r="F1032" s="6" t="s">
        <v>6254</v>
      </c>
      <c r="G1032" s="6" t="s">
        <v>6254</v>
      </c>
      <c r="H1032" s="6" t="s">
        <v>6254</v>
      </c>
      <c r="I1032" s="6">
        <v>15.0950082461321</v>
      </c>
      <c r="J1032" s="6" t="s">
        <v>6254</v>
      </c>
      <c r="K1032" s="6" t="s">
        <v>6254</v>
      </c>
      <c r="L1032" s="6">
        <v>16.180627706982602</v>
      </c>
      <c r="M1032" s="6" t="s">
        <v>6254</v>
      </c>
      <c r="N1032" s="6" t="s">
        <v>6254</v>
      </c>
      <c r="O1032" s="6" t="s">
        <v>6254</v>
      </c>
      <c r="P1032" s="6" t="s">
        <v>6254</v>
      </c>
      <c r="Q1032" s="6" t="s">
        <v>6254</v>
      </c>
    </row>
    <row r="1033" spans="1:17">
      <c r="A1033" s="6" t="s">
        <v>2615</v>
      </c>
      <c r="B1033" s="6" t="s">
        <v>2615</v>
      </c>
      <c r="C1033" s="6" t="s">
        <v>9149</v>
      </c>
      <c r="D1033" s="6" t="s">
        <v>9150</v>
      </c>
      <c r="E1033" s="6" t="s">
        <v>9150</v>
      </c>
      <c r="F1033" s="6">
        <v>14.1897351298395</v>
      </c>
      <c r="G1033" s="6">
        <v>13.543975763984299</v>
      </c>
      <c r="H1033" s="6">
        <v>14.5074398109226</v>
      </c>
      <c r="I1033" s="6">
        <v>15.5936812219381</v>
      </c>
      <c r="J1033" s="6">
        <v>14.4273195181684</v>
      </c>
      <c r="K1033" s="6">
        <v>14.7924845650034</v>
      </c>
      <c r="L1033" s="6">
        <v>15.644313193756</v>
      </c>
      <c r="M1033" s="6">
        <v>14.2125839762223</v>
      </c>
      <c r="N1033" s="6">
        <v>14.8986734313326</v>
      </c>
      <c r="O1033" s="6">
        <v>14.5400767351298</v>
      </c>
      <c r="P1033" s="6">
        <v>14.290849624175101</v>
      </c>
      <c r="Q1033" s="6">
        <v>13.256404010488801</v>
      </c>
    </row>
    <row r="1034" spans="1:17">
      <c r="A1034" s="6" t="s">
        <v>9151</v>
      </c>
      <c r="B1034" s="6" t="s">
        <v>9151</v>
      </c>
      <c r="C1034" s="6" t="s">
        <v>9152</v>
      </c>
      <c r="D1034" s="6" t="s">
        <v>9153</v>
      </c>
      <c r="E1034" s="6" t="s">
        <v>9153</v>
      </c>
      <c r="F1034" s="6">
        <v>14.900669099484899</v>
      </c>
      <c r="G1034" s="6">
        <v>14.337977433412799</v>
      </c>
      <c r="H1034" s="6">
        <v>14.484332373406501</v>
      </c>
      <c r="I1034" s="6">
        <v>15.3474471563968</v>
      </c>
      <c r="J1034" s="6">
        <v>13.9227869658875</v>
      </c>
      <c r="K1034" s="6">
        <v>14.5257410932652</v>
      </c>
      <c r="L1034" s="6">
        <v>14.9508214872226</v>
      </c>
      <c r="M1034" s="6" t="s">
        <v>6254</v>
      </c>
      <c r="N1034" s="6">
        <v>13.908353722561101</v>
      </c>
      <c r="O1034" s="6">
        <v>14.4220373915827</v>
      </c>
      <c r="P1034" s="6">
        <v>14.882549021639999</v>
      </c>
      <c r="Q1034" s="6" t="s">
        <v>6254</v>
      </c>
    </row>
    <row r="1035" spans="1:17">
      <c r="A1035" s="6" t="s">
        <v>9154</v>
      </c>
      <c r="B1035" s="6" t="s">
        <v>9155</v>
      </c>
      <c r="C1035" s="6" t="s">
        <v>9156</v>
      </c>
      <c r="D1035" s="6" t="s">
        <v>9157</v>
      </c>
      <c r="E1035" s="6" t="s">
        <v>9158</v>
      </c>
      <c r="F1035" s="6" t="s">
        <v>6254</v>
      </c>
      <c r="G1035" s="6">
        <v>14.7395182516203</v>
      </c>
      <c r="H1035" s="6">
        <v>14.6905673662488</v>
      </c>
      <c r="I1035" s="6" t="s">
        <v>6254</v>
      </c>
      <c r="J1035" s="6">
        <v>14.868123603331799</v>
      </c>
      <c r="K1035" s="6" t="s">
        <v>6254</v>
      </c>
      <c r="L1035" s="6">
        <v>12.5277753923797</v>
      </c>
      <c r="M1035" s="6">
        <v>14.532665382799699</v>
      </c>
      <c r="N1035" s="6">
        <v>16.844495959387299</v>
      </c>
      <c r="O1035" s="6" t="s">
        <v>6254</v>
      </c>
      <c r="P1035" s="6" t="s">
        <v>6254</v>
      </c>
      <c r="Q1035" s="6">
        <v>13.875321779219799</v>
      </c>
    </row>
    <row r="1036" spans="1:17">
      <c r="A1036" s="6" t="s">
        <v>2524</v>
      </c>
      <c r="B1036" s="6" t="s">
        <v>2524</v>
      </c>
      <c r="C1036" s="6" t="s">
        <v>9159</v>
      </c>
      <c r="D1036" s="6" t="s">
        <v>9160</v>
      </c>
      <c r="E1036" s="6" t="s">
        <v>9160</v>
      </c>
      <c r="F1036" s="6">
        <v>13.8013987412647</v>
      </c>
      <c r="G1036" s="6">
        <v>11.2293677808753</v>
      </c>
      <c r="H1036" s="6">
        <v>13.960696998789</v>
      </c>
      <c r="I1036" s="6">
        <v>15.5094915131052</v>
      </c>
      <c r="J1036" s="6">
        <v>13.4947990857339</v>
      </c>
      <c r="K1036" s="6">
        <v>14.4823666559457</v>
      </c>
      <c r="L1036" s="6">
        <v>15.4803353553259</v>
      </c>
      <c r="M1036" s="6">
        <v>12.3867415330783</v>
      </c>
      <c r="N1036" s="6">
        <v>15.818975579614801</v>
      </c>
      <c r="O1036" s="6">
        <v>14.541843595319699</v>
      </c>
      <c r="P1036" s="6">
        <v>13.6870577947571</v>
      </c>
      <c r="Q1036" s="6">
        <v>14.062676977528699</v>
      </c>
    </row>
    <row r="1037" spans="1:17">
      <c r="A1037" s="6" t="s">
        <v>9161</v>
      </c>
      <c r="B1037" s="6" t="s">
        <v>9162</v>
      </c>
      <c r="C1037" s="6" t="s">
        <v>9163</v>
      </c>
      <c r="D1037" s="6" t="s">
        <v>9164</v>
      </c>
      <c r="E1037" s="6" t="s">
        <v>9165</v>
      </c>
      <c r="F1037" s="6">
        <v>14.985487645276301</v>
      </c>
      <c r="G1037" s="6">
        <v>14.564633727158601</v>
      </c>
      <c r="H1037" s="6">
        <v>14.316372788312099</v>
      </c>
      <c r="I1037" s="6">
        <v>15.4066219179765</v>
      </c>
      <c r="J1037" s="6">
        <v>14.076068980248801</v>
      </c>
      <c r="K1037" s="6">
        <v>14.93814791838</v>
      </c>
      <c r="L1037" s="6">
        <v>15.067198122525699</v>
      </c>
      <c r="M1037" s="6">
        <v>13.5284502442383</v>
      </c>
      <c r="N1037" s="6">
        <v>13.690447965435199</v>
      </c>
      <c r="O1037" s="6">
        <v>15.1023356760774</v>
      </c>
      <c r="P1037" s="6">
        <v>14.664815330828199</v>
      </c>
      <c r="Q1037" s="6">
        <v>13.6864749228533</v>
      </c>
    </row>
    <row r="1038" spans="1:17">
      <c r="A1038" s="6" t="s">
        <v>9166</v>
      </c>
      <c r="B1038" s="6" t="s">
        <v>9166</v>
      </c>
      <c r="C1038" s="6" t="s">
        <v>9166</v>
      </c>
      <c r="D1038" s="6" t="s">
        <v>9166</v>
      </c>
      <c r="E1038" s="6" t="s">
        <v>9166</v>
      </c>
      <c r="F1038" s="6">
        <v>14.2048946454569</v>
      </c>
      <c r="G1038" s="6">
        <v>15.423911484224901</v>
      </c>
      <c r="H1038" s="6">
        <v>14.101637540039601</v>
      </c>
      <c r="I1038" s="6">
        <v>16.203390026314999</v>
      </c>
      <c r="J1038" s="6">
        <v>14.486507598815599</v>
      </c>
      <c r="K1038" s="6" t="s">
        <v>6254</v>
      </c>
      <c r="L1038" s="6">
        <v>17.589904543533301</v>
      </c>
      <c r="M1038" s="6">
        <v>15.124620053286799</v>
      </c>
      <c r="N1038" s="6">
        <v>15.8428227102234</v>
      </c>
      <c r="O1038" s="6">
        <v>12.966698444624701</v>
      </c>
      <c r="P1038" s="6" t="s">
        <v>6254</v>
      </c>
      <c r="Q1038" s="6">
        <v>14.3493337608329</v>
      </c>
    </row>
    <row r="1039" spans="1:17">
      <c r="A1039" s="6" t="s">
        <v>9167</v>
      </c>
      <c r="B1039" s="6" t="s">
        <v>9167</v>
      </c>
      <c r="C1039" s="6" t="s">
        <v>9168</v>
      </c>
      <c r="D1039" s="6" t="s">
        <v>9169</v>
      </c>
      <c r="E1039" s="6" t="s">
        <v>9169</v>
      </c>
      <c r="F1039" s="6">
        <v>14.9329843906441</v>
      </c>
      <c r="G1039" s="6">
        <v>14.757846770818899</v>
      </c>
      <c r="H1039" s="6">
        <v>14.637598017486299</v>
      </c>
      <c r="I1039" s="6">
        <v>15.3745306459204</v>
      </c>
      <c r="J1039" s="6">
        <v>13.9977350613472</v>
      </c>
      <c r="K1039" s="6">
        <v>14.5959797599702</v>
      </c>
      <c r="L1039" s="6">
        <v>15.005834443890601</v>
      </c>
      <c r="M1039" s="6">
        <v>13.8269862740466</v>
      </c>
      <c r="N1039" s="6">
        <v>13.4375983228209</v>
      </c>
      <c r="O1039" s="6">
        <v>14.913831854174299</v>
      </c>
      <c r="P1039" s="6">
        <v>14.3699376090008</v>
      </c>
      <c r="Q1039" s="6">
        <v>13.626773702578699</v>
      </c>
    </row>
    <row r="1040" spans="1:17">
      <c r="A1040" s="6" t="s">
        <v>2166</v>
      </c>
      <c r="B1040" s="6" t="s">
        <v>2166</v>
      </c>
      <c r="C1040" s="6" t="s">
        <v>9170</v>
      </c>
      <c r="D1040" s="6" t="s">
        <v>9171</v>
      </c>
      <c r="E1040" s="6" t="s">
        <v>9171</v>
      </c>
      <c r="F1040" s="6">
        <v>15.526665535273199</v>
      </c>
      <c r="G1040" s="6">
        <v>14.5570473725966</v>
      </c>
      <c r="H1040" s="6">
        <v>14.3570388973513</v>
      </c>
      <c r="I1040" s="6">
        <v>15.259518646782</v>
      </c>
      <c r="J1040" s="6">
        <v>13.7166625728347</v>
      </c>
      <c r="K1040" s="6">
        <v>14.2085294442566</v>
      </c>
      <c r="L1040" s="6">
        <v>15.171725423773101</v>
      </c>
      <c r="M1040" s="6">
        <v>13.2867065584141</v>
      </c>
      <c r="N1040" s="6">
        <v>15.4402747405894</v>
      </c>
      <c r="O1040" s="6">
        <v>14.6392955071427</v>
      </c>
      <c r="P1040" s="6">
        <v>14.3744202684308</v>
      </c>
      <c r="Q1040" s="6">
        <v>13.494459760168899</v>
      </c>
    </row>
    <row r="1041" spans="1:17">
      <c r="A1041" s="6" t="s">
        <v>9172</v>
      </c>
      <c r="B1041" s="6" t="s">
        <v>9173</v>
      </c>
      <c r="C1041" s="6" t="s">
        <v>9174</v>
      </c>
      <c r="D1041" s="6" t="s">
        <v>9175</v>
      </c>
      <c r="E1041" s="6" t="s">
        <v>9176</v>
      </c>
      <c r="F1041" s="6">
        <v>14.7987375747134</v>
      </c>
      <c r="G1041" s="6">
        <v>14.1313304725271</v>
      </c>
      <c r="H1041" s="6">
        <v>14.440752877167601</v>
      </c>
      <c r="I1041" s="6">
        <v>15.3901699327118</v>
      </c>
      <c r="J1041" s="6">
        <v>13.9504958624953</v>
      </c>
      <c r="K1041" s="6">
        <v>14.6185783643887</v>
      </c>
      <c r="L1041" s="6">
        <v>15.1359152078438</v>
      </c>
      <c r="M1041" s="6">
        <v>13.4253537233642</v>
      </c>
      <c r="N1041" s="6">
        <v>14.4842126759064</v>
      </c>
      <c r="O1041" s="6">
        <v>14.9079568721633</v>
      </c>
      <c r="P1041" s="6">
        <v>14.734026039166199</v>
      </c>
      <c r="Q1041" s="6">
        <v>13.2997423893</v>
      </c>
    </row>
    <row r="1042" spans="1:17">
      <c r="A1042" s="6" t="s">
        <v>1892</v>
      </c>
      <c r="B1042" s="6" t="s">
        <v>1892</v>
      </c>
      <c r="C1042" s="6" t="s">
        <v>9177</v>
      </c>
      <c r="D1042" s="6" t="s">
        <v>9178</v>
      </c>
      <c r="E1042" s="6" t="s">
        <v>9178</v>
      </c>
      <c r="F1042" s="6">
        <v>14.916757884734601</v>
      </c>
      <c r="G1042" s="6">
        <v>14.489563213366999</v>
      </c>
      <c r="H1042" s="6">
        <v>14.4229288274352</v>
      </c>
      <c r="I1042" s="6">
        <v>15.3089198454957</v>
      </c>
      <c r="J1042" s="6">
        <v>13.9401991448019</v>
      </c>
      <c r="K1042" s="6">
        <v>14.5026075136547</v>
      </c>
      <c r="L1042" s="6">
        <v>15.1562782024436</v>
      </c>
      <c r="M1042" s="6">
        <v>13.646758585051799</v>
      </c>
      <c r="N1042" s="6">
        <v>14.195063244639901</v>
      </c>
      <c r="O1042" s="6">
        <v>14.9502368372326</v>
      </c>
      <c r="P1042" s="6">
        <v>14.556660987940401</v>
      </c>
      <c r="Q1042" s="6">
        <v>13.355383662554599</v>
      </c>
    </row>
    <row r="1043" spans="1:17">
      <c r="A1043" s="6" t="s">
        <v>665</v>
      </c>
      <c r="B1043" s="6" t="s">
        <v>665</v>
      </c>
      <c r="C1043" s="6" t="s">
        <v>9179</v>
      </c>
      <c r="D1043" s="6" t="s">
        <v>9180</v>
      </c>
      <c r="E1043" s="6" t="s">
        <v>9180</v>
      </c>
      <c r="F1043" s="6">
        <v>14.8568098916182</v>
      </c>
      <c r="G1043" s="6">
        <v>14.563917648416201</v>
      </c>
      <c r="H1043" s="6">
        <v>14.501992706957999</v>
      </c>
      <c r="I1043" s="6">
        <v>15.102619526944901</v>
      </c>
      <c r="J1043" s="6">
        <v>13.561431042649399</v>
      </c>
      <c r="K1043" s="6">
        <v>14.466840281267601</v>
      </c>
      <c r="L1043" s="6">
        <v>15.1174451975015</v>
      </c>
      <c r="M1043" s="6">
        <v>13.780444995689701</v>
      </c>
      <c r="N1043" s="6">
        <v>14.329068810624801</v>
      </c>
      <c r="O1043" s="6">
        <v>14.7732344637756</v>
      </c>
      <c r="P1043" s="6">
        <v>14.548139171506</v>
      </c>
      <c r="Q1043" s="6">
        <v>13.290732439469901</v>
      </c>
    </row>
    <row r="1044" spans="1:17">
      <c r="A1044" s="6" t="s">
        <v>2730</v>
      </c>
      <c r="B1044" s="6" t="s">
        <v>2732</v>
      </c>
      <c r="C1044" s="6" t="s">
        <v>9181</v>
      </c>
      <c r="D1044" s="6" t="s">
        <v>9182</v>
      </c>
      <c r="E1044" s="6" t="s">
        <v>9183</v>
      </c>
      <c r="F1044" s="6">
        <v>14.8092983185834</v>
      </c>
      <c r="G1044" s="6">
        <v>14.7536470560166</v>
      </c>
      <c r="H1044" s="6">
        <v>14.6577878710828</v>
      </c>
      <c r="I1044" s="6">
        <v>14.9108555494026</v>
      </c>
      <c r="J1044" s="6">
        <v>14.2031972357918</v>
      </c>
      <c r="K1044" s="6" t="s">
        <v>6254</v>
      </c>
      <c r="L1044" s="6">
        <v>15.165709741773</v>
      </c>
      <c r="M1044" s="6">
        <v>14.117865695816301</v>
      </c>
      <c r="N1044" s="6">
        <v>13.904835460184399</v>
      </c>
      <c r="O1044" s="6">
        <v>14.650551098267799</v>
      </c>
      <c r="P1044" s="6">
        <v>15.081329170836399</v>
      </c>
      <c r="Q1044" s="6" t="s">
        <v>6254</v>
      </c>
    </row>
    <row r="1045" spans="1:17">
      <c r="A1045" s="6" t="s">
        <v>9184</v>
      </c>
      <c r="B1045" s="6" t="s">
        <v>9184</v>
      </c>
      <c r="C1045" s="6" t="s">
        <v>9185</v>
      </c>
      <c r="D1045" s="6" t="s">
        <v>9186</v>
      </c>
      <c r="E1045" s="6" t="s">
        <v>9186</v>
      </c>
      <c r="F1045" s="6">
        <v>15.3588806730667</v>
      </c>
      <c r="G1045" s="6">
        <v>14.4358643864601</v>
      </c>
      <c r="H1045" s="6">
        <v>14.5755001674196</v>
      </c>
      <c r="I1045" s="6">
        <v>15.35470948065</v>
      </c>
      <c r="J1045" s="6">
        <v>13.790976546784201</v>
      </c>
      <c r="K1045" s="6">
        <v>14.7804882976274</v>
      </c>
      <c r="L1045" s="6">
        <v>14.870965132575099</v>
      </c>
      <c r="M1045" s="6">
        <v>13.5347024266842</v>
      </c>
      <c r="N1045" s="6" t="s">
        <v>6254</v>
      </c>
      <c r="O1045" s="6">
        <v>14.632706603351</v>
      </c>
      <c r="P1045" s="6">
        <v>14.6862855721711</v>
      </c>
      <c r="Q1045" s="6" t="s">
        <v>6254</v>
      </c>
    </row>
    <row r="1046" spans="1:17">
      <c r="A1046" s="6" t="s">
        <v>9187</v>
      </c>
      <c r="B1046" s="6" t="s">
        <v>9188</v>
      </c>
      <c r="C1046" s="6" t="s">
        <v>9189</v>
      </c>
      <c r="D1046" s="6" t="s">
        <v>9190</v>
      </c>
      <c r="E1046" s="6" t="s">
        <v>9191</v>
      </c>
      <c r="F1046" s="6">
        <v>15.0626542254057</v>
      </c>
      <c r="G1046" s="6">
        <v>14.347622317851901</v>
      </c>
      <c r="H1046" s="6">
        <v>14.623572845997799</v>
      </c>
      <c r="I1046" s="6">
        <v>15.1765476501776</v>
      </c>
      <c r="J1046" s="6">
        <v>13.805494821841</v>
      </c>
      <c r="K1046" s="6">
        <v>14.6833498828288</v>
      </c>
      <c r="L1046" s="6">
        <v>15.2432074446232</v>
      </c>
      <c r="M1046" s="6">
        <v>12.9030518489778</v>
      </c>
      <c r="N1046" s="6">
        <v>13.522184036164001</v>
      </c>
      <c r="O1046" s="6">
        <v>15.042804864885801</v>
      </c>
      <c r="P1046" s="6">
        <v>14.9996250397792</v>
      </c>
      <c r="Q1046" s="6" t="s">
        <v>6254</v>
      </c>
    </row>
    <row r="1047" spans="1:17">
      <c r="A1047" s="6" t="s">
        <v>9192</v>
      </c>
      <c r="B1047" s="6" t="s">
        <v>9193</v>
      </c>
      <c r="C1047" s="6" t="s">
        <v>9194</v>
      </c>
      <c r="D1047" s="6" t="s">
        <v>9195</v>
      </c>
      <c r="E1047" s="6" t="s">
        <v>9196</v>
      </c>
      <c r="F1047" s="6">
        <v>15.1116378046036</v>
      </c>
      <c r="G1047" s="6">
        <v>14.5323386723746</v>
      </c>
      <c r="H1047" s="6">
        <v>14.426920900182401</v>
      </c>
      <c r="I1047" s="6">
        <v>15.113958833218501</v>
      </c>
      <c r="J1047" s="6" t="s">
        <v>6254</v>
      </c>
      <c r="K1047" s="6">
        <v>14.6297333159703</v>
      </c>
      <c r="L1047" s="6">
        <v>15.1344311308199</v>
      </c>
      <c r="M1047" s="6">
        <v>13.367410239216801</v>
      </c>
      <c r="N1047" s="6">
        <v>13.5427105434454</v>
      </c>
      <c r="O1047" s="6">
        <v>14.5860526869011</v>
      </c>
      <c r="P1047" s="6">
        <v>14.853910219136999</v>
      </c>
      <c r="Q1047" s="6" t="s">
        <v>6254</v>
      </c>
    </row>
    <row r="1048" spans="1:17">
      <c r="A1048" s="6" t="s">
        <v>961</v>
      </c>
      <c r="B1048" s="6" t="s">
        <v>961</v>
      </c>
      <c r="C1048" s="6" t="s">
        <v>9197</v>
      </c>
      <c r="D1048" s="6" t="s">
        <v>9198</v>
      </c>
      <c r="E1048" s="6" t="s">
        <v>9198</v>
      </c>
      <c r="F1048" s="6">
        <v>14.9096732719738</v>
      </c>
      <c r="G1048" s="6">
        <v>13.398109399089</v>
      </c>
      <c r="H1048" s="6">
        <v>15.3452863693003</v>
      </c>
      <c r="I1048" s="6">
        <v>16.0531306112293</v>
      </c>
      <c r="J1048" s="6">
        <v>14.348811477845601</v>
      </c>
      <c r="K1048" s="6">
        <v>14.4493087461199</v>
      </c>
      <c r="L1048" s="6">
        <v>15.698402699493201</v>
      </c>
      <c r="M1048" s="6">
        <v>14.6319062642206</v>
      </c>
      <c r="N1048" s="6">
        <v>15.804165817531199</v>
      </c>
      <c r="O1048" s="6">
        <v>14.0183942742032</v>
      </c>
      <c r="P1048" s="6">
        <v>13.838037105792599</v>
      </c>
      <c r="Q1048" s="6">
        <v>13.0488231511002</v>
      </c>
    </row>
    <row r="1049" spans="1:17">
      <c r="A1049" s="6" t="s">
        <v>644</v>
      </c>
      <c r="B1049" s="6" t="s">
        <v>644</v>
      </c>
      <c r="C1049" s="6" t="s">
        <v>9199</v>
      </c>
      <c r="D1049" s="6" t="s">
        <v>645</v>
      </c>
      <c r="E1049" s="6" t="s">
        <v>645</v>
      </c>
      <c r="F1049" s="6">
        <v>13.6595591213145</v>
      </c>
      <c r="G1049" s="6">
        <v>14.6207568955501</v>
      </c>
      <c r="H1049" s="6">
        <v>14.4334789446107</v>
      </c>
      <c r="I1049" s="6">
        <v>13.977711027460099</v>
      </c>
      <c r="J1049" s="6">
        <v>14.318235371273801</v>
      </c>
      <c r="K1049" s="6" t="s">
        <v>6254</v>
      </c>
      <c r="L1049" s="6">
        <v>14.9403917936572</v>
      </c>
      <c r="M1049" s="6">
        <v>14.295941349893299</v>
      </c>
      <c r="N1049" s="6">
        <v>14.6726512968365</v>
      </c>
      <c r="O1049" s="6">
        <v>14.377552657543299</v>
      </c>
      <c r="P1049" s="6">
        <v>12.424049308920599</v>
      </c>
      <c r="Q1049" s="6">
        <v>13.7622945722458</v>
      </c>
    </row>
    <row r="1050" spans="1:17">
      <c r="A1050" s="6" t="s">
        <v>5339</v>
      </c>
      <c r="B1050" s="6" t="s">
        <v>5339</v>
      </c>
      <c r="C1050" s="6" t="s">
        <v>9200</v>
      </c>
      <c r="D1050" s="6" t="s">
        <v>9201</v>
      </c>
      <c r="E1050" s="6" t="s">
        <v>9201</v>
      </c>
      <c r="F1050" s="6">
        <v>15.038817785510201</v>
      </c>
      <c r="G1050" s="6">
        <v>13.831446391718501</v>
      </c>
      <c r="H1050" s="6">
        <v>14.0913511567454</v>
      </c>
      <c r="I1050" s="6">
        <v>15.387856177440099</v>
      </c>
      <c r="J1050" s="6" t="s">
        <v>6254</v>
      </c>
      <c r="K1050" s="6" t="s">
        <v>6254</v>
      </c>
      <c r="L1050" s="6">
        <v>15.0742416114285</v>
      </c>
      <c r="M1050" s="6" t="s">
        <v>6254</v>
      </c>
      <c r="N1050" s="6">
        <v>14.051703866622899</v>
      </c>
      <c r="O1050" s="6">
        <v>14.387375304200701</v>
      </c>
      <c r="P1050" s="6">
        <v>14.404897278652401</v>
      </c>
      <c r="Q1050" s="6" t="s">
        <v>6254</v>
      </c>
    </row>
    <row r="1051" spans="1:17">
      <c r="A1051" s="6" t="s">
        <v>2711</v>
      </c>
      <c r="B1051" s="6" t="s">
        <v>2711</v>
      </c>
      <c r="C1051" s="6" t="s">
        <v>9202</v>
      </c>
      <c r="D1051" s="6" t="s">
        <v>9203</v>
      </c>
      <c r="E1051" s="6" t="s">
        <v>9203</v>
      </c>
      <c r="F1051" s="6">
        <v>14.3142874688756</v>
      </c>
      <c r="G1051" s="6">
        <v>14.4100353214641</v>
      </c>
      <c r="H1051" s="6">
        <v>14.604620839712201</v>
      </c>
      <c r="I1051" s="6">
        <v>15.3543085453088</v>
      </c>
      <c r="J1051" s="6" t="s">
        <v>6254</v>
      </c>
      <c r="K1051" s="6">
        <v>14.6699580187852</v>
      </c>
      <c r="L1051" s="6">
        <v>12.364240880776199</v>
      </c>
      <c r="M1051" s="6">
        <v>13.804456572479401</v>
      </c>
      <c r="N1051" s="6">
        <v>14.1025615537792</v>
      </c>
      <c r="O1051" s="6">
        <v>15.306754393683301</v>
      </c>
      <c r="P1051" s="6">
        <v>14.846924073682599</v>
      </c>
      <c r="Q1051" s="6">
        <v>13.695822644847199</v>
      </c>
    </row>
    <row r="1052" spans="1:17">
      <c r="A1052" s="6" t="s">
        <v>1950</v>
      </c>
      <c r="B1052" s="6" t="s">
        <v>1952</v>
      </c>
      <c r="C1052" s="6" t="s">
        <v>9204</v>
      </c>
      <c r="D1052" s="6" t="s">
        <v>9205</v>
      </c>
      <c r="E1052" s="6" t="s">
        <v>9206</v>
      </c>
      <c r="F1052" s="6">
        <v>15.035044894625401</v>
      </c>
      <c r="G1052" s="6">
        <v>14.3885826536408</v>
      </c>
      <c r="H1052" s="6">
        <v>14.304545410606099</v>
      </c>
      <c r="I1052" s="6">
        <v>15.34702521208</v>
      </c>
      <c r="J1052" s="6">
        <v>13.711528325177399</v>
      </c>
      <c r="K1052" s="6">
        <v>14.618374237998999</v>
      </c>
      <c r="L1052" s="6">
        <v>15.308198172803101</v>
      </c>
      <c r="M1052" s="6">
        <v>12.6512968992533</v>
      </c>
      <c r="N1052" s="6">
        <v>14.526580389540101</v>
      </c>
      <c r="O1052" s="6">
        <v>15.150059452251</v>
      </c>
      <c r="P1052" s="6">
        <v>14.852968492274201</v>
      </c>
      <c r="Q1052" s="6">
        <v>13.9295543302658</v>
      </c>
    </row>
    <row r="1053" spans="1:17">
      <c r="A1053" s="6" t="s">
        <v>9207</v>
      </c>
      <c r="B1053" s="6" t="s">
        <v>9208</v>
      </c>
      <c r="C1053" s="6" t="s">
        <v>9209</v>
      </c>
      <c r="D1053" s="6" t="s">
        <v>9210</v>
      </c>
      <c r="E1053" s="6" t="s">
        <v>9211</v>
      </c>
      <c r="F1053" s="6">
        <v>15.1033040384903</v>
      </c>
      <c r="G1053" s="6">
        <v>14.378302975288101</v>
      </c>
      <c r="H1053" s="6">
        <v>14.6487625039329</v>
      </c>
      <c r="I1053" s="6">
        <v>14.968897692124299</v>
      </c>
      <c r="J1053" s="6">
        <v>13.889399994222901</v>
      </c>
      <c r="K1053" s="6">
        <v>14.443278799725499</v>
      </c>
      <c r="L1053" s="6">
        <v>15.040480060880601</v>
      </c>
      <c r="M1053" s="6">
        <v>13.953033171954999</v>
      </c>
      <c r="N1053" s="6">
        <v>15.245259652137699</v>
      </c>
      <c r="O1053" s="6">
        <v>14.842920487939301</v>
      </c>
      <c r="P1053" s="6">
        <v>13.8927073906614</v>
      </c>
      <c r="Q1053" s="6">
        <v>13.1889356947067</v>
      </c>
    </row>
    <row r="1054" spans="1:17">
      <c r="A1054" s="6" t="s">
        <v>2780</v>
      </c>
      <c r="B1054" s="6" t="s">
        <v>2780</v>
      </c>
      <c r="C1054" s="6" t="s">
        <v>9212</v>
      </c>
      <c r="D1054" s="6" t="s">
        <v>9213</v>
      </c>
      <c r="E1054" s="6" t="s">
        <v>9213</v>
      </c>
      <c r="F1054" s="6">
        <v>15.149515450068201</v>
      </c>
      <c r="G1054" s="6">
        <v>14.541058531319599</v>
      </c>
      <c r="H1054" s="6">
        <v>14.609276638584801</v>
      </c>
      <c r="I1054" s="6">
        <v>15.4489974509448</v>
      </c>
      <c r="J1054" s="6">
        <v>14.216923065233701</v>
      </c>
      <c r="K1054" s="6">
        <v>14.530309181512299</v>
      </c>
      <c r="L1054" s="6">
        <v>15.0986207051448</v>
      </c>
      <c r="M1054" s="6">
        <v>13.962111362714801</v>
      </c>
      <c r="N1054" s="6">
        <v>14.3810178305511</v>
      </c>
      <c r="O1054" s="6">
        <v>14.9976942555547</v>
      </c>
      <c r="P1054" s="6">
        <v>14.665642034572301</v>
      </c>
      <c r="Q1054" s="6">
        <v>13.418688002105601</v>
      </c>
    </row>
    <row r="1055" spans="1:17">
      <c r="A1055" s="6" t="s">
        <v>5314</v>
      </c>
      <c r="B1055" s="6" t="s">
        <v>5314</v>
      </c>
      <c r="C1055" s="6" t="s">
        <v>9214</v>
      </c>
      <c r="D1055" s="6" t="s">
        <v>9215</v>
      </c>
      <c r="E1055" s="6" t="s">
        <v>9215</v>
      </c>
      <c r="F1055" s="6">
        <v>14.525369397364701</v>
      </c>
      <c r="G1055" s="6" t="s">
        <v>6254</v>
      </c>
      <c r="H1055" s="6">
        <v>13.9233724906587</v>
      </c>
      <c r="I1055" s="6">
        <v>14.9356782351345</v>
      </c>
      <c r="J1055" s="6">
        <v>13.519624029562101</v>
      </c>
      <c r="K1055" s="6">
        <v>14.7415106797971</v>
      </c>
      <c r="L1055" s="6">
        <v>15.1924464959712</v>
      </c>
      <c r="M1055" s="6" t="s">
        <v>6254</v>
      </c>
      <c r="N1055" s="6" t="s">
        <v>6254</v>
      </c>
      <c r="O1055" s="6" t="s">
        <v>6254</v>
      </c>
      <c r="P1055" s="6" t="s">
        <v>6254</v>
      </c>
      <c r="Q1055" s="6">
        <v>13.242109308153299</v>
      </c>
    </row>
    <row r="1056" spans="1:17">
      <c r="A1056" s="6" t="s">
        <v>2868</v>
      </c>
      <c r="B1056" s="6" t="s">
        <v>2868</v>
      </c>
      <c r="C1056" s="6" t="s">
        <v>9216</v>
      </c>
      <c r="D1056" s="6" t="s">
        <v>9217</v>
      </c>
      <c r="E1056" s="6" t="s">
        <v>9217</v>
      </c>
      <c r="F1056" s="6">
        <v>14.987890316375299</v>
      </c>
      <c r="G1056" s="6">
        <v>14.2169398986068</v>
      </c>
      <c r="H1056" s="6">
        <v>14.793499592464601</v>
      </c>
      <c r="I1056" s="6">
        <v>15.048331010454</v>
      </c>
      <c r="J1056" s="6">
        <v>13.177149019686601</v>
      </c>
      <c r="K1056" s="6">
        <v>14.4286240853422</v>
      </c>
      <c r="L1056" s="6">
        <v>15.081715296975601</v>
      </c>
      <c r="M1056" s="6">
        <v>13.549070111207101</v>
      </c>
      <c r="N1056" s="6">
        <v>14.630286459609099</v>
      </c>
      <c r="O1056" s="6">
        <v>14.7758898947702</v>
      </c>
      <c r="P1056" s="6">
        <v>14.669672757616601</v>
      </c>
      <c r="Q1056" s="6" t="s">
        <v>6254</v>
      </c>
    </row>
    <row r="1057" spans="1:17">
      <c r="A1057" s="6" t="s">
        <v>2993</v>
      </c>
      <c r="B1057" s="6" t="s">
        <v>2993</v>
      </c>
      <c r="C1057" s="6" t="s">
        <v>9218</v>
      </c>
      <c r="D1057" s="6" t="s">
        <v>9219</v>
      </c>
      <c r="E1057" s="6" t="s">
        <v>9219</v>
      </c>
      <c r="F1057" s="6">
        <v>14.9809484894386</v>
      </c>
      <c r="G1057" s="6">
        <v>14.436893055522701</v>
      </c>
      <c r="H1057" s="6">
        <v>14.664955606933701</v>
      </c>
      <c r="I1057" s="6">
        <v>15.158344775320201</v>
      </c>
      <c r="J1057" s="6">
        <v>13.688899695659</v>
      </c>
      <c r="K1057" s="6">
        <v>14.108556245768799</v>
      </c>
      <c r="L1057" s="6">
        <v>14.8512585130026</v>
      </c>
      <c r="M1057" s="6">
        <v>13.260765739810299</v>
      </c>
      <c r="N1057" s="6">
        <v>14.788986223845299</v>
      </c>
      <c r="O1057" s="6">
        <v>14.9285265358484</v>
      </c>
      <c r="P1057" s="6">
        <v>14.943019818079501</v>
      </c>
      <c r="Q1057" s="6" t="s">
        <v>6254</v>
      </c>
    </row>
    <row r="1058" spans="1:17">
      <c r="A1058" s="6" t="s">
        <v>1285</v>
      </c>
      <c r="B1058" s="6" t="s">
        <v>1285</v>
      </c>
      <c r="C1058" s="6" t="s">
        <v>9220</v>
      </c>
      <c r="D1058" s="6" t="s">
        <v>9221</v>
      </c>
      <c r="E1058" s="6" t="s">
        <v>9221</v>
      </c>
      <c r="F1058" s="6">
        <v>15.2851744422184</v>
      </c>
      <c r="G1058" s="6">
        <v>14.487297139675199</v>
      </c>
      <c r="H1058" s="6">
        <v>14.510440830155</v>
      </c>
      <c r="I1058" s="6">
        <v>15.0025503116963</v>
      </c>
      <c r="J1058" s="6">
        <v>13.869831570250099</v>
      </c>
      <c r="K1058" s="6">
        <v>14.3743803013916</v>
      </c>
      <c r="L1058" s="6">
        <v>14.877651853650701</v>
      </c>
      <c r="M1058" s="6">
        <v>13.8763835394199</v>
      </c>
      <c r="N1058" s="6">
        <v>14.559862295145701</v>
      </c>
      <c r="O1058" s="6">
        <v>14.915538939693301</v>
      </c>
      <c r="P1058" s="6">
        <v>14.6753750055881</v>
      </c>
      <c r="Q1058" s="6">
        <v>12.999628146766501</v>
      </c>
    </row>
    <row r="1059" spans="1:17">
      <c r="A1059" s="6" t="s">
        <v>9222</v>
      </c>
      <c r="B1059" s="6" t="s">
        <v>9223</v>
      </c>
      <c r="C1059" s="6" t="s">
        <v>9224</v>
      </c>
      <c r="D1059" s="6" t="s">
        <v>9225</v>
      </c>
      <c r="E1059" s="6" t="s">
        <v>9226</v>
      </c>
      <c r="F1059" s="6">
        <v>15.821297563847899</v>
      </c>
      <c r="G1059" s="6">
        <v>13.989052692318101</v>
      </c>
      <c r="H1059" s="6">
        <v>14.700260253220801</v>
      </c>
      <c r="I1059" s="6">
        <v>15.1253130197983</v>
      </c>
      <c r="J1059" s="6">
        <v>13.731856414880401</v>
      </c>
      <c r="K1059" s="6">
        <v>14.271097383211499</v>
      </c>
      <c r="L1059" s="6">
        <v>15.214992091654199</v>
      </c>
      <c r="M1059" s="6" t="s">
        <v>6254</v>
      </c>
      <c r="N1059" s="6">
        <v>13.8274682735199</v>
      </c>
      <c r="O1059" s="6">
        <v>14.584259625380099</v>
      </c>
      <c r="P1059" s="6">
        <v>14.444436486649</v>
      </c>
      <c r="Q1059" s="6">
        <v>13.2095157704694</v>
      </c>
    </row>
    <row r="1060" spans="1:17">
      <c r="A1060" s="6" t="s">
        <v>2016</v>
      </c>
      <c r="B1060" s="6" t="s">
        <v>2016</v>
      </c>
      <c r="C1060" s="6" t="s">
        <v>9227</v>
      </c>
      <c r="D1060" s="6" t="s">
        <v>9228</v>
      </c>
      <c r="E1060" s="6" t="s">
        <v>9228</v>
      </c>
      <c r="F1060" s="6">
        <v>14.951417687567499</v>
      </c>
      <c r="G1060" s="6">
        <v>14.095846902317</v>
      </c>
      <c r="H1060" s="6">
        <v>14.8264697950229</v>
      </c>
      <c r="I1060" s="6">
        <v>14.940639970844</v>
      </c>
      <c r="J1060" s="6">
        <v>13.815129863239999</v>
      </c>
      <c r="K1060" s="6">
        <v>14.576132327982201</v>
      </c>
      <c r="L1060" s="6">
        <v>15.083563208494001</v>
      </c>
      <c r="M1060" s="6">
        <v>13.9930866459515</v>
      </c>
      <c r="N1060" s="6">
        <v>14.849804975798399</v>
      </c>
      <c r="O1060" s="6">
        <v>14.574440579828501</v>
      </c>
      <c r="P1060" s="6">
        <v>14.6157179728658</v>
      </c>
      <c r="Q1060" s="6">
        <v>13.2392654578967</v>
      </c>
    </row>
    <row r="1061" spans="1:17">
      <c r="A1061" s="6" t="s">
        <v>2104</v>
      </c>
      <c r="B1061" s="6" t="s">
        <v>2104</v>
      </c>
      <c r="C1061" s="6" t="s">
        <v>9229</v>
      </c>
      <c r="D1061" s="6" t="s">
        <v>9230</v>
      </c>
      <c r="E1061" s="6" t="s">
        <v>9230</v>
      </c>
      <c r="F1061" s="6">
        <v>15.0488265304244</v>
      </c>
      <c r="G1061" s="6">
        <v>14.688652245258501</v>
      </c>
      <c r="H1061" s="6">
        <v>14.7557025891526</v>
      </c>
      <c r="I1061" s="6">
        <v>15.125419291363301</v>
      </c>
      <c r="J1061" s="6">
        <v>13.907952517406001</v>
      </c>
      <c r="K1061" s="6">
        <v>14.647639961861399</v>
      </c>
      <c r="L1061" s="6">
        <v>14.8436726879965</v>
      </c>
      <c r="M1061" s="6">
        <v>13.743502907456399</v>
      </c>
      <c r="N1061" s="6">
        <v>13.360561674262399</v>
      </c>
      <c r="O1061" s="6">
        <v>15.0117301615402</v>
      </c>
      <c r="P1061" s="6">
        <v>15.0385344232945</v>
      </c>
      <c r="Q1061" s="6">
        <v>13.173679528903399</v>
      </c>
    </row>
    <row r="1062" spans="1:17">
      <c r="A1062" s="6" t="s">
        <v>4983</v>
      </c>
      <c r="B1062" s="6" t="s">
        <v>4983</v>
      </c>
      <c r="C1062" s="6" t="s">
        <v>9231</v>
      </c>
      <c r="D1062" s="6" t="s">
        <v>9232</v>
      </c>
      <c r="E1062" s="6" t="s">
        <v>9232</v>
      </c>
      <c r="F1062" s="6" t="s">
        <v>6254</v>
      </c>
      <c r="G1062" s="6" t="s">
        <v>6254</v>
      </c>
      <c r="H1062" s="6" t="s">
        <v>6254</v>
      </c>
      <c r="I1062" s="6" t="s">
        <v>6254</v>
      </c>
      <c r="J1062" s="6" t="s">
        <v>6254</v>
      </c>
      <c r="K1062" s="6">
        <v>14.3228664210008</v>
      </c>
      <c r="L1062" s="6">
        <v>14.7929852842218</v>
      </c>
      <c r="M1062" s="6" t="s">
        <v>6254</v>
      </c>
      <c r="N1062" s="6" t="s">
        <v>6254</v>
      </c>
      <c r="O1062" s="6" t="s">
        <v>6254</v>
      </c>
      <c r="P1062" s="6" t="s">
        <v>6254</v>
      </c>
      <c r="Q1062" s="6" t="s">
        <v>6254</v>
      </c>
    </row>
    <row r="1063" spans="1:17">
      <c r="A1063" s="6" t="s">
        <v>1561</v>
      </c>
      <c r="B1063" s="6" t="s">
        <v>1561</v>
      </c>
      <c r="C1063" s="6" t="s">
        <v>9233</v>
      </c>
      <c r="D1063" s="6" t="s">
        <v>9234</v>
      </c>
      <c r="E1063" s="6" t="s">
        <v>9234</v>
      </c>
      <c r="F1063" s="6">
        <v>14.907862034242999</v>
      </c>
      <c r="G1063" s="6">
        <v>14.536337330378</v>
      </c>
      <c r="H1063" s="6">
        <v>14.5483189417065</v>
      </c>
      <c r="I1063" s="6">
        <v>15.135682134312001</v>
      </c>
      <c r="J1063" s="6">
        <v>13.8075159558515</v>
      </c>
      <c r="K1063" s="6">
        <v>14.4381852334184</v>
      </c>
      <c r="L1063" s="6">
        <v>15.0308883909152</v>
      </c>
      <c r="M1063" s="6">
        <v>13.628246511844701</v>
      </c>
      <c r="N1063" s="6">
        <v>13.9592622374687</v>
      </c>
      <c r="O1063" s="6">
        <v>14.604872508099399</v>
      </c>
      <c r="P1063" s="6">
        <v>14.9471868560604</v>
      </c>
      <c r="Q1063" s="6">
        <v>13.5016053138109</v>
      </c>
    </row>
    <row r="1064" spans="1:17">
      <c r="A1064" s="6" t="s">
        <v>5001</v>
      </c>
      <c r="B1064" s="6" t="s">
        <v>5001</v>
      </c>
      <c r="C1064" s="6" t="s">
        <v>9235</v>
      </c>
      <c r="D1064" s="6" t="s">
        <v>9236</v>
      </c>
      <c r="E1064" s="6" t="s">
        <v>9236</v>
      </c>
      <c r="F1064" s="6">
        <v>15.692295204041599</v>
      </c>
      <c r="G1064" s="6" t="s">
        <v>6254</v>
      </c>
      <c r="H1064" s="6" t="s">
        <v>6254</v>
      </c>
      <c r="I1064" s="6">
        <v>15.7233784731339</v>
      </c>
      <c r="J1064" s="6" t="s">
        <v>6254</v>
      </c>
      <c r="K1064" s="6">
        <v>14.4306538993195</v>
      </c>
      <c r="L1064" s="6">
        <v>14.3028975592172</v>
      </c>
      <c r="M1064" s="6" t="s">
        <v>6254</v>
      </c>
      <c r="N1064" s="6">
        <v>15.1043427239214</v>
      </c>
      <c r="O1064" s="6">
        <v>15.1195659726278</v>
      </c>
      <c r="P1064" s="6">
        <v>15.6671381818689</v>
      </c>
      <c r="Q1064" s="6">
        <v>13.629971638224101</v>
      </c>
    </row>
    <row r="1065" spans="1:17">
      <c r="A1065" s="6" t="s">
        <v>9237</v>
      </c>
      <c r="B1065" s="6" t="s">
        <v>9238</v>
      </c>
      <c r="C1065" s="6" t="s">
        <v>9239</v>
      </c>
      <c r="D1065" s="6" t="s">
        <v>9240</v>
      </c>
      <c r="E1065" s="7">
        <v>44083</v>
      </c>
      <c r="F1065" s="6">
        <v>15.173493473095601</v>
      </c>
      <c r="G1065" s="6">
        <v>14.7215406430073</v>
      </c>
      <c r="H1065" s="6">
        <v>14.7459736999367</v>
      </c>
      <c r="I1065" s="6">
        <v>15.3756028112637</v>
      </c>
      <c r="J1065" s="6">
        <v>13.4871438817881</v>
      </c>
      <c r="K1065" s="6">
        <v>14.183711282328201</v>
      </c>
      <c r="L1065" s="6">
        <v>15.4914544863078</v>
      </c>
      <c r="M1065" s="6">
        <v>14.058884361192799</v>
      </c>
      <c r="N1065" s="6">
        <v>14.7599530747004</v>
      </c>
      <c r="O1065" s="6">
        <v>14.7354230394422</v>
      </c>
      <c r="P1065" s="6">
        <v>14.9452726643289</v>
      </c>
      <c r="Q1065" s="6">
        <v>12.4030252307747</v>
      </c>
    </row>
    <row r="1066" spans="1:17">
      <c r="A1066" s="6" t="s">
        <v>4843</v>
      </c>
      <c r="B1066" s="6" t="s">
        <v>4843</v>
      </c>
      <c r="C1066" s="6" t="s">
        <v>9241</v>
      </c>
      <c r="D1066" s="6" t="s">
        <v>9242</v>
      </c>
      <c r="E1066" s="6" t="s">
        <v>9242</v>
      </c>
      <c r="F1066" s="6">
        <v>14.6707377517967</v>
      </c>
      <c r="G1066" s="6">
        <v>14.4099592074383</v>
      </c>
      <c r="H1066" s="6">
        <v>14.376607130341901</v>
      </c>
      <c r="I1066" s="6" t="s">
        <v>6254</v>
      </c>
      <c r="J1066" s="6">
        <v>13.836069713499899</v>
      </c>
      <c r="K1066" s="6" t="s">
        <v>6254</v>
      </c>
      <c r="L1066" s="6">
        <v>14.5315839086529</v>
      </c>
      <c r="M1066" s="6">
        <v>13.6767678007374</v>
      </c>
      <c r="N1066" s="6">
        <v>13.938191199417799</v>
      </c>
      <c r="O1066" s="6">
        <v>15.036976704245401</v>
      </c>
      <c r="P1066" s="6">
        <v>14.780437025420101</v>
      </c>
      <c r="Q1066" s="6" t="s">
        <v>6254</v>
      </c>
    </row>
    <row r="1067" spans="1:17">
      <c r="A1067" s="6" t="s">
        <v>828</v>
      </c>
      <c r="B1067" s="6" t="s">
        <v>828</v>
      </c>
      <c r="C1067" s="6" t="s">
        <v>9243</v>
      </c>
      <c r="D1067" s="6" t="s">
        <v>9244</v>
      </c>
      <c r="E1067" s="6" t="s">
        <v>9244</v>
      </c>
      <c r="F1067" s="6">
        <v>14.9227667990124</v>
      </c>
      <c r="G1067" s="6">
        <v>14.4745900623653</v>
      </c>
      <c r="H1067" s="6">
        <v>14.6375285309388</v>
      </c>
      <c r="I1067" s="6">
        <v>15.2587856403057</v>
      </c>
      <c r="J1067" s="6">
        <v>13.829716827991399</v>
      </c>
      <c r="K1067" s="6">
        <v>14.353313297318399</v>
      </c>
      <c r="L1067" s="6">
        <v>15.0526229490165</v>
      </c>
      <c r="M1067" s="6">
        <v>13.8944500183869</v>
      </c>
      <c r="N1067" s="6">
        <v>14.566443999954901</v>
      </c>
      <c r="O1067" s="6">
        <v>14.647487482856</v>
      </c>
      <c r="P1067" s="6">
        <v>14.6469897704948</v>
      </c>
      <c r="Q1067" s="6">
        <v>13.330378452288899</v>
      </c>
    </row>
    <row r="1068" spans="1:17">
      <c r="A1068" s="6" t="s">
        <v>2660</v>
      </c>
      <c r="B1068" s="6" t="s">
        <v>2660</v>
      </c>
      <c r="C1068" s="6" t="s">
        <v>9245</v>
      </c>
      <c r="D1068" s="6" t="s">
        <v>9246</v>
      </c>
      <c r="E1068" s="6" t="s">
        <v>9246</v>
      </c>
      <c r="F1068" s="6" t="s">
        <v>6254</v>
      </c>
      <c r="G1068" s="6" t="s">
        <v>6254</v>
      </c>
      <c r="H1068" s="6">
        <v>14.730794914787801</v>
      </c>
      <c r="I1068" s="6">
        <v>15.310158057982401</v>
      </c>
      <c r="J1068" s="6" t="s">
        <v>6254</v>
      </c>
      <c r="K1068" s="6">
        <v>15.0598672178707</v>
      </c>
      <c r="L1068" s="6">
        <v>15.6385607019297</v>
      </c>
      <c r="M1068" s="6" t="s">
        <v>6254</v>
      </c>
      <c r="N1068" s="6">
        <v>14.1426760242379</v>
      </c>
      <c r="O1068" s="6" t="s">
        <v>6254</v>
      </c>
      <c r="P1068" s="6">
        <v>13.2279559179382</v>
      </c>
      <c r="Q1068" s="6" t="s">
        <v>6254</v>
      </c>
    </row>
    <row r="1069" spans="1:17">
      <c r="A1069" s="6" t="s">
        <v>3111</v>
      </c>
      <c r="B1069" s="6" t="s">
        <v>3111</v>
      </c>
      <c r="C1069" s="6" t="s">
        <v>9247</v>
      </c>
      <c r="D1069" s="6" t="s">
        <v>9248</v>
      </c>
      <c r="E1069" s="6" t="s">
        <v>9248</v>
      </c>
      <c r="F1069" s="6">
        <v>14.7303089957443</v>
      </c>
      <c r="G1069" s="6">
        <v>13.8981735215844</v>
      </c>
      <c r="H1069" s="6">
        <v>13.446099787366601</v>
      </c>
      <c r="I1069" s="6">
        <v>15.340676004078601</v>
      </c>
      <c r="J1069" s="6" t="s">
        <v>6254</v>
      </c>
      <c r="K1069" s="6" t="s">
        <v>6254</v>
      </c>
      <c r="L1069" s="6">
        <v>14.5741274509248</v>
      </c>
      <c r="M1069" s="6" t="s">
        <v>6254</v>
      </c>
      <c r="N1069" s="6">
        <v>13.5814800996319</v>
      </c>
      <c r="O1069" s="6" t="s">
        <v>6254</v>
      </c>
      <c r="P1069" s="6">
        <v>15.2664925813742</v>
      </c>
      <c r="Q1069" s="6" t="s">
        <v>6254</v>
      </c>
    </row>
    <row r="1070" spans="1:17">
      <c r="A1070" s="6" t="s">
        <v>5531</v>
      </c>
      <c r="B1070" s="6" t="s">
        <v>5531</v>
      </c>
      <c r="C1070" s="6" t="s">
        <v>9249</v>
      </c>
      <c r="D1070" s="6" t="s">
        <v>9250</v>
      </c>
      <c r="E1070" s="6" t="s">
        <v>9250</v>
      </c>
      <c r="F1070" s="6">
        <v>14.910606406170601</v>
      </c>
      <c r="G1070" s="6">
        <v>14.400707792886401</v>
      </c>
      <c r="H1070" s="6">
        <v>14.772581298846699</v>
      </c>
      <c r="I1070" s="6">
        <v>15.1862662110098</v>
      </c>
      <c r="J1070" s="6">
        <v>13.798372424908299</v>
      </c>
      <c r="K1070" s="6">
        <v>14.5559412679687</v>
      </c>
      <c r="L1070" s="6">
        <v>15.2494971658033</v>
      </c>
      <c r="M1070" s="6">
        <v>13.772003427744099</v>
      </c>
      <c r="N1070" s="6">
        <v>14.5294188755348</v>
      </c>
      <c r="O1070" s="6">
        <v>14.352754244065199</v>
      </c>
      <c r="P1070" s="6">
        <v>13.7512793767182</v>
      </c>
      <c r="Q1070" s="6">
        <v>13.337707514624199</v>
      </c>
    </row>
    <row r="1071" spans="1:17">
      <c r="A1071" s="6" t="s">
        <v>2853</v>
      </c>
      <c r="B1071" s="6" t="s">
        <v>2853</v>
      </c>
      <c r="C1071" s="6" t="s">
        <v>9251</v>
      </c>
      <c r="D1071" s="6" t="s">
        <v>9252</v>
      </c>
      <c r="E1071" s="6" t="s">
        <v>9252</v>
      </c>
      <c r="F1071" s="6" t="s">
        <v>6254</v>
      </c>
      <c r="G1071" s="6">
        <v>14.9793483403338</v>
      </c>
      <c r="H1071" s="6">
        <v>14.9070556153649</v>
      </c>
      <c r="I1071" s="6">
        <v>14.0836636295661</v>
      </c>
      <c r="J1071" s="6">
        <v>14.481693847447</v>
      </c>
      <c r="K1071" s="6">
        <v>14.798027396762301</v>
      </c>
      <c r="L1071" s="6" t="s">
        <v>6254</v>
      </c>
      <c r="M1071" s="6">
        <v>14.5228104007418</v>
      </c>
      <c r="N1071" s="6" t="s">
        <v>6254</v>
      </c>
      <c r="O1071" s="6">
        <v>14.2458619141455</v>
      </c>
      <c r="P1071" s="6">
        <v>14.210039958932599</v>
      </c>
      <c r="Q1071" s="6">
        <v>13.939233152336699</v>
      </c>
    </row>
    <row r="1072" spans="1:17">
      <c r="A1072" s="6" t="s">
        <v>3138</v>
      </c>
      <c r="B1072" s="6" t="s">
        <v>3138</v>
      </c>
      <c r="C1072" s="6" t="s">
        <v>9253</v>
      </c>
      <c r="D1072" s="6" t="s">
        <v>9254</v>
      </c>
      <c r="E1072" s="6" t="s">
        <v>9254</v>
      </c>
      <c r="F1072" s="6">
        <v>14.742379053672</v>
      </c>
      <c r="G1072" s="6">
        <v>14.878744216679801</v>
      </c>
      <c r="H1072" s="6">
        <v>15.4089640918736</v>
      </c>
      <c r="I1072" s="6">
        <v>15.0170523243498</v>
      </c>
      <c r="J1072" s="6" t="s">
        <v>6254</v>
      </c>
      <c r="K1072" s="6" t="s">
        <v>6254</v>
      </c>
      <c r="L1072" s="6">
        <v>14.888311649911399</v>
      </c>
      <c r="M1072" s="6" t="s">
        <v>6254</v>
      </c>
      <c r="N1072" s="6">
        <v>13.971242977191601</v>
      </c>
      <c r="O1072" s="6">
        <v>14.4612748803142</v>
      </c>
      <c r="P1072" s="6" t="s">
        <v>6254</v>
      </c>
      <c r="Q1072" s="6" t="s">
        <v>6254</v>
      </c>
    </row>
    <row r="1073" spans="1:17">
      <c r="A1073" s="6" t="s">
        <v>2128</v>
      </c>
      <c r="B1073" s="6" t="s">
        <v>2128</v>
      </c>
      <c r="C1073" s="6" t="s">
        <v>9255</v>
      </c>
      <c r="D1073" s="6" t="s">
        <v>9256</v>
      </c>
      <c r="E1073" s="6" t="s">
        <v>9256</v>
      </c>
      <c r="F1073" s="6">
        <v>14.8219971229107</v>
      </c>
      <c r="G1073" s="6">
        <v>14.6656988273796</v>
      </c>
      <c r="H1073" s="6">
        <v>14.5916261835523</v>
      </c>
      <c r="I1073" s="6">
        <v>15.0511735216791</v>
      </c>
      <c r="J1073" s="6">
        <v>13.6734268729588</v>
      </c>
      <c r="K1073" s="6">
        <v>13.9222223849471</v>
      </c>
      <c r="L1073" s="6">
        <v>15.321716534756501</v>
      </c>
      <c r="M1073" s="6">
        <v>13.380388759811</v>
      </c>
      <c r="N1073" s="6">
        <v>14.853810043855701</v>
      </c>
      <c r="O1073" s="6">
        <v>14.732041565063801</v>
      </c>
      <c r="P1073" s="6">
        <v>14.6284164184866</v>
      </c>
      <c r="Q1073" s="6">
        <v>13.1397927810168</v>
      </c>
    </row>
    <row r="1074" spans="1:17">
      <c r="A1074" s="6" t="s">
        <v>9257</v>
      </c>
      <c r="B1074" s="6" t="s">
        <v>9258</v>
      </c>
      <c r="C1074" s="6" t="s">
        <v>9259</v>
      </c>
      <c r="D1074" s="6" t="s">
        <v>9260</v>
      </c>
      <c r="E1074" s="6" t="s">
        <v>9261</v>
      </c>
      <c r="F1074" s="6">
        <v>14.8871018817583</v>
      </c>
      <c r="G1074" s="6">
        <v>14.043703910451301</v>
      </c>
      <c r="H1074" s="6">
        <v>14.753642816885501</v>
      </c>
      <c r="I1074" s="6">
        <v>15.4356583795288</v>
      </c>
      <c r="J1074" s="6">
        <v>13.571333985349201</v>
      </c>
      <c r="K1074" s="6">
        <v>14.65859652877</v>
      </c>
      <c r="L1074" s="6">
        <v>15.0025064681248</v>
      </c>
      <c r="M1074" s="6">
        <v>13.8551990765643</v>
      </c>
      <c r="N1074" s="6">
        <v>14.0201589592728</v>
      </c>
      <c r="O1074" s="6">
        <v>14.908817103053501</v>
      </c>
      <c r="P1074" s="6">
        <v>15.0167509234757</v>
      </c>
      <c r="Q1074" s="6">
        <v>12.7922878531748</v>
      </c>
    </row>
    <row r="1075" spans="1:17">
      <c r="A1075" s="6" t="s">
        <v>2509</v>
      </c>
      <c r="B1075" s="6" t="s">
        <v>2509</v>
      </c>
      <c r="C1075" s="6" t="s">
        <v>9262</v>
      </c>
      <c r="D1075" s="6" t="s">
        <v>9263</v>
      </c>
      <c r="E1075" s="6" t="s">
        <v>9263</v>
      </c>
      <c r="F1075" s="6">
        <v>15.041938393962299</v>
      </c>
      <c r="G1075" s="6">
        <v>14.2833470386536</v>
      </c>
      <c r="H1075" s="6">
        <v>14.618712805328601</v>
      </c>
      <c r="I1075" s="6">
        <v>15.390363684934099</v>
      </c>
      <c r="J1075" s="6">
        <v>13.9616826308987</v>
      </c>
      <c r="K1075" s="6">
        <v>14.8332292066573</v>
      </c>
      <c r="L1075" s="6">
        <v>15.1886864773368</v>
      </c>
      <c r="M1075" s="6">
        <v>13.767624187570901</v>
      </c>
      <c r="N1075" s="6">
        <v>14.304882247243199</v>
      </c>
      <c r="O1075" s="6">
        <v>14.871839340662801</v>
      </c>
      <c r="P1075" s="6">
        <v>14.9306928817429</v>
      </c>
      <c r="Q1075" s="6">
        <v>12.8157479583409</v>
      </c>
    </row>
    <row r="1076" spans="1:17">
      <c r="A1076" s="6" t="s">
        <v>4948</v>
      </c>
      <c r="B1076" s="6" t="s">
        <v>4950</v>
      </c>
      <c r="C1076" s="6" t="s">
        <v>9264</v>
      </c>
      <c r="D1076" s="6" t="s">
        <v>9265</v>
      </c>
      <c r="E1076" s="6" t="s">
        <v>9266</v>
      </c>
      <c r="F1076" s="6">
        <v>14.5491627405261</v>
      </c>
      <c r="G1076" s="6" t="s">
        <v>6254</v>
      </c>
      <c r="H1076" s="6">
        <v>14.3746309030516</v>
      </c>
      <c r="I1076" s="6">
        <v>14.9440890031567</v>
      </c>
      <c r="J1076" s="6" t="s">
        <v>6254</v>
      </c>
      <c r="K1076" s="6">
        <v>14.5007789656353</v>
      </c>
      <c r="L1076" s="6">
        <v>15.2026401412925</v>
      </c>
      <c r="M1076" s="6" t="s">
        <v>6254</v>
      </c>
      <c r="N1076" s="6">
        <v>13.8042914685283</v>
      </c>
      <c r="O1076" s="6">
        <v>14.220316387571399</v>
      </c>
      <c r="P1076" s="6">
        <v>14.000035849165</v>
      </c>
      <c r="Q1076" s="6">
        <v>13.731105626873999</v>
      </c>
    </row>
    <row r="1077" spans="1:17">
      <c r="A1077" s="6" t="s">
        <v>2304</v>
      </c>
      <c r="B1077" s="6" t="s">
        <v>2304</v>
      </c>
      <c r="C1077" s="6" t="s">
        <v>9267</v>
      </c>
      <c r="D1077" s="6" t="s">
        <v>9268</v>
      </c>
      <c r="E1077" s="6" t="s">
        <v>9268</v>
      </c>
      <c r="F1077" s="6">
        <v>15.008396351541201</v>
      </c>
      <c r="G1077" s="6">
        <v>14.423918055842501</v>
      </c>
      <c r="H1077" s="6">
        <v>14.666746524991</v>
      </c>
      <c r="I1077" s="6">
        <v>14.9244884572419</v>
      </c>
      <c r="J1077" s="6">
        <v>13.668200018904701</v>
      </c>
      <c r="K1077" s="6">
        <v>14.465476439233299</v>
      </c>
      <c r="L1077" s="6">
        <v>15.112768070037999</v>
      </c>
      <c r="M1077" s="6">
        <v>13.7166012743445</v>
      </c>
      <c r="N1077" s="6">
        <v>13.646279254624501</v>
      </c>
      <c r="O1077" s="6">
        <v>14.421597141996999</v>
      </c>
      <c r="P1077" s="6">
        <v>15.094290853683299</v>
      </c>
      <c r="Q1077" s="6">
        <v>13.3428699080934</v>
      </c>
    </row>
    <row r="1078" spans="1:17">
      <c r="A1078" s="6" t="s">
        <v>2283</v>
      </c>
      <c r="B1078" s="6" t="s">
        <v>2283</v>
      </c>
      <c r="C1078" s="6" t="s">
        <v>9269</v>
      </c>
      <c r="D1078" s="6" t="s">
        <v>9270</v>
      </c>
      <c r="E1078" s="6" t="s">
        <v>9270</v>
      </c>
      <c r="F1078" s="6">
        <v>14.835804664723</v>
      </c>
      <c r="G1078" s="6">
        <v>14.3340477546197</v>
      </c>
      <c r="H1078" s="6">
        <v>14.291767310251499</v>
      </c>
      <c r="I1078" s="6">
        <v>15.2416686474347</v>
      </c>
      <c r="J1078" s="6">
        <v>14.0031160445554</v>
      </c>
      <c r="K1078" s="6">
        <v>14.3977665984095</v>
      </c>
      <c r="L1078" s="6">
        <v>15.0065516240018</v>
      </c>
      <c r="M1078" s="6">
        <v>13.9552706539853</v>
      </c>
      <c r="N1078" s="6">
        <v>14.196833659224399</v>
      </c>
      <c r="O1078" s="6">
        <v>14.8348868690577</v>
      </c>
      <c r="P1078" s="6">
        <v>14.435748987088299</v>
      </c>
      <c r="Q1078" s="6">
        <v>13.3361086970896</v>
      </c>
    </row>
    <row r="1079" spans="1:17">
      <c r="A1079" s="6" t="s">
        <v>9271</v>
      </c>
      <c r="B1079" s="6" t="s">
        <v>9272</v>
      </c>
      <c r="C1079" s="6" t="s">
        <v>9273</v>
      </c>
      <c r="D1079" s="6" t="s">
        <v>9274</v>
      </c>
      <c r="E1079" s="6" t="s">
        <v>9275</v>
      </c>
      <c r="F1079" s="6">
        <v>14.753473179552101</v>
      </c>
      <c r="G1079" s="6">
        <v>14.208046185530501</v>
      </c>
      <c r="H1079" s="6">
        <v>14.558119170428901</v>
      </c>
      <c r="I1079" s="6">
        <v>15.1398206965901</v>
      </c>
      <c r="J1079" s="6">
        <v>14.004059209392199</v>
      </c>
      <c r="K1079" s="6">
        <v>14.7413712807727</v>
      </c>
      <c r="L1079" s="6">
        <v>14.8850317440099</v>
      </c>
      <c r="M1079" s="6">
        <v>12.7400995133563</v>
      </c>
      <c r="N1079" s="6">
        <v>14.5014160808652</v>
      </c>
      <c r="O1079" s="6">
        <v>15.2326161276455</v>
      </c>
      <c r="P1079" s="6">
        <v>14.881063824826899</v>
      </c>
      <c r="Q1079" s="6">
        <v>13.500167987568</v>
      </c>
    </row>
    <row r="1080" spans="1:17">
      <c r="A1080" s="6" t="s">
        <v>2244</v>
      </c>
      <c r="B1080" s="6" t="s">
        <v>2244</v>
      </c>
      <c r="C1080" s="6" t="s">
        <v>9276</v>
      </c>
      <c r="D1080" s="6" t="s">
        <v>9277</v>
      </c>
      <c r="E1080" s="6" t="s">
        <v>9277</v>
      </c>
      <c r="F1080" s="6">
        <v>14.6371277169803</v>
      </c>
      <c r="G1080" s="6">
        <v>14.430734184632399</v>
      </c>
      <c r="H1080" s="6">
        <v>14.651248725462301</v>
      </c>
      <c r="I1080" s="6">
        <v>15.059021995114099</v>
      </c>
      <c r="J1080" s="6">
        <v>13.491297742980899</v>
      </c>
      <c r="K1080" s="6">
        <v>14.339047781345901</v>
      </c>
      <c r="L1080" s="6">
        <v>14.806515810429101</v>
      </c>
      <c r="M1080" s="6">
        <v>13.617794276329199</v>
      </c>
      <c r="N1080" s="6">
        <v>14.737113525662499</v>
      </c>
      <c r="O1080" s="6">
        <v>14.5248074324521</v>
      </c>
      <c r="P1080" s="6">
        <v>14.226743994401399</v>
      </c>
      <c r="Q1080" s="6">
        <v>13.6717853787392</v>
      </c>
    </row>
    <row r="1081" spans="1:17">
      <c r="A1081" s="6" t="s">
        <v>9278</v>
      </c>
      <c r="B1081" s="6" t="s">
        <v>9279</v>
      </c>
      <c r="C1081" s="6" t="s">
        <v>9280</v>
      </c>
      <c r="D1081" s="6" t="s">
        <v>9281</v>
      </c>
      <c r="E1081" s="6" t="s">
        <v>9282</v>
      </c>
      <c r="F1081" s="6">
        <v>14.797656016679101</v>
      </c>
      <c r="G1081" s="6">
        <v>14.539097590018701</v>
      </c>
      <c r="H1081" s="6">
        <v>14.3442462443465</v>
      </c>
      <c r="I1081" s="6">
        <v>14.4908874724121</v>
      </c>
      <c r="J1081" s="6">
        <v>13.745524681122699</v>
      </c>
      <c r="K1081" s="6" t="s">
        <v>6254</v>
      </c>
      <c r="L1081" s="6">
        <v>15.1818654227395</v>
      </c>
      <c r="M1081" s="6">
        <v>14.1246573274498</v>
      </c>
      <c r="N1081" s="6" t="s">
        <v>6254</v>
      </c>
      <c r="O1081" s="6">
        <v>14.320329792209201</v>
      </c>
      <c r="P1081" s="6">
        <v>14.8545853175752</v>
      </c>
      <c r="Q1081" s="6" t="s">
        <v>6254</v>
      </c>
    </row>
    <row r="1082" spans="1:17">
      <c r="A1082" s="6" t="s">
        <v>9283</v>
      </c>
      <c r="B1082" s="6" t="s">
        <v>9283</v>
      </c>
      <c r="C1082" s="6" t="s">
        <v>9284</v>
      </c>
      <c r="D1082" s="6" t="s">
        <v>9285</v>
      </c>
      <c r="E1082" s="6" t="s">
        <v>9285</v>
      </c>
      <c r="F1082" s="6">
        <v>14.8587987850674</v>
      </c>
      <c r="G1082" s="6">
        <v>14.3790312180013</v>
      </c>
      <c r="H1082" s="6">
        <v>14.790923613025999</v>
      </c>
      <c r="I1082" s="6">
        <v>14.9887162281388</v>
      </c>
      <c r="J1082" s="6">
        <v>13.708480840949001</v>
      </c>
      <c r="K1082" s="6">
        <v>14.536038315804801</v>
      </c>
      <c r="L1082" s="6">
        <v>15.212749979477501</v>
      </c>
      <c r="M1082" s="6" t="s">
        <v>6254</v>
      </c>
      <c r="N1082" s="6">
        <v>14.1943481384734</v>
      </c>
      <c r="O1082" s="6">
        <v>14.4834395215788</v>
      </c>
      <c r="P1082" s="6">
        <v>14.1560515909236</v>
      </c>
      <c r="Q1082" s="6">
        <v>13.624823397173101</v>
      </c>
    </row>
    <row r="1083" spans="1:17">
      <c r="A1083" s="6" t="s">
        <v>2518</v>
      </c>
      <c r="B1083" s="6" t="s">
        <v>2518</v>
      </c>
      <c r="C1083" s="6" t="s">
        <v>9286</v>
      </c>
      <c r="D1083" s="6" t="s">
        <v>9287</v>
      </c>
      <c r="E1083" s="6" t="s">
        <v>9287</v>
      </c>
      <c r="F1083" s="6">
        <v>15.1251985936953</v>
      </c>
      <c r="G1083" s="6">
        <v>13.992343989818499</v>
      </c>
      <c r="H1083" s="6">
        <v>14.496317491216899</v>
      </c>
      <c r="I1083" s="6">
        <v>15.020301005911699</v>
      </c>
      <c r="J1083" s="6">
        <v>13.999171998016401</v>
      </c>
      <c r="K1083" s="6">
        <v>14.411863654736299</v>
      </c>
      <c r="L1083" s="6">
        <v>14.766579372389</v>
      </c>
      <c r="M1083" s="6">
        <v>13.801517464802499</v>
      </c>
      <c r="N1083" s="6">
        <v>13.7963527172057</v>
      </c>
      <c r="O1083" s="6">
        <v>14.7220338763938</v>
      </c>
      <c r="P1083" s="6">
        <v>14.6289594590697</v>
      </c>
      <c r="Q1083" s="6" t="s">
        <v>6254</v>
      </c>
    </row>
    <row r="1084" spans="1:17">
      <c r="A1084" s="6" t="s">
        <v>9288</v>
      </c>
      <c r="B1084" s="6" t="s">
        <v>9289</v>
      </c>
      <c r="C1084" s="6" t="s">
        <v>9290</v>
      </c>
      <c r="D1084" s="6" t="s">
        <v>9291</v>
      </c>
      <c r="E1084" s="6" t="s">
        <v>9292</v>
      </c>
      <c r="F1084" s="6">
        <v>15.2832620923324</v>
      </c>
      <c r="G1084" s="6" t="s">
        <v>6254</v>
      </c>
      <c r="H1084" s="6" t="s">
        <v>6254</v>
      </c>
      <c r="I1084" s="6">
        <v>14.7469124361317</v>
      </c>
      <c r="J1084" s="6">
        <v>13.5362130672828</v>
      </c>
      <c r="K1084" s="6" t="s">
        <v>6254</v>
      </c>
      <c r="L1084" s="6">
        <v>14.3622807955279</v>
      </c>
      <c r="M1084" s="6" t="s">
        <v>6254</v>
      </c>
      <c r="N1084" s="6" t="s">
        <v>6254</v>
      </c>
      <c r="O1084" s="6" t="s">
        <v>6254</v>
      </c>
      <c r="P1084" s="6" t="s">
        <v>6254</v>
      </c>
      <c r="Q1084" s="6" t="s">
        <v>6254</v>
      </c>
    </row>
    <row r="1085" spans="1:17">
      <c r="A1085" s="6" t="s">
        <v>1279</v>
      </c>
      <c r="B1085" s="6" t="s">
        <v>1279</v>
      </c>
      <c r="C1085" s="6" t="s">
        <v>9293</v>
      </c>
      <c r="D1085" s="6" t="s">
        <v>9294</v>
      </c>
      <c r="E1085" s="6" t="s">
        <v>9294</v>
      </c>
      <c r="F1085" s="6">
        <v>15.0911894628595</v>
      </c>
      <c r="G1085" s="6">
        <v>14.633475168153099</v>
      </c>
      <c r="H1085" s="6">
        <v>14.509075119236099</v>
      </c>
      <c r="I1085" s="6">
        <v>15.091824874474501</v>
      </c>
      <c r="J1085" s="6">
        <v>13.764903108024701</v>
      </c>
      <c r="K1085" s="6">
        <v>14.260259242998</v>
      </c>
      <c r="L1085" s="6">
        <v>14.712685131091099</v>
      </c>
      <c r="M1085" s="6">
        <v>13.396552127543201</v>
      </c>
      <c r="N1085" s="6">
        <v>14.6594218878703</v>
      </c>
      <c r="O1085" s="6">
        <v>14.6973943015518</v>
      </c>
      <c r="P1085" s="6">
        <v>14.299401571557301</v>
      </c>
      <c r="Q1085" s="6">
        <v>13.438172749630001</v>
      </c>
    </row>
    <row r="1086" spans="1:17">
      <c r="A1086" s="6" t="s">
        <v>850</v>
      </c>
      <c r="B1086" s="6" t="s">
        <v>852</v>
      </c>
      <c r="C1086" s="6" t="s">
        <v>9295</v>
      </c>
      <c r="D1086" s="6" t="s">
        <v>9296</v>
      </c>
      <c r="E1086" s="7">
        <v>44076</v>
      </c>
      <c r="F1086" s="6">
        <v>14.8891575027982</v>
      </c>
      <c r="G1086" s="6">
        <v>14.4208902300236</v>
      </c>
      <c r="H1086" s="6">
        <v>14.526407578338</v>
      </c>
      <c r="I1086" s="6">
        <v>14.8833813561555</v>
      </c>
      <c r="J1086" s="6">
        <v>14.007231863661</v>
      </c>
      <c r="K1086" s="6">
        <v>14.355269108356801</v>
      </c>
      <c r="L1086" s="6">
        <v>15.1038716497444</v>
      </c>
      <c r="M1086" s="6">
        <v>13.770029898285101</v>
      </c>
      <c r="N1086" s="6">
        <v>14.2443753311401</v>
      </c>
      <c r="O1086" s="6">
        <v>14.957890932384601</v>
      </c>
      <c r="P1086" s="6">
        <v>14.281296773218401</v>
      </c>
      <c r="Q1086" s="6">
        <v>13.288642441561</v>
      </c>
    </row>
    <row r="1087" spans="1:17">
      <c r="A1087" s="6" t="s">
        <v>4141</v>
      </c>
      <c r="B1087" s="6" t="s">
        <v>4141</v>
      </c>
      <c r="C1087" s="6" t="s">
        <v>9297</v>
      </c>
      <c r="D1087" s="6" t="s">
        <v>9298</v>
      </c>
      <c r="E1087" s="6" t="s">
        <v>9298</v>
      </c>
      <c r="F1087" s="6">
        <v>15.042187431841199</v>
      </c>
      <c r="G1087" s="6">
        <v>14.4271603825817</v>
      </c>
      <c r="H1087" s="6">
        <v>14.282829266097</v>
      </c>
      <c r="I1087" s="6">
        <v>15.0341145525915</v>
      </c>
      <c r="J1087" s="6" t="s">
        <v>6254</v>
      </c>
      <c r="K1087" s="6">
        <v>13.6161494778167</v>
      </c>
      <c r="L1087" s="6">
        <v>14.530063846719599</v>
      </c>
      <c r="M1087" s="6" t="s">
        <v>6254</v>
      </c>
      <c r="N1087" s="6">
        <v>13.9263222046396</v>
      </c>
      <c r="O1087" s="6" t="s">
        <v>6254</v>
      </c>
      <c r="P1087" s="6" t="s">
        <v>6254</v>
      </c>
      <c r="Q1087" s="6">
        <v>14.059325316902701</v>
      </c>
    </row>
    <row r="1088" spans="1:17">
      <c r="A1088" s="6" t="s">
        <v>2413</v>
      </c>
      <c r="B1088" s="6" t="s">
        <v>2413</v>
      </c>
      <c r="C1088" s="6" t="s">
        <v>9299</v>
      </c>
      <c r="D1088" s="6" t="s">
        <v>9300</v>
      </c>
      <c r="E1088" s="6" t="s">
        <v>9300</v>
      </c>
      <c r="F1088" s="6">
        <v>14.875269729929601</v>
      </c>
      <c r="G1088" s="6">
        <v>14.7133967472005</v>
      </c>
      <c r="H1088" s="6">
        <v>14.2954870101106</v>
      </c>
      <c r="I1088" s="6">
        <v>15.3895017304792</v>
      </c>
      <c r="J1088" s="6">
        <v>13.6193652127705</v>
      </c>
      <c r="K1088" s="6">
        <v>14.548623442317799</v>
      </c>
      <c r="L1088" s="6">
        <v>15.089141686047199</v>
      </c>
      <c r="M1088" s="6">
        <v>13.473543873326401</v>
      </c>
      <c r="N1088" s="6">
        <v>13.839683495715599</v>
      </c>
      <c r="O1088" s="6">
        <v>14.938000636823199</v>
      </c>
      <c r="P1088" s="6">
        <v>14.6788298105969</v>
      </c>
      <c r="Q1088" s="6">
        <v>13.235530691752301</v>
      </c>
    </row>
    <row r="1089" spans="1:17">
      <c r="A1089" s="6" t="s">
        <v>9301</v>
      </c>
      <c r="B1089" s="6" t="s">
        <v>9302</v>
      </c>
      <c r="C1089" s="6" t="s">
        <v>9303</v>
      </c>
      <c r="D1089" s="6" t="s">
        <v>9304</v>
      </c>
      <c r="E1089" s="6" t="s">
        <v>9305</v>
      </c>
      <c r="F1089" s="6">
        <v>13.8270977849873</v>
      </c>
      <c r="G1089" s="6">
        <v>13.957801514835801</v>
      </c>
      <c r="H1089" s="6">
        <v>14.8219229379482</v>
      </c>
      <c r="I1089" s="6">
        <v>15.3740491086766</v>
      </c>
      <c r="J1089" s="6">
        <v>13.890990231321901</v>
      </c>
      <c r="K1089" s="6">
        <v>14.550635116697199</v>
      </c>
      <c r="L1089" s="6">
        <v>15.9223175506995</v>
      </c>
      <c r="M1089" s="6">
        <v>14.245520192753</v>
      </c>
      <c r="N1089" s="6">
        <v>15.0017187628114</v>
      </c>
      <c r="O1089" s="6">
        <v>14.3185565864446</v>
      </c>
      <c r="P1089" s="6">
        <v>14.5375607780433</v>
      </c>
      <c r="Q1089" s="6">
        <v>13.0203413151189</v>
      </c>
    </row>
    <row r="1090" spans="1:17">
      <c r="A1090" s="6" t="s">
        <v>4579</v>
      </c>
      <c r="B1090" s="6" t="s">
        <v>4579</v>
      </c>
      <c r="C1090" s="6" t="s">
        <v>9306</v>
      </c>
      <c r="D1090" s="6" t="s">
        <v>9307</v>
      </c>
      <c r="E1090" s="6" t="s">
        <v>9307</v>
      </c>
      <c r="F1090" s="6">
        <v>14.464645085922101</v>
      </c>
      <c r="G1090" s="6">
        <v>14.2471723705839</v>
      </c>
      <c r="H1090" s="6">
        <v>14.7231067142908</v>
      </c>
      <c r="I1090" s="6">
        <v>15.0915523240834</v>
      </c>
      <c r="J1090" s="6">
        <v>13.539579951923001</v>
      </c>
      <c r="K1090" s="6">
        <v>14.934635145407899</v>
      </c>
      <c r="L1090" s="6">
        <v>14.892110580318899</v>
      </c>
      <c r="M1090" s="6">
        <v>13.688576619644</v>
      </c>
      <c r="N1090" s="6">
        <v>13.9983372844887</v>
      </c>
      <c r="O1090" s="6">
        <v>14.9486814934778</v>
      </c>
      <c r="P1090" s="6">
        <v>14.939420822810201</v>
      </c>
      <c r="Q1090" s="6">
        <v>13.437837515969999</v>
      </c>
    </row>
    <row r="1091" spans="1:17">
      <c r="A1091" s="6" t="s">
        <v>3258</v>
      </c>
      <c r="B1091" s="6" t="s">
        <v>3258</v>
      </c>
      <c r="C1091" s="6" t="s">
        <v>9308</v>
      </c>
      <c r="D1091" s="6" t="s">
        <v>9309</v>
      </c>
      <c r="E1091" s="6" t="s">
        <v>9309</v>
      </c>
      <c r="F1091" s="6">
        <v>14.7879056055371</v>
      </c>
      <c r="G1091" s="6">
        <v>14.3697231619209</v>
      </c>
      <c r="H1091" s="6">
        <v>14.4006203624664</v>
      </c>
      <c r="I1091" s="6">
        <v>15.0566778018823</v>
      </c>
      <c r="J1091" s="6">
        <v>13.800049913427801</v>
      </c>
      <c r="K1091" s="6">
        <v>13.904003808373099</v>
      </c>
      <c r="L1091" s="6">
        <v>15.0809693087232</v>
      </c>
      <c r="M1091" s="6">
        <v>13.380639062543599</v>
      </c>
      <c r="N1091" s="6">
        <v>15.0614990161638</v>
      </c>
      <c r="O1091" s="6">
        <v>14.5463197316407</v>
      </c>
      <c r="P1091" s="6">
        <v>14.0325139620788</v>
      </c>
      <c r="Q1091" s="6" t="s">
        <v>6254</v>
      </c>
    </row>
    <row r="1092" spans="1:17">
      <c r="A1092" s="6" t="s">
        <v>9310</v>
      </c>
      <c r="B1092" s="6" t="s">
        <v>9311</v>
      </c>
      <c r="C1092" s="6" t="s">
        <v>9312</v>
      </c>
      <c r="D1092" s="6" t="s">
        <v>9313</v>
      </c>
      <c r="E1092" s="6" t="s">
        <v>9314</v>
      </c>
      <c r="F1092" s="6">
        <v>14.5281030161381</v>
      </c>
      <c r="G1092" s="6">
        <v>14.1583974112331</v>
      </c>
      <c r="H1092" s="6">
        <v>14.740896297910201</v>
      </c>
      <c r="I1092" s="6">
        <v>14.6917107306052</v>
      </c>
      <c r="J1092" s="6">
        <v>14.1850097676705</v>
      </c>
      <c r="K1092" s="6">
        <v>14.444026231423599</v>
      </c>
      <c r="L1092" s="6">
        <v>14.893423608705399</v>
      </c>
      <c r="M1092" s="6">
        <v>14.5414936472663</v>
      </c>
      <c r="N1092" s="6">
        <v>14.4310953588726</v>
      </c>
      <c r="O1092" s="6">
        <v>14.739771858815301</v>
      </c>
      <c r="P1092" s="6">
        <v>14.6465995421021</v>
      </c>
      <c r="Q1092" s="6" t="s">
        <v>6254</v>
      </c>
    </row>
    <row r="1093" spans="1:17">
      <c r="A1093" s="6" t="s">
        <v>3887</v>
      </c>
      <c r="B1093" s="6" t="s">
        <v>3887</v>
      </c>
      <c r="C1093" s="6" t="s">
        <v>9315</v>
      </c>
      <c r="D1093" s="6" t="s">
        <v>9316</v>
      </c>
      <c r="E1093" s="6" t="s">
        <v>9316</v>
      </c>
      <c r="F1093" s="6">
        <v>14.970663573439699</v>
      </c>
      <c r="G1093" s="6">
        <v>13.9690477536617</v>
      </c>
      <c r="H1093" s="6">
        <v>14.8141976810914</v>
      </c>
      <c r="I1093" s="6">
        <v>15.0588751215803</v>
      </c>
      <c r="J1093" s="6">
        <v>13.910879371253399</v>
      </c>
      <c r="K1093" s="6">
        <v>14.3765207588875</v>
      </c>
      <c r="L1093" s="6">
        <v>15.2782749933211</v>
      </c>
      <c r="M1093" s="6">
        <v>13.9844105250959</v>
      </c>
      <c r="N1093" s="6">
        <v>14.420606822835399</v>
      </c>
      <c r="O1093" s="6">
        <v>14.1000081497666</v>
      </c>
      <c r="P1093" s="6">
        <v>14.346626284916599</v>
      </c>
      <c r="Q1093" s="6">
        <v>13.4853463397179</v>
      </c>
    </row>
    <row r="1094" spans="1:17">
      <c r="A1094" s="6" t="s">
        <v>9317</v>
      </c>
      <c r="B1094" s="6" t="s">
        <v>9318</v>
      </c>
      <c r="C1094" s="6" t="s">
        <v>9319</v>
      </c>
      <c r="D1094" s="6" t="s">
        <v>9320</v>
      </c>
      <c r="E1094" s="6" t="s">
        <v>9321</v>
      </c>
      <c r="F1094" s="6">
        <v>14.8458866765812</v>
      </c>
      <c r="G1094" s="6">
        <v>14.3432474988461</v>
      </c>
      <c r="H1094" s="6">
        <v>14.6045863967364</v>
      </c>
      <c r="I1094" s="6">
        <v>15.0389890169001</v>
      </c>
      <c r="J1094" s="6">
        <v>13.769235136141001</v>
      </c>
      <c r="K1094" s="6">
        <v>14.4100913362018</v>
      </c>
      <c r="L1094" s="6">
        <v>14.832851790936701</v>
      </c>
      <c r="M1094" s="6" t="s">
        <v>6254</v>
      </c>
      <c r="N1094" s="6">
        <v>14.0764286876238</v>
      </c>
      <c r="O1094" s="6">
        <v>14.931813589969099</v>
      </c>
      <c r="P1094" s="6">
        <v>14.7846987482692</v>
      </c>
      <c r="Q1094" s="6">
        <v>12.8365097671155</v>
      </c>
    </row>
    <row r="1095" spans="1:17">
      <c r="A1095" s="6" t="s">
        <v>9322</v>
      </c>
      <c r="B1095" s="6" t="s">
        <v>9323</v>
      </c>
      <c r="C1095" s="6" t="s">
        <v>9324</v>
      </c>
      <c r="D1095" s="6" t="s">
        <v>9325</v>
      </c>
      <c r="E1095" s="6" t="s">
        <v>9326</v>
      </c>
      <c r="F1095" s="6">
        <v>15.5615729042634</v>
      </c>
      <c r="G1095" s="6">
        <v>14.3744436811062</v>
      </c>
      <c r="H1095" s="6">
        <v>14.5763552319859</v>
      </c>
      <c r="I1095" s="6">
        <v>15.423432445518101</v>
      </c>
      <c r="J1095" s="6">
        <v>14.332326533997501</v>
      </c>
      <c r="K1095" s="6">
        <v>14.8534534871239</v>
      </c>
      <c r="L1095" s="6">
        <v>15.2684143211735</v>
      </c>
      <c r="M1095" s="6">
        <v>15.393344546373299</v>
      </c>
      <c r="N1095" s="6">
        <v>13.5059909511711</v>
      </c>
      <c r="O1095" s="6" t="s">
        <v>6254</v>
      </c>
      <c r="P1095" s="6">
        <v>13.4106734894662</v>
      </c>
      <c r="Q1095" s="6">
        <v>10.3842234658546</v>
      </c>
    </row>
    <row r="1096" spans="1:17">
      <c r="A1096" s="6" t="s">
        <v>1324</v>
      </c>
      <c r="B1096" s="6" t="s">
        <v>1324</v>
      </c>
      <c r="C1096" s="6" t="s">
        <v>9327</v>
      </c>
      <c r="D1096" s="6" t="s">
        <v>9328</v>
      </c>
      <c r="E1096" s="6" t="s">
        <v>9328</v>
      </c>
      <c r="F1096" s="6">
        <v>14.847830176644701</v>
      </c>
      <c r="G1096" s="6">
        <v>14.553803893497999</v>
      </c>
      <c r="H1096" s="6">
        <v>14.4209595455526</v>
      </c>
      <c r="I1096" s="6">
        <v>15.207582822773899</v>
      </c>
      <c r="J1096" s="6">
        <v>14.085147742039499</v>
      </c>
      <c r="K1096" s="6">
        <v>14.0863534914828</v>
      </c>
      <c r="L1096" s="6">
        <v>15.185887478965901</v>
      </c>
      <c r="M1096" s="6">
        <v>13.7300044037624</v>
      </c>
      <c r="N1096" s="6">
        <v>13.5666750923137</v>
      </c>
      <c r="O1096" s="6">
        <v>14.6899082957505</v>
      </c>
      <c r="P1096" s="6">
        <v>14.4866350683932</v>
      </c>
      <c r="Q1096" s="6">
        <v>13.501590354093601</v>
      </c>
    </row>
    <row r="1097" spans="1:17">
      <c r="A1097" s="6" t="s">
        <v>3268</v>
      </c>
      <c r="B1097" s="6" t="s">
        <v>3268</v>
      </c>
      <c r="C1097" s="6" t="s">
        <v>9329</v>
      </c>
      <c r="D1097" s="6" t="s">
        <v>7980</v>
      </c>
      <c r="E1097" s="6" t="s">
        <v>7980</v>
      </c>
      <c r="F1097" s="6">
        <v>15.2518487493035</v>
      </c>
      <c r="G1097" s="6" t="s">
        <v>6254</v>
      </c>
      <c r="H1097" s="6">
        <v>13.8622777548134</v>
      </c>
      <c r="I1097" s="6">
        <v>15.617789022507001</v>
      </c>
      <c r="J1097" s="6">
        <v>13.815353853057401</v>
      </c>
      <c r="K1097" s="6">
        <v>14.0077772469878</v>
      </c>
      <c r="L1097" s="6">
        <v>14.9303693743017</v>
      </c>
      <c r="M1097" s="6">
        <v>13.6427449042394</v>
      </c>
      <c r="N1097" s="6">
        <v>14.414333304531</v>
      </c>
      <c r="O1097" s="6">
        <v>13.5344621092196</v>
      </c>
      <c r="P1097" s="6">
        <v>14.370218009296201</v>
      </c>
      <c r="Q1097" s="6">
        <v>13.639344802641499</v>
      </c>
    </row>
    <row r="1098" spans="1:17">
      <c r="A1098" s="6" t="s">
        <v>4627</v>
      </c>
      <c r="B1098" s="6" t="s">
        <v>4629</v>
      </c>
      <c r="C1098" s="6" t="s">
        <v>9330</v>
      </c>
      <c r="D1098" s="6" t="s">
        <v>9331</v>
      </c>
      <c r="E1098" s="6" t="s">
        <v>9332</v>
      </c>
      <c r="F1098" s="6">
        <v>14.807475482712601</v>
      </c>
      <c r="G1098" s="6">
        <v>14.2935267675328</v>
      </c>
      <c r="H1098" s="6">
        <v>14.4519972199697</v>
      </c>
      <c r="I1098" s="6">
        <v>14.8851266275447</v>
      </c>
      <c r="J1098" s="6" t="s">
        <v>6254</v>
      </c>
      <c r="K1098" s="6">
        <v>14.6906850017469</v>
      </c>
      <c r="L1098" s="6">
        <v>14.707800101848401</v>
      </c>
      <c r="M1098" s="6" t="s">
        <v>6254</v>
      </c>
      <c r="N1098" s="6">
        <v>13.6067840444271</v>
      </c>
      <c r="O1098" s="6">
        <v>14.5041060757118</v>
      </c>
      <c r="P1098" s="6">
        <v>14.4127503787373</v>
      </c>
      <c r="Q1098" s="6" t="s">
        <v>6254</v>
      </c>
    </row>
    <row r="1099" spans="1:17">
      <c r="A1099" s="6" t="s">
        <v>9333</v>
      </c>
      <c r="B1099" s="6" t="s">
        <v>9334</v>
      </c>
      <c r="C1099" s="6" t="s">
        <v>9335</v>
      </c>
      <c r="D1099" s="6" t="s">
        <v>9336</v>
      </c>
      <c r="E1099" s="6" t="s">
        <v>9337</v>
      </c>
      <c r="F1099" s="6">
        <v>15.037036015322199</v>
      </c>
      <c r="G1099" s="6">
        <v>14.332790960486401</v>
      </c>
      <c r="H1099" s="6">
        <v>14.9926439184185</v>
      </c>
      <c r="I1099" s="6">
        <v>15.076502944769601</v>
      </c>
      <c r="J1099" s="6">
        <v>13.749292878183301</v>
      </c>
      <c r="K1099" s="6">
        <v>14.5777998032118</v>
      </c>
      <c r="L1099" s="6">
        <v>15.2286850492761</v>
      </c>
      <c r="M1099" s="6">
        <v>13.516547060352901</v>
      </c>
      <c r="N1099" s="6">
        <v>14.3511629626803</v>
      </c>
      <c r="O1099" s="6">
        <v>15.0263364539767</v>
      </c>
      <c r="P1099" s="6">
        <v>15.070189354182499</v>
      </c>
      <c r="Q1099" s="6" t="s">
        <v>6254</v>
      </c>
    </row>
    <row r="1100" spans="1:17">
      <c r="A1100" s="6" t="s">
        <v>1814</v>
      </c>
      <c r="B1100" s="6" t="s">
        <v>1816</v>
      </c>
      <c r="C1100" s="6" t="s">
        <v>9338</v>
      </c>
      <c r="D1100" s="6" t="s">
        <v>9339</v>
      </c>
      <c r="E1100" s="6" t="s">
        <v>9340</v>
      </c>
      <c r="F1100" s="6">
        <v>14.9404019889972</v>
      </c>
      <c r="G1100" s="6">
        <v>14.6976553485704</v>
      </c>
      <c r="H1100" s="6">
        <v>14.460103322429701</v>
      </c>
      <c r="I1100" s="6">
        <v>14.8946923708368</v>
      </c>
      <c r="J1100" s="6">
        <v>13.471836393578799</v>
      </c>
      <c r="K1100" s="6">
        <v>14.320872581052599</v>
      </c>
      <c r="L1100" s="6">
        <v>14.701759822826499</v>
      </c>
      <c r="M1100" s="6">
        <v>13.601278906650901</v>
      </c>
      <c r="N1100" s="6">
        <v>13.908768758815</v>
      </c>
      <c r="O1100" s="6">
        <v>14.8441694366366</v>
      </c>
      <c r="P1100" s="6">
        <v>14.773602157867</v>
      </c>
      <c r="Q1100" s="6">
        <v>13.632169148565</v>
      </c>
    </row>
    <row r="1101" spans="1:17">
      <c r="A1101" s="6" t="s">
        <v>9341</v>
      </c>
      <c r="B1101" s="6" t="s">
        <v>9342</v>
      </c>
      <c r="C1101" s="6" t="s">
        <v>9343</v>
      </c>
      <c r="D1101" s="6" t="s">
        <v>9344</v>
      </c>
      <c r="E1101" s="6" t="s">
        <v>9345</v>
      </c>
      <c r="F1101" s="6">
        <v>14.9259050698429</v>
      </c>
      <c r="G1101" s="6">
        <v>14.268673938911901</v>
      </c>
      <c r="H1101" s="6">
        <v>14.692837106155</v>
      </c>
      <c r="I1101" s="6">
        <v>15.2201224246701</v>
      </c>
      <c r="J1101" s="6" t="s">
        <v>6254</v>
      </c>
      <c r="K1101" s="6">
        <v>14.240003587599199</v>
      </c>
      <c r="L1101" s="6">
        <v>15.1584590611773</v>
      </c>
      <c r="M1101" s="6">
        <v>13.7099465453338</v>
      </c>
      <c r="N1101" s="6">
        <v>15.1045842676034</v>
      </c>
      <c r="O1101" s="6">
        <v>14.124316932451</v>
      </c>
      <c r="P1101" s="6">
        <v>13.9119743955393</v>
      </c>
      <c r="Q1101" s="6">
        <v>12.684822098070001</v>
      </c>
    </row>
    <row r="1102" spans="1:17">
      <c r="A1102" s="6" t="s">
        <v>4321</v>
      </c>
      <c r="B1102" s="6" t="s">
        <v>4321</v>
      </c>
      <c r="C1102" s="6" t="s">
        <v>9346</v>
      </c>
      <c r="D1102" s="6" t="s">
        <v>9347</v>
      </c>
      <c r="E1102" s="6" t="s">
        <v>9347</v>
      </c>
      <c r="F1102" s="6">
        <v>14.6569013630527</v>
      </c>
      <c r="G1102" s="6">
        <v>13.7718121317971</v>
      </c>
      <c r="H1102" s="6">
        <v>14.3317264361037</v>
      </c>
      <c r="I1102" s="6">
        <v>15.132048886926301</v>
      </c>
      <c r="J1102" s="6">
        <v>13.4249701160687</v>
      </c>
      <c r="K1102" s="6">
        <v>14.3593920688786</v>
      </c>
      <c r="L1102" s="6">
        <v>15.096476635758499</v>
      </c>
      <c r="M1102" s="6">
        <v>13.881824916669601</v>
      </c>
      <c r="N1102" s="6">
        <v>13.2750673708188</v>
      </c>
      <c r="O1102" s="6">
        <v>14.6938894743448</v>
      </c>
      <c r="P1102" s="6">
        <v>14.703793808458199</v>
      </c>
      <c r="Q1102" s="6" t="s">
        <v>6254</v>
      </c>
    </row>
    <row r="1103" spans="1:17">
      <c r="A1103" s="6" t="s">
        <v>3319</v>
      </c>
      <c r="B1103" s="6" t="s">
        <v>3319</v>
      </c>
      <c r="C1103" s="6" t="s">
        <v>9348</v>
      </c>
      <c r="D1103" s="6" t="s">
        <v>9349</v>
      </c>
      <c r="E1103" s="6" t="s">
        <v>9349</v>
      </c>
      <c r="F1103" s="6" t="s">
        <v>6254</v>
      </c>
      <c r="G1103" s="6" t="s">
        <v>6254</v>
      </c>
      <c r="H1103" s="6">
        <v>15.199205746617301</v>
      </c>
      <c r="I1103" s="6">
        <v>15.624665780089501</v>
      </c>
      <c r="J1103" s="6">
        <v>14.327674346577099</v>
      </c>
      <c r="K1103" s="6">
        <v>14.741347256030499</v>
      </c>
      <c r="L1103" s="6">
        <v>15.4060284279252</v>
      </c>
      <c r="M1103" s="6">
        <v>14.2081685101194</v>
      </c>
      <c r="N1103" s="6">
        <v>14.882371562793301</v>
      </c>
      <c r="O1103" s="6">
        <v>14.0576731308829</v>
      </c>
      <c r="P1103" s="6">
        <v>13.426882098470699</v>
      </c>
      <c r="Q1103" s="6" t="s">
        <v>6254</v>
      </c>
    </row>
    <row r="1104" spans="1:17">
      <c r="A1104" s="6" t="s">
        <v>5003</v>
      </c>
      <c r="B1104" s="6" t="s">
        <v>5003</v>
      </c>
      <c r="C1104" s="6" t="s">
        <v>9350</v>
      </c>
      <c r="D1104" s="6" t="s">
        <v>9351</v>
      </c>
      <c r="E1104" s="6" t="s">
        <v>9351</v>
      </c>
      <c r="F1104" s="6">
        <v>14.8209758744489</v>
      </c>
      <c r="G1104" s="6">
        <v>13.8299782439898</v>
      </c>
      <c r="H1104" s="6">
        <v>14.308059302610401</v>
      </c>
      <c r="I1104" s="6">
        <v>15.626612381030499</v>
      </c>
      <c r="J1104" s="6">
        <v>13.7922449144382</v>
      </c>
      <c r="K1104" s="6">
        <v>14.550384015139301</v>
      </c>
      <c r="L1104" s="6">
        <v>15.182807194942299</v>
      </c>
      <c r="M1104" s="6">
        <v>14.0817779900667</v>
      </c>
      <c r="N1104" s="6">
        <v>13.903733828006899</v>
      </c>
      <c r="O1104" s="6">
        <v>14.1651570266823</v>
      </c>
      <c r="P1104" s="6">
        <v>14.116892848812</v>
      </c>
      <c r="Q1104" s="6">
        <v>13.8267029384357</v>
      </c>
    </row>
    <row r="1105" spans="1:17">
      <c r="A1105" s="6" t="s">
        <v>1738</v>
      </c>
      <c r="B1105" s="6" t="s">
        <v>1738</v>
      </c>
      <c r="C1105" s="6" t="s">
        <v>9352</v>
      </c>
      <c r="D1105" s="6" t="s">
        <v>9353</v>
      </c>
      <c r="E1105" s="6" t="s">
        <v>9353</v>
      </c>
      <c r="F1105" s="6">
        <v>14.888418499542899</v>
      </c>
      <c r="G1105" s="6">
        <v>14.255707902510499</v>
      </c>
      <c r="H1105" s="6">
        <v>14.425855405657099</v>
      </c>
      <c r="I1105" s="6">
        <v>15.275715441356899</v>
      </c>
      <c r="J1105" s="6">
        <v>13.7545715210788</v>
      </c>
      <c r="K1105" s="6">
        <v>14.3549304652588</v>
      </c>
      <c r="L1105" s="6">
        <v>15.142293091951901</v>
      </c>
      <c r="M1105" s="6">
        <v>13.584722194598299</v>
      </c>
      <c r="N1105" s="6">
        <v>13.9783091425805</v>
      </c>
      <c r="O1105" s="6">
        <v>14.892440248309899</v>
      </c>
      <c r="P1105" s="6">
        <v>14.4893401324398</v>
      </c>
      <c r="Q1105" s="6">
        <v>13.666416064201</v>
      </c>
    </row>
    <row r="1106" spans="1:17">
      <c r="A1106" s="6" t="s">
        <v>706</v>
      </c>
      <c r="B1106" s="6" t="s">
        <v>706</v>
      </c>
      <c r="C1106" s="6" t="s">
        <v>9354</v>
      </c>
      <c r="D1106" s="6" t="s">
        <v>9355</v>
      </c>
      <c r="E1106" s="6" t="s">
        <v>9355</v>
      </c>
      <c r="F1106" s="6">
        <v>14.989006441830201</v>
      </c>
      <c r="G1106" s="6">
        <v>14.4255761913551</v>
      </c>
      <c r="H1106" s="6">
        <v>14.398378778838399</v>
      </c>
      <c r="I1106" s="6">
        <v>15.152833767648101</v>
      </c>
      <c r="J1106" s="6">
        <v>13.4337944657292</v>
      </c>
      <c r="K1106" s="6">
        <v>14.4081315921069</v>
      </c>
      <c r="L1106" s="6">
        <v>15.0185660884298</v>
      </c>
      <c r="M1106" s="6">
        <v>13.311062686441099</v>
      </c>
      <c r="N1106" s="6">
        <v>14.3107576352843</v>
      </c>
      <c r="O1106" s="6">
        <v>15.1075184201736</v>
      </c>
      <c r="P1106" s="6">
        <v>14.7199302730592</v>
      </c>
      <c r="Q1106" s="6">
        <v>13.1317183488684</v>
      </c>
    </row>
    <row r="1107" spans="1:17">
      <c r="A1107" s="6" t="s">
        <v>3303</v>
      </c>
      <c r="B1107" s="6" t="s">
        <v>3303</v>
      </c>
      <c r="C1107" s="6" t="s">
        <v>9356</v>
      </c>
      <c r="D1107" s="6" t="s">
        <v>9357</v>
      </c>
      <c r="E1107" s="6" t="s">
        <v>9357</v>
      </c>
      <c r="F1107" s="6">
        <v>15.0289196806256</v>
      </c>
      <c r="G1107" s="6">
        <v>13.7501775086091</v>
      </c>
      <c r="H1107" s="6">
        <v>14.555240471909899</v>
      </c>
      <c r="I1107" s="6">
        <v>14.9256427423517</v>
      </c>
      <c r="J1107" s="6">
        <v>13.549634833587801</v>
      </c>
      <c r="K1107" s="6">
        <v>14.556015533111401</v>
      </c>
      <c r="L1107" s="6">
        <v>15.284747114352299</v>
      </c>
      <c r="M1107" s="6">
        <v>13.531797792021599</v>
      </c>
      <c r="N1107" s="6">
        <v>14.516730160374401</v>
      </c>
      <c r="O1107" s="6">
        <v>14.708055842775201</v>
      </c>
      <c r="P1107" s="6">
        <v>14.4695335464012</v>
      </c>
      <c r="Q1107" s="6">
        <v>12.989277270151</v>
      </c>
    </row>
    <row r="1108" spans="1:17">
      <c r="A1108" s="6" t="s">
        <v>9358</v>
      </c>
      <c r="B1108" s="6" t="s">
        <v>9359</v>
      </c>
      <c r="C1108" s="6" t="s">
        <v>9360</v>
      </c>
      <c r="D1108" s="6" t="s">
        <v>9361</v>
      </c>
      <c r="E1108" s="6" t="s">
        <v>9362</v>
      </c>
      <c r="F1108" s="6">
        <v>14.0525082584701</v>
      </c>
      <c r="G1108" s="6">
        <v>13.804844358731399</v>
      </c>
      <c r="H1108" s="6">
        <v>14.3342002338906</v>
      </c>
      <c r="I1108" s="6">
        <v>14.4195824119309</v>
      </c>
      <c r="J1108" s="6" t="s">
        <v>6254</v>
      </c>
      <c r="K1108" s="6" t="s">
        <v>6254</v>
      </c>
      <c r="L1108" s="6">
        <v>14.534755158411199</v>
      </c>
      <c r="M1108" s="6" t="s">
        <v>6254</v>
      </c>
      <c r="N1108" s="6" t="s">
        <v>6254</v>
      </c>
      <c r="O1108" s="6">
        <v>14.148222891788601</v>
      </c>
      <c r="P1108" s="6">
        <v>15.1235133355587</v>
      </c>
      <c r="Q1108" s="6" t="s">
        <v>6254</v>
      </c>
    </row>
    <row r="1109" spans="1:17">
      <c r="A1109" s="6" t="s">
        <v>2927</v>
      </c>
      <c r="B1109" s="6" t="s">
        <v>2927</v>
      </c>
      <c r="C1109" s="6" t="s">
        <v>9363</v>
      </c>
      <c r="D1109" s="6" t="s">
        <v>9364</v>
      </c>
      <c r="E1109" s="6" t="s">
        <v>9364</v>
      </c>
      <c r="F1109" s="6">
        <v>14.864208269559599</v>
      </c>
      <c r="G1109" s="6">
        <v>14.274270193723201</v>
      </c>
      <c r="H1109" s="6">
        <v>14.456576499715601</v>
      </c>
      <c r="I1109" s="6">
        <v>15.115939059583001</v>
      </c>
      <c r="J1109" s="6">
        <v>13.627333256520499</v>
      </c>
      <c r="K1109" s="6">
        <v>14.2227080541939</v>
      </c>
      <c r="L1109" s="6">
        <v>14.847561180853999</v>
      </c>
      <c r="M1109" s="6">
        <v>13.650267386784799</v>
      </c>
      <c r="N1109" s="6">
        <v>14.2309981361827</v>
      </c>
      <c r="O1109" s="6">
        <v>14.3463547081817</v>
      </c>
      <c r="P1109" s="6">
        <v>14.678100049197401</v>
      </c>
      <c r="Q1109" s="6" t="s">
        <v>6254</v>
      </c>
    </row>
    <row r="1110" spans="1:17">
      <c r="A1110" s="6" t="s">
        <v>9365</v>
      </c>
      <c r="B1110" s="6" t="s">
        <v>9366</v>
      </c>
      <c r="C1110" s="6" t="s">
        <v>9367</v>
      </c>
      <c r="D1110" s="6" t="s">
        <v>9368</v>
      </c>
      <c r="E1110" s="6" t="s">
        <v>9369</v>
      </c>
      <c r="F1110" s="6">
        <v>15.236725053659599</v>
      </c>
      <c r="G1110" s="6">
        <v>14.055199979702101</v>
      </c>
      <c r="H1110" s="6">
        <v>14.7014687914142</v>
      </c>
      <c r="I1110" s="6">
        <v>15.498428181396299</v>
      </c>
      <c r="J1110" s="6">
        <v>14.0819223523341</v>
      </c>
      <c r="K1110" s="6">
        <v>14.659356396726301</v>
      </c>
      <c r="L1110" s="6">
        <v>15.1548142137935</v>
      </c>
      <c r="M1110" s="6">
        <v>13.709787743805</v>
      </c>
      <c r="N1110" s="6">
        <v>14.155394552060899</v>
      </c>
      <c r="O1110" s="6">
        <v>14.691873196610899</v>
      </c>
      <c r="P1110" s="6">
        <v>14.6417447863346</v>
      </c>
      <c r="Q1110" s="6">
        <v>12.915571152061499</v>
      </c>
    </row>
    <row r="1111" spans="1:17">
      <c r="A1111" s="6" t="s">
        <v>9370</v>
      </c>
      <c r="B1111" s="6" t="s">
        <v>3442</v>
      </c>
      <c r="C1111" s="6" t="s">
        <v>9371</v>
      </c>
      <c r="D1111" s="6" t="s">
        <v>9372</v>
      </c>
      <c r="E1111" s="6" t="s">
        <v>9373</v>
      </c>
      <c r="F1111" s="6">
        <v>15.264903667230399</v>
      </c>
      <c r="G1111" s="6">
        <v>14.8158676649869</v>
      </c>
      <c r="H1111" s="6">
        <v>14.379975387964</v>
      </c>
      <c r="I1111" s="6">
        <v>15.007492199848601</v>
      </c>
      <c r="J1111" s="6">
        <v>13.439903495097299</v>
      </c>
      <c r="K1111" s="6">
        <v>14.0925909159245</v>
      </c>
      <c r="L1111" s="6">
        <v>14.9507792985703</v>
      </c>
      <c r="M1111" s="6">
        <v>13.441477142128599</v>
      </c>
      <c r="N1111" s="6">
        <v>14.115987715316599</v>
      </c>
      <c r="O1111" s="6">
        <v>14.786667137297201</v>
      </c>
      <c r="P1111" s="6">
        <v>14.6305587082587</v>
      </c>
      <c r="Q1111" s="6">
        <v>11.999496898795799</v>
      </c>
    </row>
    <row r="1112" spans="1:17">
      <c r="A1112" s="6" t="s">
        <v>3075</v>
      </c>
      <c r="B1112" s="6" t="s">
        <v>3075</v>
      </c>
      <c r="C1112" s="6" t="s">
        <v>9374</v>
      </c>
      <c r="D1112" s="6" t="s">
        <v>9375</v>
      </c>
      <c r="E1112" s="6" t="s">
        <v>9375</v>
      </c>
      <c r="F1112" s="6">
        <v>15.317494300005301</v>
      </c>
      <c r="G1112" s="6">
        <v>14.3684926528293</v>
      </c>
      <c r="H1112" s="6">
        <v>14.2682718085431</v>
      </c>
      <c r="I1112" s="6">
        <v>15.115817499064599</v>
      </c>
      <c r="J1112" s="6">
        <v>13.8092867106652</v>
      </c>
      <c r="K1112" s="6">
        <v>14.381485227612099</v>
      </c>
      <c r="L1112" s="6">
        <v>14.949239726622</v>
      </c>
      <c r="M1112" s="6">
        <v>13.6235712106284</v>
      </c>
      <c r="N1112" s="6">
        <v>14.026797697968499</v>
      </c>
      <c r="O1112" s="6">
        <v>14.674709692368699</v>
      </c>
      <c r="P1112" s="6">
        <v>14.9246981894652</v>
      </c>
      <c r="Q1112" s="6">
        <v>13.0711030432846</v>
      </c>
    </row>
    <row r="1113" spans="1:17">
      <c r="A1113" s="6" t="s">
        <v>9376</v>
      </c>
      <c r="B1113" s="6" t="s">
        <v>2606</v>
      </c>
      <c r="C1113" s="6" t="s">
        <v>9377</v>
      </c>
      <c r="D1113" s="6" t="s">
        <v>9378</v>
      </c>
      <c r="E1113" s="6" t="s">
        <v>9379</v>
      </c>
      <c r="F1113" s="6">
        <v>15.337925479352</v>
      </c>
      <c r="G1113" s="6">
        <v>14.5451294052911</v>
      </c>
      <c r="H1113" s="6">
        <v>14.7918455961563</v>
      </c>
      <c r="I1113" s="6">
        <v>15.2023350682162</v>
      </c>
      <c r="J1113" s="6">
        <v>13.666506777322301</v>
      </c>
      <c r="K1113" s="6">
        <v>15.2178642184449</v>
      </c>
      <c r="L1113" s="6">
        <v>15.1936529429345</v>
      </c>
      <c r="M1113" s="6">
        <v>13.4633595421706</v>
      </c>
      <c r="N1113" s="6">
        <v>14.5980398330315</v>
      </c>
      <c r="O1113" s="6">
        <v>14.936425566852799</v>
      </c>
      <c r="P1113" s="6">
        <v>14.1845066143162</v>
      </c>
      <c r="Q1113" s="6">
        <v>9.9333600699497193</v>
      </c>
    </row>
    <row r="1114" spans="1:17">
      <c r="A1114" s="6" t="s">
        <v>2075</v>
      </c>
      <c r="B1114" s="6" t="s">
        <v>2075</v>
      </c>
      <c r="C1114" s="6" t="s">
        <v>9380</v>
      </c>
      <c r="D1114" s="6" t="s">
        <v>9381</v>
      </c>
      <c r="E1114" s="6" t="s">
        <v>9381</v>
      </c>
      <c r="F1114" s="6">
        <v>15.358888797664999</v>
      </c>
      <c r="G1114" s="6">
        <v>14.7698453362473</v>
      </c>
      <c r="H1114" s="6">
        <v>14.202105085777101</v>
      </c>
      <c r="I1114" s="6">
        <v>15.0812112430265</v>
      </c>
      <c r="J1114" s="6">
        <v>13.731933955232099</v>
      </c>
      <c r="K1114" s="6">
        <v>14.405836488794399</v>
      </c>
      <c r="L1114" s="6">
        <v>14.8343261742086</v>
      </c>
      <c r="M1114" s="6">
        <v>13.101406154519699</v>
      </c>
      <c r="N1114" s="6">
        <v>13.5428720852419</v>
      </c>
      <c r="O1114" s="6">
        <v>14.274065759747799</v>
      </c>
      <c r="P1114" s="6">
        <v>14.2571798220866</v>
      </c>
      <c r="Q1114" s="6">
        <v>13.463891651349</v>
      </c>
    </row>
    <row r="1115" spans="1:17">
      <c r="A1115" s="6" t="s">
        <v>975</v>
      </c>
      <c r="B1115" s="6" t="s">
        <v>975</v>
      </c>
      <c r="C1115" s="6" t="s">
        <v>9382</v>
      </c>
      <c r="D1115" s="6" t="s">
        <v>9383</v>
      </c>
      <c r="E1115" s="6" t="s">
        <v>9383</v>
      </c>
      <c r="F1115" s="6">
        <v>14.696549108020401</v>
      </c>
      <c r="G1115" s="6">
        <v>14.2372084575515</v>
      </c>
      <c r="H1115" s="6">
        <v>14.5538174135954</v>
      </c>
      <c r="I1115" s="6">
        <v>14.6952933966244</v>
      </c>
      <c r="J1115" s="6">
        <v>13.4307621590885</v>
      </c>
      <c r="K1115" s="6">
        <v>13.851966095745601</v>
      </c>
      <c r="L1115" s="6">
        <v>14.974621614769401</v>
      </c>
      <c r="M1115" s="6">
        <v>13.444248354978701</v>
      </c>
      <c r="N1115" s="6">
        <v>14.489360712021201</v>
      </c>
      <c r="O1115" s="6">
        <v>14.9125529979097</v>
      </c>
      <c r="P1115" s="6">
        <v>14.455639915649501</v>
      </c>
      <c r="Q1115" s="6">
        <v>13.2087033866868</v>
      </c>
    </row>
    <row r="1116" spans="1:17">
      <c r="A1116" s="6" t="s">
        <v>9384</v>
      </c>
      <c r="B1116" s="6" t="s">
        <v>9385</v>
      </c>
      <c r="C1116" s="6" t="s">
        <v>9386</v>
      </c>
      <c r="D1116" s="6" t="s">
        <v>9387</v>
      </c>
      <c r="E1116" s="6" t="s">
        <v>9388</v>
      </c>
      <c r="F1116" s="6" t="s">
        <v>6254</v>
      </c>
      <c r="G1116" s="6" t="s">
        <v>6254</v>
      </c>
      <c r="H1116" s="6">
        <v>14.743087421936</v>
      </c>
      <c r="I1116" s="6">
        <v>15.0814392380263</v>
      </c>
      <c r="J1116" s="6">
        <v>13.931125016048901</v>
      </c>
      <c r="K1116" s="6">
        <v>14.2459560142948</v>
      </c>
      <c r="L1116" s="6">
        <v>14.5361133466689</v>
      </c>
      <c r="M1116" s="6" t="s">
        <v>6254</v>
      </c>
      <c r="N1116" s="6">
        <v>13.9879841861476</v>
      </c>
      <c r="O1116" s="6">
        <v>14.6570058334243</v>
      </c>
      <c r="P1116" s="6">
        <v>14.9524956247548</v>
      </c>
      <c r="Q1116" s="6" t="s">
        <v>6254</v>
      </c>
    </row>
    <row r="1117" spans="1:17">
      <c r="A1117" s="6" t="s">
        <v>4271</v>
      </c>
      <c r="B1117" s="6" t="s">
        <v>4271</v>
      </c>
      <c r="C1117" s="6" t="s">
        <v>9389</v>
      </c>
      <c r="D1117" s="6" t="s">
        <v>9390</v>
      </c>
      <c r="E1117" s="6" t="s">
        <v>9390</v>
      </c>
      <c r="F1117" s="6">
        <v>14.7007308577844</v>
      </c>
      <c r="G1117" s="6">
        <v>13.944171041156</v>
      </c>
      <c r="H1117" s="6">
        <v>14.258074552992699</v>
      </c>
      <c r="I1117" s="6">
        <v>14.8506380007969</v>
      </c>
      <c r="J1117" s="6">
        <v>13.58297501975</v>
      </c>
      <c r="K1117" s="6">
        <v>14.007071356153601</v>
      </c>
      <c r="L1117" s="6" t="s">
        <v>6254</v>
      </c>
      <c r="M1117" s="6">
        <v>13.594534348398801</v>
      </c>
      <c r="N1117" s="6">
        <v>14.560743073532199</v>
      </c>
      <c r="O1117" s="6">
        <v>14.4365542081692</v>
      </c>
      <c r="P1117" s="6">
        <v>16.186795001478899</v>
      </c>
      <c r="Q1117" s="6" t="s">
        <v>6254</v>
      </c>
    </row>
    <row r="1118" spans="1:17">
      <c r="A1118" s="6" t="s">
        <v>3180</v>
      </c>
      <c r="B1118" s="6" t="s">
        <v>3182</v>
      </c>
      <c r="C1118" s="6" t="s">
        <v>9391</v>
      </c>
      <c r="D1118" s="6" t="s">
        <v>9392</v>
      </c>
      <c r="E1118" s="6" t="s">
        <v>9393</v>
      </c>
      <c r="F1118" s="6">
        <v>14.596182521206099</v>
      </c>
      <c r="G1118" s="6">
        <v>14.3411488082203</v>
      </c>
      <c r="H1118" s="6">
        <v>14.749677631080999</v>
      </c>
      <c r="I1118" s="6">
        <v>14.9025492575143</v>
      </c>
      <c r="J1118" s="6">
        <v>13.3167049237586</v>
      </c>
      <c r="K1118" s="6">
        <v>14.4546045031581</v>
      </c>
      <c r="L1118" s="6">
        <v>14.936077519501501</v>
      </c>
      <c r="M1118" s="6">
        <v>13.989976660251299</v>
      </c>
      <c r="N1118" s="6">
        <v>14.262001249260599</v>
      </c>
      <c r="O1118" s="6">
        <v>14.299172537120199</v>
      </c>
      <c r="P1118" s="6">
        <v>14.4182920409835</v>
      </c>
      <c r="Q1118" s="6" t="s">
        <v>6254</v>
      </c>
    </row>
    <row r="1119" spans="1:17">
      <c r="A1119" s="6" t="s">
        <v>779</v>
      </c>
      <c r="B1119" s="6" t="s">
        <v>779</v>
      </c>
      <c r="C1119" s="6" t="s">
        <v>9394</v>
      </c>
      <c r="D1119" s="6" t="s">
        <v>9395</v>
      </c>
      <c r="E1119" s="6" t="s">
        <v>9395</v>
      </c>
      <c r="F1119" s="6">
        <v>12.619289514090299</v>
      </c>
      <c r="G1119" s="6">
        <v>14.7474863461212</v>
      </c>
      <c r="H1119" s="6">
        <v>14.3519939678306</v>
      </c>
      <c r="I1119" s="6">
        <v>13.46489787925</v>
      </c>
      <c r="J1119" s="6">
        <v>14.0469952612236</v>
      </c>
      <c r="K1119" s="6">
        <v>13.406404326989801</v>
      </c>
      <c r="L1119" s="6">
        <v>14.485311491052199</v>
      </c>
      <c r="M1119" s="6">
        <v>14.2524718797884</v>
      </c>
      <c r="N1119" s="6">
        <v>14.570361399143801</v>
      </c>
      <c r="O1119" s="6">
        <v>14.3042294374302</v>
      </c>
      <c r="P1119" s="6">
        <v>14.1953330454342</v>
      </c>
      <c r="Q1119" s="6">
        <v>15.594746049834701</v>
      </c>
    </row>
    <row r="1120" spans="1:17">
      <c r="A1120" s="6" t="s">
        <v>9396</v>
      </c>
      <c r="B1120" s="6" t="s">
        <v>2810</v>
      </c>
      <c r="C1120" s="6" t="s">
        <v>9397</v>
      </c>
      <c r="D1120" s="6" t="s">
        <v>9398</v>
      </c>
      <c r="E1120" s="6" t="s">
        <v>9399</v>
      </c>
      <c r="F1120" s="6">
        <v>14.7595765528208</v>
      </c>
      <c r="G1120" s="6">
        <v>14.156277256714001</v>
      </c>
      <c r="H1120" s="6">
        <v>14.579452612992</v>
      </c>
      <c r="I1120" s="6">
        <v>14.9414717822631</v>
      </c>
      <c r="J1120" s="6">
        <v>13.6510773911213</v>
      </c>
      <c r="K1120" s="6">
        <v>13.8519343401585</v>
      </c>
      <c r="L1120" s="6">
        <v>15.158022861964101</v>
      </c>
      <c r="M1120" s="6" t="s">
        <v>6254</v>
      </c>
      <c r="N1120" s="6">
        <v>15.0567164554756</v>
      </c>
      <c r="O1120" s="6">
        <v>14.3600730789226</v>
      </c>
      <c r="P1120" s="6">
        <v>13.706081376393501</v>
      </c>
      <c r="Q1120" s="6">
        <v>12.9658115817412</v>
      </c>
    </row>
    <row r="1121" spans="1:17">
      <c r="A1121" s="6" t="s">
        <v>562</v>
      </c>
      <c r="B1121" s="6" t="s">
        <v>562</v>
      </c>
      <c r="C1121" s="6" t="s">
        <v>9400</v>
      </c>
      <c r="D1121" s="6" t="s">
        <v>9401</v>
      </c>
      <c r="E1121" s="6" t="s">
        <v>9401</v>
      </c>
      <c r="F1121" s="6">
        <v>14.906419828042599</v>
      </c>
      <c r="G1121" s="6">
        <v>14.2589293877038</v>
      </c>
      <c r="H1121" s="6">
        <v>14.707337752022299</v>
      </c>
      <c r="I1121" s="6">
        <v>15.0427284952726</v>
      </c>
      <c r="J1121" s="6">
        <v>12.3093532166333</v>
      </c>
      <c r="K1121" s="6">
        <v>14.297479249583899</v>
      </c>
      <c r="L1121" s="6">
        <v>14.9583986338043</v>
      </c>
      <c r="M1121" s="6">
        <v>13.173624881096501</v>
      </c>
      <c r="N1121" s="6">
        <v>14.4609146848424</v>
      </c>
      <c r="O1121" s="6">
        <v>14.3409177314921</v>
      </c>
      <c r="P1121" s="6">
        <v>15.036110595740899</v>
      </c>
      <c r="Q1121" s="6">
        <v>12.6996929958593</v>
      </c>
    </row>
    <row r="1122" spans="1:17">
      <c r="A1122" s="6" t="s">
        <v>4718</v>
      </c>
      <c r="B1122" s="6" t="s">
        <v>4718</v>
      </c>
      <c r="C1122" s="6" t="s">
        <v>9402</v>
      </c>
      <c r="D1122" s="6" t="s">
        <v>9403</v>
      </c>
      <c r="E1122" s="6" t="s">
        <v>9403</v>
      </c>
      <c r="F1122" s="6">
        <v>14.927114650532101</v>
      </c>
      <c r="G1122" s="6" t="s">
        <v>6254</v>
      </c>
      <c r="H1122" s="6">
        <v>14.554350349918799</v>
      </c>
      <c r="I1122" s="6">
        <v>14.997058592489299</v>
      </c>
      <c r="J1122" s="6">
        <v>13.910685776564</v>
      </c>
      <c r="K1122" s="6">
        <v>13.914864838027301</v>
      </c>
      <c r="L1122" s="6">
        <v>14.9346431994183</v>
      </c>
      <c r="M1122" s="6">
        <v>12.8740207426608</v>
      </c>
      <c r="N1122" s="6">
        <v>14.705515165361501</v>
      </c>
      <c r="O1122" s="6">
        <v>14.982297838483399</v>
      </c>
      <c r="P1122" s="6">
        <v>14.179103229847501</v>
      </c>
      <c r="Q1122" s="6">
        <v>13.4356306739973</v>
      </c>
    </row>
    <row r="1123" spans="1:17">
      <c r="A1123" s="6" t="s">
        <v>3101</v>
      </c>
      <c r="B1123" s="6" t="s">
        <v>3101</v>
      </c>
      <c r="C1123" s="6" t="s">
        <v>9404</v>
      </c>
      <c r="D1123" s="6" t="s">
        <v>9405</v>
      </c>
      <c r="E1123" s="6" t="s">
        <v>9405</v>
      </c>
      <c r="F1123" s="6">
        <v>14.4734322959384</v>
      </c>
      <c r="G1123" s="6">
        <v>15.3147976181956</v>
      </c>
      <c r="H1123" s="6">
        <v>13.49202979817</v>
      </c>
      <c r="I1123" s="6">
        <v>15.751504050073301</v>
      </c>
      <c r="J1123" s="6">
        <v>14.242396760991401</v>
      </c>
      <c r="K1123" s="6">
        <v>14.666722031400701</v>
      </c>
      <c r="L1123" s="6">
        <v>14.852841026774801</v>
      </c>
      <c r="M1123" s="6">
        <v>13.446823773048701</v>
      </c>
      <c r="N1123" s="6">
        <v>13.7041743394319</v>
      </c>
      <c r="O1123" s="6">
        <v>15.002085952535101</v>
      </c>
      <c r="P1123" s="6">
        <v>14.819462385955401</v>
      </c>
      <c r="Q1123" s="6">
        <v>13.0615651502477</v>
      </c>
    </row>
    <row r="1124" spans="1:17">
      <c r="A1124" s="6" t="s">
        <v>1013</v>
      </c>
      <c r="B1124" s="6" t="s">
        <v>1013</v>
      </c>
      <c r="C1124" s="6" t="s">
        <v>9406</v>
      </c>
      <c r="D1124" s="6" t="s">
        <v>9407</v>
      </c>
      <c r="E1124" s="6" t="s">
        <v>9407</v>
      </c>
      <c r="F1124" s="6">
        <v>15.057791690737201</v>
      </c>
      <c r="G1124" s="6">
        <v>14.336172080902299</v>
      </c>
      <c r="H1124" s="6">
        <v>14.376174404092801</v>
      </c>
      <c r="I1124" s="6">
        <v>15.144028656484601</v>
      </c>
      <c r="J1124" s="6">
        <v>13.740888847780299</v>
      </c>
      <c r="K1124" s="6">
        <v>14.3068592025732</v>
      </c>
      <c r="L1124" s="6">
        <v>14.818737643722899</v>
      </c>
      <c r="M1124" s="6">
        <v>13.6367551872866</v>
      </c>
      <c r="N1124" s="6">
        <v>14.4517877093261</v>
      </c>
      <c r="O1124" s="6">
        <v>15.0479993538841</v>
      </c>
      <c r="P1124" s="6">
        <v>14.7298365068464</v>
      </c>
      <c r="Q1124" s="6">
        <v>13.1596380323021</v>
      </c>
    </row>
    <row r="1125" spans="1:17">
      <c r="A1125" s="6" t="s">
        <v>9408</v>
      </c>
      <c r="B1125" s="6" t="s">
        <v>9408</v>
      </c>
      <c r="C1125" s="6" t="s">
        <v>9409</v>
      </c>
      <c r="D1125" s="6" t="s">
        <v>9410</v>
      </c>
      <c r="E1125" s="6" t="s">
        <v>9410</v>
      </c>
      <c r="F1125" s="6">
        <v>14.042850596786501</v>
      </c>
      <c r="G1125" s="6">
        <v>13.8822026339933</v>
      </c>
      <c r="H1125" s="6">
        <v>14.3455013284049</v>
      </c>
      <c r="I1125" s="6">
        <v>14.952287558276501</v>
      </c>
      <c r="J1125" s="6" t="s">
        <v>6254</v>
      </c>
      <c r="K1125" s="6" t="s">
        <v>6254</v>
      </c>
      <c r="L1125" s="6">
        <v>15.0898493119855</v>
      </c>
      <c r="M1125" s="6" t="s">
        <v>6254</v>
      </c>
      <c r="N1125" s="6">
        <v>15.161426604485699</v>
      </c>
      <c r="O1125" s="6">
        <v>14.565922537464299</v>
      </c>
      <c r="P1125" s="6">
        <v>14.2484656134123</v>
      </c>
      <c r="Q1125" s="6" t="s">
        <v>6254</v>
      </c>
    </row>
    <row r="1126" spans="1:17">
      <c r="A1126" s="6" t="s">
        <v>9411</v>
      </c>
      <c r="B1126" s="6" t="s">
        <v>9412</v>
      </c>
      <c r="C1126" s="6" t="s">
        <v>9413</v>
      </c>
      <c r="D1126" s="6" t="s">
        <v>9414</v>
      </c>
      <c r="E1126" s="6" t="s">
        <v>9415</v>
      </c>
      <c r="F1126" s="6">
        <v>15.0148088339295</v>
      </c>
      <c r="G1126" s="6">
        <v>14.3830392734792</v>
      </c>
      <c r="H1126" s="6">
        <v>14.6546235388321</v>
      </c>
      <c r="I1126" s="6">
        <v>15.1738890490616</v>
      </c>
      <c r="J1126" s="6">
        <v>13.8337277086685</v>
      </c>
      <c r="K1126" s="6">
        <v>14.312221170937701</v>
      </c>
      <c r="L1126" s="6">
        <v>14.744747877493401</v>
      </c>
      <c r="M1126" s="6">
        <v>13.894730708509501</v>
      </c>
      <c r="N1126" s="6">
        <v>14.501573969171201</v>
      </c>
      <c r="O1126" s="6">
        <v>14.599934729601699</v>
      </c>
      <c r="P1126" s="6">
        <v>14.8628342117734</v>
      </c>
      <c r="Q1126" s="6">
        <v>13.217504683053701</v>
      </c>
    </row>
    <row r="1127" spans="1:17">
      <c r="A1127" s="6" t="s">
        <v>1692</v>
      </c>
      <c r="B1127" s="6" t="s">
        <v>1692</v>
      </c>
      <c r="C1127" s="6" t="s">
        <v>9416</v>
      </c>
      <c r="D1127" s="6" t="s">
        <v>9417</v>
      </c>
      <c r="E1127" s="6" t="s">
        <v>9417</v>
      </c>
      <c r="F1127" s="6">
        <v>14.6834096439269</v>
      </c>
      <c r="G1127" s="6">
        <v>14.3224992410076</v>
      </c>
      <c r="H1127" s="6">
        <v>14.4738058767973</v>
      </c>
      <c r="I1127" s="6">
        <v>15.117003470669699</v>
      </c>
      <c r="J1127" s="6">
        <v>13.4751287012555</v>
      </c>
      <c r="K1127" s="6">
        <v>14.455761965461599</v>
      </c>
      <c r="L1127" s="6">
        <v>15.136174647078001</v>
      </c>
      <c r="M1127" s="6">
        <v>13.593139398808599</v>
      </c>
      <c r="N1127" s="6">
        <v>14.1613999911156</v>
      </c>
      <c r="O1127" s="6">
        <v>14.8553671614902</v>
      </c>
      <c r="P1127" s="6">
        <v>14.751531886454</v>
      </c>
      <c r="Q1127" s="6">
        <v>12.967570870816999</v>
      </c>
    </row>
    <row r="1128" spans="1:17">
      <c r="A1128" s="6" t="s">
        <v>2123</v>
      </c>
      <c r="B1128" s="6" t="s">
        <v>2125</v>
      </c>
      <c r="C1128" s="6" t="s">
        <v>9418</v>
      </c>
      <c r="D1128" s="6" t="s">
        <v>9419</v>
      </c>
      <c r="E1128" s="6" t="s">
        <v>9420</v>
      </c>
      <c r="F1128" s="6">
        <v>14.611726980434501</v>
      </c>
      <c r="G1128" s="6">
        <v>14.4067522651328</v>
      </c>
      <c r="H1128" s="6">
        <v>14.183305643110099</v>
      </c>
      <c r="I1128" s="6">
        <v>15.0082080505025</v>
      </c>
      <c r="J1128" s="6" t="s">
        <v>6254</v>
      </c>
      <c r="K1128" s="6">
        <v>13.953360572236701</v>
      </c>
      <c r="L1128" s="6">
        <v>14.7800106629137</v>
      </c>
      <c r="M1128" s="6">
        <v>13.5893382715273</v>
      </c>
      <c r="N1128" s="6" t="s">
        <v>6254</v>
      </c>
      <c r="O1128" s="6">
        <v>14.828601197944201</v>
      </c>
      <c r="P1128" s="6">
        <v>14.683966410958099</v>
      </c>
      <c r="Q1128" s="6" t="s">
        <v>6254</v>
      </c>
    </row>
    <row r="1129" spans="1:17">
      <c r="A1129" s="6" t="s">
        <v>3550</v>
      </c>
      <c r="B1129" s="6" t="s">
        <v>3550</v>
      </c>
      <c r="C1129" s="6" t="s">
        <v>9421</v>
      </c>
      <c r="D1129" s="6" t="s">
        <v>9422</v>
      </c>
      <c r="E1129" s="6" t="s">
        <v>9422</v>
      </c>
      <c r="F1129" s="6">
        <v>14.645723988989801</v>
      </c>
      <c r="G1129" s="6">
        <v>14.370897076412399</v>
      </c>
      <c r="H1129" s="6">
        <v>14.7268394943278</v>
      </c>
      <c r="I1129" s="6">
        <v>15.193810247299099</v>
      </c>
      <c r="J1129" s="6">
        <v>13.843736799686701</v>
      </c>
      <c r="K1129" s="6">
        <v>14.710744264922001</v>
      </c>
      <c r="L1129" s="6">
        <v>15.027718802414499</v>
      </c>
      <c r="M1129" s="6">
        <v>13.3242049041357</v>
      </c>
      <c r="N1129" s="6">
        <v>13.662113430842201</v>
      </c>
      <c r="O1129" s="6">
        <v>14.694313094313101</v>
      </c>
      <c r="P1129" s="6">
        <v>15.063975495299999</v>
      </c>
      <c r="Q1129" s="6">
        <v>13.2271804854044</v>
      </c>
    </row>
    <row r="1130" spans="1:17">
      <c r="A1130" s="6" t="s">
        <v>1269</v>
      </c>
      <c r="B1130" s="6" t="s">
        <v>1269</v>
      </c>
      <c r="C1130" s="6" t="s">
        <v>9423</v>
      </c>
      <c r="D1130" s="6" t="s">
        <v>9424</v>
      </c>
      <c r="E1130" s="6" t="s">
        <v>9424</v>
      </c>
      <c r="F1130" s="6">
        <v>14.9282296371598</v>
      </c>
      <c r="G1130" s="6">
        <v>14.3311907157421</v>
      </c>
      <c r="H1130" s="6">
        <v>14.3722588367709</v>
      </c>
      <c r="I1130" s="6">
        <v>15.1572339422647</v>
      </c>
      <c r="J1130" s="6">
        <v>13.4226656808092</v>
      </c>
      <c r="K1130" s="6">
        <v>14.2281065750828</v>
      </c>
      <c r="L1130" s="6">
        <v>15.257253787249001</v>
      </c>
      <c r="M1130" s="6">
        <v>13.724451247830199</v>
      </c>
      <c r="N1130" s="6">
        <v>14.510565083124099</v>
      </c>
      <c r="O1130" s="6">
        <v>14.7271046375491</v>
      </c>
      <c r="P1130" s="6">
        <v>14.229372620458401</v>
      </c>
      <c r="Q1130" s="6">
        <v>12.7757888395187</v>
      </c>
    </row>
    <row r="1131" spans="1:17">
      <c r="A1131" s="6" t="s">
        <v>1949</v>
      </c>
      <c r="B1131" s="6" t="s">
        <v>1949</v>
      </c>
      <c r="C1131" s="6" t="s">
        <v>9425</v>
      </c>
      <c r="D1131" s="6" t="s">
        <v>9426</v>
      </c>
      <c r="E1131" s="6" t="s">
        <v>9426</v>
      </c>
      <c r="F1131" s="6">
        <v>14.002288525156199</v>
      </c>
      <c r="G1131" s="6">
        <v>14.408154065315101</v>
      </c>
      <c r="H1131" s="6">
        <v>14.162540560661</v>
      </c>
      <c r="I1131" s="6">
        <v>15.8066575822196</v>
      </c>
      <c r="J1131" s="6" t="s">
        <v>6254</v>
      </c>
      <c r="K1131" s="6">
        <v>14.858853098136301</v>
      </c>
      <c r="L1131" s="6">
        <v>16.903016041223601</v>
      </c>
      <c r="M1131" s="6">
        <v>14.201810495897901</v>
      </c>
      <c r="N1131" s="6">
        <v>13.295888932740899</v>
      </c>
      <c r="O1131" s="6">
        <v>13.853934041248801</v>
      </c>
      <c r="P1131" s="6">
        <v>13.053137382829499</v>
      </c>
      <c r="Q1131" s="6" t="s">
        <v>6254</v>
      </c>
    </row>
    <row r="1132" spans="1:17">
      <c r="A1132" s="6" t="s">
        <v>3931</v>
      </c>
      <c r="B1132" s="6" t="s">
        <v>3931</v>
      </c>
      <c r="C1132" s="6" t="s">
        <v>9427</v>
      </c>
      <c r="D1132" s="6" t="s">
        <v>9428</v>
      </c>
      <c r="E1132" s="6" t="s">
        <v>9428</v>
      </c>
      <c r="F1132" s="6">
        <v>15.028855746276101</v>
      </c>
      <c r="G1132" s="6">
        <v>14.135591606958499</v>
      </c>
      <c r="H1132" s="6">
        <v>14.4706798955238</v>
      </c>
      <c r="I1132" s="6">
        <v>15.301112206439701</v>
      </c>
      <c r="J1132" s="6">
        <v>13.463473914194401</v>
      </c>
      <c r="K1132" s="6">
        <v>14.642704922065301</v>
      </c>
      <c r="L1132" s="6">
        <v>14.9360891932582</v>
      </c>
      <c r="M1132" s="6">
        <v>13.3783846078162</v>
      </c>
      <c r="N1132" s="6">
        <v>14.1949186330251</v>
      </c>
      <c r="O1132" s="6">
        <v>14.746429659067299</v>
      </c>
      <c r="P1132" s="6">
        <v>14.8518990945906</v>
      </c>
      <c r="Q1132" s="6">
        <v>12.8413065096638</v>
      </c>
    </row>
    <row r="1133" spans="1:17">
      <c r="A1133" s="6" t="s">
        <v>2837</v>
      </c>
      <c r="B1133" s="6" t="s">
        <v>2837</v>
      </c>
      <c r="C1133" s="6" t="s">
        <v>9429</v>
      </c>
      <c r="D1133" s="6" t="s">
        <v>9430</v>
      </c>
      <c r="E1133" s="6" t="s">
        <v>9430</v>
      </c>
      <c r="F1133" s="6">
        <v>14.9100722031678</v>
      </c>
      <c r="G1133" s="6">
        <v>14.165804099897899</v>
      </c>
      <c r="H1133" s="6">
        <v>14.6198319563161</v>
      </c>
      <c r="I1133" s="6">
        <v>15.2207758493004</v>
      </c>
      <c r="J1133" s="6">
        <v>14.182758919184799</v>
      </c>
      <c r="K1133" s="6">
        <v>14.592030003257401</v>
      </c>
      <c r="L1133" s="6">
        <v>14.9452016810512</v>
      </c>
      <c r="M1133" s="6">
        <v>13.585937188552499</v>
      </c>
      <c r="N1133" s="6">
        <v>14.7762554538287</v>
      </c>
      <c r="O1133" s="6">
        <v>14.1928063357692</v>
      </c>
      <c r="P1133" s="6">
        <v>14.0281095421514</v>
      </c>
      <c r="Q1133" s="6">
        <v>13.211932157962501</v>
      </c>
    </row>
    <row r="1134" spans="1:17">
      <c r="A1134" s="6" t="s">
        <v>2020</v>
      </c>
      <c r="B1134" s="6" t="s">
        <v>2020</v>
      </c>
      <c r="C1134" s="6" t="s">
        <v>9431</v>
      </c>
      <c r="D1134" s="6" t="s">
        <v>9432</v>
      </c>
      <c r="E1134" s="6" t="s">
        <v>9432</v>
      </c>
      <c r="F1134" s="6">
        <v>14.8419883046293</v>
      </c>
      <c r="G1134" s="6">
        <v>14.5478209398253</v>
      </c>
      <c r="H1134" s="6">
        <v>14.3432467760144</v>
      </c>
      <c r="I1134" s="6">
        <v>15.042156501217001</v>
      </c>
      <c r="J1134" s="6">
        <v>13.9210323059609</v>
      </c>
      <c r="K1134" s="6">
        <v>14.5940828882415</v>
      </c>
      <c r="L1134" s="6">
        <v>14.747440244207199</v>
      </c>
      <c r="M1134" s="6">
        <v>14.162283380616699</v>
      </c>
      <c r="N1134" s="6">
        <v>14.1181467883438</v>
      </c>
      <c r="O1134" s="6">
        <v>14.471914237752699</v>
      </c>
      <c r="P1134" s="6">
        <v>14.6578783854664</v>
      </c>
      <c r="Q1134" s="6">
        <v>13.4571837985645</v>
      </c>
    </row>
    <row r="1135" spans="1:17">
      <c r="A1135" s="6" t="s">
        <v>4341</v>
      </c>
      <c r="B1135" s="6" t="s">
        <v>4343</v>
      </c>
      <c r="C1135" s="6" t="s">
        <v>9433</v>
      </c>
      <c r="D1135" s="6" t="s">
        <v>9434</v>
      </c>
      <c r="E1135" s="6" t="s">
        <v>9435</v>
      </c>
      <c r="F1135" s="6">
        <v>14.951789409384199</v>
      </c>
      <c r="G1135" s="6">
        <v>13.977528816241501</v>
      </c>
      <c r="H1135" s="6">
        <v>14.284151321782</v>
      </c>
      <c r="I1135" s="6">
        <v>14.856902546214</v>
      </c>
      <c r="J1135" s="6" t="s">
        <v>6254</v>
      </c>
      <c r="K1135" s="6">
        <v>14.084371019282299</v>
      </c>
      <c r="L1135" s="6">
        <v>14.7800894247668</v>
      </c>
      <c r="M1135" s="6">
        <v>12.8522029034747</v>
      </c>
      <c r="N1135" s="6">
        <v>15.6641433537428</v>
      </c>
      <c r="O1135" s="6">
        <v>14.689688635103099</v>
      </c>
      <c r="P1135" s="6">
        <v>14.219370394692501</v>
      </c>
      <c r="Q1135" s="6" t="s">
        <v>6254</v>
      </c>
    </row>
    <row r="1136" spans="1:17">
      <c r="A1136" s="6" t="s">
        <v>3498</v>
      </c>
      <c r="B1136" s="6" t="s">
        <v>3498</v>
      </c>
      <c r="C1136" s="6" t="s">
        <v>9436</v>
      </c>
      <c r="D1136" s="6" t="s">
        <v>9437</v>
      </c>
      <c r="E1136" s="6" t="s">
        <v>9437</v>
      </c>
      <c r="F1136" s="6">
        <v>14.943044971532499</v>
      </c>
      <c r="G1136" s="6">
        <v>14.5128844821384</v>
      </c>
      <c r="H1136" s="6">
        <v>14.393298672118901</v>
      </c>
      <c r="I1136" s="6">
        <v>15.303434780107199</v>
      </c>
      <c r="J1136" s="6">
        <v>13.827510687478799</v>
      </c>
      <c r="K1136" s="6">
        <v>14.7795839752528</v>
      </c>
      <c r="L1136" s="6">
        <v>15.338633805208501</v>
      </c>
      <c r="M1136" s="6">
        <v>13.476049761995</v>
      </c>
      <c r="N1136" s="6">
        <v>13.6822022963841</v>
      </c>
      <c r="O1136" s="6">
        <v>15.0123828652128</v>
      </c>
      <c r="P1136" s="6">
        <v>14.2362126830397</v>
      </c>
      <c r="Q1136" s="6">
        <v>13.3146873443653</v>
      </c>
    </row>
    <row r="1137" spans="1:17">
      <c r="A1137" s="6" t="s">
        <v>9438</v>
      </c>
      <c r="B1137" s="6" t="s">
        <v>9438</v>
      </c>
      <c r="C1137" s="6" t="s">
        <v>9439</v>
      </c>
      <c r="D1137" s="6" t="s">
        <v>9440</v>
      </c>
      <c r="E1137" s="6" t="s">
        <v>9440</v>
      </c>
      <c r="F1137" s="6">
        <v>15.488417445393299</v>
      </c>
      <c r="G1137" s="6">
        <v>13.7119354624925</v>
      </c>
      <c r="H1137" s="6">
        <v>15.411176899479299</v>
      </c>
      <c r="I1137" s="6">
        <v>15.705246651501801</v>
      </c>
      <c r="J1137" s="6">
        <v>14.1495650221774</v>
      </c>
      <c r="K1137" s="6">
        <v>14.4820508717275</v>
      </c>
      <c r="L1137" s="6">
        <v>14.867343159906801</v>
      </c>
      <c r="M1137" s="6">
        <v>14.7028329661584</v>
      </c>
      <c r="N1137" s="6">
        <v>15.317869365650701</v>
      </c>
      <c r="O1137" s="6">
        <v>15.1906951999492</v>
      </c>
      <c r="P1137" s="6">
        <v>15.8472531118272</v>
      </c>
      <c r="Q1137" s="6">
        <v>12.966570046306099</v>
      </c>
    </row>
    <row r="1138" spans="1:17">
      <c r="A1138" s="6" t="s">
        <v>9441</v>
      </c>
      <c r="B1138" s="6" t="s">
        <v>9442</v>
      </c>
      <c r="C1138" s="6" t="s">
        <v>9443</v>
      </c>
      <c r="D1138" s="6" t="s">
        <v>9444</v>
      </c>
      <c r="E1138" s="6" t="s">
        <v>9445</v>
      </c>
      <c r="F1138" s="6">
        <v>14.5696251752723</v>
      </c>
      <c r="G1138" s="6">
        <v>14.9174618310774</v>
      </c>
      <c r="H1138" s="6">
        <v>15.1193271607324</v>
      </c>
      <c r="I1138" s="6">
        <v>14.939467640276501</v>
      </c>
      <c r="J1138" s="6" t="s">
        <v>6254</v>
      </c>
      <c r="K1138" s="6">
        <v>14.753682730653299</v>
      </c>
      <c r="L1138" s="6">
        <v>13.8803406497541</v>
      </c>
      <c r="M1138" s="6">
        <v>14.7864181900988</v>
      </c>
      <c r="N1138" s="6">
        <v>14.6545439772121</v>
      </c>
      <c r="O1138" s="6">
        <v>14.026991248446301</v>
      </c>
      <c r="P1138" s="6">
        <v>14.0184532855129</v>
      </c>
      <c r="Q1138" s="6">
        <v>15.072954738996501</v>
      </c>
    </row>
    <row r="1139" spans="1:17">
      <c r="A1139" s="6" t="s">
        <v>2143</v>
      </c>
      <c r="B1139" s="6" t="s">
        <v>2143</v>
      </c>
      <c r="C1139" s="6" t="s">
        <v>9446</v>
      </c>
      <c r="D1139" s="6" t="s">
        <v>9447</v>
      </c>
      <c r="E1139" s="6" t="s">
        <v>9447</v>
      </c>
      <c r="F1139" s="6">
        <v>14.6573217458575</v>
      </c>
      <c r="G1139" s="6">
        <v>13.9233029749337</v>
      </c>
      <c r="H1139" s="6">
        <v>14.212544473016299</v>
      </c>
      <c r="I1139" s="6">
        <v>14.780434145973</v>
      </c>
      <c r="J1139" s="6">
        <v>13.4588457812571</v>
      </c>
      <c r="K1139" s="6">
        <v>14.119233715300901</v>
      </c>
      <c r="L1139" s="6">
        <v>14.1479930146547</v>
      </c>
      <c r="M1139" s="6">
        <v>13.0598978205911</v>
      </c>
      <c r="N1139" s="6">
        <v>14.1231493925444</v>
      </c>
      <c r="O1139" s="6">
        <v>14.521310879646601</v>
      </c>
      <c r="P1139" s="6">
        <v>14.6912438364238</v>
      </c>
      <c r="Q1139" s="6">
        <v>18.0469566760882</v>
      </c>
    </row>
    <row r="1140" spans="1:17">
      <c r="A1140" s="6" t="s">
        <v>9448</v>
      </c>
      <c r="B1140" s="6" t="s">
        <v>9449</v>
      </c>
      <c r="C1140" s="6" t="s">
        <v>9450</v>
      </c>
      <c r="D1140" s="6" t="s">
        <v>9451</v>
      </c>
      <c r="E1140" s="6" t="s">
        <v>9452</v>
      </c>
      <c r="F1140" s="6">
        <v>14.9660138513278</v>
      </c>
      <c r="G1140" s="6">
        <v>14.0706945106018</v>
      </c>
      <c r="H1140" s="6">
        <v>14.461962661357401</v>
      </c>
      <c r="I1140" s="6">
        <v>14.887672071193901</v>
      </c>
      <c r="J1140" s="6">
        <v>13.982726891395</v>
      </c>
      <c r="K1140" s="6">
        <v>14.3481570713325</v>
      </c>
      <c r="L1140" s="6">
        <v>14.920923472129701</v>
      </c>
      <c r="M1140" s="6">
        <v>13.910534398448799</v>
      </c>
      <c r="N1140" s="6">
        <v>14.418845846082601</v>
      </c>
      <c r="O1140" s="6">
        <v>14.328981761363201</v>
      </c>
      <c r="P1140" s="6">
        <v>15.0094906680664</v>
      </c>
      <c r="Q1140" s="6">
        <v>13.214266910172601</v>
      </c>
    </row>
    <row r="1141" spans="1:17">
      <c r="A1141" s="6" t="s">
        <v>9453</v>
      </c>
      <c r="B1141" s="6" t="s">
        <v>1931</v>
      </c>
      <c r="C1141" s="6" t="s">
        <v>9454</v>
      </c>
      <c r="D1141" s="6" t="s">
        <v>9455</v>
      </c>
      <c r="E1141" s="6" t="s">
        <v>9456</v>
      </c>
      <c r="F1141" s="6">
        <v>14.905192921108499</v>
      </c>
      <c r="G1141" s="6">
        <v>14.2267600199339</v>
      </c>
      <c r="H1141" s="6">
        <v>14.5161140083706</v>
      </c>
      <c r="I1141" s="6">
        <v>15.2961119831734</v>
      </c>
      <c r="J1141" s="6">
        <v>13.755333644054099</v>
      </c>
      <c r="K1141" s="6">
        <v>14.4821215671885</v>
      </c>
      <c r="L1141" s="6">
        <v>14.9301376878899</v>
      </c>
      <c r="M1141" s="6">
        <v>13.9797428922316</v>
      </c>
      <c r="N1141" s="6">
        <v>14.766380116194</v>
      </c>
      <c r="O1141" s="6">
        <v>14.6189923276565</v>
      </c>
      <c r="P1141" s="6">
        <v>14.7175575769819</v>
      </c>
      <c r="Q1141" s="6">
        <v>13.074405871635401</v>
      </c>
    </row>
    <row r="1142" spans="1:17">
      <c r="A1142" s="6" t="s">
        <v>1177</v>
      </c>
      <c r="B1142" s="6" t="s">
        <v>1177</v>
      </c>
      <c r="C1142" s="6" t="s">
        <v>9457</v>
      </c>
      <c r="D1142" s="6" t="s">
        <v>9458</v>
      </c>
      <c r="E1142" s="6" t="s">
        <v>9458</v>
      </c>
      <c r="F1142" s="6">
        <v>14.868006542687301</v>
      </c>
      <c r="G1142" s="6">
        <v>14.3436467747853</v>
      </c>
      <c r="H1142" s="6">
        <v>14.489129721422801</v>
      </c>
      <c r="I1142" s="6">
        <v>14.9933793854904</v>
      </c>
      <c r="J1142" s="6">
        <v>13.578896751837</v>
      </c>
      <c r="K1142" s="6">
        <v>14.3963612267955</v>
      </c>
      <c r="L1142" s="6">
        <v>15.008582031639</v>
      </c>
      <c r="M1142" s="6">
        <v>13.3379051796752</v>
      </c>
      <c r="N1142" s="6">
        <v>13.875103181575</v>
      </c>
      <c r="O1142" s="6">
        <v>14.5807631176967</v>
      </c>
      <c r="P1142" s="6">
        <v>14.426028124952699</v>
      </c>
      <c r="Q1142" s="6">
        <v>13.281700182158801</v>
      </c>
    </row>
    <row r="1143" spans="1:17">
      <c r="A1143" s="6" t="s">
        <v>1006</v>
      </c>
      <c r="B1143" s="6" t="s">
        <v>1006</v>
      </c>
      <c r="C1143" s="6" t="s">
        <v>9459</v>
      </c>
      <c r="D1143" s="6" t="s">
        <v>9460</v>
      </c>
      <c r="E1143" s="6" t="s">
        <v>9460</v>
      </c>
      <c r="F1143" s="6">
        <v>14.9868282328621</v>
      </c>
      <c r="G1143" s="6">
        <v>14.3479196690402</v>
      </c>
      <c r="H1143" s="6">
        <v>14.314006495880101</v>
      </c>
      <c r="I1143" s="6">
        <v>14.9950795858157</v>
      </c>
      <c r="J1143" s="6">
        <v>13.4130034305189</v>
      </c>
      <c r="K1143" s="6">
        <v>14.126203028453199</v>
      </c>
      <c r="L1143" s="6">
        <v>14.7608992265555</v>
      </c>
      <c r="M1143" s="6">
        <v>13.343740429834501</v>
      </c>
      <c r="N1143" s="6">
        <v>14.6869502654767</v>
      </c>
      <c r="O1143" s="6">
        <v>14.871462958452801</v>
      </c>
      <c r="P1143" s="6">
        <v>14.610516012468601</v>
      </c>
      <c r="Q1143" s="6">
        <v>13.292526116631301</v>
      </c>
    </row>
    <row r="1144" spans="1:17">
      <c r="A1144" s="6" t="s">
        <v>9461</v>
      </c>
      <c r="B1144" s="6" t="s">
        <v>9462</v>
      </c>
      <c r="C1144" s="6" t="s">
        <v>9463</v>
      </c>
      <c r="D1144" s="6" t="s">
        <v>9464</v>
      </c>
      <c r="E1144" s="6" t="s">
        <v>9465</v>
      </c>
      <c r="F1144" s="6">
        <v>14.619304614805401</v>
      </c>
      <c r="G1144" s="6">
        <v>14.162924257843899</v>
      </c>
      <c r="H1144" s="6">
        <v>14.6829699163985</v>
      </c>
      <c r="I1144" s="6">
        <v>15.08790403093</v>
      </c>
      <c r="J1144" s="6">
        <v>13.726457994947999</v>
      </c>
      <c r="K1144" s="6">
        <v>14.0601299064417</v>
      </c>
      <c r="L1144" s="6">
        <v>15.006206215835</v>
      </c>
      <c r="M1144" s="6">
        <v>13.7601939213649</v>
      </c>
      <c r="N1144" s="6">
        <v>14.334617903143799</v>
      </c>
      <c r="O1144" s="6">
        <v>14.734566795678701</v>
      </c>
      <c r="P1144" s="6">
        <v>14.303332097758499</v>
      </c>
      <c r="Q1144" s="6">
        <v>13.1116341532232</v>
      </c>
    </row>
    <row r="1145" spans="1:17">
      <c r="A1145" s="6" t="s">
        <v>4039</v>
      </c>
      <c r="B1145" s="6" t="s">
        <v>4039</v>
      </c>
      <c r="C1145" s="6" t="s">
        <v>9466</v>
      </c>
      <c r="D1145" s="6" t="s">
        <v>9467</v>
      </c>
      <c r="E1145" s="6" t="s">
        <v>9467</v>
      </c>
      <c r="F1145" s="6">
        <v>14.2662160284872</v>
      </c>
      <c r="G1145" s="6">
        <v>14.3356583748775</v>
      </c>
      <c r="H1145" s="6">
        <v>14.466203282291501</v>
      </c>
      <c r="I1145" s="6">
        <v>14.8497587322197</v>
      </c>
      <c r="J1145" s="6">
        <v>13.445343437994699</v>
      </c>
      <c r="K1145" s="6">
        <v>14.172781637864</v>
      </c>
      <c r="L1145" s="6">
        <v>14.769360286308601</v>
      </c>
      <c r="M1145" s="6" t="s">
        <v>6254</v>
      </c>
      <c r="N1145" s="6">
        <v>14.915699522717</v>
      </c>
      <c r="O1145" s="6" t="s">
        <v>6254</v>
      </c>
      <c r="P1145" s="6" t="s">
        <v>6254</v>
      </c>
      <c r="Q1145" s="6">
        <v>13.0201002968462</v>
      </c>
    </row>
    <row r="1146" spans="1:17">
      <c r="A1146" s="6" t="s">
        <v>9468</v>
      </c>
      <c r="B1146" s="6" t="s">
        <v>9469</v>
      </c>
      <c r="C1146" s="6" t="s">
        <v>9470</v>
      </c>
      <c r="D1146" s="6" t="s">
        <v>9471</v>
      </c>
      <c r="E1146" s="6" t="s">
        <v>9472</v>
      </c>
      <c r="F1146" s="6">
        <v>15.920710061746901</v>
      </c>
      <c r="G1146" s="6">
        <v>11.606876454855801</v>
      </c>
      <c r="H1146" s="6">
        <v>15.1345660794048</v>
      </c>
      <c r="I1146" s="6">
        <v>16.2572904182719</v>
      </c>
      <c r="J1146" s="6">
        <v>14.9078652679969</v>
      </c>
      <c r="K1146" s="6">
        <v>12.1098772194887</v>
      </c>
      <c r="L1146" s="6">
        <v>12.392971325794299</v>
      </c>
      <c r="M1146" s="6" t="s">
        <v>6254</v>
      </c>
      <c r="N1146" s="6">
        <v>14.621718787998001</v>
      </c>
      <c r="O1146" s="6">
        <v>15.7676080434884</v>
      </c>
      <c r="P1146" s="6">
        <v>15.212749484538501</v>
      </c>
      <c r="Q1146" s="6" t="s">
        <v>6254</v>
      </c>
    </row>
    <row r="1147" spans="1:17">
      <c r="A1147" s="6" t="s">
        <v>2674</v>
      </c>
      <c r="B1147" s="6" t="s">
        <v>2674</v>
      </c>
      <c r="C1147" s="6" t="s">
        <v>9473</v>
      </c>
      <c r="D1147" s="6" t="s">
        <v>9474</v>
      </c>
      <c r="E1147" s="6" t="s">
        <v>9474</v>
      </c>
      <c r="F1147" s="6">
        <v>15.1686523137025</v>
      </c>
      <c r="G1147" s="6">
        <v>14.164777372874701</v>
      </c>
      <c r="H1147" s="6">
        <v>13.6981521045393</v>
      </c>
      <c r="I1147" s="6">
        <v>15.722738962869199</v>
      </c>
      <c r="J1147" s="6">
        <v>14.259308563626</v>
      </c>
      <c r="K1147" s="6">
        <v>14.811988048974801</v>
      </c>
      <c r="L1147" s="6">
        <v>14.942073639394399</v>
      </c>
      <c r="M1147" s="6">
        <v>13.777006717239001</v>
      </c>
      <c r="N1147" s="6">
        <v>14.059508360457899</v>
      </c>
      <c r="O1147" s="6">
        <v>13.965264461898</v>
      </c>
      <c r="P1147" s="6" t="s">
        <v>6254</v>
      </c>
      <c r="Q1147" s="6">
        <v>13.212954896523801</v>
      </c>
    </row>
    <row r="1148" spans="1:17">
      <c r="A1148" s="6" t="s">
        <v>2279</v>
      </c>
      <c r="B1148" s="6" t="s">
        <v>2279</v>
      </c>
      <c r="C1148" s="6" t="s">
        <v>9475</v>
      </c>
      <c r="D1148" s="6" t="s">
        <v>9476</v>
      </c>
      <c r="E1148" s="6" t="s">
        <v>9476</v>
      </c>
      <c r="F1148" s="6">
        <v>15.0053466547214</v>
      </c>
      <c r="G1148" s="6">
        <v>13.833163309564201</v>
      </c>
      <c r="H1148" s="6">
        <v>14.2309009330236</v>
      </c>
      <c r="I1148" s="6">
        <v>15.6098645073561</v>
      </c>
      <c r="J1148" s="6" t="s">
        <v>6254</v>
      </c>
      <c r="K1148" s="6">
        <v>14.1379566369133</v>
      </c>
      <c r="L1148" s="6">
        <v>15.097292090024</v>
      </c>
      <c r="M1148" s="6">
        <v>13.690394443593799</v>
      </c>
      <c r="N1148" s="6">
        <v>14.3664339592916</v>
      </c>
      <c r="O1148" s="6">
        <v>14.0804425243187</v>
      </c>
      <c r="P1148" s="6">
        <v>14.597615275539701</v>
      </c>
      <c r="Q1148" s="6" t="s">
        <v>6254</v>
      </c>
    </row>
    <row r="1149" spans="1:17">
      <c r="A1149" s="6" t="s">
        <v>2359</v>
      </c>
      <c r="B1149" s="6" t="s">
        <v>2359</v>
      </c>
      <c r="C1149" s="6" t="s">
        <v>9477</v>
      </c>
      <c r="D1149" s="6" t="s">
        <v>9478</v>
      </c>
      <c r="E1149" s="6" t="s">
        <v>9478</v>
      </c>
      <c r="F1149" s="6">
        <v>14.6449312060676</v>
      </c>
      <c r="G1149" s="6">
        <v>14.4254767134519</v>
      </c>
      <c r="H1149" s="6">
        <v>14.0752513432114</v>
      </c>
      <c r="I1149" s="6">
        <v>15.1034202049727</v>
      </c>
      <c r="J1149" s="6">
        <v>14.042384082770599</v>
      </c>
      <c r="K1149" s="6">
        <v>14.205161189508299</v>
      </c>
      <c r="L1149" s="6">
        <v>14.5181001628671</v>
      </c>
      <c r="M1149" s="6">
        <v>13.724084085811</v>
      </c>
      <c r="N1149" s="6">
        <v>14.4801263636647</v>
      </c>
      <c r="O1149" s="6">
        <v>14.6830569131562</v>
      </c>
      <c r="P1149" s="6">
        <v>13.920598919637801</v>
      </c>
      <c r="Q1149" s="6">
        <v>12.8672939509737</v>
      </c>
    </row>
    <row r="1150" spans="1:17">
      <c r="A1150" s="6" t="s">
        <v>1294</v>
      </c>
      <c r="B1150" s="6" t="s">
        <v>1294</v>
      </c>
      <c r="C1150" s="6" t="s">
        <v>9479</v>
      </c>
      <c r="D1150" s="6" t="s">
        <v>9480</v>
      </c>
      <c r="E1150" s="6" t="s">
        <v>9480</v>
      </c>
      <c r="F1150" s="6">
        <v>14.743340280380099</v>
      </c>
      <c r="G1150" s="6">
        <v>14.244083525772901</v>
      </c>
      <c r="H1150" s="6">
        <v>14.3568499603566</v>
      </c>
      <c r="I1150" s="6">
        <v>15.102558488795299</v>
      </c>
      <c r="J1150" s="6">
        <v>13.6378218802988</v>
      </c>
      <c r="K1150" s="6">
        <v>14.488187152528299</v>
      </c>
      <c r="L1150" s="6">
        <v>14.807631555946299</v>
      </c>
      <c r="M1150" s="6">
        <v>13.6605927420754</v>
      </c>
      <c r="N1150" s="6">
        <v>14.401852690383199</v>
      </c>
      <c r="O1150" s="6">
        <v>14.7837898068714</v>
      </c>
      <c r="P1150" s="6">
        <v>15.0676852444319</v>
      </c>
      <c r="Q1150" s="6">
        <v>12.6871712746753</v>
      </c>
    </row>
    <row r="1151" spans="1:17">
      <c r="A1151" s="6" t="s">
        <v>3642</v>
      </c>
      <c r="B1151" s="6" t="s">
        <v>3642</v>
      </c>
      <c r="C1151" s="6" t="s">
        <v>9481</v>
      </c>
      <c r="D1151" s="6" t="s">
        <v>9482</v>
      </c>
      <c r="E1151" s="6" t="s">
        <v>9482</v>
      </c>
      <c r="F1151" s="6">
        <v>14.767105292418799</v>
      </c>
      <c r="G1151" s="6">
        <v>14.202876396772201</v>
      </c>
      <c r="H1151" s="6">
        <v>14.515014705343701</v>
      </c>
      <c r="I1151" s="6">
        <v>15.007523802544901</v>
      </c>
      <c r="J1151" s="6">
        <v>13.893268636792399</v>
      </c>
      <c r="K1151" s="6">
        <v>14.722739658635801</v>
      </c>
      <c r="L1151" s="6">
        <v>15.0240597964365</v>
      </c>
      <c r="M1151" s="6">
        <v>13.867166066002801</v>
      </c>
      <c r="N1151" s="6">
        <v>14.1009367696107</v>
      </c>
      <c r="O1151" s="6">
        <v>14.008093338120201</v>
      </c>
      <c r="P1151" s="6">
        <v>14.1584135423729</v>
      </c>
      <c r="Q1151" s="6">
        <v>12.646889438571501</v>
      </c>
    </row>
    <row r="1152" spans="1:17">
      <c r="A1152" s="6" t="s">
        <v>2453</v>
      </c>
      <c r="B1152" s="6" t="s">
        <v>2453</v>
      </c>
      <c r="C1152" s="6" t="s">
        <v>9483</v>
      </c>
      <c r="D1152" s="6" t="s">
        <v>9484</v>
      </c>
      <c r="E1152" s="6" t="s">
        <v>9484</v>
      </c>
      <c r="F1152" s="6">
        <v>14.989513234475201</v>
      </c>
      <c r="G1152" s="6">
        <v>13.931623314055299</v>
      </c>
      <c r="H1152" s="6">
        <v>14.456888479539399</v>
      </c>
      <c r="I1152" s="6">
        <v>14.3462898450368</v>
      </c>
      <c r="J1152" s="6" t="s">
        <v>6254</v>
      </c>
      <c r="K1152" s="6">
        <v>14.1217297892477</v>
      </c>
      <c r="L1152" s="6">
        <v>14.6160340831849</v>
      </c>
      <c r="M1152" s="6" t="s">
        <v>6254</v>
      </c>
      <c r="N1152" s="6">
        <v>14.4863047346243</v>
      </c>
      <c r="O1152" s="6">
        <v>14.1280189653375</v>
      </c>
      <c r="P1152" s="6">
        <v>14.293841158145</v>
      </c>
      <c r="Q1152" s="6" t="s">
        <v>6254</v>
      </c>
    </row>
    <row r="1153" spans="1:17">
      <c r="A1153" s="6" t="s">
        <v>3010</v>
      </c>
      <c r="B1153" s="6" t="s">
        <v>3010</v>
      </c>
      <c r="C1153" s="6" t="s">
        <v>9485</v>
      </c>
      <c r="D1153" s="6" t="s">
        <v>9486</v>
      </c>
      <c r="E1153" s="6" t="s">
        <v>9486</v>
      </c>
      <c r="F1153" s="6">
        <v>14.4286344144995</v>
      </c>
      <c r="G1153" s="6">
        <v>14.0381948906714</v>
      </c>
      <c r="H1153" s="6">
        <v>14.1719180352531</v>
      </c>
      <c r="I1153" s="6">
        <v>15.4525864752442</v>
      </c>
      <c r="J1153" s="6" t="s">
        <v>6254</v>
      </c>
      <c r="K1153" s="6">
        <v>14.042417071884801</v>
      </c>
      <c r="L1153" s="6">
        <v>14.835976505961201</v>
      </c>
      <c r="M1153" s="6" t="s">
        <v>6254</v>
      </c>
      <c r="N1153" s="6">
        <v>13.4955950895495</v>
      </c>
      <c r="O1153" s="6">
        <v>14.3197460452157</v>
      </c>
      <c r="P1153" s="6">
        <v>14.1278472895523</v>
      </c>
      <c r="Q1153" s="6" t="s">
        <v>6254</v>
      </c>
    </row>
    <row r="1154" spans="1:17">
      <c r="A1154" s="6" t="s">
        <v>9487</v>
      </c>
      <c r="B1154" s="6" t="s">
        <v>9488</v>
      </c>
      <c r="C1154" s="6" t="s">
        <v>9489</v>
      </c>
      <c r="D1154" s="6" t="s">
        <v>9490</v>
      </c>
      <c r="E1154" s="6" t="s">
        <v>9491</v>
      </c>
      <c r="F1154" s="6">
        <v>14.7202061014363</v>
      </c>
      <c r="G1154" s="6">
        <v>14.338465396089401</v>
      </c>
      <c r="H1154" s="6">
        <v>14.1808406201355</v>
      </c>
      <c r="I1154" s="6">
        <v>15.327099910005799</v>
      </c>
      <c r="J1154" s="6">
        <v>13.2797479266757</v>
      </c>
      <c r="K1154" s="6">
        <v>14.386312059385901</v>
      </c>
      <c r="L1154" s="6">
        <v>14.5562979860597</v>
      </c>
      <c r="M1154" s="6">
        <v>12.9582411966883</v>
      </c>
      <c r="N1154" s="6">
        <v>14.149054997043701</v>
      </c>
      <c r="O1154" s="6">
        <v>14.9542683550393</v>
      </c>
      <c r="P1154" s="6">
        <v>14.8936271914285</v>
      </c>
      <c r="Q1154" s="6">
        <v>13.151784355862601</v>
      </c>
    </row>
    <row r="1155" spans="1:17">
      <c r="A1155" s="6" t="s">
        <v>1604</v>
      </c>
      <c r="B1155" s="6" t="s">
        <v>1604</v>
      </c>
      <c r="C1155" s="6" t="s">
        <v>9492</v>
      </c>
      <c r="D1155" s="6" t="s">
        <v>9493</v>
      </c>
      <c r="E1155" s="6" t="s">
        <v>9493</v>
      </c>
      <c r="F1155" s="6">
        <v>15.1088881681827</v>
      </c>
      <c r="G1155" s="6">
        <v>14.410325950635499</v>
      </c>
      <c r="H1155" s="6">
        <v>14.5622818947282</v>
      </c>
      <c r="I1155" s="6">
        <v>15.0250338916661</v>
      </c>
      <c r="J1155" s="6">
        <v>13.6995977798603</v>
      </c>
      <c r="K1155" s="6">
        <v>14.0900781043026</v>
      </c>
      <c r="L1155" s="6">
        <v>14.8463737321045</v>
      </c>
      <c r="M1155" s="6">
        <v>13.5582928832265</v>
      </c>
      <c r="N1155" s="6">
        <v>15.030272510475401</v>
      </c>
      <c r="O1155" s="6">
        <v>14.970166950682399</v>
      </c>
      <c r="P1155" s="6">
        <v>14.839206968993</v>
      </c>
      <c r="Q1155" s="6">
        <v>12.226199075180901</v>
      </c>
    </row>
    <row r="1156" spans="1:17">
      <c r="A1156" s="6" t="s">
        <v>9494</v>
      </c>
      <c r="B1156" s="6" t="s">
        <v>9494</v>
      </c>
      <c r="C1156" s="6" t="s">
        <v>9495</v>
      </c>
      <c r="D1156" s="6" t="s">
        <v>9496</v>
      </c>
      <c r="E1156" s="6" t="s">
        <v>9496</v>
      </c>
      <c r="F1156" s="6">
        <v>14.751663071352001</v>
      </c>
      <c r="G1156" s="6">
        <v>14.4581608829302</v>
      </c>
      <c r="H1156" s="6">
        <v>13.9512107057762</v>
      </c>
      <c r="I1156" s="6">
        <v>15.083946048468</v>
      </c>
      <c r="J1156" s="6">
        <v>13.653292200183801</v>
      </c>
      <c r="K1156" s="6" t="s">
        <v>6254</v>
      </c>
      <c r="L1156" s="6">
        <v>14.562132163274899</v>
      </c>
      <c r="M1156" s="6">
        <v>13.566149073696799</v>
      </c>
      <c r="N1156" s="6">
        <v>13.326155544749501</v>
      </c>
      <c r="O1156" s="6">
        <v>14.626054137207699</v>
      </c>
      <c r="P1156" s="6">
        <v>15.007551351652699</v>
      </c>
      <c r="Q1156" s="6">
        <v>13.400406497684701</v>
      </c>
    </row>
    <row r="1157" spans="1:17">
      <c r="A1157" s="6" t="s">
        <v>9497</v>
      </c>
      <c r="B1157" s="6" t="s">
        <v>9498</v>
      </c>
      <c r="C1157" s="6" t="s">
        <v>9499</v>
      </c>
      <c r="D1157" s="6" t="s">
        <v>9500</v>
      </c>
      <c r="E1157" s="6" t="s">
        <v>9501</v>
      </c>
      <c r="F1157" s="6">
        <v>14.7477865693639</v>
      </c>
      <c r="G1157" s="6">
        <v>14.1247353874466</v>
      </c>
      <c r="H1157" s="6">
        <v>14.4808209214003</v>
      </c>
      <c r="I1157" s="6">
        <v>14.9707245213487</v>
      </c>
      <c r="J1157" s="6">
        <v>13.4448779791986</v>
      </c>
      <c r="K1157" s="6">
        <v>14.0170313948586</v>
      </c>
      <c r="L1157" s="6">
        <v>15.0170354707956</v>
      </c>
      <c r="M1157" s="6">
        <v>13.4465230812872</v>
      </c>
      <c r="N1157" s="6">
        <v>14.911643636787399</v>
      </c>
      <c r="O1157" s="6">
        <v>14.805205562295001</v>
      </c>
      <c r="P1157" s="6">
        <v>14.493322862275701</v>
      </c>
      <c r="Q1157" s="6">
        <v>12.9306768480283</v>
      </c>
    </row>
    <row r="1158" spans="1:17">
      <c r="A1158" s="6" t="s">
        <v>9502</v>
      </c>
      <c r="B1158" s="6" t="s">
        <v>9503</v>
      </c>
      <c r="C1158" s="6" t="s">
        <v>9504</v>
      </c>
      <c r="D1158" s="6" t="s">
        <v>9505</v>
      </c>
      <c r="E1158" s="6" t="s">
        <v>9506</v>
      </c>
      <c r="F1158" s="6">
        <v>15.0299572769874</v>
      </c>
      <c r="G1158" s="6">
        <v>14.605470488723601</v>
      </c>
      <c r="H1158" s="6">
        <v>14.3189851885676</v>
      </c>
      <c r="I1158" s="6">
        <v>14.929087727698199</v>
      </c>
      <c r="J1158" s="6">
        <v>13.8347036113678</v>
      </c>
      <c r="K1158" s="6">
        <v>14.076264369984401</v>
      </c>
      <c r="L1158" s="6">
        <v>14.43556112073</v>
      </c>
      <c r="M1158" s="6">
        <v>13.3995218874085</v>
      </c>
      <c r="N1158" s="6">
        <v>13.4244387566648</v>
      </c>
      <c r="O1158" s="6">
        <v>14.435640427691</v>
      </c>
      <c r="P1158" s="6">
        <v>14.6750698633612</v>
      </c>
      <c r="Q1158" s="6">
        <v>13.632996737552901</v>
      </c>
    </row>
    <row r="1159" spans="1:17">
      <c r="A1159" s="6" t="s">
        <v>9507</v>
      </c>
      <c r="B1159" s="6" t="s">
        <v>9508</v>
      </c>
      <c r="C1159" s="6" t="s">
        <v>9509</v>
      </c>
      <c r="D1159" s="6" t="s">
        <v>9510</v>
      </c>
      <c r="E1159" s="6" t="s">
        <v>9511</v>
      </c>
      <c r="F1159" s="6">
        <v>12.7289288116422</v>
      </c>
      <c r="G1159" s="6" t="s">
        <v>6254</v>
      </c>
      <c r="H1159" s="6">
        <v>14.633663676380699</v>
      </c>
      <c r="I1159" s="6">
        <v>15.3068617919842</v>
      </c>
      <c r="J1159" s="6">
        <v>14.742338323050101</v>
      </c>
      <c r="K1159" s="6">
        <v>14.151453054157599</v>
      </c>
      <c r="L1159" s="6">
        <v>13.9630260869551</v>
      </c>
      <c r="M1159" s="6">
        <v>14.8689838076464</v>
      </c>
      <c r="N1159" s="6">
        <v>15.242936595594401</v>
      </c>
      <c r="O1159" s="6">
        <v>13.0837514379889</v>
      </c>
      <c r="P1159" s="6">
        <v>12.567402461072099</v>
      </c>
      <c r="Q1159" s="6">
        <v>12.180154992330801</v>
      </c>
    </row>
    <row r="1160" spans="1:17">
      <c r="A1160" s="6" t="s">
        <v>4473</v>
      </c>
      <c r="B1160" s="6" t="s">
        <v>4473</v>
      </c>
      <c r="C1160" s="6" t="s">
        <v>9512</v>
      </c>
      <c r="D1160" s="6" t="s">
        <v>9513</v>
      </c>
      <c r="E1160" s="6" t="s">
        <v>9513</v>
      </c>
      <c r="F1160" s="6">
        <v>14.168821591739301</v>
      </c>
      <c r="G1160" s="6" t="s">
        <v>6254</v>
      </c>
      <c r="H1160" s="6">
        <v>13.762007222232301</v>
      </c>
      <c r="I1160" s="6">
        <v>14.608170853809799</v>
      </c>
      <c r="J1160" s="6" t="s">
        <v>6254</v>
      </c>
      <c r="K1160" s="6" t="s">
        <v>6254</v>
      </c>
      <c r="L1160" s="6">
        <v>13.499974907192501</v>
      </c>
      <c r="M1160" s="6">
        <v>13.405355500532</v>
      </c>
      <c r="N1160" s="6" t="s">
        <v>6254</v>
      </c>
      <c r="O1160" s="6">
        <v>14.8708908646057</v>
      </c>
      <c r="P1160" s="6">
        <v>14.1561907231014</v>
      </c>
      <c r="Q1160" s="6" t="s">
        <v>6254</v>
      </c>
    </row>
    <row r="1161" spans="1:17">
      <c r="A1161" s="6" t="s">
        <v>1335</v>
      </c>
      <c r="B1161" s="6" t="s">
        <v>1335</v>
      </c>
      <c r="C1161" s="6" t="s">
        <v>9514</v>
      </c>
      <c r="D1161" s="6" t="s">
        <v>9515</v>
      </c>
      <c r="E1161" s="6" t="s">
        <v>9515</v>
      </c>
      <c r="F1161" s="6">
        <v>15.0390720078651</v>
      </c>
      <c r="G1161" s="6">
        <v>14.139991938177801</v>
      </c>
      <c r="H1161" s="6">
        <v>14.548554821137699</v>
      </c>
      <c r="I1161" s="6">
        <v>15.114562626292001</v>
      </c>
      <c r="J1161" s="6">
        <v>13.5659758769836</v>
      </c>
      <c r="K1161" s="6">
        <v>14.2690004003968</v>
      </c>
      <c r="L1161" s="6">
        <v>15.0237274462578</v>
      </c>
      <c r="M1161" s="6">
        <v>13.628255118830101</v>
      </c>
      <c r="N1161" s="6">
        <v>14.461510394811899</v>
      </c>
      <c r="O1161" s="6">
        <v>14.556243575681</v>
      </c>
      <c r="P1161" s="6">
        <v>14.595904122803301</v>
      </c>
      <c r="Q1161" s="6">
        <v>12.8133887829228</v>
      </c>
    </row>
    <row r="1162" spans="1:17">
      <c r="A1162" s="6" t="s">
        <v>5257</v>
      </c>
      <c r="B1162" s="6" t="s">
        <v>5259</v>
      </c>
      <c r="C1162" s="6" t="s">
        <v>9516</v>
      </c>
      <c r="D1162" s="6" t="s">
        <v>9517</v>
      </c>
      <c r="E1162" s="6" t="s">
        <v>9518</v>
      </c>
      <c r="F1162" s="6">
        <v>14.989291065492701</v>
      </c>
      <c r="G1162" s="6">
        <v>13.911610429756999</v>
      </c>
      <c r="H1162" s="6" t="s">
        <v>6254</v>
      </c>
      <c r="I1162" s="6">
        <v>15.410597009059501</v>
      </c>
      <c r="J1162" s="6">
        <v>14.0756132755784</v>
      </c>
      <c r="K1162" s="6">
        <v>14.7382372431166</v>
      </c>
      <c r="L1162" s="6">
        <v>15.0663728219606</v>
      </c>
      <c r="M1162" s="6">
        <v>13.834579311924401</v>
      </c>
      <c r="N1162" s="6">
        <v>14.019273931897001</v>
      </c>
      <c r="O1162" s="6">
        <v>14.6960285159518</v>
      </c>
      <c r="P1162" s="6">
        <v>14.880222757913099</v>
      </c>
      <c r="Q1162" s="6" t="s">
        <v>6254</v>
      </c>
    </row>
    <row r="1163" spans="1:17">
      <c r="A1163" s="6" t="s">
        <v>9519</v>
      </c>
      <c r="B1163" s="6" t="s">
        <v>9520</v>
      </c>
      <c r="C1163" s="6" t="s">
        <v>9521</v>
      </c>
      <c r="D1163" s="6" t="s">
        <v>9522</v>
      </c>
      <c r="E1163" s="6" t="s">
        <v>9523</v>
      </c>
      <c r="F1163" s="6" t="s">
        <v>6254</v>
      </c>
      <c r="G1163" s="6">
        <v>14.485325077802001</v>
      </c>
      <c r="H1163" s="6">
        <v>14.7879585926303</v>
      </c>
      <c r="I1163" s="6" t="s">
        <v>6254</v>
      </c>
      <c r="J1163" s="6" t="s">
        <v>6254</v>
      </c>
      <c r="K1163" s="6" t="s">
        <v>6254</v>
      </c>
      <c r="L1163" s="6" t="s">
        <v>6254</v>
      </c>
      <c r="M1163" s="6" t="s">
        <v>6254</v>
      </c>
      <c r="N1163" s="6" t="s">
        <v>6254</v>
      </c>
      <c r="O1163" s="6" t="s">
        <v>6254</v>
      </c>
      <c r="P1163" s="6" t="s">
        <v>6254</v>
      </c>
      <c r="Q1163" s="6" t="s">
        <v>6254</v>
      </c>
    </row>
    <row r="1164" spans="1:17">
      <c r="A1164" s="6" t="s">
        <v>2653</v>
      </c>
      <c r="B1164" s="6" t="s">
        <v>2653</v>
      </c>
      <c r="C1164" s="6" t="s">
        <v>9524</v>
      </c>
      <c r="D1164" s="6" t="s">
        <v>9525</v>
      </c>
      <c r="E1164" s="6" t="s">
        <v>9525</v>
      </c>
      <c r="F1164" s="6">
        <v>14.7385813636946</v>
      </c>
      <c r="G1164" s="6">
        <v>14.240461842590401</v>
      </c>
      <c r="H1164" s="6">
        <v>14.553098406442199</v>
      </c>
      <c r="I1164" s="6">
        <v>15.0929967230551</v>
      </c>
      <c r="J1164" s="6">
        <v>13.6307734673676</v>
      </c>
      <c r="K1164" s="6">
        <v>13.919278472592801</v>
      </c>
      <c r="L1164" s="6">
        <v>15.1179482354838</v>
      </c>
      <c r="M1164" s="6">
        <v>13.6585031319332</v>
      </c>
      <c r="N1164" s="6">
        <v>14.600863885747501</v>
      </c>
      <c r="O1164" s="6">
        <v>15.065748580214199</v>
      </c>
      <c r="P1164" s="6">
        <v>14.628130350019401</v>
      </c>
      <c r="Q1164" s="6">
        <v>13.138255613871401</v>
      </c>
    </row>
    <row r="1165" spans="1:17">
      <c r="A1165" s="6" t="s">
        <v>9526</v>
      </c>
      <c r="B1165" s="6" t="s">
        <v>9527</v>
      </c>
      <c r="C1165" s="6" t="s">
        <v>9528</v>
      </c>
      <c r="D1165" s="6" t="s">
        <v>9529</v>
      </c>
      <c r="E1165" s="6" t="s">
        <v>9530</v>
      </c>
      <c r="F1165" s="6">
        <v>14.7453687234537</v>
      </c>
      <c r="G1165" s="6">
        <v>14.058449510724699</v>
      </c>
      <c r="H1165" s="6">
        <v>14.404789137636101</v>
      </c>
      <c r="I1165" s="6">
        <v>14.8863687358146</v>
      </c>
      <c r="J1165" s="6">
        <v>13.313641626876301</v>
      </c>
      <c r="K1165" s="6">
        <v>14.043251617876701</v>
      </c>
      <c r="L1165" s="6">
        <v>14.9052782077017</v>
      </c>
      <c r="M1165" s="6">
        <v>13.2807474924034</v>
      </c>
      <c r="N1165" s="6">
        <v>14.4125084730961</v>
      </c>
      <c r="O1165" s="6">
        <v>14.6622430376972</v>
      </c>
      <c r="P1165" s="6">
        <v>14.6170827682376</v>
      </c>
      <c r="Q1165" s="6">
        <v>12.9818465154815</v>
      </c>
    </row>
    <row r="1166" spans="1:17">
      <c r="A1166" s="6" t="s">
        <v>9531</v>
      </c>
      <c r="B1166" s="6" t="s">
        <v>9532</v>
      </c>
      <c r="C1166" s="6" t="s">
        <v>9533</v>
      </c>
      <c r="D1166" s="6" t="s">
        <v>9534</v>
      </c>
      <c r="E1166" s="6" t="s">
        <v>9535</v>
      </c>
      <c r="F1166" s="6">
        <v>14.2614838171966</v>
      </c>
      <c r="G1166" s="6">
        <v>14.369156992636301</v>
      </c>
      <c r="H1166" s="6">
        <v>14.4751673237652</v>
      </c>
      <c r="I1166" s="6">
        <v>15.017584743410699</v>
      </c>
      <c r="J1166" s="6">
        <v>13.720671733581399</v>
      </c>
      <c r="K1166" s="6">
        <v>14.3082003322567</v>
      </c>
      <c r="L1166" s="6">
        <v>14.833891308579799</v>
      </c>
      <c r="M1166" s="6">
        <v>13.609303949359299</v>
      </c>
      <c r="N1166" s="6">
        <v>13.905880367210299</v>
      </c>
      <c r="O1166" s="6">
        <v>14.750463426411001</v>
      </c>
      <c r="P1166" s="6">
        <v>14.8055092854911</v>
      </c>
      <c r="Q1166" s="6">
        <v>12.9819382085087</v>
      </c>
    </row>
    <row r="1167" spans="1:17">
      <c r="A1167" s="6" t="s">
        <v>1205</v>
      </c>
      <c r="B1167" s="6" t="s">
        <v>1205</v>
      </c>
      <c r="C1167" s="6" t="s">
        <v>9536</v>
      </c>
      <c r="D1167" s="6" t="s">
        <v>9537</v>
      </c>
      <c r="E1167" s="6" t="s">
        <v>9537</v>
      </c>
      <c r="F1167" s="6">
        <v>14.818712629677799</v>
      </c>
      <c r="G1167" s="6">
        <v>14.348643295315901</v>
      </c>
      <c r="H1167" s="6">
        <v>14.222715071336101</v>
      </c>
      <c r="I1167" s="6">
        <v>15.3272748952766</v>
      </c>
      <c r="J1167" s="6">
        <v>13.629426923057199</v>
      </c>
      <c r="K1167" s="6">
        <v>14.3513418502784</v>
      </c>
      <c r="L1167" s="6">
        <v>14.8318621915551</v>
      </c>
      <c r="M1167" s="6">
        <v>13.2707768284811</v>
      </c>
      <c r="N1167" s="6">
        <v>13.806639903290201</v>
      </c>
      <c r="O1167" s="6">
        <v>14.8426529161361</v>
      </c>
      <c r="P1167" s="6">
        <v>14.5714679608054</v>
      </c>
      <c r="Q1167" s="6">
        <v>12.9643882244244</v>
      </c>
    </row>
    <row r="1168" spans="1:17">
      <c r="A1168" s="6" t="s">
        <v>9538</v>
      </c>
      <c r="B1168" s="6" t="s">
        <v>9538</v>
      </c>
      <c r="C1168" s="6" t="s">
        <v>9539</v>
      </c>
      <c r="D1168" s="6" t="s">
        <v>9540</v>
      </c>
      <c r="E1168" s="6" t="s">
        <v>9540</v>
      </c>
      <c r="F1168" s="6">
        <v>15.316567228490699</v>
      </c>
      <c r="G1168" s="6">
        <v>13.776912492106099</v>
      </c>
      <c r="H1168" s="6">
        <v>13.841894307225701</v>
      </c>
      <c r="I1168" s="6">
        <v>15.362746445713499</v>
      </c>
      <c r="J1168" s="6">
        <v>13.274459581292501</v>
      </c>
      <c r="K1168" s="6">
        <v>13.1867922860986</v>
      </c>
      <c r="L1168" s="6">
        <v>15.7338641015339</v>
      </c>
      <c r="M1168" s="6">
        <v>13.3827399487765</v>
      </c>
      <c r="N1168" s="6">
        <v>14.851976271266601</v>
      </c>
      <c r="O1168" s="6" t="s">
        <v>6254</v>
      </c>
      <c r="P1168" s="6">
        <v>14.2604521924144</v>
      </c>
      <c r="Q1168" s="6" t="s">
        <v>6254</v>
      </c>
    </row>
    <row r="1169" spans="1:17">
      <c r="A1169" s="6" t="s">
        <v>4654</v>
      </c>
      <c r="B1169" s="6" t="s">
        <v>4654</v>
      </c>
      <c r="C1169" s="6" t="s">
        <v>9541</v>
      </c>
      <c r="D1169" s="6" t="s">
        <v>9542</v>
      </c>
      <c r="E1169" s="6" t="s">
        <v>9542</v>
      </c>
      <c r="F1169" s="6">
        <v>14.7265930646321</v>
      </c>
      <c r="G1169" s="6">
        <v>14.201545060175</v>
      </c>
      <c r="H1169" s="6">
        <v>14.4330100905343</v>
      </c>
      <c r="I1169" s="6">
        <v>14.9907163090375</v>
      </c>
      <c r="J1169" s="6">
        <v>13.433820815327399</v>
      </c>
      <c r="K1169" s="6">
        <v>14.385346508586499</v>
      </c>
      <c r="L1169" s="6">
        <v>15.2560643525239</v>
      </c>
      <c r="M1169" s="6">
        <v>13.7353576474568</v>
      </c>
      <c r="N1169" s="6">
        <v>14.6096351293724</v>
      </c>
      <c r="O1169" s="6">
        <v>14.526528014212399</v>
      </c>
      <c r="P1169" s="6">
        <v>14.488412745298399</v>
      </c>
      <c r="Q1169" s="6">
        <v>12.2172795249109</v>
      </c>
    </row>
    <row r="1170" spans="1:17">
      <c r="A1170" s="6" t="s">
        <v>3379</v>
      </c>
      <c r="B1170" s="6" t="s">
        <v>3379</v>
      </c>
      <c r="C1170" s="6" t="s">
        <v>9543</v>
      </c>
      <c r="D1170" s="6" t="s">
        <v>9544</v>
      </c>
      <c r="E1170" s="6" t="s">
        <v>9544</v>
      </c>
      <c r="F1170" s="6">
        <v>15.105529332310301</v>
      </c>
      <c r="G1170" s="6">
        <v>14.0070605127696</v>
      </c>
      <c r="H1170" s="6">
        <v>14.3774690358992</v>
      </c>
      <c r="I1170" s="6">
        <v>15.2571968741867</v>
      </c>
      <c r="J1170" s="6">
        <v>13.974584152464701</v>
      </c>
      <c r="K1170" s="6">
        <v>14.177326149534</v>
      </c>
      <c r="L1170" s="6">
        <v>14.9658999574373</v>
      </c>
      <c r="M1170" s="6">
        <v>13.469712446344399</v>
      </c>
      <c r="N1170" s="6">
        <v>14.719994770329</v>
      </c>
      <c r="O1170" s="6">
        <v>14.380009305282901</v>
      </c>
      <c r="P1170" s="6">
        <v>14.3070294769601</v>
      </c>
      <c r="Q1170" s="6">
        <v>13.2876471978959</v>
      </c>
    </row>
    <row r="1171" spans="1:17">
      <c r="A1171" s="6" t="s">
        <v>9545</v>
      </c>
      <c r="B1171" s="6" t="s">
        <v>9546</v>
      </c>
      <c r="C1171" s="6" t="s">
        <v>9547</v>
      </c>
      <c r="D1171" s="6" t="s">
        <v>9548</v>
      </c>
      <c r="E1171" s="6" t="s">
        <v>9549</v>
      </c>
      <c r="F1171" s="6">
        <v>14.704200879061201</v>
      </c>
      <c r="G1171" s="6">
        <v>14.3079908880133</v>
      </c>
      <c r="H1171" s="6">
        <v>14.397993919827</v>
      </c>
      <c r="I1171" s="6">
        <v>15.2216816554832</v>
      </c>
      <c r="J1171" s="6">
        <v>13.5329306775728</v>
      </c>
      <c r="K1171" s="6">
        <v>14.3512338859623</v>
      </c>
      <c r="L1171" s="6">
        <v>15.123799953847699</v>
      </c>
      <c r="M1171" s="6">
        <v>13.0947813592465</v>
      </c>
      <c r="N1171" s="6">
        <v>13.774579016654</v>
      </c>
      <c r="O1171" s="6">
        <v>14.705442329124899</v>
      </c>
      <c r="P1171" s="6">
        <v>14.5670589956684</v>
      </c>
      <c r="Q1171" s="6">
        <v>13.247972855485701</v>
      </c>
    </row>
    <row r="1172" spans="1:17">
      <c r="A1172" s="6" t="s">
        <v>2920</v>
      </c>
      <c r="B1172" s="6" t="s">
        <v>2920</v>
      </c>
      <c r="C1172" s="6" t="s">
        <v>9550</v>
      </c>
      <c r="D1172" s="6" t="s">
        <v>9551</v>
      </c>
      <c r="E1172" s="6" t="s">
        <v>9551</v>
      </c>
      <c r="F1172" s="6">
        <v>13.9951959523799</v>
      </c>
      <c r="G1172" s="6" t="s">
        <v>6254</v>
      </c>
      <c r="H1172" s="6">
        <v>15.383331718877599</v>
      </c>
      <c r="I1172" s="6">
        <v>15.4302870127228</v>
      </c>
      <c r="J1172" s="6">
        <v>13.877532915068601</v>
      </c>
      <c r="K1172" s="6">
        <v>14.5883162694027</v>
      </c>
      <c r="L1172" s="6">
        <v>15.585306824185899</v>
      </c>
      <c r="M1172" s="6">
        <v>14.1304911721741</v>
      </c>
      <c r="N1172" s="6">
        <v>14.6928734564779</v>
      </c>
      <c r="O1172" s="6">
        <v>13.7856562606871</v>
      </c>
      <c r="P1172" s="6">
        <v>13.390127999642001</v>
      </c>
      <c r="Q1172" s="6" t="s">
        <v>6254</v>
      </c>
    </row>
    <row r="1173" spans="1:17">
      <c r="A1173" s="6" t="s">
        <v>5210</v>
      </c>
      <c r="B1173" s="6" t="s">
        <v>5212</v>
      </c>
      <c r="C1173" s="6" t="s">
        <v>9552</v>
      </c>
      <c r="D1173" s="6" t="s">
        <v>9553</v>
      </c>
      <c r="E1173" s="6" t="s">
        <v>9554</v>
      </c>
      <c r="F1173" s="6">
        <v>14.7689484747874</v>
      </c>
      <c r="G1173" s="6">
        <v>13.939186631756501</v>
      </c>
      <c r="H1173" s="6">
        <v>14.465424797973901</v>
      </c>
      <c r="I1173" s="6">
        <v>15.064611759343901</v>
      </c>
      <c r="J1173" s="6">
        <v>13.568427455503</v>
      </c>
      <c r="K1173" s="6">
        <v>14.391516195509</v>
      </c>
      <c r="L1173" s="6">
        <v>15.0587724160793</v>
      </c>
      <c r="M1173" s="6">
        <v>12.006667882043001</v>
      </c>
      <c r="N1173" s="6">
        <v>14.417598583173801</v>
      </c>
      <c r="O1173" s="6">
        <v>14.845976322104301</v>
      </c>
      <c r="P1173" s="6">
        <v>14.480543854240601</v>
      </c>
      <c r="Q1173" s="6" t="s">
        <v>6254</v>
      </c>
    </row>
    <row r="1174" spans="1:17">
      <c r="A1174" s="6" t="s">
        <v>9555</v>
      </c>
      <c r="B1174" s="6" t="s">
        <v>9556</v>
      </c>
      <c r="C1174" s="6" t="s">
        <v>9557</v>
      </c>
      <c r="D1174" s="6" t="s">
        <v>9558</v>
      </c>
      <c r="E1174" s="6" t="s">
        <v>9559</v>
      </c>
      <c r="F1174" s="6">
        <v>14.6170782915818</v>
      </c>
      <c r="G1174" s="6">
        <v>14.190761573069</v>
      </c>
      <c r="H1174" s="6">
        <v>14.419880449432499</v>
      </c>
      <c r="I1174" s="6">
        <v>15.107599983545899</v>
      </c>
      <c r="J1174" s="6">
        <v>13.6026438211625</v>
      </c>
      <c r="K1174" s="6">
        <v>14.491371769090801</v>
      </c>
      <c r="L1174" s="6">
        <v>14.7515438094267</v>
      </c>
      <c r="M1174" s="6">
        <v>13.5737120117654</v>
      </c>
      <c r="N1174" s="6">
        <v>13.4430184589229</v>
      </c>
      <c r="O1174" s="6">
        <v>14.5181720198546</v>
      </c>
      <c r="P1174" s="6">
        <v>14.7343393417865</v>
      </c>
      <c r="Q1174" s="6">
        <v>13.1858916502306</v>
      </c>
    </row>
    <row r="1175" spans="1:17">
      <c r="A1175" s="6" t="s">
        <v>9560</v>
      </c>
      <c r="B1175" s="6" t="s">
        <v>9561</v>
      </c>
      <c r="C1175" s="6" t="s">
        <v>9562</v>
      </c>
      <c r="D1175" s="6" t="s">
        <v>9563</v>
      </c>
      <c r="E1175" s="6" t="s">
        <v>9564</v>
      </c>
      <c r="F1175" s="6">
        <v>15.263647349066799</v>
      </c>
      <c r="G1175" s="6" t="s">
        <v>6254</v>
      </c>
      <c r="H1175" s="6">
        <v>12.84072400694</v>
      </c>
      <c r="I1175" s="6">
        <v>12.828679474453599</v>
      </c>
      <c r="J1175" s="6" t="s">
        <v>6254</v>
      </c>
      <c r="K1175" s="6">
        <v>14.9848520492828</v>
      </c>
      <c r="L1175" s="6">
        <v>13.4502839014692</v>
      </c>
      <c r="M1175" s="6">
        <v>13.9341714337328</v>
      </c>
      <c r="N1175" s="6" t="s">
        <v>6254</v>
      </c>
      <c r="O1175" s="6" t="s">
        <v>6254</v>
      </c>
      <c r="P1175" s="6">
        <v>15.5438225850527</v>
      </c>
      <c r="Q1175" s="6" t="s">
        <v>6254</v>
      </c>
    </row>
    <row r="1176" spans="1:17">
      <c r="A1176" s="6" t="s">
        <v>9565</v>
      </c>
      <c r="B1176" s="6" t="s">
        <v>9565</v>
      </c>
      <c r="C1176" s="6" t="s">
        <v>9566</v>
      </c>
      <c r="D1176" s="6" t="s">
        <v>9567</v>
      </c>
      <c r="E1176" s="6" t="s">
        <v>9567</v>
      </c>
      <c r="F1176" s="6">
        <v>14.048696742656601</v>
      </c>
      <c r="G1176" s="6">
        <v>14.3102210979016</v>
      </c>
      <c r="H1176" s="6">
        <v>14.2758572501595</v>
      </c>
      <c r="I1176" s="6">
        <v>14.4022552264317</v>
      </c>
      <c r="J1176" s="6">
        <v>14.114481777570999</v>
      </c>
      <c r="K1176" s="6">
        <v>13.3441090522844</v>
      </c>
      <c r="L1176" s="6">
        <v>14.7827013650725</v>
      </c>
      <c r="M1176" s="6">
        <v>14.5615865995271</v>
      </c>
      <c r="N1176" s="6">
        <v>13.893676680011501</v>
      </c>
      <c r="O1176" s="6">
        <v>13.9382138190758</v>
      </c>
      <c r="P1176" s="6">
        <v>13.643026500708499</v>
      </c>
      <c r="Q1176" s="6">
        <v>13.761011417758301</v>
      </c>
    </row>
    <row r="1177" spans="1:17">
      <c r="A1177" s="6" t="s">
        <v>9568</v>
      </c>
      <c r="B1177" s="6" t="s">
        <v>9568</v>
      </c>
      <c r="C1177" s="6" t="s">
        <v>9569</v>
      </c>
      <c r="D1177" s="6" t="s">
        <v>9570</v>
      </c>
      <c r="E1177" s="6" t="s">
        <v>9570</v>
      </c>
      <c r="F1177" s="6" t="s">
        <v>6254</v>
      </c>
      <c r="G1177" s="6">
        <v>11.4472280532196</v>
      </c>
      <c r="H1177" s="6" t="s">
        <v>6254</v>
      </c>
      <c r="I1177" s="6">
        <v>13.2244032983127</v>
      </c>
      <c r="J1177" s="6" t="s">
        <v>6254</v>
      </c>
      <c r="K1177" s="6" t="s">
        <v>6254</v>
      </c>
      <c r="L1177" s="6">
        <v>16.228489997342901</v>
      </c>
      <c r="M1177" s="6" t="s">
        <v>6254</v>
      </c>
      <c r="N1177" s="6" t="s">
        <v>6254</v>
      </c>
      <c r="O1177" s="6" t="s">
        <v>6254</v>
      </c>
      <c r="P1177" s="6" t="s">
        <v>6254</v>
      </c>
      <c r="Q1177" s="6" t="s">
        <v>6254</v>
      </c>
    </row>
    <row r="1178" spans="1:17">
      <c r="A1178" s="6" t="s">
        <v>9571</v>
      </c>
      <c r="B1178" s="6" t="s">
        <v>9572</v>
      </c>
      <c r="C1178" s="6" t="s">
        <v>9573</v>
      </c>
      <c r="D1178" s="6" t="s">
        <v>9574</v>
      </c>
      <c r="E1178" s="6" t="s">
        <v>9575</v>
      </c>
      <c r="F1178" s="6">
        <v>14.6535567533699</v>
      </c>
      <c r="G1178" s="6">
        <v>14.5173073373166</v>
      </c>
      <c r="H1178" s="6">
        <v>14.422835114161799</v>
      </c>
      <c r="I1178" s="6">
        <v>15.118054949483801</v>
      </c>
      <c r="J1178" s="6">
        <v>13.7922599645768</v>
      </c>
      <c r="K1178" s="6">
        <v>14.3950097111271</v>
      </c>
      <c r="L1178" s="6">
        <v>15.171952952142799</v>
      </c>
      <c r="M1178" s="6">
        <v>13.671199549822401</v>
      </c>
      <c r="N1178" s="6">
        <v>13.800744415558199</v>
      </c>
      <c r="O1178" s="6">
        <v>14.2372944275391</v>
      </c>
      <c r="P1178" s="6">
        <v>14.3114530151878</v>
      </c>
      <c r="Q1178" s="6">
        <v>13.467239603511301</v>
      </c>
    </row>
    <row r="1179" spans="1:17">
      <c r="A1179" s="6" t="s">
        <v>3646</v>
      </c>
      <c r="B1179" s="6" t="s">
        <v>3646</v>
      </c>
      <c r="C1179" s="6" t="s">
        <v>9576</v>
      </c>
      <c r="D1179" s="6" t="s">
        <v>9577</v>
      </c>
      <c r="E1179" s="6" t="s">
        <v>9577</v>
      </c>
      <c r="F1179" s="6">
        <v>14.192439816506401</v>
      </c>
      <c r="G1179" s="6">
        <v>14.7304984127925</v>
      </c>
      <c r="H1179" s="6">
        <v>15.167994041359099</v>
      </c>
      <c r="I1179" s="6">
        <v>14.2212224346237</v>
      </c>
      <c r="J1179" s="6" t="s">
        <v>6254</v>
      </c>
      <c r="K1179" s="6">
        <v>14.667829110468301</v>
      </c>
      <c r="L1179" s="6">
        <v>14.6336426084797</v>
      </c>
      <c r="M1179" s="6" t="s">
        <v>6254</v>
      </c>
      <c r="N1179" s="6">
        <v>14.55716253103</v>
      </c>
      <c r="O1179" s="6">
        <v>14.088984990779901</v>
      </c>
      <c r="P1179" s="6">
        <v>14.9516211681158</v>
      </c>
      <c r="Q1179" s="6" t="s">
        <v>6254</v>
      </c>
    </row>
    <row r="1180" spans="1:17">
      <c r="A1180" s="6" t="s">
        <v>3986</v>
      </c>
      <c r="B1180" s="6" t="s">
        <v>3986</v>
      </c>
      <c r="C1180" s="6" t="s">
        <v>9578</v>
      </c>
      <c r="D1180" s="6" t="s">
        <v>9579</v>
      </c>
      <c r="E1180" s="6" t="s">
        <v>9579</v>
      </c>
      <c r="F1180" s="6">
        <v>14.338050542903501</v>
      </c>
      <c r="G1180" s="6">
        <v>13.5432876098638</v>
      </c>
      <c r="H1180" s="6">
        <v>13.8804587691917</v>
      </c>
      <c r="I1180" s="6">
        <v>14.6121010431602</v>
      </c>
      <c r="J1180" s="6">
        <v>14.459410682765601</v>
      </c>
      <c r="K1180" s="6">
        <v>15.216580264953</v>
      </c>
      <c r="L1180" s="6">
        <v>14.5056298566679</v>
      </c>
      <c r="M1180" s="6">
        <v>12.6187180127828</v>
      </c>
      <c r="N1180" s="6">
        <v>13.7485815474012</v>
      </c>
      <c r="O1180" s="6">
        <v>13.695943794957399</v>
      </c>
      <c r="P1180" s="6">
        <v>14.140725746103</v>
      </c>
      <c r="Q1180" s="6">
        <v>15.0482424380306</v>
      </c>
    </row>
    <row r="1181" spans="1:17">
      <c r="A1181" s="6" t="s">
        <v>4286</v>
      </c>
      <c r="B1181" s="6" t="s">
        <v>4288</v>
      </c>
      <c r="C1181" s="6" t="s">
        <v>9580</v>
      </c>
      <c r="D1181" s="6" t="s">
        <v>9581</v>
      </c>
      <c r="E1181" s="6" t="s">
        <v>9582</v>
      </c>
      <c r="F1181" s="6">
        <v>14.8360331945736</v>
      </c>
      <c r="G1181" s="6">
        <v>14.1193976067885</v>
      </c>
      <c r="H1181" s="6">
        <v>14.190022818964099</v>
      </c>
      <c r="I1181" s="6">
        <v>15.111882265373699</v>
      </c>
      <c r="J1181" s="6">
        <v>13.694350133928999</v>
      </c>
      <c r="K1181" s="6">
        <v>14.538857446111599</v>
      </c>
      <c r="L1181" s="6">
        <v>14.9723299012864</v>
      </c>
      <c r="M1181" s="6">
        <v>13.6557497731624</v>
      </c>
      <c r="N1181" s="6">
        <v>13.6609654141515</v>
      </c>
      <c r="O1181" s="6">
        <v>14.7375945262168</v>
      </c>
      <c r="P1181" s="6">
        <v>14.6915714877962</v>
      </c>
      <c r="Q1181" s="6">
        <v>13.3228552211656</v>
      </c>
    </row>
    <row r="1182" spans="1:17">
      <c r="A1182" s="6" t="s">
        <v>9583</v>
      </c>
      <c r="B1182" s="6" t="s">
        <v>9583</v>
      </c>
      <c r="C1182" s="6" t="s">
        <v>9584</v>
      </c>
      <c r="D1182" s="6" t="s">
        <v>9585</v>
      </c>
      <c r="E1182" s="6" t="s">
        <v>9585</v>
      </c>
      <c r="F1182" s="6">
        <v>13.8120896629024</v>
      </c>
      <c r="G1182" s="6">
        <v>13.814233080491499</v>
      </c>
      <c r="H1182" s="6">
        <v>13.869194698919699</v>
      </c>
      <c r="I1182" s="6">
        <v>15.3362735871056</v>
      </c>
      <c r="J1182" s="6">
        <v>13.5952630088172</v>
      </c>
      <c r="K1182" s="6">
        <v>14.4902162751865</v>
      </c>
      <c r="L1182" s="6">
        <v>15.140038915359201</v>
      </c>
      <c r="M1182" s="6" t="s">
        <v>6254</v>
      </c>
      <c r="N1182" s="6" t="s">
        <v>6254</v>
      </c>
      <c r="O1182" s="6">
        <v>12.878182554082199</v>
      </c>
      <c r="P1182" s="6" t="s">
        <v>6254</v>
      </c>
      <c r="Q1182" s="6" t="s">
        <v>6254</v>
      </c>
    </row>
    <row r="1183" spans="1:17">
      <c r="A1183" s="6" t="s">
        <v>9586</v>
      </c>
      <c r="B1183" s="6" t="s">
        <v>9587</v>
      </c>
      <c r="C1183" s="6" t="s">
        <v>9588</v>
      </c>
      <c r="D1183" s="6" t="s">
        <v>9589</v>
      </c>
      <c r="E1183" s="6" t="s">
        <v>9590</v>
      </c>
      <c r="F1183" s="6">
        <v>14.977306586733601</v>
      </c>
      <c r="G1183" s="6">
        <v>14.180213121061</v>
      </c>
      <c r="H1183" s="6">
        <v>14.0793924641732</v>
      </c>
      <c r="I1183" s="6">
        <v>15.190566148808101</v>
      </c>
      <c r="J1183" s="6">
        <v>13.541783288128199</v>
      </c>
      <c r="K1183" s="6">
        <v>14.278474793829201</v>
      </c>
      <c r="L1183" s="6">
        <v>14.8552806340718</v>
      </c>
      <c r="M1183" s="6">
        <v>13.1102126757772</v>
      </c>
      <c r="N1183" s="6">
        <v>13.6113087585834</v>
      </c>
      <c r="O1183" s="6">
        <v>14.8240812555613</v>
      </c>
      <c r="P1183" s="6">
        <v>14.789595343591699</v>
      </c>
      <c r="Q1183" s="6">
        <v>13.0408327057525</v>
      </c>
    </row>
    <row r="1184" spans="1:17">
      <c r="A1184" s="6" t="s">
        <v>1497</v>
      </c>
      <c r="B1184" s="6" t="s">
        <v>1497</v>
      </c>
      <c r="C1184" s="6" t="s">
        <v>9591</v>
      </c>
      <c r="D1184" s="6" t="s">
        <v>9592</v>
      </c>
      <c r="E1184" s="6" t="s">
        <v>9592</v>
      </c>
      <c r="F1184" s="6">
        <v>13.9714906006927</v>
      </c>
      <c r="G1184" s="6">
        <v>14.753446550241801</v>
      </c>
      <c r="H1184" s="6">
        <v>14.7929080707849</v>
      </c>
      <c r="I1184" s="6">
        <v>13.854157063258601</v>
      </c>
      <c r="J1184" s="6">
        <v>14.335181806062799</v>
      </c>
      <c r="K1184" s="6">
        <v>14.8984604971234</v>
      </c>
      <c r="L1184" s="6">
        <v>14.703803531504899</v>
      </c>
      <c r="M1184" s="6">
        <v>14.500854927839599</v>
      </c>
      <c r="N1184" s="6">
        <v>14.6605730739342</v>
      </c>
      <c r="O1184" s="6">
        <v>13.807690778504501</v>
      </c>
      <c r="P1184" s="6">
        <v>14.3946133545212</v>
      </c>
      <c r="Q1184" s="6">
        <v>14.21908731093</v>
      </c>
    </row>
    <row r="1185" spans="1:17">
      <c r="A1185" s="6" t="s">
        <v>1674</v>
      </c>
      <c r="B1185" s="6" t="s">
        <v>1674</v>
      </c>
      <c r="C1185" s="6" t="s">
        <v>9593</v>
      </c>
      <c r="D1185" s="6" t="s">
        <v>9594</v>
      </c>
      <c r="E1185" s="6" t="s">
        <v>9594</v>
      </c>
      <c r="F1185" s="6">
        <v>14.563616787691</v>
      </c>
      <c r="G1185" s="6">
        <v>14.022849334298501</v>
      </c>
      <c r="H1185" s="6">
        <v>14.622582351402199</v>
      </c>
      <c r="I1185" s="6">
        <v>14.819695453032899</v>
      </c>
      <c r="J1185" s="6">
        <v>13.825401683017899</v>
      </c>
      <c r="K1185" s="6">
        <v>14.051654085723101</v>
      </c>
      <c r="L1185" s="6">
        <v>14.9172019618573</v>
      </c>
      <c r="M1185" s="6">
        <v>13.2486729149359</v>
      </c>
      <c r="N1185" s="6">
        <v>14.0104408859439</v>
      </c>
      <c r="O1185" s="6">
        <v>14.827545318560601</v>
      </c>
      <c r="P1185" s="6">
        <v>14.5110657805856</v>
      </c>
      <c r="Q1185" s="6">
        <v>12.6191959301157</v>
      </c>
    </row>
    <row r="1186" spans="1:17">
      <c r="A1186" s="6" t="s">
        <v>4154</v>
      </c>
      <c r="B1186" s="6" t="s">
        <v>4154</v>
      </c>
      <c r="C1186" s="6" t="s">
        <v>9595</v>
      </c>
      <c r="D1186" s="6" t="s">
        <v>9596</v>
      </c>
      <c r="E1186" s="6" t="s">
        <v>9596</v>
      </c>
      <c r="F1186" s="6" t="s">
        <v>6254</v>
      </c>
      <c r="G1186" s="6" t="s">
        <v>6254</v>
      </c>
      <c r="H1186" s="6">
        <v>14.7423341916812</v>
      </c>
      <c r="I1186" s="6">
        <v>15.209103249363199</v>
      </c>
      <c r="J1186" s="6">
        <v>14.068325981925099</v>
      </c>
      <c r="K1186" s="6">
        <v>13.7764770400973</v>
      </c>
      <c r="L1186" s="6">
        <v>15.4421613857973</v>
      </c>
      <c r="M1186" s="6" t="s">
        <v>6254</v>
      </c>
      <c r="N1186" s="6" t="s">
        <v>6254</v>
      </c>
      <c r="O1186" s="6" t="s">
        <v>6254</v>
      </c>
      <c r="P1186" s="6" t="s">
        <v>6254</v>
      </c>
      <c r="Q1186" s="6" t="s">
        <v>6254</v>
      </c>
    </row>
    <row r="1187" spans="1:17">
      <c r="A1187" s="6" t="s">
        <v>683</v>
      </c>
      <c r="B1187" s="6" t="s">
        <v>683</v>
      </c>
      <c r="C1187" s="6" t="s">
        <v>9597</v>
      </c>
      <c r="D1187" s="6" t="s">
        <v>9598</v>
      </c>
      <c r="E1187" s="6" t="s">
        <v>9598</v>
      </c>
      <c r="F1187" s="6">
        <v>14.954850128505001</v>
      </c>
      <c r="G1187" s="6">
        <v>13.935045210399201</v>
      </c>
      <c r="H1187" s="6">
        <v>14.451664460147899</v>
      </c>
      <c r="I1187" s="6">
        <v>15.1812329349998</v>
      </c>
      <c r="J1187" s="6">
        <v>13.7669614525459</v>
      </c>
      <c r="K1187" s="6">
        <v>14.0184509159371</v>
      </c>
      <c r="L1187" s="6">
        <v>14.932038950830901</v>
      </c>
      <c r="M1187" s="6">
        <v>13.747476345646399</v>
      </c>
      <c r="N1187" s="6">
        <v>14.359264153125601</v>
      </c>
      <c r="O1187" s="6">
        <v>14.8262259913117</v>
      </c>
      <c r="P1187" s="6">
        <v>14.4052903005418</v>
      </c>
      <c r="Q1187" s="6">
        <v>12.77337424772</v>
      </c>
    </row>
    <row r="1188" spans="1:17">
      <c r="A1188" s="6" t="s">
        <v>883</v>
      </c>
      <c r="B1188" s="6" t="s">
        <v>883</v>
      </c>
      <c r="C1188" s="6" t="s">
        <v>9599</v>
      </c>
      <c r="D1188" s="6" t="s">
        <v>9600</v>
      </c>
      <c r="E1188" s="6" t="s">
        <v>9600</v>
      </c>
      <c r="F1188" s="6">
        <v>14.7616540304748</v>
      </c>
      <c r="G1188" s="6">
        <v>14.3861754012019</v>
      </c>
      <c r="H1188" s="6">
        <v>14.292228567934499</v>
      </c>
      <c r="I1188" s="6">
        <v>14.891196463622199</v>
      </c>
      <c r="J1188" s="6">
        <v>13.665979176703299</v>
      </c>
      <c r="K1188" s="6">
        <v>14.2346763296667</v>
      </c>
      <c r="L1188" s="6">
        <v>14.889410157519601</v>
      </c>
      <c r="M1188" s="6">
        <v>13.5290070156382</v>
      </c>
      <c r="N1188" s="6">
        <v>14.073121066896</v>
      </c>
      <c r="O1188" s="6">
        <v>14.6046438843793</v>
      </c>
      <c r="P1188" s="6">
        <v>14.466265838095101</v>
      </c>
      <c r="Q1188" s="6">
        <v>13.5549172131975</v>
      </c>
    </row>
    <row r="1189" spans="1:17">
      <c r="A1189" s="6" t="s">
        <v>1460</v>
      </c>
      <c r="B1189" s="6" t="s">
        <v>1460</v>
      </c>
      <c r="C1189" s="6" t="s">
        <v>9601</v>
      </c>
      <c r="D1189" s="6" t="s">
        <v>9602</v>
      </c>
      <c r="E1189" s="6" t="s">
        <v>9602</v>
      </c>
      <c r="F1189" s="6">
        <v>14.0661913951509</v>
      </c>
      <c r="G1189" s="6">
        <v>13.5263162333487</v>
      </c>
      <c r="H1189" s="6">
        <v>14.4602126080913</v>
      </c>
      <c r="I1189" s="6">
        <v>15.3628447891207</v>
      </c>
      <c r="J1189" s="6">
        <v>13.681451780473999</v>
      </c>
      <c r="K1189" s="6">
        <v>14.4479306334346</v>
      </c>
      <c r="L1189" s="6">
        <v>14.9509345316853</v>
      </c>
      <c r="M1189" s="6">
        <v>13.6047356161409</v>
      </c>
      <c r="N1189" s="6">
        <v>14.2889566656069</v>
      </c>
      <c r="O1189" s="6">
        <v>14.6277110295285</v>
      </c>
      <c r="P1189" s="6">
        <v>14.280631503316499</v>
      </c>
      <c r="Q1189" s="6">
        <v>12.875668248925701</v>
      </c>
    </row>
    <row r="1190" spans="1:17">
      <c r="A1190" s="6" t="s">
        <v>9603</v>
      </c>
      <c r="B1190" s="6" t="s">
        <v>9604</v>
      </c>
      <c r="C1190" s="6" t="s">
        <v>9605</v>
      </c>
      <c r="D1190" s="6" t="s">
        <v>9606</v>
      </c>
      <c r="E1190" s="6" t="s">
        <v>9607</v>
      </c>
      <c r="F1190" s="6">
        <v>14.120351057526999</v>
      </c>
      <c r="G1190" s="6">
        <v>13.803642754658</v>
      </c>
      <c r="H1190" s="6">
        <v>14.3185937716597</v>
      </c>
      <c r="I1190" s="6">
        <v>15.4548351297955</v>
      </c>
      <c r="J1190" s="6">
        <v>13.822623016545201</v>
      </c>
      <c r="K1190" s="6">
        <v>14.380458349634299</v>
      </c>
      <c r="L1190" s="6">
        <v>15.1830278446708</v>
      </c>
      <c r="M1190" s="6">
        <v>12.7370791333563</v>
      </c>
      <c r="N1190" s="6">
        <v>14.1525247617937</v>
      </c>
      <c r="O1190" s="6">
        <v>14.1585985443204</v>
      </c>
      <c r="P1190" s="6">
        <v>14.7200790755958</v>
      </c>
      <c r="Q1190" s="6">
        <v>13.304480301099501</v>
      </c>
    </row>
    <row r="1191" spans="1:17">
      <c r="A1191" s="6" t="s">
        <v>9608</v>
      </c>
      <c r="B1191" s="6" t="s">
        <v>9609</v>
      </c>
      <c r="C1191" s="6" t="s">
        <v>9610</v>
      </c>
      <c r="D1191" s="6" t="s">
        <v>9611</v>
      </c>
      <c r="E1191" s="6" t="s">
        <v>9612</v>
      </c>
      <c r="F1191" s="6">
        <v>14.851777224797701</v>
      </c>
      <c r="G1191" s="6">
        <v>13.0871299300573</v>
      </c>
      <c r="H1191" s="6">
        <v>14.959657241681001</v>
      </c>
      <c r="I1191" s="6">
        <v>14.803417262985899</v>
      </c>
      <c r="J1191" s="6" t="s">
        <v>6254</v>
      </c>
      <c r="K1191" s="6">
        <v>14.235920315988301</v>
      </c>
      <c r="L1191" s="6">
        <v>15.1516389828959</v>
      </c>
      <c r="M1191" s="6">
        <v>13.4671438226079</v>
      </c>
      <c r="N1191" s="6">
        <v>13.642964458202</v>
      </c>
      <c r="O1191" s="6">
        <v>14.759883399863901</v>
      </c>
      <c r="P1191" s="6">
        <v>14.5102368553113</v>
      </c>
      <c r="Q1191" s="6" t="s">
        <v>6254</v>
      </c>
    </row>
    <row r="1192" spans="1:17">
      <c r="A1192" s="6" t="s">
        <v>4454</v>
      </c>
      <c r="B1192" s="6" t="s">
        <v>4454</v>
      </c>
      <c r="C1192" s="6" t="s">
        <v>9613</v>
      </c>
      <c r="D1192" s="6" t="s">
        <v>9614</v>
      </c>
      <c r="E1192" s="6" t="s">
        <v>9614</v>
      </c>
      <c r="F1192" s="6">
        <v>14.867994271426101</v>
      </c>
      <c r="G1192" s="6">
        <v>14.463272300042901</v>
      </c>
      <c r="H1192" s="6">
        <v>14.227463917118</v>
      </c>
      <c r="I1192" s="6">
        <v>14.967898328560199</v>
      </c>
      <c r="J1192" s="6" t="s">
        <v>6254</v>
      </c>
      <c r="K1192" s="6">
        <v>14.002914241172901</v>
      </c>
      <c r="L1192" s="6">
        <v>14.5750861774473</v>
      </c>
      <c r="M1192" s="6">
        <v>14.0118140353163</v>
      </c>
      <c r="N1192" s="6">
        <v>14.329246057062999</v>
      </c>
      <c r="O1192" s="6">
        <v>14.3969424405177</v>
      </c>
      <c r="P1192" s="6">
        <v>14.707252508545601</v>
      </c>
      <c r="Q1192" s="6" t="s">
        <v>6254</v>
      </c>
    </row>
    <row r="1193" spans="1:17">
      <c r="A1193" s="6" t="s">
        <v>9615</v>
      </c>
      <c r="B1193" s="6" t="s">
        <v>9616</v>
      </c>
      <c r="C1193" s="6" t="s">
        <v>9617</v>
      </c>
      <c r="D1193" s="6" t="s">
        <v>9618</v>
      </c>
      <c r="E1193" s="6" t="s">
        <v>9619</v>
      </c>
      <c r="F1193" s="6">
        <v>14.6721357892888</v>
      </c>
      <c r="G1193" s="6">
        <v>14.365103079448501</v>
      </c>
      <c r="H1193" s="6">
        <v>14.3806874424107</v>
      </c>
      <c r="I1193" s="6">
        <v>14.8872721983848</v>
      </c>
      <c r="J1193" s="6">
        <v>13.6041454450597</v>
      </c>
      <c r="K1193" s="6">
        <v>14.353269554450099</v>
      </c>
      <c r="L1193" s="6">
        <v>14.929844688173</v>
      </c>
      <c r="M1193" s="6">
        <v>13.565198448053</v>
      </c>
      <c r="N1193" s="6">
        <v>13.864191899103099</v>
      </c>
      <c r="O1193" s="6">
        <v>14.526036498787301</v>
      </c>
      <c r="P1193" s="6">
        <v>14.5924019008838</v>
      </c>
      <c r="Q1193" s="6">
        <v>13.1411723687657</v>
      </c>
    </row>
    <row r="1194" spans="1:17">
      <c r="A1194" s="6" t="s">
        <v>9620</v>
      </c>
      <c r="B1194" s="6" t="s">
        <v>9620</v>
      </c>
      <c r="C1194" s="6" t="s">
        <v>9621</v>
      </c>
      <c r="D1194" s="6" t="s">
        <v>9622</v>
      </c>
      <c r="E1194" s="6" t="s">
        <v>9622</v>
      </c>
      <c r="F1194" s="6">
        <v>14.199659002319599</v>
      </c>
      <c r="G1194" s="6">
        <v>14.6867354897478</v>
      </c>
      <c r="H1194" s="6">
        <v>14.3489072476146</v>
      </c>
      <c r="I1194" s="6">
        <v>14.8752410579909</v>
      </c>
      <c r="J1194" s="6">
        <v>13.3155903061005</v>
      </c>
      <c r="K1194" s="6">
        <v>14.597514611696299</v>
      </c>
      <c r="L1194" s="6">
        <v>14.898603589333201</v>
      </c>
      <c r="M1194" s="6" t="s">
        <v>6254</v>
      </c>
      <c r="N1194" s="6">
        <v>12.8342083159165</v>
      </c>
      <c r="O1194" s="6" t="s">
        <v>6254</v>
      </c>
      <c r="P1194" s="6" t="s">
        <v>6254</v>
      </c>
      <c r="Q1194" s="6">
        <v>13.6413637286701</v>
      </c>
    </row>
    <row r="1195" spans="1:17">
      <c r="A1195" s="6" t="s">
        <v>1152</v>
      </c>
      <c r="B1195" s="6" t="s">
        <v>1152</v>
      </c>
      <c r="C1195" s="6" t="s">
        <v>9623</v>
      </c>
      <c r="D1195" s="6" t="s">
        <v>9624</v>
      </c>
      <c r="E1195" s="6" t="s">
        <v>9624</v>
      </c>
      <c r="F1195" s="6">
        <v>14.231256978599699</v>
      </c>
      <c r="G1195" s="6">
        <v>13.502188010529601</v>
      </c>
      <c r="H1195" s="6">
        <v>13.918302361528999</v>
      </c>
      <c r="I1195" s="6">
        <v>16.394382762685598</v>
      </c>
      <c r="J1195" s="6">
        <v>13.4958514239464</v>
      </c>
      <c r="K1195" s="6">
        <v>14.4359880934475</v>
      </c>
      <c r="L1195" s="6">
        <v>16.950112984879901</v>
      </c>
      <c r="M1195" s="6">
        <v>13.4617787555087</v>
      </c>
      <c r="N1195" s="6">
        <v>14.3245058133017</v>
      </c>
      <c r="O1195" s="6">
        <v>15.139874399881601</v>
      </c>
      <c r="P1195" s="6">
        <v>14.353810662979299</v>
      </c>
      <c r="Q1195" s="6">
        <v>13.296163663216801</v>
      </c>
    </row>
    <row r="1196" spans="1:17">
      <c r="A1196" s="6" t="s">
        <v>3374</v>
      </c>
      <c r="B1196" s="6" t="s">
        <v>3374</v>
      </c>
      <c r="C1196" s="6" t="s">
        <v>9625</v>
      </c>
      <c r="D1196" s="6" t="s">
        <v>9592</v>
      </c>
      <c r="E1196" s="6" t="s">
        <v>9592</v>
      </c>
      <c r="F1196" s="6">
        <v>13.575866264149701</v>
      </c>
      <c r="G1196" s="6">
        <v>14.7709029985876</v>
      </c>
      <c r="H1196" s="6">
        <v>14.617842732342</v>
      </c>
      <c r="I1196" s="6">
        <v>13.72220215123</v>
      </c>
      <c r="J1196" s="6">
        <v>14.351929959422099</v>
      </c>
      <c r="K1196" s="6">
        <v>14.795244883147999</v>
      </c>
      <c r="L1196" s="6">
        <v>14.541747386850901</v>
      </c>
      <c r="M1196" s="6">
        <v>14.3275424031632</v>
      </c>
      <c r="N1196" s="6">
        <v>14.136206580218801</v>
      </c>
      <c r="O1196" s="6">
        <v>13.9792541017561</v>
      </c>
      <c r="P1196" s="6">
        <v>14.1613522034841</v>
      </c>
      <c r="Q1196" s="6">
        <v>14.088662066355599</v>
      </c>
    </row>
    <row r="1197" spans="1:17">
      <c r="A1197" s="6" t="s">
        <v>9626</v>
      </c>
      <c r="B1197" s="6" t="s">
        <v>9627</v>
      </c>
      <c r="C1197" s="6" t="s">
        <v>9628</v>
      </c>
      <c r="D1197" s="6" t="s">
        <v>9629</v>
      </c>
      <c r="E1197" s="6" t="s">
        <v>9630</v>
      </c>
      <c r="F1197" s="6">
        <v>14.868747900484101</v>
      </c>
      <c r="G1197" s="6">
        <v>13.3676718275594</v>
      </c>
      <c r="H1197" s="6">
        <v>14.3530992905033</v>
      </c>
      <c r="I1197" s="6">
        <v>15.0477040323458</v>
      </c>
      <c r="J1197" s="6">
        <v>13.613062390574401</v>
      </c>
      <c r="K1197" s="6">
        <v>14.2140684052842</v>
      </c>
      <c r="L1197" s="6">
        <v>14.716295898879199</v>
      </c>
      <c r="M1197" s="6">
        <v>13.6579665929023</v>
      </c>
      <c r="N1197" s="6">
        <v>14.046978393499799</v>
      </c>
      <c r="O1197" s="6">
        <v>14.9579608157023</v>
      </c>
      <c r="P1197" s="6">
        <v>14.780282646830299</v>
      </c>
      <c r="Q1197" s="6">
        <v>13.1943558163779</v>
      </c>
    </row>
    <row r="1198" spans="1:17">
      <c r="A1198" s="6" t="s">
        <v>9631</v>
      </c>
      <c r="B1198" s="6" t="s">
        <v>9632</v>
      </c>
      <c r="C1198" s="6" t="s">
        <v>9633</v>
      </c>
      <c r="D1198" s="6" t="s">
        <v>9634</v>
      </c>
      <c r="E1198" s="6" t="s">
        <v>9635</v>
      </c>
      <c r="F1198" s="6">
        <v>14.905091203584901</v>
      </c>
      <c r="G1198" s="6">
        <v>14.193216510743</v>
      </c>
      <c r="H1198" s="6">
        <v>14.4489349029941</v>
      </c>
      <c r="I1198" s="6">
        <v>15.196116222204299</v>
      </c>
      <c r="J1198" s="6">
        <v>13.709687785138099</v>
      </c>
      <c r="K1198" s="6">
        <v>14.292113187589401</v>
      </c>
      <c r="L1198" s="6">
        <v>15.091468026398299</v>
      </c>
      <c r="M1198" s="6">
        <v>13.4990781236719</v>
      </c>
      <c r="N1198" s="6">
        <v>13.790210814104</v>
      </c>
      <c r="O1198" s="6">
        <v>14.524309607740999</v>
      </c>
      <c r="P1198" s="6">
        <v>14.5493863655732</v>
      </c>
      <c r="Q1198" s="6">
        <v>13.1832765804053</v>
      </c>
    </row>
    <row r="1199" spans="1:17">
      <c r="A1199" s="6" t="s">
        <v>4195</v>
      </c>
      <c r="B1199" s="6" t="s">
        <v>4197</v>
      </c>
      <c r="C1199" s="6" t="s">
        <v>9636</v>
      </c>
      <c r="D1199" s="6" t="s">
        <v>9637</v>
      </c>
      <c r="E1199" s="6" t="s">
        <v>9638</v>
      </c>
      <c r="F1199" s="6">
        <v>14.694298108043499</v>
      </c>
      <c r="G1199" s="6">
        <v>13.9739438710674</v>
      </c>
      <c r="H1199" s="6">
        <v>14.268531498220501</v>
      </c>
      <c r="I1199" s="6">
        <v>14.9517913452882</v>
      </c>
      <c r="J1199" s="6">
        <v>14.009059375369301</v>
      </c>
      <c r="K1199" s="6">
        <v>14.6618379888638</v>
      </c>
      <c r="L1199" s="6">
        <v>15.0089849601779</v>
      </c>
      <c r="M1199" s="6">
        <v>13.692619145448001</v>
      </c>
      <c r="N1199" s="6">
        <v>13.810035265241201</v>
      </c>
      <c r="O1199" s="6">
        <v>14.5343035574911</v>
      </c>
      <c r="P1199" s="6">
        <v>14.5106770048102</v>
      </c>
      <c r="Q1199" s="6">
        <v>13.325454645778899</v>
      </c>
    </row>
    <row r="1200" spans="1:17">
      <c r="A1200" s="6" t="s">
        <v>9639</v>
      </c>
      <c r="B1200" s="6" t="s">
        <v>9640</v>
      </c>
      <c r="C1200" s="6" t="s">
        <v>9641</v>
      </c>
      <c r="D1200" s="6" t="s">
        <v>9642</v>
      </c>
      <c r="E1200" s="6" t="s">
        <v>9643</v>
      </c>
      <c r="F1200" s="6">
        <v>14.8376461235029</v>
      </c>
      <c r="G1200" s="6">
        <v>14.2587344620778</v>
      </c>
      <c r="H1200" s="6">
        <v>14.4635222874298</v>
      </c>
      <c r="I1200" s="6">
        <v>14.9437336837145</v>
      </c>
      <c r="J1200" s="6">
        <v>14.0721952850585</v>
      </c>
      <c r="K1200" s="6">
        <v>14.098950657161</v>
      </c>
      <c r="L1200" s="6">
        <v>14.5580487599783</v>
      </c>
      <c r="M1200" s="6">
        <v>13.038198818785499</v>
      </c>
      <c r="N1200" s="6">
        <v>14.9959475313967</v>
      </c>
      <c r="O1200" s="6">
        <v>14.385874897568099</v>
      </c>
      <c r="P1200" s="6">
        <v>14.781023670968199</v>
      </c>
      <c r="Q1200" s="6" t="s">
        <v>6254</v>
      </c>
    </row>
    <row r="1201" spans="1:17">
      <c r="A1201" s="6" t="s">
        <v>9644</v>
      </c>
      <c r="B1201" s="6" t="s">
        <v>9645</v>
      </c>
      <c r="C1201" s="6" t="s">
        <v>9646</v>
      </c>
      <c r="D1201" s="6" t="s">
        <v>9647</v>
      </c>
      <c r="E1201" s="6" t="s">
        <v>9648</v>
      </c>
      <c r="F1201" s="6">
        <v>14.54839707759</v>
      </c>
      <c r="G1201" s="6">
        <v>14.1869613143691</v>
      </c>
      <c r="H1201" s="6">
        <v>14.224103130975401</v>
      </c>
      <c r="I1201" s="6">
        <v>14.905015825180801</v>
      </c>
      <c r="J1201" s="6">
        <v>13.589958566599</v>
      </c>
      <c r="K1201" s="6">
        <v>14.230051387400501</v>
      </c>
      <c r="L1201" s="6">
        <v>14.872057667729299</v>
      </c>
      <c r="M1201" s="6">
        <v>13.5059675173786</v>
      </c>
      <c r="N1201" s="6">
        <v>14.1681281113162</v>
      </c>
      <c r="O1201" s="6">
        <v>14.7280844732985</v>
      </c>
      <c r="P1201" s="6">
        <v>14.558186469909099</v>
      </c>
      <c r="Q1201" s="6">
        <v>13.362424436980501</v>
      </c>
    </row>
    <row r="1202" spans="1:17">
      <c r="A1202" s="6" t="s">
        <v>4035</v>
      </c>
      <c r="B1202" s="6" t="s">
        <v>4035</v>
      </c>
      <c r="C1202" s="6" t="s">
        <v>9649</v>
      </c>
      <c r="D1202" s="6" t="s">
        <v>9650</v>
      </c>
      <c r="E1202" s="6" t="s">
        <v>9650</v>
      </c>
      <c r="F1202" s="6">
        <v>15.9411330138462</v>
      </c>
      <c r="G1202" s="6" t="s">
        <v>6254</v>
      </c>
      <c r="H1202" s="6">
        <v>15.9320902187215</v>
      </c>
      <c r="I1202" s="6">
        <v>11.676567700662901</v>
      </c>
      <c r="J1202" s="6">
        <v>15.5186016505174</v>
      </c>
      <c r="K1202" s="6">
        <v>15.2796507669363</v>
      </c>
      <c r="L1202" s="6">
        <v>16.423707252765801</v>
      </c>
      <c r="M1202" s="6">
        <v>15.242066473736401</v>
      </c>
      <c r="N1202" s="6">
        <v>15.8560438750928</v>
      </c>
      <c r="O1202" s="6" t="s">
        <v>6254</v>
      </c>
      <c r="P1202" s="6">
        <v>15.9431487055537</v>
      </c>
      <c r="Q1202" s="6" t="s">
        <v>6254</v>
      </c>
    </row>
    <row r="1203" spans="1:17">
      <c r="A1203" s="6" t="s">
        <v>2554</v>
      </c>
      <c r="B1203" s="6" t="s">
        <v>2556</v>
      </c>
      <c r="C1203" s="6" t="s">
        <v>9651</v>
      </c>
      <c r="D1203" s="6" t="s">
        <v>9652</v>
      </c>
      <c r="E1203" s="6" t="s">
        <v>9653</v>
      </c>
      <c r="F1203" s="6">
        <v>14.202051020453901</v>
      </c>
      <c r="G1203" s="6">
        <v>14.020639799120101</v>
      </c>
      <c r="H1203" s="6">
        <v>13.728188888930401</v>
      </c>
      <c r="I1203" s="6">
        <v>15.7863440917238</v>
      </c>
      <c r="J1203" s="6">
        <v>13.477027175644301</v>
      </c>
      <c r="K1203" s="6">
        <v>14.344653611572699</v>
      </c>
      <c r="L1203" s="6">
        <v>14.6246591257989</v>
      </c>
      <c r="M1203" s="6">
        <v>13.2330354500446</v>
      </c>
      <c r="N1203" s="6" t="s">
        <v>6254</v>
      </c>
      <c r="O1203" s="6">
        <v>14.3644950945607</v>
      </c>
      <c r="P1203" s="6">
        <v>14.192502680551399</v>
      </c>
      <c r="Q1203" s="6" t="s">
        <v>6254</v>
      </c>
    </row>
    <row r="1204" spans="1:17">
      <c r="A1204" s="6" t="s">
        <v>3204</v>
      </c>
      <c r="B1204" s="6" t="s">
        <v>3204</v>
      </c>
      <c r="C1204" s="6" t="s">
        <v>9654</v>
      </c>
      <c r="D1204" s="6" t="s">
        <v>9655</v>
      </c>
      <c r="E1204" s="6" t="s">
        <v>9655</v>
      </c>
      <c r="F1204" s="6">
        <v>15.1576825294642</v>
      </c>
      <c r="G1204" s="6">
        <v>14.382619779326999</v>
      </c>
      <c r="H1204" s="6">
        <v>14.005787832365399</v>
      </c>
      <c r="I1204" s="6">
        <v>15.206399550664599</v>
      </c>
      <c r="J1204" s="6">
        <v>13.5663423241087</v>
      </c>
      <c r="K1204" s="6">
        <v>14.5983418198539</v>
      </c>
      <c r="L1204" s="6">
        <v>14.718978892040299</v>
      </c>
      <c r="M1204" s="6">
        <v>13.3558446514793</v>
      </c>
      <c r="N1204" s="6">
        <v>13.4762658230808</v>
      </c>
      <c r="O1204" s="6">
        <v>14.595336623471701</v>
      </c>
      <c r="P1204" s="6">
        <v>14.6290398245247</v>
      </c>
      <c r="Q1204" s="6">
        <v>13.345525665799601</v>
      </c>
    </row>
    <row r="1205" spans="1:17">
      <c r="A1205" s="6" t="s">
        <v>9656</v>
      </c>
      <c r="B1205" s="6" t="s">
        <v>9657</v>
      </c>
      <c r="C1205" s="6" t="s">
        <v>9658</v>
      </c>
      <c r="D1205" s="6" t="s">
        <v>9659</v>
      </c>
      <c r="E1205" s="6" t="s">
        <v>9660</v>
      </c>
      <c r="F1205" s="6">
        <v>14.829910224089</v>
      </c>
      <c r="G1205" s="6">
        <v>13.658721430052299</v>
      </c>
      <c r="H1205" s="6">
        <v>14.575037719030799</v>
      </c>
      <c r="I1205" s="6">
        <v>15.307860494064</v>
      </c>
      <c r="J1205" s="6">
        <v>13.715717805655199</v>
      </c>
      <c r="K1205" s="6">
        <v>14.1571331465524</v>
      </c>
      <c r="L1205" s="6">
        <v>15.1210889416261</v>
      </c>
      <c r="M1205" s="6">
        <v>13.565250050573599</v>
      </c>
      <c r="N1205" s="6">
        <v>13.9688604583094</v>
      </c>
      <c r="O1205" s="6">
        <v>14.5114298910598</v>
      </c>
      <c r="P1205" s="6">
        <v>14.555231247570701</v>
      </c>
      <c r="Q1205" s="6">
        <v>12.7917934535669</v>
      </c>
    </row>
    <row r="1206" spans="1:17">
      <c r="A1206" s="6" t="s">
        <v>2869</v>
      </c>
      <c r="B1206" s="6" t="s">
        <v>2869</v>
      </c>
      <c r="C1206" s="6" t="s">
        <v>9661</v>
      </c>
      <c r="D1206" s="6" t="s">
        <v>9662</v>
      </c>
      <c r="E1206" s="6" t="s">
        <v>9662</v>
      </c>
      <c r="F1206" s="6">
        <v>14.873636701698301</v>
      </c>
      <c r="G1206" s="6">
        <v>14.177756598746299</v>
      </c>
      <c r="H1206" s="6">
        <v>14.7915620477386</v>
      </c>
      <c r="I1206" s="6">
        <v>15.459197252172199</v>
      </c>
      <c r="J1206" s="6">
        <v>12.9964178577706</v>
      </c>
      <c r="K1206" s="6">
        <v>14.163021714703699</v>
      </c>
      <c r="L1206" s="6">
        <v>14.8567261974561</v>
      </c>
      <c r="M1206" s="6">
        <v>13.7628989047811</v>
      </c>
      <c r="N1206" s="6">
        <v>14.6194418835807</v>
      </c>
      <c r="O1206" s="6">
        <v>14.056322906328701</v>
      </c>
      <c r="P1206" s="6">
        <v>13.2917889916804</v>
      </c>
      <c r="Q1206" s="6">
        <v>12.980911470367699</v>
      </c>
    </row>
    <row r="1207" spans="1:17">
      <c r="A1207" s="6" t="s">
        <v>2033</v>
      </c>
      <c r="B1207" s="6" t="s">
        <v>2035</v>
      </c>
      <c r="C1207" s="6" t="s">
        <v>9663</v>
      </c>
      <c r="D1207" s="6" t="s">
        <v>9664</v>
      </c>
      <c r="E1207" s="6" t="s">
        <v>9665</v>
      </c>
      <c r="F1207" s="6">
        <v>14.8956396257151</v>
      </c>
      <c r="G1207" s="6">
        <v>14.079767106939901</v>
      </c>
      <c r="H1207" s="6">
        <v>14.3539705502841</v>
      </c>
      <c r="I1207" s="6">
        <v>14.6591608540698</v>
      </c>
      <c r="J1207" s="6">
        <v>13.588827003975201</v>
      </c>
      <c r="K1207" s="6">
        <v>14.252215981069901</v>
      </c>
      <c r="L1207" s="6">
        <v>14.759877553617301</v>
      </c>
      <c r="M1207" s="6">
        <v>13.4140620623012</v>
      </c>
      <c r="N1207" s="6">
        <v>13.725354267017901</v>
      </c>
      <c r="O1207" s="6">
        <v>14.345614086553899</v>
      </c>
      <c r="P1207" s="6">
        <v>15.016157723305399</v>
      </c>
      <c r="Q1207" s="6" t="s">
        <v>6254</v>
      </c>
    </row>
    <row r="1208" spans="1:17">
      <c r="A1208" s="6" t="s">
        <v>9666</v>
      </c>
      <c r="B1208" s="6" t="s">
        <v>9667</v>
      </c>
      <c r="C1208" s="6" t="s">
        <v>9668</v>
      </c>
      <c r="D1208" s="6" t="s">
        <v>9669</v>
      </c>
      <c r="E1208" s="6" t="s">
        <v>9670</v>
      </c>
      <c r="F1208" s="6">
        <v>14.7477488660363</v>
      </c>
      <c r="G1208" s="6">
        <v>14.328540759801101</v>
      </c>
      <c r="H1208" s="6">
        <v>14.4651077966763</v>
      </c>
      <c r="I1208" s="6">
        <v>14.541078840213199</v>
      </c>
      <c r="J1208" s="6">
        <v>13.9163296733701</v>
      </c>
      <c r="K1208" s="6">
        <v>14.3886659776483</v>
      </c>
      <c r="L1208" s="6">
        <v>14.7259051164074</v>
      </c>
      <c r="M1208" s="6">
        <v>13.552610008216901</v>
      </c>
      <c r="N1208" s="6">
        <v>13.913420132931799</v>
      </c>
      <c r="O1208" s="6">
        <v>14.8796169218916</v>
      </c>
      <c r="P1208" s="6">
        <v>14.8935622446803</v>
      </c>
      <c r="Q1208" s="6">
        <v>12.7420238648793</v>
      </c>
    </row>
    <row r="1209" spans="1:17">
      <c r="A1209" s="6" t="s">
        <v>9671</v>
      </c>
      <c r="B1209" s="6" t="s">
        <v>9672</v>
      </c>
      <c r="C1209" s="6" t="s">
        <v>9673</v>
      </c>
      <c r="D1209" s="6" t="s">
        <v>9674</v>
      </c>
      <c r="E1209" s="6" t="s">
        <v>9675</v>
      </c>
      <c r="F1209" s="6">
        <v>13.385739597292</v>
      </c>
      <c r="G1209" s="6">
        <v>13.3241721809746</v>
      </c>
      <c r="H1209" s="6">
        <v>13.7568143160614</v>
      </c>
      <c r="I1209" s="6">
        <v>13.635540899507699</v>
      </c>
      <c r="J1209" s="6">
        <v>15.6906140929923</v>
      </c>
      <c r="K1209" s="6">
        <v>13.618594560995399</v>
      </c>
      <c r="L1209" s="6">
        <v>16.128448664298201</v>
      </c>
      <c r="M1209" s="6">
        <v>12.9174400723973</v>
      </c>
      <c r="N1209" s="6">
        <v>16.141214697926898</v>
      </c>
      <c r="O1209" s="6">
        <v>12.6417649422522</v>
      </c>
      <c r="P1209" s="6">
        <v>13.8831427105057</v>
      </c>
      <c r="Q1209" s="6">
        <v>12.180277357038699</v>
      </c>
    </row>
    <row r="1210" spans="1:17">
      <c r="A1210" s="6" t="s">
        <v>9676</v>
      </c>
      <c r="B1210" s="6" t="s">
        <v>9677</v>
      </c>
      <c r="C1210" s="6" t="s">
        <v>9678</v>
      </c>
      <c r="D1210" s="6" t="s">
        <v>9679</v>
      </c>
      <c r="E1210" s="6" t="s">
        <v>9680</v>
      </c>
      <c r="F1210" s="6">
        <v>14.779916183439999</v>
      </c>
      <c r="G1210" s="6">
        <v>14.1357040437814</v>
      </c>
      <c r="H1210" s="6">
        <v>13.3904227719395</v>
      </c>
      <c r="I1210" s="6">
        <v>14.9976256601873</v>
      </c>
      <c r="J1210" s="6">
        <v>13.0661857128097</v>
      </c>
      <c r="K1210" s="6">
        <v>14.12939134106</v>
      </c>
      <c r="L1210" s="6">
        <v>14.604169699138399</v>
      </c>
      <c r="M1210" s="6" t="s">
        <v>6254</v>
      </c>
      <c r="N1210" s="6">
        <v>13.518315266627299</v>
      </c>
      <c r="O1210" s="6">
        <v>14.7246697316248</v>
      </c>
      <c r="P1210" s="6">
        <v>14.306616543663401</v>
      </c>
      <c r="Q1210" s="6" t="s">
        <v>6254</v>
      </c>
    </row>
    <row r="1211" spans="1:17">
      <c r="A1211" s="6" t="s">
        <v>9681</v>
      </c>
      <c r="B1211" s="6" t="s">
        <v>9682</v>
      </c>
      <c r="C1211" s="6" t="s">
        <v>9683</v>
      </c>
      <c r="D1211" s="6" t="s">
        <v>9684</v>
      </c>
      <c r="E1211" s="6" t="s">
        <v>9685</v>
      </c>
      <c r="F1211" s="6" t="s">
        <v>6254</v>
      </c>
      <c r="G1211" s="6" t="s">
        <v>6254</v>
      </c>
      <c r="H1211" s="6">
        <v>13.234592103842401</v>
      </c>
      <c r="I1211" s="6">
        <v>13.5159222592698</v>
      </c>
      <c r="J1211" s="6" t="s">
        <v>6254</v>
      </c>
      <c r="K1211" s="6">
        <v>13.210287571895901</v>
      </c>
      <c r="L1211" s="6" t="s">
        <v>6254</v>
      </c>
      <c r="M1211" s="6">
        <v>14.1712647568422</v>
      </c>
      <c r="N1211" s="6">
        <v>14.451684270481801</v>
      </c>
      <c r="O1211" s="6" t="s">
        <v>6254</v>
      </c>
      <c r="P1211" s="6" t="s">
        <v>6254</v>
      </c>
      <c r="Q1211" s="6" t="s">
        <v>6254</v>
      </c>
    </row>
    <row r="1212" spans="1:17">
      <c r="A1212" s="6" t="s">
        <v>4460</v>
      </c>
      <c r="B1212" s="6" t="s">
        <v>4460</v>
      </c>
      <c r="C1212" s="6" t="s">
        <v>9686</v>
      </c>
      <c r="D1212" s="6" t="s">
        <v>9687</v>
      </c>
      <c r="E1212" s="6" t="s">
        <v>9687</v>
      </c>
      <c r="F1212" s="6">
        <v>15.283132562092799</v>
      </c>
      <c r="G1212" s="6">
        <v>12.440186411411499</v>
      </c>
      <c r="H1212" s="6">
        <v>12.7153441915691</v>
      </c>
      <c r="I1212" s="6">
        <v>16.232189623515001</v>
      </c>
      <c r="J1212" s="6" t="s">
        <v>6254</v>
      </c>
      <c r="K1212" s="6">
        <v>15.2463957541135</v>
      </c>
      <c r="L1212" s="6">
        <v>15.8459233299416</v>
      </c>
      <c r="M1212" s="6">
        <v>14.6229352330224</v>
      </c>
      <c r="N1212" s="6" t="s">
        <v>6254</v>
      </c>
      <c r="O1212" s="6">
        <v>15.169668965294999</v>
      </c>
      <c r="P1212" s="6">
        <v>15.9169698118012</v>
      </c>
      <c r="Q1212" s="6">
        <v>13.758271234377499</v>
      </c>
    </row>
    <row r="1213" spans="1:17">
      <c r="A1213" s="6" t="s">
        <v>9688</v>
      </c>
      <c r="B1213" s="6" t="s">
        <v>9688</v>
      </c>
      <c r="C1213" s="6" t="s">
        <v>9689</v>
      </c>
      <c r="D1213" s="6" t="s">
        <v>9690</v>
      </c>
      <c r="E1213" s="6" t="s">
        <v>9690</v>
      </c>
      <c r="F1213" s="6">
        <v>15.569587457792901</v>
      </c>
      <c r="G1213" s="6">
        <v>15.1790386619248</v>
      </c>
      <c r="H1213" s="6">
        <v>14.6292042718202</v>
      </c>
      <c r="I1213" s="6">
        <v>14.835841379361201</v>
      </c>
      <c r="J1213" s="6">
        <v>14.3129594005248</v>
      </c>
      <c r="K1213" s="6">
        <v>13.619199216158099</v>
      </c>
      <c r="L1213" s="6">
        <v>14.410703816361099</v>
      </c>
      <c r="M1213" s="6">
        <v>14.827231767958899</v>
      </c>
      <c r="N1213" s="6">
        <v>15.279692470699301</v>
      </c>
      <c r="O1213" s="6">
        <v>14.3100932772498</v>
      </c>
      <c r="P1213" s="6">
        <v>15.208605289544099</v>
      </c>
      <c r="Q1213" s="6">
        <v>12.7358147748114</v>
      </c>
    </row>
    <row r="1214" spans="1:17">
      <c r="A1214" s="6" t="s">
        <v>3525</v>
      </c>
      <c r="B1214" s="6" t="s">
        <v>3525</v>
      </c>
      <c r="C1214" s="6" t="s">
        <v>9691</v>
      </c>
      <c r="D1214" s="6" t="s">
        <v>9692</v>
      </c>
      <c r="E1214" s="6" t="s">
        <v>9692</v>
      </c>
      <c r="F1214" s="6">
        <v>14.5139333868068</v>
      </c>
      <c r="G1214" s="6">
        <v>14.1996412917011</v>
      </c>
      <c r="H1214" s="6">
        <v>14.295853157828301</v>
      </c>
      <c r="I1214" s="6">
        <v>14.591222183096599</v>
      </c>
      <c r="J1214" s="6">
        <v>13.430925149896799</v>
      </c>
      <c r="K1214" s="6">
        <v>14.1011263578377</v>
      </c>
      <c r="L1214" s="6">
        <v>14.4172386949902</v>
      </c>
      <c r="M1214" s="6">
        <v>13.302295460959799</v>
      </c>
      <c r="N1214" s="6">
        <v>13.6916545761249</v>
      </c>
      <c r="O1214" s="6">
        <v>14.4192909337785</v>
      </c>
      <c r="P1214" s="6">
        <v>14.7766377175091</v>
      </c>
      <c r="Q1214" s="6">
        <v>13.4653698558519</v>
      </c>
    </row>
    <row r="1215" spans="1:17">
      <c r="A1215" s="6" t="s">
        <v>9693</v>
      </c>
      <c r="B1215" s="6" t="s">
        <v>1343</v>
      </c>
      <c r="C1215" s="6" t="s">
        <v>9694</v>
      </c>
      <c r="D1215" s="6" t="s">
        <v>9695</v>
      </c>
      <c r="E1215" s="6" t="s">
        <v>9696</v>
      </c>
      <c r="F1215" s="6">
        <v>14.216630888506799</v>
      </c>
      <c r="G1215" s="6">
        <v>14.1711314470689</v>
      </c>
      <c r="H1215" s="6">
        <v>14.260254866658</v>
      </c>
      <c r="I1215" s="6">
        <v>14.829318183959799</v>
      </c>
      <c r="J1215" s="6">
        <v>13.726499970420599</v>
      </c>
      <c r="K1215" s="6">
        <v>14.1614262612038</v>
      </c>
      <c r="L1215" s="6">
        <v>14.8558484586174</v>
      </c>
      <c r="M1215" s="6">
        <v>13.2627626714904</v>
      </c>
      <c r="N1215" s="6">
        <v>14.239678523440601</v>
      </c>
      <c r="O1215" s="6">
        <v>14.444882321060801</v>
      </c>
      <c r="P1215" s="6">
        <v>14.1633719142724</v>
      </c>
      <c r="Q1215" s="6">
        <v>13.782499433393401</v>
      </c>
    </row>
    <row r="1216" spans="1:17">
      <c r="A1216" s="6" t="s">
        <v>1740</v>
      </c>
      <c r="B1216" s="6" t="s">
        <v>1742</v>
      </c>
      <c r="C1216" s="6" t="s">
        <v>9697</v>
      </c>
      <c r="D1216" s="6" t="s">
        <v>9698</v>
      </c>
      <c r="E1216" s="6" t="s">
        <v>9699</v>
      </c>
      <c r="F1216" s="6">
        <v>14.6737806262667</v>
      </c>
      <c r="G1216" s="6">
        <v>14.073085888308899</v>
      </c>
      <c r="H1216" s="6">
        <v>14.0710792079896</v>
      </c>
      <c r="I1216" s="6">
        <v>15.190608260307499</v>
      </c>
      <c r="J1216" s="6">
        <v>13.8620457207416</v>
      </c>
      <c r="K1216" s="6">
        <v>14.352266281589101</v>
      </c>
      <c r="L1216" s="6">
        <v>14.463548547707701</v>
      </c>
      <c r="M1216" s="6">
        <v>13.127795043848799</v>
      </c>
      <c r="N1216" s="6">
        <v>13.335999383061299</v>
      </c>
      <c r="O1216" s="6">
        <v>14.5102254669312</v>
      </c>
      <c r="P1216" s="6">
        <v>14.6863692955472</v>
      </c>
      <c r="Q1216" s="6">
        <v>13.032917358327801</v>
      </c>
    </row>
    <row r="1217" spans="1:17">
      <c r="A1217" s="6" t="s">
        <v>1079</v>
      </c>
      <c r="B1217" s="6" t="s">
        <v>1079</v>
      </c>
      <c r="C1217" s="6" t="s">
        <v>9700</v>
      </c>
      <c r="D1217" s="6" t="s">
        <v>9701</v>
      </c>
      <c r="E1217" s="6" t="s">
        <v>9701</v>
      </c>
      <c r="F1217" s="6">
        <v>14.9155771359935</v>
      </c>
      <c r="G1217" s="6">
        <v>14.076260121617199</v>
      </c>
      <c r="H1217" s="6">
        <v>14.191083760054299</v>
      </c>
      <c r="I1217" s="6">
        <v>15.1211532740845</v>
      </c>
      <c r="J1217" s="6">
        <v>13.413591465071001</v>
      </c>
      <c r="K1217" s="6">
        <v>14.234764935955599</v>
      </c>
      <c r="L1217" s="6">
        <v>14.8806784871934</v>
      </c>
      <c r="M1217" s="6">
        <v>13.133941975232901</v>
      </c>
      <c r="N1217" s="6">
        <v>14.479636934249701</v>
      </c>
      <c r="O1217" s="6">
        <v>14.657579973786</v>
      </c>
      <c r="P1217" s="6">
        <v>14.1623391069046</v>
      </c>
      <c r="Q1217" s="6">
        <v>12.687808069497001</v>
      </c>
    </row>
    <row r="1218" spans="1:17">
      <c r="A1218" s="6" t="s">
        <v>9702</v>
      </c>
      <c r="B1218" s="6" t="s">
        <v>9702</v>
      </c>
      <c r="C1218" s="6" t="s">
        <v>9703</v>
      </c>
      <c r="D1218" s="6" t="s">
        <v>9704</v>
      </c>
      <c r="E1218" s="6" t="s">
        <v>9704</v>
      </c>
      <c r="F1218" s="6">
        <v>14.5151550735743</v>
      </c>
      <c r="G1218" s="6">
        <v>14.1279527056604</v>
      </c>
      <c r="H1218" s="6">
        <v>14.2292329251959</v>
      </c>
      <c r="I1218" s="6">
        <v>15.0171672722247</v>
      </c>
      <c r="J1218" s="6">
        <v>13.7138350068288</v>
      </c>
      <c r="K1218" s="6">
        <v>14.2248865498899</v>
      </c>
      <c r="L1218" s="6">
        <v>14.922202799567501</v>
      </c>
      <c r="M1218" s="6">
        <v>13.7693903791436</v>
      </c>
      <c r="N1218" s="6">
        <v>13.772083787735699</v>
      </c>
      <c r="O1218" s="6">
        <v>14.1783888670218</v>
      </c>
      <c r="P1218" s="6">
        <v>13.9181596305803</v>
      </c>
      <c r="Q1218" s="6">
        <v>13.277974094882101</v>
      </c>
    </row>
    <row r="1219" spans="1:17">
      <c r="A1219" s="6" t="s">
        <v>2142</v>
      </c>
      <c r="B1219" s="6" t="s">
        <v>2142</v>
      </c>
      <c r="C1219" s="6" t="s">
        <v>9705</v>
      </c>
      <c r="D1219" s="6" t="s">
        <v>9706</v>
      </c>
      <c r="E1219" s="6" t="s">
        <v>9706</v>
      </c>
      <c r="F1219" s="6">
        <v>14.4220524179203</v>
      </c>
      <c r="G1219" s="6">
        <v>14.492076773292199</v>
      </c>
      <c r="H1219" s="6">
        <v>14.101599868292899</v>
      </c>
      <c r="I1219" s="6">
        <v>14.5564771310681</v>
      </c>
      <c r="J1219" s="6">
        <v>13.5511943298576</v>
      </c>
      <c r="K1219" s="6">
        <v>14.3919022898907</v>
      </c>
      <c r="L1219" s="6">
        <v>14.543053224291301</v>
      </c>
      <c r="M1219" s="6">
        <v>13.461184038443401</v>
      </c>
      <c r="N1219" s="6">
        <v>13.4363737661188</v>
      </c>
      <c r="O1219" s="6">
        <v>14.447396318621299</v>
      </c>
      <c r="P1219" s="6">
        <v>14.1343166505363</v>
      </c>
      <c r="Q1219" s="6" t="s">
        <v>6254</v>
      </c>
    </row>
    <row r="1220" spans="1:17">
      <c r="A1220" s="6" t="s">
        <v>1798</v>
      </c>
      <c r="B1220" s="6" t="s">
        <v>1798</v>
      </c>
      <c r="C1220" s="6" t="s">
        <v>9707</v>
      </c>
      <c r="D1220" s="6" t="s">
        <v>9708</v>
      </c>
      <c r="E1220" s="6" t="s">
        <v>9708</v>
      </c>
      <c r="F1220" s="6">
        <v>14.948654825264599</v>
      </c>
      <c r="G1220" s="6">
        <v>14.3302386217518</v>
      </c>
      <c r="H1220" s="6">
        <v>14.132376832635501</v>
      </c>
      <c r="I1220" s="6">
        <v>15.1021703950338</v>
      </c>
      <c r="J1220" s="6">
        <v>13.569959676707599</v>
      </c>
      <c r="K1220" s="6">
        <v>14.357601436035599</v>
      </c>
      <c r="L1220" s="6">
        <v>14.684790608160201</v>
      </c>
      <c r="M1220" s="6">
        <v>13.731033094762701</v>
      </c>
      <c r="N1220" s="6">
        <v>14.146846535427899</v>
      </c>
      <c r="O1220" s="6">
        <v>14.269110450259699</v>
      </c>
      <c r="P1220" s="6">
        <v>14.226032428838099</v>
      </c>
      <c r="Q1220" s="6">
        <v>12.8804093796525</v>
      </c>
    </row>
    <row r="1221" spans="1:17">
      <c r="A1221" s="6" t="s">
        <v>3276</v>
      </c>
      <c r="B1221" s="6" t="s">
        <v>3276</v>
      </c>
      <c r="C1221" s="6" t="s">
        <v>9709</v>
      </c>
      <c r="D1221" s="6" t="s">
        <v>9710</v>
      </c>
      <c r="E1221" s="6" t="s">
        <v>9710</v>
      </c>
      <c r="F1221" s="6">
        <v>14.983763868214901</v>
      </c>
      <c r="G1221" s="6">
        <v>14.731768877031</v>
      </c>
      <c r="H1221" s="6">
        <v>14.357583402520699</v>
      </c>
      <c r="I1221" s="6">
        <v>14.943263826961701</v>
      </c>
      <c r="J1221" s="6">
        <v>13.4002942389181</v>
      </c>
      <c r="K1221" s="6">
        <v>14.6684972866358</v>
      </c>
      <c r="L1221" s="6">
        <v>14.834094519042401</v>
      </c>
      <c r="M1221" s="6">
        <v>13.814175710712</v>
      </c>
      <c r="N1221" s="6">
        <v>14.059313223313699</v>
      </c>
      <c r="O1221" s="6">
        <v>14.197815183356999</v>
      </c>
      <c r="P1221" s="6">
        <v>13.892617952543</v>
      </c>
      <c r="Q1221" s="6">
        <v>13.1625217174214</v>
      </c>
    </row>
    <row r="1222" spans="1:17">
      <c r="A1222" s="6" t="s">
        <v>1407</v>
      </c>
      <c r="B1222" s="6" t="s">
        <v>1409</v>
      </c>
      <c r="C1222" s="6" t="s">
        <v>9711</v>
      </c>
      <c r="D1222" s="6" t="s">
        <v>9712</v>
      </c>
      <c r="E1222" s="6" t="s">
        <v>9713</v>
      </c>
      <c r="F1222" s="6">
        <v>14.579855000102899</v>
      </c>
      <c r="G1222" s="6">
        <v>13.9641828180694</v>
      </c>
      <c r="H1222" s="6">
        <v>14.692624933635299</v>
      </c>
      <c r="I1222" s="6">
        <v>14.7838837794671</v>
      </c>
      <c r="J1222" s="6">
        <v>13.536171011113799</v>
      </c>
      <c r="K1222" s="6">
        <v>13.1717622234946</v>
      </c>
      <c r="L1222" s="6">
        <v>14.5959685639885</v>
      </c>
      <c r="M1222" s="6">
        <v>13.7684197618401</v>
      </c>
      <c r="N1222" s="6">
        <v>14.9024738834114</v>
      </c>
      <c r="O1222" s="6">
        <v>13.900348834141299</v>
      </c>
      <c r="P1222" s="6">
        <v>14.013898587865199</v>
      </c>
      <c r="Q1222" s="6" t="s">
        <v>6254</v>
      </c>
    </row>
    <row r="1223" spans="1:17">
      <c r="A1223" s="6" t="s">
        <v>2028</v>
      </c>
      <c r="B1223" s="6" t="s">
        <v>2028</v>
      </c>
      <c r="C1223" s="6" t="s">
        <v>9714</v>
      </c>
      <c r="D1223" s="6" t="s">
        <v>9715</v>
      </c>
      <c r="E1223" s="6" t="s">
        <v>9715</v>
      </c>
      <c r="F1223" s="6">
        <v>14.4551965359384</v>
      </c>
      <c r="G1223" s="6" t="s">
        <v>6254</v>
      </c>
      <c r="H1223" s="6">
        <v>14.016048197770001</v>
      </c>
      <c r="I1223" s="6">
        <v>15.493163927935701</v>
      </c>
      <c r="J1223" s="6">
        <v>14.035376747415899</v>
      </c>
      <c r="K1223" s="6">
        <v>14.788549428316299</v>
      </c>
      <c r="L1223" s="6">
        <v>14.974098641013001</v>
      </c>
      <c r="M1223" s="6">
        <v>12.3264610852267</v>
      </c>
      <c r="N1223" s="6">
        <v>13.7322101889817</v>
      </c>
      <c r="O1223" s="6">
        <v>14.281718317009901</v>
      </c>
      <c r="P1223" s="6">
        <v>14.0910513926086</v>
      </c>
      <c r="Q1223" s="6" t="s">
        <v>6254</v>
      </c>
    </row>
    <row r="1224" spans="1:17">
      <c r="A1224" s="6" t="s">
        <v>9716</v>
      </c>
      <c r="B1224" s="6" t="s">
        <v>9717</v>
      </c>
      <c r="C1224" s="6" t="s">
        <v>9718</v>
      </c>
      <c r="D1224" s="6" t="s">
        <v>9719</v>
      </c>
      <c r="E1224" s="6" t="s">
        <v>9720</v>
      </c>
      <c r="F1224" s="6">
        <v>14.5610927543988</v>
      </c>
      <c r="G1224" s="6">
        <v>13.567907851181999</v>
      </c>
      <c r="H1224" s="6">
        <v>12.3830156875349</v>
      </c>
      <c r="I1224" s="6">
        <v>15.2180934052749</v>
      </c>
      <c r="J1224" s="6" t="s">
        <v>6254</v>
      </c>
      <c r="K1224" s="6" t="s">
        <v>6254</v>
      </c>
      <c r="L1224" s="6">
        <v>15.189372093064099</v>
      </c>
      <c r="M1224" s="6" t="s">
        <v>6254</v>
      </c>
      <c r="N1224" s="6" t="s">
        <v>6254</v>
      </c>
      <c r="O1224" s="6" t="s">
        <v>6254</v>
      </c>
      <c r="P1224" s="6">
        <v>13.9677281182939</v>
      </c>
      <c r="Q1224" s="6" t="s">
        <v>6254</v>
      </c>
    </row>
    <row r="1225" spans="1:17">
      <c r="A1225" s="6" t="s">
        <v>3058</v>
      </c>
      <c r="B1225" s="6" t="s">
        <v>3058</v>
      </c>
      <c r="C1225" s="6" t="s">
        <v>9721</v>
      </c>
      <c r="D1225" s="6" t="s">
        <v>9722</v>
      </c>
      <c r="E1225" s="6" t="s">
        <v>9722</v>
      </c>
      <c r="F1225" s="6">
        <v>14.6671772818293</v>
      </c>
      <c r="G1225" s="6">
        <v>14.320062299328701</v>
      </c>
      <c r="H1225" s="6">
        <v>14.207675495179499</v>
      </c>
      <c r="I1225" s="6">
        <v>14.9538256120308</v>
      </c>
      <c r="J1225" s="6">
        <v>13.839542481251801</v>
      </c>
      <c r="K1225" s="6">
        <v>14.6128537078298</v>
      </c>
      <c r="L1225" s="6">
        <v>14.693451036007</v>
      </c>
      <c r="M1225" s="6">
        <v>13.4181413288436</v>
      </c>
      <c r="N1225" s="6">
        <v>13.6939674239475</v>
      </c>
      <c r="O1225" s="6">
        <v>14.487007010293</v>
      </c>
      <c r="P1225" s="6">
        <v>14.412587627905401</v>
      </c>
      <c r="Q1225" s="6">
        <v>13.3880739789237</v>
      </c>
    </row>
    <row r="1226" spans="1:17">
      <c r="A1226" s="6" t="s">
        <v>3160</v>
      </c>
      <c r="B1226" s="6" t="s">
        <v>3162</v>
      </c>
      <c r="C1226" s="6" t="s">
        <v>9723</v>
      </c>
      <c r="D1226" s="6" t="s">
        <v>9724</v>
      </c>
      <c r="E1226" s="6" t="s">
        <v>9725</v>
      </c>
      <c r="F1226" s="6">
        <v>14.3360224614286</v>
      </c>
      <c r="G1226" s="6">
        <v>13.5625914724398</v>
      </c>
      <c r="H1226" s="6">
        <v>13.9913090588906</v>
      </c>
      <c r="I1226" s="6">
        <v>14.555714091976199</v>
      </c>
      <c r="J1226" s="6" t="s">
        <v>6254</v>
      </c>
      <c r="K1226" s="6" t="s">
        <v>6254</v>
      </c>
      <c r="L1226" s="6">
        <v>15.115210604561801</v>
      </c>
      <c r="M1226" s="6">
        <v>12.213562041428601</v>
      </c>
      <c r="N1226" s="6">
        <v>13.8663081048423</v>
      </c>
      <c r="O1226" s="6">
        <v>13.855302133021</v>
      </c>
      <c r="P1226" s="6">
        <v>13.0695315568043</v>
      </c>
      <c r="Q1226" s="6">
        <v>16.1583321498732</v>
      </c>
    </row>
    <row r="1227" spans="1:17">
      <c r="A1227" s="6" t="s">
        <v>9726</v>
      </c>
      <c r="B1227" s="6" t="s">
        <v>9726</v>
      </c>
      <c r="C1227" s="6" t="s">
        <v>9727</v>
      </c>
      <c r="D1227" s="6" t="s">
        <v>9728</v>
      </c>
      <c r="E1227" s="6" t="s">
        <v>9728</v>
      </c>
      <c r="F1227" s="6">
        <v>14.1385701362723</v>
      </c>
      <c r="G1227" s="6" t="s">
        <v>6254</v>
      </c>
      <c r="H1227" s="6" t="s">
        <v>6254</v>
      </c>
      <c r="I1227" s="6">
        <v>14.9026784145536</v>
      </c>
      <c r="J1227" s="6" t="s">
        <v>6254</v>
      </c>
      <c r="K1227" s="6">
        <v>14.2890893251494</v>
      </c>
      <c r="L1227" s="6" t="s">
        <v>6254</v>
      </c>
      <c r="M1227" s="6" t="s">
        <v>6254</v>
      </c>
      <c r="N1227" s="6">
        <v>13.119820658359901</v>
      </c>
      <c r="O1227" s="6" t="s">
        <v>6254</v>
      </c>
      <c r="P1227" s="6" t="s">
        <v>6254</v>
      </c>
      <c r="Q1227" s="6" t="s">
        <v>6254</v>
      </c>
    </row>
    <row r="1228" spans="1:17">
      <c r="A1228" s="6" t="s">
        <v>9729</v>
      </c>
      <c r="B1228" s="6" t="s">
        <v>9729</v>
      </c>
      <c r="C1228" s="6" t="s">
        <v>9730</v>
      </c>
      <c r="D1228" s="6" t="s">
        <v>9731</v>
      </c>
      <c r="E1228" s="6" t="s">
        <v>9731</v>
      </c>
      <c r="F1228" s="6">
        <v>14.773135735761899</v>
      </c>
      <c r="G1228" s="6">
        <v>14.0361369696403</v>
      </c>
      <c r="H1228" s="6">
        <v>14.3559098909907</v>
      </c>
      <c r="I1228" s="6">
        <v>14.7709923258688</v>
      </c>
      <c r="J1228" s="6">
        <v>13.535945165057401</v>
      </c>
      <c r="K1228" s="6">
        <v>14.1937469734603</v>
      </c>
      <c r="L1228" s="6">
        <v>14.598087596465</v>
      </c>
      <c r="M1228" s="6">
        <v>13.347845280597401</v>
      </c>
      <c r="N1228" s="6">
        <v>14.1767734981474</v>
      </c>
      <c r="O1228" s="6">
        <v>14.275231842467999</v>
      </c>
      <c r="P1228" s="6">
        <v>14.9061956769704</v>
      </c>
      <c r="Q1228" s="6">
        <v>13.3439541956224</v>
      </c>
    </row>
    <row r="1229" spans="1:17">
      <c r="A1229" s="6" t="s">
        <v>2894</v>
      </c>
      <c r="B1229" s="6" t="s">
        <v>2894</v>
      </c>
      <c r="C1229" s="6" t="s">
        <v>9732</v>
      </c>
      <c r="D1229" s="6" t="s">
        <v>9733</v>
      </c>
      <c r="E1229" s="6" t="s">
        <v>9733</v>
      </c>
      <c r="F1229" s="6">
        <v>14.4029730497054</v>
      </c>
      <c r="G1229" s="6">
        <v>13.7950493085216</v>
      </c>
      <c r="H1229" s="6">
        <v>14.482866519861799</v>
      </c>
      <c r="I1229" s="6">
        <v>14.6691967589614</v>
      </c>
      <c r="J1229" s="6">
        <v>13.916881134458899</v>
      </c>
      <c r="K1229" s="6">
        <v>14.595873524155699</v>
      </c>
      <c r="L1229" s="6">
        <v>14.839888380180099</v>
      </c>
      <c r="M1229" s="6">
        <v>13.6376794559831</v>
      </c>
      <c r="N1229" s="6">
        <v>13.863168949280301</v>
      </c>
      <c r="O1229" s="6">
        <v>14.693418728224501</v>
      </c>
      <c r="P1229" s="6">
        <v>14.383222526674199</v>
      </c>
      <c r="Q1229" s="6">
        <v>13.591379379712301</v>
      </c>
    </row>
    <row r="1230" spans="1:17">
      <c r="A1230" s="6" t="s">
        <v>9734</v>
      </c>
      <c r="B1230" s="6" t="s">
        <v>9735</v>
      </c>
      <c r="C1230" s="6" t="s">
        <v>9736</v>
      </c>
      <c r="D1230" s="6" t="s">
        <v>9737</v>
      </c>
      <c r="E1230" s="6" t="s">
        <v>9738</v>
      </c>
      <c r="F1230" s="6">
        <v>14.719757910832399</v>
      </c>
      <c r="G1230" s="6">
        <v>14.2419567325305</v>
      </c>
      <c r="H1230" s="6">
        <v>14.145061327144701</v>
      </c>
      <c r="I1230" s="6">
        <v>14.949431171960899</v>
      </c>
      <c r="J1230" s="6">
        <v>13.698134382588799</v>
      </c>
      <c r="K1230" s="6">
        <v>14.237405338923301</v>
      </c>
      <c r="L1230" s="6">
        <v>14.7622850220831</v>
      </c>
      <c r="M1230" s="6">
        <v>13.3021033654873</v>
      </c>
      <c r="N1230" s="6">
        <v>13.853861273819801</v>
      </c>
      <c r="O1230" s="6">
        <v>14.410293931143</v>
      </c>
      <c r="P1230" s="6">
        <v>14.290854964967901</v>
      </c>
      <c r="Q1230" s="6">
        <v>13.283687475716301</v>
      </c>
    </row>
    <row r="1231" spans="1:17">
      <c r="A1231" s="6" t="s">
        <v>9739</v>
      </c>
      <c r="B1231" s="6" t="s">
        <v>9740</v>
      </c>
      <c r="C1231" s="6" t="s">
        <v>9741</v>
      </c>
      <c r="D1231" s="6" t="s">
        <v>9742</v>
      </c>
      <c r="E1231" s="6" t="s">
        <v>9743</v>
      </c>
      <c r="F1231" s="6">
        <v>14.9954192792377</v>
      </c>
      <c r="G1231" s="6">
        <v>14.304038551301399</v>
      </c>
      <c r="H1231" s="6">
        <v>13.9623434087143</v>
      </c>
      <c r="I1231" s="6">
        <v>14.8033626189929</v>
      </c>
      <c r="J1231" s="6">
        <v>13.6762375677368</v>
      </c>
      <c r="K1231" s="6">
        <v>14.4269565861613</v>
      </c>
      <c r="L1231" s="6">
        <v>14.7236389649491</v>
      </c>
      <c r="M1231" s="6">
        <v>13.1604578283915</v>
      </c>
      <c r="N1231" s="6">
        <v>13.2084999221755</v>
      </c>
      <c r="O1231" s="6">
        <v>14.3990339484454</v>
      </c>
      <c r="P1231" s="6">
        <v>14.7467407625831</v>
      </c>
      <c r="Q1231" s="6">
        <v>12.6321749042596</v>
      </c>
    </row>
    <row r="1232" spans="1:17">
      <c r="A1232" s="6" t="s">
        <v>9744</v>
      </c>
      <c r="B1232" s="6" t="s">
        <v>9745</v>
      </c>
      <c r="C1232" s="6" t="s">
        <v>9746</v>
      </c>
      <c r="D1232" s="6" t="s">
        <v>9747</v>
      </c>
      <c r="E1232" s="6" t="s">
        <v>9748</v>
      </c>
      <c r="F1232" s="6">
        <v>14.418533158348099</v>
      </c>
      <c r="G1232" s="6">
        <v>14.0119663670182</v>
      </c>
      <c r="H1232" s="6">
        <v>14.226158176876799</v>
      </c>
      <c r="I1232" s="6">
        <v>15.0627223886131</v>
      </c>
      <c r="J1232" s="6">
        <v>14.0350192013303</v>
      </c>
      <c r="K1232" s="6">
        <v>14.564969775209001</v>
      </c>
      <c r="L1232" s="6">
        <v>14.786085914167</v>
      </c>
      <c r="M1232" s="6">
        <v>13.3195183040425</v>
      </c>
      <c r="N1232" s="6">
        <v>13.6020234210201</v>
      </c>
      <c r="O1232" s="6">
        <v>14.2263996698236</v>
      </c>
      <c r="P1232" s="6">
        <v>14.731970722060399</v>
      </c>
      <c r="Q1232" s="6">
        <v>13.5577120297497</v>
      </c>
    </row>
    <row r="1233" spans="1:17">
      <c r="A1233" s="6" t="s">
        <v>9749</v>
      </c>
      <c r="B1233" s="6" t="s">
        <v>9750</v>
      </c>
      <c r="C1233" s="6" t="s">
        <v>9751</v>
      </c>
      <c r="D1233" s="6" t="s">
        <v>9752</v>
      </c>
      <c r="E1233" s="6" t="s">
        <v>9753</v>
      </c>
      <c r="F1233" s="6">
        <v>14.698315886751701</v>
      </c>
      <c r="G1233" s="6">
        <v>14.118853096505999</v>
      </c>
      <c r="H1233" s="6">
        <v>14.4099953883794</v>
      </c>
      <c r="I1233" s="6">
        <v>14.5145210377976</v>
      </c>
      <c r="J1233" s="6">
        <v>13.2651825480092</v>
      </c>
      <c r="K1233" s="6">
        <v>14.0738786925274</v>
      </c>
      <c r="L1233" s="6">
        <v>14.9671813612782</v>
      </c>
      <c r="M1233" s="6">
        <v>13.337460025966299</v>
      </c>
      <c r="N1233" s="6">
        <v>14.2825957080387</v>
      </c>
      <c r="O1233" s="6">
        <v>14.467305681923801</v>
      </c>
      <c r="P1233" s="6">
        <v>14.848149780426301</v>
      </c>
      <c r="Q1233" s="6">
        <v>12.666601679025399</v>
      </c>
    </row>
    <row r="1234" spans="1:17">
      <c r="A1234" s="6" t="s">
        <v>1665</v>
      </c>
      <c r="B1234" s="6" t="s">
        <v>1665</v>
      </c>
      <c r="C1234" s="6" t="s">
        <v>9754</v>
      </c>
      <c r="D1234" s="6" t="s">
        <v>9755</v>
      </c>
      <c r="E1234" s="6" t="s">
        <v>9755</v>
      </c>
      <c r="F1234" s="6">
        <v>14.2665974151179</v>
      </c>
      <c r="G1234" s="6">
        <v>14.741439355052901</v>
      </c>
      <c r="H1234" s="6">
        <v>13.7315938182323</v>
      </c>
      <c r="I1234" s="6">
        <v>14.532851137207</v>
      </c>
      <c r="J1234" s="6">
        <v>13.503834734487</v>
      </c>
      <c r="K1234" s="6">
        <v>14.469661501775899</v>
      </c>
      <c r="L1234" s="6">
        <v>15.160144346539701</v>
      </c>
      <c r="M1234" s="6" t="s">
        <v>6254</v>
      </c>
      <c r="N1234" s="6" t="s">
        <v>6254</v>
      </c>
      <c r="O1234" s="6">
        <v>13.9181786638453</v>
      </c>
      <c r="P1234" s="6">
        <v>13.775877286800499</v>
      </c>
      <c r="Q1234" s="6" t="s">
        <v>6254</v>
      </c>
    </row>
    <row r="1235" spans="1:17">
      <c r="A1235" s="6" t="s">
        <v>5444</v>
      </c>
      <c r="B1235" s="6" t="s">
        <v>5444</v>
      </c>
      <c r="C1235" s="6" t="s">
        <v>9756</v>
      </c>
      <c r="D1235" s="6" t="s">
        <v>9757</v>
      </c>
      <c r="E1235" s="6" t="s">
        <v>9757</v>
      </c>
      <c r="F1235" s="6">
        <v>14.5779947413992</v>
      </c>
      <c r="G1235" s="6">
        <v>13.6853810725414</v>
      </c>
      <c r="H1235" s="6">
        <v>14.7546981601879</v>
      </c>
      <c r="I1235" s="6">
        <v>15.153110005585299</v>
      </c>
      <c r="J1235" s="6">
        <v>13.591252735009199</v>
      </c>
      <c r="K1235" s="6">
        <v>13.9611627975874</v>
      </c>
      <c r="L1235" s="6">
        <v>15.4105269769648</v>
      </c>
      <c r="M1235" s="6">
        <v>13.532762903899901</v>
      </c>
      <c r="N1235" s="6">
        <v>14.2130147205455</v>
      </c>
      <c r="O1235" s="6">
        <v>14.480148173724</v>
      </c>
      <c r="P1235" s="6">
        <v>14.579029676188201</v>
      </c>
      <c r="Q1235" s="6">
        <v>13.078077663876</v>
      </c>
    </row>
    <row r="1236" spans="1:17">
      <c r="A1236" s="6" t="s">
        <v>9758</v>
      </c>
      <c r="B1236" s="6" t="s">
        <v>9759</v>
      </c>
      <c r="C1236" s="6" t="s">
        <v>9760</v>
      </c>
      <c r="D1236" s="6" t="s">
        <v>9761</v>
      </c>
      <c r="E1236" s="6" t="s">
        <v>9762</v>
      </c>
      <c r="F1236" s="6">
        <v>15.0406740172595</v>
      </c>
      <c r="G1236" s="6">
        <v>13.6639195581979</v>
      </c>
      <c r="H1236" s="6">
        <v>14.3649527916557</v>
      </c>
      <c r="I1236" s="6">
        <v>14.379782574655099</v>
      </c>
      <c r="J1236" s="6" t="s">
        <v>6254</v>
      </c>
      <c r="K1236" s="6" t="s">
        <v>6254</v>
      </c>
      <c r="L1236" s="6">
        <v>15.0537605547824</v>
      </c>
      <c r="M1236" s="6" t="s">
        <v>6254</v>
      </c>
      <c r="N1236" s="6" t="s">
        <v>6254</v>
      </c>
      <c r="O1236" s="6">
        <v>14.396114720526199</v>
      </c>
      <c r="P1236" s="6" t="s">
        <v>6254</v>
      </c>
      <c r="Q1236" s="6" t="s">
        <v>6254</v>
      </c>
    </row>
    <row r="1237" spans="1:17">
      <c r="A1237" s="6" t="s">
        <v>1777</v>
      </c>
      <c r="B1237" s="6" t="s">
        <v>1777</v>
      </c>
      <c r="C1237" s="6" t="s">
        <v>9763</v>
      </c>
      <c r="D1237" s="6" t="s">
        <v>9764</v>
      </c>
      <c r="E1237" s="6" t="s">
        <v>9764</v>
      </c>
      <c r="F1237" s="6">
        <v>14.9548525359012</v>
      </c>
      <c r="G1237" s="6">
        <v>14.250704774927501</v>
      </c>
      <c r="H1237" s="6">
        <v>14.354551511663599</v>
      </c>
      <c r="I1237" s="6">
        <v>15.023995199799</v>
      </c>
      <c r="J1237" s="6">
        <v>13.3454075148311</v>
      </c>
      <c r="K1237" s="6">
        <v>14.3630353026766</v>
      </c>
      <c r="L1237" s="6">
        <v>14.8534658041099</v>
      </c>
      <c r="M1237" s="6">
        <v>13.218199112698899</v>
      </c>
      <c r="N1237" s="6">
        <v>13.880797157462901</v>
      </c>
      <c r="O1237" s="6">
        <v>14.0373320677484</v>
      </c>
      <c r="P1237" s="6">
        <v>14.0826996263464</v>
      </c>
      <c r="Q1237" s="6" t="s">
        <v>6254</v>
      </c>
    </row>
    <row r="1238" spans="1:17">
      <c r="A1238" s="6" t="s">
        <v>9765</v>
      </c>
      <c r="B1238" s="6" t="s">
        <v>9766</v>
      </c>
      <c r="C1238" s="6" t="s">
        <v>9767</v>
      </c>
      <c r="D1238" s="6" t="s">
        <v>9768</v>
      </c>
      <c r="E1238" s="6" t="s">
        <v>9769</v>
      </c>
      <c r="F1238" s="6">
        <v>14.959934668713901</v>
      </c>
      <c r="G1238" s="6">
        <v>14.119468294305101</v>
      </c>
      <c r="H1238" s="6">
        <v>14.1533367392051</v>
      </c>
      <c r="I1238" s="6">
        <v>14.92449948899</v>
      </c>
      <c r="J1238" s="6">
        <v>13.1965706340705</v>
      </c>
      <c r="K1238" s="6">
        <v>14.4073890939633</v>
      </c>
      <c r="L1238" s="6">
        <v>14.1679856971846</v>
      </c>
      <c r="M1238" s="6">
        <v>13.429166789809999</v>
      </c>
      <c r="N1238" s="6">
        <v>13.943445116799101</v>
      </c>
      <c r="O1238" s="6">
        <v>14.5476989042333</v>
      </c>
      <c r="P1238" s="6">
        <v>14.3827854689725</v>
      </c>
      <c r="Q1238" s="6">
        <v>12.8244114089389</v>
      </c>
    </row>
    <row r="1239" spans="1:17">
      <c r="A1239" s="6" t="s">
        <v>9770</v>
      </c>
      <c r="B1239" s="6" t="s">
        <v>9771</v>
      </c>
      <c r="C1239" s="6" t="s">
        <v>9772</v>
      </c>
      <c r="D1239" s="6" t="s">
        <v>9773</v>
      </c>
      <c r="E1239" s="6" t="s">
        <v>9774</v>
      </c>
      <c r="F1239" s="6">
        <v>14.8811832945595</v>
      </c>
      <c r="G1239" s="6">
        <v>14.138382549698701</v>
      </c>
      <c r="H1239" s="6">
        <v>14.372752937336999</v>
      </c>
      <c r="I1239" s="6">
        <v>15.145052184419701</v>
      </c>
      <c r="J1239" s="6" t="s">
        <v>6254</v>
      </c>
      <c r="K1239" s="6">
        <v>14.2940486377185</v>
      </c>
      <c r="L1239" s="6">
        <v>15.059702760653</v>
      </c>
      <c r="M1239" s="6">
        <v>12.453714664972599</v>
      </c>
      <c r="N1239" s="6">
        <v>13.780983851845299</v>
      </c>
      <c r="O1239" s="6">
        <v>14.2063675122294</v>
      </c>
      <c r="P1239" s="6">
        <v>14.441999074570299</v>
      </c>
      <c r="Q1239" s="6" t="s">
        <v>6254</v>
      </c>
    </row>
    <row r="1240" spans="1:17">
      <c r="A1240" s="6" t="s">
        <v>9775</v>
      </c>
      <c r="B1240" s="6" t="s">
        <v>9775</v>
      </c>
      <c r="C1240" s="6" t="s">
        <v>9776</v>
      </c>
      <c r="D1240" s="6" t="s">
        <v>9777</v>
      </c>
      <c r="E1240" s="6" t="s">
        <v>9777</v>
      </c>
      <c r="F1240" s="6">
        <v>15.749630257102201</v>
      </c>
      <c r="G1240" s="6">
        <v>15.0206772319916</v>
      </c>
      <c r="H1240" s="6">
        <v>14.4146361484383</v>
      </c>
      <c r="I1240" s="6">
        <v>14.9698078215728</v>
      </c>
      <c r="J1240" s="6">
        <v>14.5366931919478</v>
      </c>
      <c r="K1240" s="6">
        <v>13.653046122398001</v>
      </c>
      <c r="L1240" s="6">
        <v>14.321109526092</v>
      </c>
      <c r="M1240" s="6">
        <v>14.6737085929646</v>
      </c>
      <c r="N1240" s="6">
        <v>14.6086924146312</v>
      </c>
      <c r="O1240" s="6">
        <v>13.9426343255759</v>
      </c>
      <c r="P1240" s="6">
        <v>15.4938447591213</v>
      </c>
      <c r="Q1240" s="6">
        <v>12.8834455821452</v>
      </c>
    </row>
    <row r="1241" spans="1:17">
      <c r="A1241" s="6" t="s">
        <v>3732</v>
      </c>
      <c r="B1241" s="6" t="s">
        <v>3732</v>
      </c>
      <c r="C1241" s="6" t="s">
        <v>9778</v>
      </c>
      <c r="D1241" s="6" t="s">
        <v>9779</v>
      </c>
      <c r="E1241" s="6" t="s">
        <v>9779</v>
      </c>
      <c r="F1241" s="6">
        <v>14.6634163876772</v>
      </c>
      <c r="G1241" s="6">
        <v>14.4382309127772</v>
      </c>
      <c r="H1241" s="6">
        <v>14.478384597235101</v>
      </c>
      <c r="I1241" s="6">
        <v>14.9670646953446</v>
      </c>
      <c r="J1241" s="6">
        <v>13.344675363367299</v>
      </c>
      <c r="K1241" s="6">
        <v>13.640878528452699</v>
      </c>
      <c r="L1241" s="6">
        <v>14.8247183999723</v>
      </c>
      <c r="M1241" s="6">
        <v>13.4185409794063</v>
      </c>
      <c r="N1241" s="6">
        <v>14.4687834569174</v>
      </c>
      <c r="O1241" s="6">
        <v>14.6364376602902</v>
      </c>
      <c r="P1241" s="6">
        <v>14.216664872056301</v>
      </c>
      <c r="Q1241" s="6" t="s">
        <v>6254</v>
      </c>
    </row>
    <row r="1242" spans="1:17">
      <c r="A1242" s="6" t="s">
        <v>1226</v>
      </c>
      <c r="B1242" s="6" t="s">
        <v>1226</v>
      </c>
      <c r="C1242" s="6" t="s">
        <v>9780</v>
      </c>
      <c r="D1242" s="6" t="s">
        <v>9781</v>
      </c>
      <c r="E1242" s="6" t="s">
        <v>9781</v>
      </c>
      <c r="F1242" s="6">
        <v>14.984800635115599</v>
      </c>
      <c r="G1242" s="6">
        <v>14.0110958249952</v>
      </c>
      <c r="H1242" s="6">
        <v>14.207552076782701</v>
      </c>
      <c r="I1242" s="6">
        <v>15.239034815536501</v>
      </c>
      <c r="J1242" s="6">
        <v>13.661430341736001</v>
      </c>
      <c r="K1242" s="6">
        <v>14.4178578952663</v>
      </c>
      <c r="L1242" s="6">
        <v>14.8400677382187</v>
      </c>
      <c r="M1242" s="6">
        <v>13.3378598608333</v>
      </c>
      <c r="N1242" s="6">
        <v>13.9692522305594</v>
      </c>
      <c r="O1242" s="6">
        <v>14.5975216176454</v>
      </c>
      <c r="P1242" s="6">
        <v>14.489375885762099</v>
      </c>
      <c r="Q1242" s="6">
        <v>13.004182810653701</v>
      </c>
    </row>
    <row r="1243" spans="1:17">
      <c r="A1243" s="6" t="s">
        <v>9782</v>
      </c>
      <c r="B1243" s="6" t="s">
        <v>9782</v>
      </c>
      <c r="C1243" s="6" t="s">
        <v>9783</v>
      </c>
      <c r="D1243" s="6" t="s">
        <v>9784</v>
      </c>
      <c r="E1243" s="6" t="s">
        <v>9784</v>
      </c>
      <c r="F1243" s="6">
        <v>14.254879457809601</v>
      </c>
      <c r="G1243" s="6">
        <v>13.6784904305326</v>
      </c>
      <c r="H1243" s="6" t="s">
        <v>6254</v>
      </c>
      <c r="I1243" s="6">
        <v>14.755928509978499</v>
      </c>
      <c r="J1243" s="6" t="s">
        <v>6254</v>
      </c>
      <c r="K1243" s="6">
        <v>14.1135987314332</v>
      </c>
      <c r="L1243" s="6">
        <v>15.0377572160608</v>
      </c>
      <c r="M1243" s="6" t="s">
        <v>6254</v>
      </c>
      <c r="N1243" s="6">
        <v>12.977212474013401</v>
      </c>
      <c r="O1243" s="6" t="s">
        <v>6254</v>
      </c>
      <c r="P1243" s="6">
        <v>14.545618136514999</v>
      </c>
      <c r="Q1243" s="6" t="s">
        <v>6254</v>
      </c>
    </row>
    <row r="1244" spans="1:17">
      <c r="A1244" s="6" t="s">
        <v>9785</v>
      </c>
      <c r="B1244" s="6" t="s">
        <v>9786</v>
      </c>
      <c r="C1244" s="6" t="s">
        <v>9787</v>
      </c>
      <c r="D1244" s="6" t="s">
        <v>9788</v>
      </c>
      <c r="E1244" s="6" t="s">
        <v>9789</v>
      </c>
      <c r="F1244" s="6">
        <v>14.906611713216099</v>
      </c>
      <c r="G1244" s="6">
        <v>14.301647214816599</v>
      </c>
      <c r="H1244" s="6">
        <v>14.1873882635994</v>
      </c>
      <c r="I1244" s="6">
        <v>15.0231794091733</v>
      </c>
      <c r="J1244" s="6">
        <v>13.932523943005799</v>
      </c>
      <c r="K1244" s="6">
        <v>14.649235099395399</v>
      </c>
      <c r="L1244" s="6">
        <v>14.622067785378199</v>
      </c>
      <c r="M1244" s="6">
        <v>13.375729869945101</v>
      </c>
      <c r="N1244" s="6">
        <v>13.750764316081099</v>
      </c>
      <c r="O1244" s="6">
        <v>14.534636094745499</v>
      </c>
      <c r="P1244" s="6">
        <v>14.8014387827037</v>
      </c>
      <c r="Q1244" s="6" t="s">
        <v>6254</v>
      </c>
    </row>
    <row r="1245" spans="1:17">
      <c r="A1245" s="6" t="s">
        <v>9790</v>
      </c>
      <c r="B1245" s="6" t="s">
        <v>9791</v>
      </c>
      <c r="C1245" s="6" t="s">
        <v>9792</v>
      </c>
      <c r="D1245" s="6" t="s">
        <v>9793</v>
      </c>
      <c r="E1245" s="6" t="s">
        <v>9794</v>
      </c>
      <c r="F1245" s="6">
        <v>15.0768673000417</v>
      </c>
      <c r="G1245" s="6" t="s">
        <v>6254</v>
      </c>
      <c r="H1245" s="6">
        <v>14.299783061244501</v>
      </c>
      <c r="I1245" s="6">
        <v>12.4743601329162</v>
      </c>
      <c r="J1245" s="6" t="s">
        <v>6254</v>
      </c>
      <c r="K1245" s="6">
        <v>14.513313359818101</v>
      </c>
      <c r="L1245" s="6">
        <v>15.000360336729299</v>
      </c>
      <c r="M1245" s="6" t="s">
        <v>6254</v>
      </c>
      <c r="N1245" s="6" t="s">
        <v>6254</v>
      </c>
      <c r="O1245" s="6">
        <v>14.7638550086659</v>
      </c>
      <c r="P1245" s="6">
        <v>15.176538282000299</v>
      </c>
      <c r="Q1245" s="6" t="s">
        <v>6254</v>
      </c>
    </row>
    <row r="1246" spans="1:17">
      <c r="A1246" s="6" t="s">
        <v>4340</v>
      </c>
      <c r="B1246" s="6" t="s">
        <v>4340</v>
      </c>
      <c r="C1246" s="6" t="s">
        <v>9795</v>
      </c>
      <c r="D1246" s="6" t="s">
        <v>9796</v>
      </c>
      <c r="E1246" s="6" t="s">
        <v>9796</v>
      </c>
      <c r="F1246" s="6" t="s">
        <v>6254</v>
      </c>
      <c r="G1246" s="6">
        <v>14.041361422047499</v>
      </c>
      <c r="H1246" s="6">
        <v>14.413299112203401</v>
      </c>
      <c r="I1246" s="6">
        <v>14.6877443702944</v>
      </c>
      <c r="J1246" s="6">
        <v>13.6411003609311</v>
      </c>
      <c r="K1246" s="6">
        <v>14.705024943313701</v>
      </c>
      <c r="L1246" s="6">
        <v>14.590693771584</v>
      </c>
      <c r="M1246" s="6" t="s">
        <v>6254</v>
      </c>
      <c r="N1246" s="6">
        <v>14.679353255705401</v>
      </c>
      <c r="O1246" s="6">
        <v>14.263173650564701</v>
      </c>
      <c r="P1246" s="6">
        <v>14.2702215772382</v>
      </c>
      <c r="Q1246" s="6" t="s">
        <v>6254</v>
      </c>
    </row>
    <row r="1247" spans="1:17">
      <c r="A1247" s="6" t="s">
        <v>1121</v>
      </c>
      <c r="B1247" s="6" t="s">
        <v>1121</v>
      </c>
      <c r="C1247" s="6" t="s">
        <v>9797</v>
      </c>
      <c r="D1247" s="6" t="s">
        <v>9798</v>
      </c>
      <c r="E1247" s="6" t="s">
        <v>9798</v>
      </c>
      <c r="F1247" s="6">
        <v>14.5180728177489</v>
      </c>
      <c r="G1247" s="6">
        <v>14.2079936686241</v>
      </c>
      <c r="H1247" s="6">
        <v>14.0267398179059</v>
      </c>
      <c r="I1247" s="6">
        <v>14.7692556980062</v>
      </c>
      <c r="J1247" s="6">
        <v>13.4632926636656</v>
      </c>
      <c r="K1247" s="6">
        <v>14.169130135059</v>
      </c>
      <c r="L1247" s="6">
        <v>14.6239400209018</v>
      </c>
      <c r="M1247" s="6">
        <v>13.3536536001927</v>
      </c>
      <c r="N1247" s="6">
        <v>13.3996226457697</v>
      </c>
      <c r="O1247" s="6">
        <v>14.5483853803354</v>
      </c>
      <c r="P1247" s="6">
        <v>14.3073025419919</v>
      </c>
      <c r="Q1247" s="6">
        <v>13.637613230541699</v>
      </c>
    </row>
    <row r="1248" spans="1:17">
      <c r="A1248" s="6" t="s">
        <v>9799</v>
      </c>
      <c r="B1248" s="6" t="s">
        <v>9800</v>
      </c>
      <c r="C1248" s="6" t="s">
        <v>9801</v>
      </c>
      <c r="D1248" s="6" t="s">
        <v>9802</v>
      </c>
      <c r="E1248" s="6" t="s">
        <v>9803</v>
      </c>
      <c r="F1248" s="6">
        <v>14.652930428892301</v>
      </c>
      <c r="G1248" s="6" t="s">
        <v>6254</v>
      </c>
      <c r="H1248" s="6" t="s">
        <v>6254</v>
      </c>
      <c r="I1248" s="6">
        <v>14.028955976493499</v>
      </c>
      <c r="J1248" s="6" t="s">
        <v>6254</v>
      </c>
      <c r="K1248" s="6" t="s">
        <v>6254</v>
      </c>
      <c r="L1248" s="6">
        <v>13.890521822912101</v>
      </c>
      <c r="M1248" s="6" t="s">
        <v>6254</v>
      </c>
      <c r="N1248" s="6" t="s">
        <v>6254</v>
      </c>
      <c r="O1248" s="6">
        <v>13.640701371269</v>
      </c>
      <c r="P1248" s="6">
        <v>13.7786958610873</v>
      </c>
      <c r="Q1248" s="6" t="s">
        <v>6254</v>
      </c>
    </row>
    <row r="1249" spans="1:17">
      <c r="A1249" s="6" t="s">
        <v>1694</v>
      </c>
      <c r="B1249" s="6" t="s">
        <v>1694</v>
      </c>
      <c r="C1249" s="6" t="s">
        <v>9804</v>
      </c>
      <c r="D1249" s="6" t="s">
        <v>9805</v>
      </c>
      <c r="E1249" s="6" t="s">
        <v>9805</v>
      </c>
      <c r="F1249" s="6">
        <v>14.7722217740105</v>
      </c>
      <c r="G1249" s="6">
        <v>13.944504296277101</v>
      </c>
      <c r="H1249" s="6">
        <v>14.271360070067001</v>
      </c>
      <c r="I1249" s="6">
        <v>14.789797998414601</v>
      </c>
      <c r="J1249" s="6">
        <v>13.5825754904231</v>
      </c>
      <c r="K1249" s="6">
        <v>14.4711094341293</v>
      </c>
      <c r="L1249" s="6">
        <v>14.7682075279654</v>
      </c>
      <c r="M1249" s="6">
        <v>13.6492944340135</v>
      </c>
      <c r="N1249" s="6">
        <v>13.503217724103999</v>
      </c>
      <c r="O1249" s="6">
        <v>14.731977421475101</v>
      </c>
      <c r="P1249" s="6">
        <v>14.5870827028478</v>
      </c>
      <c r="Q1249" s="6">
        <v>13.224317896274</v>
      </c>
    </row>
    <row r="1250" spans="1:17">
      <c r="A1250" s="6" t="s">
        <v>9806</v>
      </c>
      <c r="B1250" s="6" t="s">
        <v>9806</v>
      </c>
      <c r="C1250" s="6" t="s">
        <v>9807</v>
      </c>
      <c r="D1250" s="6" t="s">
        <v>9808</v>
      </c>
      <c r="E1250" s="6" t="s">
        <v>9808</v>
      </c>
      <c r="F1250" s="6">
        <v>14.778552408937999</v>
      </c>
      <c r="G1250" s="6">
        <v>14.449738146383</v>
      </c>
      <c r="H1250" s="6">
        <v>13.930971545290999</v>
      </c>
      <c r="I1250" s="6">
        <v>14.795963288568499</v>
      </c>
      <c r="J1250" s="6">
        <v>14.064793535277699</v>
      </c>
      <c r="K1250" s="6">
        <v>14.4656582547883</v>
      </c>
      <c r="L1250" s="6">
        <v>14.492900684611399</v>
      </c>
      <c r="M1250" s="6">
        <v>13.2202212955299</v>
      </c>
      <c r="N1250" s="6">
        <v>13.604999651082601</v>
      </c>
      <c r="O1250" s="6">
        <v>14.7293250546459</v>
      </c>
      <c r="P1250" s="6">
        <v>14.5449252973042</v>
      </c>
      <c r="Q1250" s="6">
        <v>13.259226573147901</v>
      </c>
    </row>
    <row r="1251" spans="1:17">
      <c r="A1251" s="6" t="s">
        <v>1671</v>
      </c>
      <c r="B1251" s="6" t="s">
        <v>1671</v>
      </c>
      <c r="C1251" s="6" t="s">
        <v>9809</v>
      </c>
      <c r="D1251" s="6" t="s">
        <v>9810</v>
      </c>
      <c r="E1251" s="6" t="s">
        <v>9810</v>
      </c>
      <c r="F1251" s="6">
        <v>14.8851979733615</v>
      </c>
      <c r="G1251" s="6">
        <v>13.9522821633569</v>
      </c>
      <c r="H1251" s="6">
        <v>14.385946185302799</v>
      </c>
      <c r="I1251" s="6">
        <v>14.8282587788475</v>
      </c>
      <c r="J1251" s="6">
        <v>13.0369258684005</v>
      </c>
      <c r="K1251" s="6">
        <v>14.052888541385601</v>
      </c>
      <c r="L1251" s="6">
        <v>14.726511878255</v>
      </c>
      <c r="M1251" s="6">
        <v>13.5247630843987</v>
      </c>
      <c r="N1251" s="6">
        <v>14.350761884944999</v>
      </c>
      <c r="O1251" s="6">
        <v>14.5670510993781</v>
      </c>
      <c r="P1251" s="6">
        <v>14.2214236451329</v>
      </c>
      <c r="Q1251" s="6" t="s">
        <v>6254</v>
      </c>
    </row>
    <row r="1252" spans="1:17">
      <c r="A1252" s="6" t="s">
        <v>9811</v>
      </c>
      <c r="B1252" s="6" t="s">
        <v>9812</v>
      </c>
      <c r="C1252" s="6" t="s">
        <v>9813</v>
      </c>
      <c r="D1252" s="6" t="s">
        <v>9814</v>
      </c>
      <c r="E1252" s="6" t="s">
        <v>9815</v>
      </c>
      <c r="F1252" s="6">
        <v>14.513076613483699</v>
      </c>
      <c r="G1252" s="6">
        <v>14.102547908770999</v>
      </c>
      <c r="H1252" s="6">
        <v>14.5164554734429</v>
      </c>
      <c r="I1252" s="6">
        <v>14.8499043962456</v>
      </c>
      <c r="J1252" s="6">
        <v>13.645490731204401</v>
      </c>
      <c r="K1252" s="6">
        <v>13.997057277729899</v>
      </c>
      <c r="L1252" s="6">
        <v>14.8520224796113</v>
      </c>
      <c r="M1252" s="6">
        <v>12.944620002300701</v>
      </c>
      <c r="N1252" s="6">
        <v>13.973395855676699</v>
      </c>
      <c r="O1252" s="6">
        <v>14.6076360400233</v>
      </c>
      <c r="P1252" s="6">
        <v>14.3866296835852</v>
      </c>
      <c r="Q1252" s="6">
        <v>12.397230586566501</v>
      </c>
    </row>
    <row r="1253" spans="1:17">
      <c r="A1253" s="6" t="s">
        <v>2707</v>
      </c>
      <c r="B1253" s="6" t="s">
        <v>2707</v>
      </c>
      <c r="C1253" s="6" t="s">
        <v>9816</v>
      </c>
      <c r="D1253" s="6" t="s">
        <v>9817</v>
      </c>
      <c r="E1253" s="6" t="s">
        <v>9817</v>
      </c>
      <c r="F1253" s="6">
        <v>14.465560826772901</v>
      </c>
      <c r="G1253" s="6">
        <v>14.3273309359808</v>
      </c>
      <c r="H1253" s="6">
        <v>14.1922882782203</v>
      </c>
      <c r="I1253" s="6">
        <v>14.7428761469245</v>
      </c>
      <c r="J1253" s="6">
        <v>13.4476389954637</v>
      </c>
      <c r="K1253" s="6">
        <v>14.1447614543433</v>
      </c>
      <c r="L1253" s="6">
        <v>14.4639343077289</v>
      </c>
      <c r="M1253" s="6">
        <v>13.4696763519722</v>
      </c>
      <c r="N1253" s="6">
        <v>13.2719168285113</v>
      </c>
      <c r="O1253" s="6">
        <v>14.5852269694706</v>
      </c>
      <c r="P1253" s="6">
        <v>14.653434343812901</v>
      </c>
      <c r="Q1253" s="6">
        <v>13.104456711780999</v>
      </c>
    </row>
    <row r="1254" spans="1:17">
      <c r="A1254" s="6" t="s">
        <v>9818</v>
      </c>
      <c r="B1254" s="6" t="s">
        <v>9819</v>
      </c>
      <c r="C1254" s="6" t="s">
        <v>9820</v>
      </c>
      <c r="D1254" s="6" t="s">
        <v>9821</v>
      </c>
      <c r="E1254" s="6" t="s">
        <v>9822</v>
      </c>
      <c r="F1254" s="6">
        <v>14.554494357073599</v>
      </c>
      <c r="G1254" s="6">
        <v>13.8865292052522</v>
      </c>
      <c r="H1254" s="6">
        <v>13.9708671808724</v>
      </c>
      <c r="I1254" s="6">
        <v>14.7717316969806</v>
      </c>
      <c r="J1254" s="6">
        <v>13.4213048349171</v>
      </c>
      <c r="K1254" s="6">
        <v>14.1534085668098</v>
      </c>
      <c r="L1254" s="6">
        <v>14.575108001746401</v>
      </c>
      <c r="M1254" s="6">
        <v>13.0253939175201</v>
      </c>
      <c r="N1254" s="6" t="s">
        <v>6254</v>
      </c>
      <c r="O1254" s="6">
        <v>14.503817451439099</v>
      </c>
      <c r="P1254" s="6">
        <v>15.027073631551101</v>
      </c>
      <c r="Q1254" s="6">
        <v>13.388515674618301</v>
      </c>
    </row>
    <row r="1255" spans="1:17">
      <c r="A1255" s="6" t="s">
        <v>9823</v>
      </c>
      <c r="B1255" s="6" t="s">
        <v>9824</v>
      </c>
      <c r="C1255" s="6" t="s">
        <v>9825</v>
      </c>
      <c r="D1255" s="6" t="s">
        <v>9826</v>
      </c>
      <c r="E1255" s="6" t="s">
        <v>9827</v>
      </c>
      <c r="F1255" s="6">
        <v>14.486727214259201</v>
      </c>
      <c r="G1255" s="6">
        <v>14.305116854196299</v>
      </c>
      <c r="H1255" s="6">
        <v>14.092530941290899</v>
      </c>
      <c r="I1255" s="6">
        <v>14.9486634418957</v>
      </c>
      <c r="J1255" s="6">
        <v>13.512464473894299</v>
      </c>
      <c r="K1255" s="6">
        <v>14.4560802677412</v>
      </c>
      <c r="L1255" s="6">
        <v>14.7451922055909</v>
      </c>
      <c r="M1255" s="6">
        <v>13.3566585288957</v>
      </c>
      <c r="N1255" s="6">
        <v>13.292848138606301</v>
      </c>
      <c r="O1255" s="6">
        <v>14.7707815627343</v>
      </c>
      <c r="P1255" s="6">
        <v>14.273572234660399</v>
      </c>
      <c r="Q1255" s="6">
        <v>13.217959920071401</v>
      </c>
    </row>
    <row r="1256" spans="1:17">
      <c r="A1256" s="6" t="s">
        <v>1398</v>
      </c>
      <c r="B1256" s="6" t="s">
        <v>1400</v>
      </c>
      <c r="C1256" s="6" t="s">
        <v>9828</v>
      </c>
      <c r="D1256" s="6" t="s">
        <v>9829</v>
      </c>
      <c r="E1256" s="6" t="s">
        <v>9830</v>
      </c>
      <c r="F1256" s="6">
        <v>14.338076774608099</v>
      </c>
      <c r="G1256" s="6">
        <v>14.1252888954242</v>
      </c>
      <c r="H1256" s="6">
        <v>14.3163348754903</v>
      </c>
      <c r="I1256" s="6">
        <v>14.9829377721251</v>
      </c>
      <c r="J1256" s="6">
        <v>13.490353710165801</v>
      </c>
      <c r="K1256" s="6">
        <v>14.330966644949999</v>
      </c>
      <c r="L1256" s="6">
        <v>14.6913519414188</v>
      </c>
      <c r="M1256" s="6">
        <v>12.9995799639493</v>
      </c>
      <c r="N1256" s="6">
        <v>13.720633514422101</v>
      </c>
      <c r="O1256" s="6">
        <v>14.694265167340101</v>
      </c>
      <c r="P1256" s="6">
        <v>14.4627259044096</v>
      </c>
      <c r="Q1256" s="6">
        <v>12.543023669050701</v>
      </c>
    </row>
    <row r="1257" spans="1:17">
      <c r="A1257" s="6" t="s">
        <v>2961</v>
      </c>
      <c r="B1257" s="6" t="s">
        <v>2961</v>
      </c>
      <c r="C1257" s="6" t="s">
        <v>9831</v>
      </c>
      <c r="D1257" s="6" t="s">
        <v>9832</v>
      </c>
      <c r="E1257" s="6" t="s">
        <v>9832</v>
      </c>
      <c r="F1257" s="6">
        <v>14.857396435748701</v>
      </c>
      <c r="G1257" s="6">
        <v>13.940018855038501</v>
      </c>
      <c r="H1257" s="6">
        <v>14.246914894282</v>
      </c>
      <c r="I1257" s="6">
        <v>14.743908097662301</v>
      </c>
      <c r="J1257" s="6">
        <v>13.164346861124701</v>
      </c>
      <c r="K1257" s="6">
        <v>13.9955686598163</v>
      </c>
      <c r="L1257" s="6">
        <v>14.3465753159723</v>
      </c>
      <c r="M1257" s="6">
        <v>13.0251411198225</v>
      </c>
      <c r="N1257" s="6">
        <v>14.6249738843155</v>
      </c>
      <c r="O1257" s="6">
        <v>14.6350736112666</v>
      </c>
      <c r="P1257" s="6">
        <v>14.6044125127999</v>
      </c>
      <c r="Q1257" s="6">
        <v>12.4082893922851</v>
      </c>
    </row>
    <row r="1258" spans="1:17">
      <c r="A1258" s="6" t="s">
        <v>9833</v>
      </c>
      <c r="B1258" s="6" t="s">
        <v>9834</v>
      </c>
      <c r="C1258" s="6" t="s">
        <v>9835</v>
      </c>
      <c r="D1258" s="6" t="s">
        <v>9836</v>
      </c>
      <c r="E1258" s="6" t="s">
        <v>9837</v>
      </c>
      <c r="F1258" s="6">
        <v>14.7117829275326</v>
      </c>
      <c r="G1258" s="6">
        <v>14.0463214050221</v>
      </c>
      <c r="H1258" s="6">
        <v>14.2914693658609</v>
      </c>
      <c r="I1258" s="6">
        <v>15.0148309450901</v>
      </c>
      <c r="J1258" s="6">
        <v>13.434341769957999</v>
      </c>
      <c r="K1258" s="6">
        <v>14.160276398499001</v>
      </c>
      <c r="L1258" s="6">
        <v>15.016847226376701</v>
      </c>
      <c r="M1258" s="6">
        <v>13.440226285002799</v>
      </c>
      <c r="N1258" s="6">
        <v>14.090137535050101</v>
      </c>
      <c r="O1258" s="6">
        <v>14.6071269878598</v>
      </c>
      <c r="P1258" s="6">
        <v>14.5440770156616</v>
      </c>
      <c r="Q1258" s="6">
        <v>12.7013492508081</v>
      </c>
    </row>
    <row r="1259" spans="1:17">
      <c r="A1259" s="6" t="s">
        <v>2537</v>
      </c>
      <c r="B1259" s="6" t="s">
        <v>2539</v>
      </c>
      <c r="C1259" s="6" t="s">
        <v>9838</v>
      </c>
      <c r="D1259" s="6" t="s">
        <v>9839</v>
      </c>
      <c r="E1259" s="6" t="s">
        <v>9840</v>
      </c>
      <c r="F1259" s="6">
        <v>14.738703732487499</v>
      </c>
      <c r="G1259" s="6">
        <v>14.3396988395378</v>
      </c>
      <c r="H1259" s="6">
        <v>14.2187116460493</v>
      </c>
      <c r="I1259" s="6">
        <v>15.341131063411201</v>
      </c>
      <c r="J1259" s="6">
        <v>13.674021840703</v>
      </c>
      <c r="K1259" s="6">
        <v>14.137466312557599</v>
      </c>
      <c r="L1259" s="6">
        <v>14.581360121749601</v>
      </c>
      <c r="M1259" s="6">
        <v>13.579621969961799</v>
      </c>
      <c r="N1259" s="6">
        <v>13.5647275056032</v>
      </c>
      <c r="O1259" s="6">
        <v>14.185657460269001</v>
      </c>
      <c r="P1259" s="6">
        <v>14.603671232606001</v>
      </c>
      <c r="Q1259" s="6">
        <v>12.285736843297601</v>
      </c>
    </row>
    <row r="1260" spans="1:17">
      <c r="A1260" s="6" t="s">
        <v>9841</v>
      </c>
      <c r="B1260" s="6" t="s">
        <v>9842</v>
      </c>
      <c r="C1260" s="6" t="s">
        <v>9843</v>
      </c>
      <c r="D1260" s="6" t="s">
        <v>9844</v>
      </c>
      <c r="E1260" s="6" t="s">
        <v>9845</v>
      </c>
      <c r="F1260" s="6">
        <v>14.1299291800036</v>
      </c>
      <c r="G1260" s="6">
        <v>14.1043381977134</v>
      </c>
      <c r="H1260" s="6">
        <v>14.215563819893299</v>
      </c>
      <c r="I1260" s="6">
        <v>14.772511073017601</v>
      </c>
      <c r="J1260" s="6">
        <v>13.570964317645799</v>
      </c>
      <c r="K1260" s="6">
        <v>14.158235980801599</v>
      </c>
      <c r="L1260" s="6">
        <v>15.000220270856801</v>
      </c>
      <c r="M1260" s="6">
        <v>13.2083672705837</v>
      </c>
      <c r="N1260" s="6">
        <v>14.096221963974701</v>
      </c>
      <c r="O1260" s="6">
        <v>14.338417724466099</v>
      </c>
      <c r="P1260" s="6">
        <v>14.8947394149213</v>
      </c>
      <c r="Q1260" s="6">
        <v>13.284367942287799</v>
      </c>
    </row>
    <row r="1261" spans="1:17">
      <c r="A1261" s="6" t="s">
        <v>2692</v>
      </c>
      <c r="B1261" s="6" t="s">
        <v>2692</v>
      </c>
      <c r="C1261" s="6" t="s">
        <v>9846</v>
      </c>
      <c r="D1261" s="6" t="s">
        <v>9847</v>
      </c>
      <c r="E1261" s="6" t="s">
        <v>9847</v>
      </c>
      <c r="F1261" s="6">
        <v>14.4937565100646</v>
      </c>
      <c r="G1261" s="6">
        <v>13.945917442989501</v>
      </c>
      <c r="H1261" s="6">
        <v>14.278008446744501</v>
      </c>
      <c r="I1261" s="6">
        <v>14.8631931863469</v>
      </c>
      <c r="J1261" s="6">
        <v>13.1789276812219</v>
      </c>
      <c r="K1261" s="6">
        <v>14.467494189758099</v>
      </c>
      <c r="L1261" s="6">
        <v>14.8378739607494</v>
      </c>
      <c r="M1261" s="6">
        <v>13.4293074053124</v>
      </c>
      <c r="N1261" s="6">
        <v>14.1940512775647</v>
      </c>
      <c r="O1261" s="6">
        <v>14.274292289981901</v>
      </c>
      <c r="P1261" s="6">
        <v>14.1209937432453</v>
      </c>
      <c r="Q1261" s="6">
        <v>13.052909874052901</v>
      </c>
    </row>
    <row r="1262" spans="1:17">
      <c r="A1262" s="6" t="s">
        <v>2452</v>
      </c>
      <c r="B1262" s="6" t="s">
        <v>2452</v>
      </c>
      <c r="C1262" s="6" t="s">
        <v>9848</v>
      </c>
      <c r="D1262" s="6" t="s">
        <v>9849</v>
      </c>
      <c r="E1262" s="6" t="s">
        <v>9849</v>
      </c>
      <c r="F1262" s="6">
        <v>14.873285410522101</v>
      </c>
      <c r="G1262" s="6">
        <v>13.876697331653199</v>
      </c>
      <c r="H1262" s="6">
        <v>14.155289476466301</v>
      </c>
      <c r="I1262" s="6">
        <v>15.2153764373921</v>
      </c>
      <c r="J1262" s="6">
        <v>13.749025016609799</v>
      </c>
      <c r="K1262" s="6">
        <v>14.067730824342</v>
      </c>
      <c r="L1262" s="6">
        <v>14.9350223383029</v>
      </c>
      <c r="M1262" s="6">
        <v>13.2390527592342</v>
      </c>
      <c r="N1262" s="6">
        <v>13.9496418929873</v>
      </c>
      <c r="O1262" s="6">
        <v>14.5766615993019</v>
      </c>
      <c r="P1262" s="6">
        <v>14.2230359420626</v>
      </c>
      <c r="Q1262" s="6">
        <v>12.860739441585</v>
      </c>
    </row>
    <row r="1263" spans="1:17">
      <c r="A1263" s="6" t="s">
        <v>9850</v>
      </c>
      <c r="B1263" s="6" t="s">
        <v>9851</v>
      </c>
      <c r="C1263" s="6" t="s">
        <v>9852</v>
      </c>
      <c r="D1263" s="6" t="s">
        <v>9853</v>
      </c>
      <c r="E1263" s="6" t="s">
        <v>9854</v>
      </c>
      <c r="F1263" s="6">
        <v>14.422749158375099</v>
      </c>
      <c r="G1263" s="6">
        <v>14.4719036529</v>
      </c>
      <c r="H1263" s="6">
        <v>14.2497111416432</v>
      </c>
      <c r="I1263" s="6">
        <v>14.536969554137</v>
      </c>
      <c r="J1263" s="6">
        <v>13.70482525732</v>
      </c>
      <c r="K1263" s="6">
        <v>14.134501612903801</v>
      </c>
      <c r="L1263" s="6">
        <v>14.8782813169272</v>
      </c>
      <c r="M1263" s="6">
        <v>13.4242422250561</v>
      </c>
      <c r="N1263" s="6">
        <v>13.6176896864895</v>
      </c>
      <c r="O1263" s="6">
        <v>14.118487311534899</v>
      </c>
      <c r="P1263" s="6">
        <v>14.113671383022</v>
      </c>
      <c r="Q1263" s="6">
        <v>13.2518320207031</v>
      </c>
    </row>
    <row r="1264" spans="1:17">
      <c r="A1264" s="6" t="s">
        <v>1494</v>
      </c>
      <c r="B1264" s="6" t="s">
        <v>1494</v>
      </c>
      <c r="C1264" s="6" t="s">
        <v>9855</v>
      </c>
      <c r="D1264" s="6" t="s">
        <v>9856</v>
      </c>
      <c r="E1264" s="6" t="s">
        <v>9856</v>
      </c>
      <c r="F1264" s="6">
        <v>14.6832584521001</v>
      </c>
      <c r="G1264" s="6">
        <v>14.017511382810101</v>
      </c>
      <c r="H1264" s="6">
        <v>14.339784488066099</v>
      </c>
      <c r="I1264" s="6">
        <v>14.844185624407499</v>
      </c>
      <c r="J1264" s="6">
        <v>13.397553245108799</v>
      </c>
      <c r="K1264" s="6">
        <v>13.968424162515801</v>
      </c>
      <c r="L1264" s="6">
        <v>14.7029794646682</v>
      </c>
      <c r="M1264" s="6">
        <v>13.4738380651187</v>
      </c>
      <c r="N1264" s="6">
        <v>14.284214679869301</v>
      </c>
      <c r="O1264" s="6">
        <v>14.4998302172535</v>
      </c>
      <c r="P1264" s="6">
        <v>14.4724007438853</v>
      </c>
      <c r="Q1264" s="6">
        <v>12.677170534163899</v>
      </c>
    </row>
    <row r="1265" spans="1:17">
      <c r="A1265" s="6" t="s">
        <v>9857</v>
      </c>
      <c r="B1265" s="6" t="s">
        <v>2533</v>
      </c>
      <c r="C1265" s="6" t="s">
        <v>9858</v>
      </c>
      <c r="D1265" s="6" t="s">
        <v>9859</v>
      </c>
      <c r="E1265" s="6" t="s">
        <v>9860</v>
      </c>
      <c r="F1265" s="6">
        <v>14.442475540576501</v>
      </c>
      <c r="G1265" s="6">
        <v>13.581979392750799</v>
      </c>
      <c r="H1265" s="6">
        <v>14.277100281074</v>
      </c>
      <c r="I1265" s="6">
        <v>14.805870959251401</v>
      </c>
      <c r="J1265" s="6">
        <v>13.3528970541114</v>
      </c>
      <c r="K1265" s="6">
        <v>14.000302589058199</v>
      </c>
      <c r="L1265" s="6">
        <v>14.919107625823001</v>
      </c>
      <c r="M1265" s="6">
        <v>12.9908303408015</v>
      </c>
      <c r="N1265" s="6">
        <v>14.606745915650601</v>
      </c>
      <c r="O1265" s="6">
        <v>14.786670662955499</v>
      </c>
      <c r="P1265" s="6">
        <v>14.344424116676899</v>
      </c>
      <c r="Q1265" s="6">
        <v>12.715915068900999</v>
      </c>
    </row>
    <row r="1266" spans="1:17">
      <c r="A1266" s="6" t="s">
        <v>3488</v>
      </c>
      <c r="B1266" s="6" t="s">
        <v>3488</v>
      </c>
      <c r="C1266" s="6" t="s">
        <v>9861</v>
      </c>
      <c r="D1266" s="6" t="s">
        <v>9862</v>
      </c>
      <c r="E1266" s="6" t="s">
        <v>9862</v>
      </c>
      <c r="F1266" s="6">
        <v>14.514213161665699</v>
      </c>
      <c r="G1266" s="6">
        <v>13.7850119602252</v>
      </c>
      <c r="H1266" s="6">
        <v>14.439597975647199</v>
      </c>
      <c r="I1266" s="6">
        <v>14.911224817347099</v>
      </c>
      <c r="J1266" s="6">
        <v>13.588380300473</v>
      </c>
      <c r="K1266" s="6">
        <v>14.0490873283029</v>
      </c>
      <c r="L1266" s="6">
        <v>14.6210107707406</v>
      </c>
      <c r="M1266" s="6">
        <v>13.5419594306849</v>
      </c>
      <c r="N1266" s="6">
        <v>13.470238726620799</v>
      </c>
      <c r="O1266" s="6">
        <v>14.6115753758097</v>
      </c>
      <c r="P1266" s="6">
        <v>14.4853211282852</v>
      </c>
      <c r="Q1266" s="6">
        <v>13.4369090592966</v>
      </c>
    </row>
    <row r="1267" spans="1:17">
      <c r="A1267" s="6" t="s">
        <v>2689</v>
      </c>
      <c r="B1267" s="6" t="s">
        <v>2689</v>
      </c>
      <c r="C1267" s="6" t="s">
        <v>9863</v>
      </c>
      <c r="D1267" s="6" t="s">
        <v>9864</v>
      </c>
      <c r="E1267" s="6" t="s">
        <v>9864</v>
      </c>
      <c r="F1267" s="6">
        <v>14.5494759970932</v>
      </c>
      <c r="G1267" s="6">
        <v>14.1815433819009</v>
      </c>
      <c r="H1267" s="6">
        <v>14.151794710607399</v>
      </c>
      <c r="I1267" s="6">
        <v>14.9190021654628</v>
      </c>
      <c r="J1267" s="6">
        <v>13.703155180145901</v>
      </c>
      <c r="K1267" s="6">
        <v>14.0550356925944</v>
      </c>
      <c r="L1267" s="6">
        <v>14.546232221430101</v>
      </c>
      <c r="M1267" s="6">
        <v>13.272144549243301</v>
      </c>
      <c r="N1267" s="6">
        <v>13.3652992298416</v>
      </c>
      <c r="O1267" s="6">
        <v>14.5102490542745</v>
      </c>
      <c r="P1267" s="6">
        <v>14.5144454777436</v>
      </c>
      <c r="Q1267" s="6" t="s">
        <v>6254</v>
      </c>
    </row>
    <row r="1268" spans="1:17">
      <c r="A1268" s="6" t="s">
        <v>9865</v>
      </c>
      <c r="B1268" s="6" t="s">
        <v>9866</v>
      </c>
      <c r="C1268" s="6" t="s">
        <v>9867</v>
      </c>
      <c r="D1268" s="6" t="s">
        <v>9868</v>
      </c>
      <c r="E1268" s="6" t="s">
        <v>9869</v>
      </c>
      <c r="F1268" s="6">
        <v>14.988490731202599</v>
      </c>
      <c r="G1268" s="6">
        <v>14.0196719236975</v>
      </c>
      <c r="H1268" s="6">
        <v>13.898050371130299</v>
      </c>
      <c r="I1268" s="6">
        <v>14.5598716379886</v>
      </c>
      <c r="J1268" s="6" t="s">
        <v>6254</v>
      </c>
      <c r="K1268" s="6">
        <v>13.3707359134326</v>
      </c>
      <c r="L1268" s="6">
        <v>15.091326293022099</v>
      </c>
      <c r="M1268" s="6">
        <v>13.1933427943927</v>
      </c>
      <c r="N1268" s="6">
        <v>14.828470499642</v>
      </c>
      <c r="O1268" s="6">
        <v>14.401571412656301</v>
      </c>
      <c r="P1268" s="6">
        <v>13.788302472704199</v>
      </c>
      <c r="Q1268" s="6" t="s">
        <v>6254</v>
      </c>
    </row>
    <row r="1269" spans="1:17">
      <c r="A1269" s="6" t="s">
        <v>3199</v>
      </c>
      <c r="B1269" s="6" t="s">
        <v>3199</v>
      </c>
      <c r="C1269" s="6" t="s">
        <v>9870</v>
      </c>
      <c r="D1269" s="6" t="s">
        <v>9871</v>
      </c>
      <c r="E1269" s="6" t="s">
        <v>9871</v>
      </c>
      <c r="F1269" s="6">
        <v>14.3074731185476</v>
      </c>
      <c r="G1269" s="6">
        <v>13.7821706354477</v>
      </c>
      <c r="H1269" s="6">
        <v>14.4976719824525</v>
      </c>
      <c r="I1269" s="6">
        <v>14.4231907109869</v>
      </c>
      <c r="J1269" s="6">
        <v>13.2271774558663</v>
      </c>
      <c r="K1269" s="6">
        <v>13.442663488129201</v>
      </c>
      <c r="L1269" s="6">
        <v>14.9632611468229</v>
      </c>
      <c r="M1269" s="6" t="s">
        <v>6254</v>
      </c>
      <c r="N1269" s="6">
        <v>14.5485395250009</v>
      </c>
      <c r="O1269" s="6">
        <v>14.2383011338777</v>
      </c>
      <c r="P1269" s="6">
        <v>13.9832453075514</v>
      </c>
      <c r="Q1269" s="6" t="s">
        <v>6254</v>
      </c>
    </row>
    <row r="1270" spans="1:17">
      <c r="A1270" s="6" t="s">
        <v>1271</v>
      </c>
      <c r="B1270" s="6" t="s">
        <v>1273</v>
      </c>
      <c r="C1270" s="6" t="s">
        <v>9872</v>
      </c>
      <c r="D1270" s="6" t="s">
        <v>9873</v>
      </c>
      <c r="E1270" s="6" t="s">
        <v>9874</v>
      </c>
      <c r="F1270" s="6">
        <v>14.640655237834499</v>
      </c>
      <c r="G1270" s="6">
        <v>14.3409822886392</v>
      </c>
      <c r="H1270" s="6">
        <v>14.3723722792126</v>
      </c>
      <c r="I1270" s="6">
        <v>13.8631839175595</v>
      </c>
      <c r="J1270" s="6">
        <v>13.6473331199665</v>
      </c>
      <c r="K1270" s="6">
        <v>13.951690401710399</v>
      </c>
      <c r="L1270" s="6">
        <v>14.9135146499409</v>
      </c>
      <c r="M1270" s="6">
        <v>13.180637757702099</v>
      </c>
      <c r="N1270" s="6">
        <v>14.4583398029247</v>
      </c>
      <c r="O1270" s="6">
        <v>15.1987980837329</v>
      </c>
      <c r="P1270" s="6">
        <v>14.520156408124</v>
      </c>
      <c r="Q1270" s="6">
        <v>12.9070744472483</v>
      </c>
    </row>
    <row r="1271" spans="1:17">
      <c r="A1271" s="6" t="s">
        <v>1519</v>
      </c>
      <c r="B1271" s="6" t="s">
        <v>1519</v>
      </c>
      <c r="C1271" s="6" t="s">
        <v>9875</v>
      </c>
      <c r="D1271" s="6" t="s">
        <v>9876</v>
      </c>
      <c r="E1271" s="6" t="s">
        <v>9876</v>
      </c>
      <c r="F1271" s="6">
        <v>13.136424639430199</v>
      </c>
      <c r="G1271" s="6">
        <v>14.595336829889099</v>
      </c>
      <c r="H1271" s="6">
        <v>15.041762941676801</v>
      </c>
      <c r="I1271" s="6">
        <v>14.008638555147501</v>
      </c>
      <c r="J1271" s="6">
        <v>13.7408338714684</v>
      </c>
      <c r="K1271" s="6">
        <v>13.3982475325801</v>
      </c>
      <c r="L1271" s="6">
        <v>13.655184360130001</v>
      </c>
      <c r="M1271" s="6">
        <v>14.3799784147562</v>
      </c>
      <c r="N1271" s="6">
        <v>13.899477863724499</v>
      </c>
      <c r="O1271" s="6">
        <v>14.578062704469099</v>
      </c>
      <c r="P1271" s="6">
        <v>13.6084877861707</v>
      </c>
      <c r="Q1271" s="6">
        <v>14.413278172519799</v>
      </c>
    </row>
    <row r="1272" spans="1:17">
      <c r="A1272" s="6" t="s">
        <v>4443</v>
      </c>
      <c r="B1272" s="6" t="s">
        <v>4445</v>
      </c>
      <c r="C1272" s="6" t="s">
        <v>9877</v>
      </c>
      <c r="D1272" s="6" t="s">
        <v>9878</v>
      </c>
      <c r="E1272" s="6" t="s">
        <v>9879</v>
      </c>
      <c r="F1272" s="6">
        <v>14.7709343939806</v>
      </c>
      <c r="G1272" s="6" t="s">
        <v>6254</v>
      </c>
      <c r="H1272" s="6">
        <v>14.2240333267838</v>
      </c>
      <c r="I1272" s="6">
        <v>14.8885654453243</v>
      </c>
      <c r="J1272" s="6">
        <v>13.2020537358231</v>
      </c>
      <c r="K1272" s="6">
        <v>14.530469167529599</v>
      </c>
      <c r="L1272" s="6">
        <v>14.8993747522233</v>
      </c>
      <c r="M1272" s="6">
        <v>13.1248726743441</v>
      </c>
      <c r="N1272" s="6">
        <v>13.7043185176506</v>
      </c>
      <c r="O1272" s="6">
        <v>14.2633882103303</v>
      </c>
      <c r="P1272" s="6">
        <v>14.360629646074299</v>
      </c>
      <c r="Q1272" s="6" t="s">
        <v>6254</v>
      </c>
    </row>
    <row r="1273" spans="1:17">
      <c r="A1273" s="6" t="s">
        <v>9880</v>
      </c>
      <c r="B1273" s="6" t="s">
        <v>9880</v>
      </c>
      <c r="C1273" s="6" t="s">
        <v>9881</v>
      </c>
      <c r="D1273" s="6" t="s">
        <v>9882</v>
      </c>
      <c r="E1273" s="6" t="s">
        <v>9882</v>
      </c>
      <c r="F1273" s="6" t="s">
        <v>6254</v>
      </c>
      <c r="G1273" s="6">
        <v>14.0715608958398</v>
      </c>
      <c r="H1273" s="6">
        <v>15.072128194881399</v>
      </c>
      <c r="I1273" s="6">
        <v>14.671432534097301</v>
      </c>
      <c r="J1273" s="6" t="s">
        <v>6254</v>
      </c>
      <c r="K1273" s="6">
        <v>13.6852105719185</v>
      </c>
      <c r="L1273" s="6">
        <v>14.395216991964199</v>
      </c>
      <c r="M1273" s="6">
        <v>13.124288443298401</v>
      </c>
      <c r="N1273" s="6">
        <v>13.5958856234816</v>
      </c>
      <c r="O1273" s="6">
        <v>14.0492015614393</v>
      </c>
      <c r="P1273" s="6">
        <v>14.1481463813556</v>
      </c>
      <c r="Q1273" s="6" t="s">
        <v>6254</v>
      </c>
    </row>
    <row r="1274" spans="1:17">
      <c r="A1274" s="6" t="s">
        <v>9883</v>
      </c>
      <c r="B1274" s="6" t="s">
        <v>9883</v>
      </c>
      <c r="C1274" s="6" t="s">
        <v>9884</v>
      </c>
      <c r="D1274" s="6" t="s">
        <v>9885</v>
      </c>
      <c r="E1274" s="6" t="s">
        <v>9885</v>
      </c>
      <c r="F1274" s="6">
        <v>14.3368040502942</v>
      </c>
      <c r="G1274" s="6">
        <v>13.9055216629512</v>
      </c>
      <c r="H1274" s="6">
        <v>14.518126185133401</v>
      </c>
      <c r="I1274" s="6">
        <v>15.2269651758288</v>
      </c>
      <c r="J1274" s="6">
        <v>13.7673000015375</v>
      </c>
      <c r="K1274" s="6">
        <v>13.9255835319765</v>
      </c>
      <c r="L1274" s="6">
        <v>14.6161582148366</v>
      </c>
      <c r="M1274" s="6">
        <v>13.1079806181591</v>
      </c>
      <c r="N1274" s="6">
        <v>13.945098678785699</v>
      </c>
      <c r="O1274" s="6">
        <v>14.5626695926873</v>
      </c>
      <c r="P1274" s="6">
        <v>14.320764169194501</v>
      </c>
      <c r="Q1274" s="6">
        <v>12.8741920955556</v>
      </c>
    </row>
    <row r="1275" spans="1:17">
      <c r="A1275" s="6" t="s">
        <v>4255</v>
      </c>
      <c r="B1275" s="6" t="s">
        <v>4255</v>
      </c>
      <c r="C1275" s="6" t="s">
        <v>9886</v>
      </c>
      <c r="D1275" s="6" t="s">
        <v>9887</v>
      </c>
      <c r="E1275" s="6" t="s">
        <v>9887</v>
      </c>
      <c r="F1275" s="6">
        <v>15.3115309645296</v>
      </c>
      <c r="G1275" s="6">
        <v>14.062249782554501</v>
      </c>
      <c r="H1275" s="6" t="s">
        <v>6254</v>
      </c>
      <c r="I1275" s="6">
        <v>14.4743653408004</v>
      </c>
      <c r="J1275" s="6" t="s">
        <v>6254</v>
      </c>
      <c r="K1275" s="6">
        <v>12.4295125972773</v>
      </c>
      <c r="L1275" s="6">
        <v>15.0385538730057</v>
      </c>
      <c r="M1275" s="6" t="s">
        <v>6254</v>
      </c>
      <c r="N1275" s="6" t="s">
        <v>6254</v>
      </c>
      <c r="O1275" s="6">
        <v>13.6195733428743</v>
      </c>
      <c r="P1275" s="6">
        <v>13.323313613927899</v>
      </c>
      <c r="Q1275" s="6" t="s">
        <v>6254</v>
      </c>
    </row>
    <row r="1276" spans="1:17">
      <c r="A1276" s="6" t="s">
        <v>6007</v>
      </c>
      <c r="B1276" s="6" t="s">
        <v>6007</v>
      </c>
      <c r="C1276" s="6" t="s">
        <v>9888</v>
      </c>
      <c r="D1276" s="6" t="s">
        <v>9889</v>
      </c>
      <c r="E1276" s="6" t="s">
        <v>9889</v>
      </c>
      <c r="F1276" s="6">
        <v>13.656718119607399</v>
      </c>
      <c r="G1276" s="6" t="s">
        <v>6254</v>
      </c>
      <c r="H1276" s="6" t="s">
        <v>6254</v>
      </c>
      <c r="I1276" s="6" t="s">
        <v>6254</v>
      </c>
      <c r="J1276" s="6" t="s">
        <v>6254</v>
      </c>
      <c r="K1276" s="6" t="s">
        <v>6254</v>
      </c>
      <c r="L1276" s="6" t="s">
        <v>6254</v>
      </c>
      <c r="M1276" s="6" t="s">
        <v>6254</v>
      </c>
      <c r="N1276" s="6" t="s">
        <v>6254</v>
      </c>
      <c r="O1276" s="6" t="s">
        <v>6254</v>
      </c>
      <c r="P1276" s="6" t="s">
        <v>6254</v>
      </c>
      <c r="Q1276" s="6" t="s">
        <v>6254</v>
      </c>
    </row>
    <row r="1277" spans="1:17">
      <c r="A1277" s="6" t="s">
        <v>3306</v>
      </c>
      <c r="B1277" s="6" t="s">
        <v>3306</v>
      </c>
      <c r="C1277" s="6" t="s">
        <v>9890</v>
      </c>
      <c r="D1277" s="6" t="s">
        <v>9891</v>
      </c>
      <c r="E1277" s="6" t="s">
        <v>9891</v>
      </c>
      <c r="F1277" s="6">
        <v>14.309736218351</v>
      </c>
      <c r="G1277" s="6">
        <v>13.927762708822801</v>
      </c>
      <c r="H1277" s="6">
        <v>14.885339952620701</v>
      </c>
      <c r="I1277" s="6">
        <v>14.821522680952</v>
      </c>
      <c r="J1277" s="6">
        <v>13.563910686597</v>
      </c>
      <c r="K1277" s="6">
        <v>14.154611671175299</v>
      </c>
      <c r="L1277" s="6">
        <v>14.852158270751501</v>
      </c>
      <c r="M1277" s="6">
        <v>12.986307517071101</v>
      </c>
      <c r="N1277" s="6">
        <v>13.822993417924501</v>
      </c>
      <c r="O1277" s="6">
        <v>13.9219486808288</v>
      </c>
      <c r="P1277" s="6">
        <v>13.4155934734561</v>
      </c>
      <c r="Q1277" s="6" t="s">
        <v>6254</v>
      </c>
    </row>
    <row r="1278" spans="1:17">
      <c r="A1278" s="6" t="s">
        <v>9892</v>
      </c>
      <c r="B1278" s="6" t="s">
        <v>9893</v>
      </c>
      <c r="C1278" s="6" t="s">
        <v>9894</v>
      </c>
      <c r="D1278" s="6" t="s">
        <v>9895</v>
      </c>
      <c r="E1278" s="6" t="s">
        <v>9896</v>
      </c>
      <c r="F1278" s="6">
        <v>14.7244324649213</v>
      </c>
      <c r="G1278" s="6">
        <v>14.2350363832869</v>
      </c>
      <c r="H1278" s="6">
        <v>14.173706215404501</v>
      </c>
      <c r="I1278" s="6">
        <v>14.926435598428601</v>
      </c>
      <c r="J1278" s="6">
        <v>13.3438495865259</v>
      </c>
      <c r="K1278" s="6">
        <v>14.0239513631445</v>
      </c>
      <c r="L1278" s="6">
        <v>14.6766843962653</v>
      </c>
      <c r="M1278" s="6">
        <v>13.2834077045766</v>
      </c>
      <c r="N1278" s="6">
        <v>14.0807408285868</v>
      </c>
      <c r="O1278" s="6">
        <v>14.6169722995995</v>
      </c>
      <c r="P1278" s="6">
        <v>14.407628512212501</v>
      </c>
      <c r="Q1278" s="6">
        <v>12.4969204162379</v>
      </c>
    </row>
    <row r="1279" spans="1:17">
      <c r="A1279" s="6" t="s">
        <v>3769</v>
      </c>
      <c r="B1279" s="6" t="s">
        <v>3771</v>
      </c>
      <c r="C1279" s="6" t="s">
        <v>9897</v>
      </c>
      <c r="D1279" s="6" t="s">
        <v>9898</v>
      </c>
      <c r="E1279" s="6" t="s">
        <v>9899</v>
      </c>
      <c r="F1279" s="6">
        <v>14.740939285768301</v>
      </c>
      <c r="G1279" s="6">
        <v>13.967431400241001</v>
      </c>
      <c r="H1279" s="6">
        <v>14.573923735608499</v>
      </c>
      <c r="I1279" s="6">
        <v>15.009948797675399</v>
      </c>
      <c r="J1279" s="6">
        <v>13.423544676043599</v>
      </c>
      <c r="K1279" s="6">
        <v>13.800396784431801</v>
      </c>
      <c r="L1279" s="6">
        <v>14.4018003386924</v>
      </c>
      <c r="M1279" s="6">
        <v>13.532196682514501</v>
      </c>
      <c r="N1279" s="6">
        <v>14.0350368434527</v>
      </c>
      <c r="O1279" s="6">
        <v>14.648451212638101</v>
      </c>
      <c r="P1279" s="6">
        <v>14.3508478461158</v>
      </c>
      <c r="Q1279" s="6">
        <v>12.7465855988592</v>
      </c>
    </row>
    <row r="1280" spans="1:17">
      <c r="A1280" s="6" t="s">
        <v>9900</v>
      </c>
      <c r="B1280" s="6" t="s">
        <v>9901</v>
      </c>
      <c r="C1280" s="6" t="s">
        <v>9902</v>
      </c>
      <c r="D1280" s="6" t="s">
        <v>9903</v>
      </c>
      <c r="E1280" s="6" t="s">
        <v>9904</v>
      </c>
      <c r="F1280" s="6">
        <v>14.4944680045841</v>
      </c>
      <c r="G1280" s="6">
        <v>14.1618303635187</v>
      </c>
      <c r="H1280" s="6">
        <v>14.286761990219899</v>
      </c>
      <c r="I1280" s="6">
        <v>14.8628803840649</v>
      </c>
      <c r="J1280" s="6">
        <v>13.3183849077042</v>
      </c>
      <c r="K1280" s="6">
        <v>14.4194286814066</v>
      </c>
      <c r="L1280" s="6">
        <v>14.914951636461801</v>
      </c>
      <c r="M1280" s="6">
        <v>12.7003196350321</v>
      </c>
      <c r="N1280" s="6">
        <v>13.477613034062299</v>
      </c>
      <c r="O1280" s="6">
        <v>14.635540366075601</v>
      </c>
      <c r="P1280" s="6">
        <v>14.6236283949933</v>
      </c>
      <c r="Q1280" s="6">
        <v>13.069672895078201</v>
      </c>
    </row>
    <row r="1281" spans="1:17">
      <c r="A1281" s="6" t="s">
        <v>9905</v>
      </c>
      <c r="B1281" s="6" t="s">
        <v>9906</v>
      </c>
      <c r="C1281" s="6" t="s">
        <v>9907</v>
      </c>
      <c r="D1281" s="6" t="s">
        <v>9908</v>
      </c>
      <c r="E1281" s="6" t="s">
        <v>9909</v>
      </c>
      <c r="F1281" s="6">
        <v>15.087867308936399</v>
      </c>
      <c r="G1281" s="6">
        <v>13.802028541099499</v>
      </c>
      <c r="H1281" s="6">
        <v>14.4319779119855</v>
      </c>
      <c r="I1281" s="6">
        <v>14.645626261483599</v>
      </c>
      <c r="J1281" s="6">
        <v>14.1194702754554</v>
      </c>
      <c r="K1281" s="6">
        <v>14.6032937685754</v>
      </c>
      <c r="L1281" s="6">
        <v>14.754547198334899</v>
      </c>
      <c r="M1281" s="6">
        <v>14.0007386398877</v>
      </c>
      <c r="N1281" s="6">
        <v>14.2788616751728</v>
      </c>
      <c r="O1281" s="6">
        <v>13.592602887335</v>
      </c>
      <c r="P1281" s="6">
        <v>14.022117344947199</v>
      </c>
      <c r="Q1281" s="6">
        <v>12.939012304706599</v>
      </c>
    </row>
    <row r="1282" spans="1:17">
      <c r="A1282" s="6" t="s">
        <v>9910</v>
      </c>
      <c r="B1282" s="6" t="s">
        <v>9911</v>
      </c>
      <c r="C1282" s="6" t="s">
        <v>9912</v>
      </c>
      <c r="D1282" s="6" t="s">
        <v>9913</v>
      </c>
      <c r="E1282" s="6" t="s">
        <v>9914</v>
      </c>
      <c r="F1282" s="6">
        <v>14.2407160509372</v>
      </c>
      <c r="G1282" s="6">
        <v>13.8667183870947</v>
      </c>
      <c r="H1282" s="6">
        <v>14.1783397488398</v>
      </c>
      <c r="I1282" s="6">
        <v>14.525121297616799</v>
      </c>
      <c r="J1282" s="6">
        <v>13.518967430686001</v>
      </c>
      <c r="K1282" s="6">
        <v>14.196181099234201</v>
      </c>
      <c r="L1282" s="6">
        <v>14.966758779791</v>
      </c>
      <c r="M1282" s="6" t="s">
        <v>6254</v>
      </c>
      <c r="N1282" s="6" t="s">
        <v>6254</v>
      </c>
      <c r="O1282" s="6">
        <v>14.347738125439401</v>
      </c>
      <c r="P1282" s="6">
        <v>14.5441984055768</v>
      </c>
      <c r="Q1282" s="6">
        <v>13.294695295236201</v>
      </c>
    </row>
    <row r="1283" spans="1:17">
      <c r="A1283" s="6" t="s">
        <v>9915</v>
      </c>
      <c r="B1283" s="6" t="s">
        <v>9916</v>
      </c>
      <c r="C1283" s="6" t="s">
        <v>9917</v>
      </c>
      <c r="D1283" s="6" t="s">
        <v>9918</v>
      </c>
      <c r="E1283" s="6" t="s">
        <v>9919</v>
      </c>
      <c r="F1283" s="6">
        <v>14.4530142076371</v>
      </c>
      <c r="G1283" s="6">
        <v>13.4153567937889</v>
      </c>
      <c r="H1283" s="6">
        <v>13.918126446564299</v>
      </c>
      <c r="I1283" s="6">
        <v>14.800018091464599</v>
      </c>
      <c r="J1283" s="6">
        <v>13.811480992252999</v>
      </c>
      <c r="K1283" s="6">
        <v>14.1208641992024</v>
      </c>
      <c r="L1283" s="6">
        <v>14.423328487102401</v>
      </c>
      <c r="M1283" s="6">
        <v>13.470587408955399</v>
      </c>
      <c r="N1283" s="6" t="s">
        <v>6254</v>
      </c>
      <c r="O1283" s="6">
        <v>14.329625581481199</v>
      </c>
      <c r="P1283" s="6">
        <v>14.666983261525701</v>
      </c>
      <c r="Q1283" s="6">
        <v>13.091317380125799</v>
      </c>
    </row>
    <row r="1284" spans="1:17">
      <c r="A1284" s="6" t="s">
        <v>9920</v>
      </c>
      <c r="B1284" s="6" t="s">
        <v>9921</v>
      </c>
      <c r="C1284" s="6" t="s">
        <v>9922</v>
      </c>
      <c r="D1284" s="6" t="s">
        <v>9923</v>
      </c>
      <c r="E1284" s="6" t="s">
        <v>9924</v>
      </c>
      <c r="F1284" s="6">
        <v>14.576305121372</v>
      </c>
      <c r="G1284" s="6">
        <v>14.2379038149074</v>
      </c>
      <c r="H1284" s="6">
        <v>13.8776479341875</v>
      </c>
      <c r="I1284" s="6">
        <v>14.880290988918</v>
      </c>
      <c r="J1284" s="6">
        <v>13.586452025556</v>
      </c>
      <c r="K1284" s="6">
        <v>14.2356011221143</v>
      </c>
      <c r="L1284" s="6">
        <v>14.7936320198475</v>
      </c>
      <c r="M1284" s="6">
        <v>13.3325103951759</v>
      </c>
      <c r="N1284" s="6">
        <v>13.6367349722867</v>
      </c>
      <c r="O1284" s="6">
        <v>14.24063814859</v>
      </c>
      <c r="P1284" s="6">
        <v>14.531204901096199</v>
      </c>
      <c r="Q1284" s="6">
        <v>13.084993845251599</v>
      </c>
    </row>
    <row r="1285" spans="1:17">
      <c r="A1285" s="6" t="s">
        <v>1148</v>
      </c>
      <c r="B1285" s="6" t="s">
        <v>1148</v>
      </c>
      <c r="C1285" s="6" t="s">
        <v>9925</v>
      </c>
      <c r="D1285" s="6" t="s">
        <v>9926</v>
      </c>
      <c r="E1285" s="6" t="s">
        <v>9926</v>
      </c>
      <c r="F1285" s="6">
        <v>14.775199321953</v>
      </c>
      <c r="G1285" s="6">
        <v>14.050292518785</v>
      </c>
      <c r="H1285" s="6">
        <v>14.293882961299101</v>
      </c>
      <c r="I1285" s="6">
        <v>14.7246515955683</v>
      </c>
      <c r="J1285" s="6">
        <v>13.497770865781201</v>
      </c>
      <c r="K1285" s="6">
        <v>14.073368408951399</v>
      </c>
      <c r="L1285" s="6">
        <v>14.689559941520301</v>
      </c>
      <c r="M1285" s="6">
        <v>13.3827776149492</v>
      </c>
      <c r="N1285" s="6">
        <v>13.7105906188588</v>
      </c>
      <c r="O1285" s="6">
        <v>14.404221334784699</v>
      </c>
      <c r="P1285" s="6">
        <v>14.588404148838499</v>
      </c>
      <c r="Q1285" s="6">
        <v>13.0160272738014</v>
      </c>
    </row>
    <row r="1286" spans="1:17">
      <c r="A1286" s="6" t="s">
        <v>3515</v>
      </c>
      <c r="B1286" s="6" t="s">
        <v>3515</v>
      </c>
      <c r="C1286" s="6" t="s">
        <v>9927</v>
      </c>
      <c r="D1286" s="6" t="s">
        <v>9928</v>
      </c>
      <c r="E1286" s="6" t="s">
        <v>9928</v>
      </c>
      <c r="F1286" s="6">
        <v>14.8182617197299</v>
      </c>
      <c r="G1286" s="6">
        <v>13.809435962024899</v>
      </c>
      <c r="H1286" s="6">
        <v>13.943916447339699</v>
      </c>
      <c r="I1286" s="6">
        <v>14.659445565244701</v>
      </c>
      <c r="J1286" s="6" t="s">
        <v>6254</v>
      </c>
      <c r="K1286" s="6">
        <v>14.3208804148437</v>
      </c>
      <c r="L1286" s="6">
        <v>14.8158430153825</v>
      </c>
      <c r="M1286" s="6" t="s">
        <v>6254</v>
      </c>
      <c r="N1286" s="6">
        <v>13.9046493334675</v>
      </c>
      <c r="O1286" s="6">
        <v>14.615863213966</v>
      </c>
      <c r="P1286" s="6">
        <v>14.191202452438199</v>
      </c>
      <c r="Q1286" s="6" t="s">
        <v>6254</v>
      </c>
    </row>
    <row r="1287" spans="1:17">
      <c r="A1287" s="6" t="s">
        <v>9929</v>
      </c>
      <c r="B1287" s="6" t="s">
        <v>9930</v>
      </c>
      <c r="C1287" s="6" t="s">
        <v>9931</v>
      </c>
      <c r="D1287" s="6" t="s">
        <v>9932</v>
      </c>
      <c r="E1287" s="6" t="s">
        <v>9933</v>
      </c>
      <c r="F1287" s="6">
        <v>13.9475091899613</v>
      </c>
      <c r="G1287" s="6">
        <v>13.958360750771799</v>
      </c>
      <c r="H1287" s="6">
        <v>14.455232129690501</v>
      </c>
      <c r="I1287" s="6">
        <v>14.7331067382936</v>
      </c>
      <c r="J1287" s="6">
        <v>13.8009143197516</v>
      </c>
      <c r="K1287" s="6">
        <v>14.376840597566099</v>
      </c>
      <c r="L1287" s="6">
        <v>14.6296512681915</v>
      </c>
      <c r="M1287" s="6">
        <v>13.892295000491499</v>
      </c>
      <c r="N1287" s="6">
        <v>13.8053468678904</v>
      </c>
      <c r="O1287" s="6">
        <v>14.074129451269201</v>
      </c>
      <c r="P1287" s="6">
        <v>14.561584410758099</v>
      </c>
      <c r="Q1287" s="6" t="s">
        <v>6254</v>
      </c>
    </row>
    <row r="1288" spans="1:17">
      <c r="A1288" s="6" t="s">
        <v>9934</v>
      </c>
      <c r="B1288" s="6" t="s">
        <v>9935</v>
      </c>
      <c r="C1288" s="6" t="s">
        <v>9936</v>
      </c>
      <c r="D1288" s="6" t="s">
        <v>9937</v>
      </c>
      <c r="E1288" s="6" t="s">
        <v>9938</v>
      </c>
      <c r="F1288" s="6">
        <v>14.000669903709399</v>
      </c>
      <c r="G1288" s="6">
        <v>13.6679788704239</v>
      </c>
      <c r="H1288" s="6" t="s">
        <v>6254</v>
      </c>
      <c r="I1288" s="6">
        <v>14.5982248229795</v>
      </c>
      <c r="J1288" s="6">
        <v>12.676490646952301</v>
      </c>
      <c r="K1288" s="6" t="s">
        <v>6254</v>
      </c>
      <c r="L1288" s="6">
        <v>14.855099609051001</v>
      </c>
      <c r="M1288" s="6" t="s">
        <v>6254</v>
      </c>
      <c r="N1288" s="6" t="s">
        <v>6254</v>
      </c>
      <c r="O1288" s="6" t="s">
        <v>6254</v>
      </c>
      <c r="P1288" s="6">
        <v>14.6817471759728</v>
      </c>
      <c r="Q1288" s="6" t="s">
        <v>6254</v>
      </c>
    </row>
    <row r="1289" spans="1:17">
      <c r="A1289" s="6" t="s">
        <v>3590</v>
      </c>
      <c r="B1289" s="6" t="s">
        <v>3590</v>
      </c>
      <c r="C1289" s="6" t="s">
        <v>9939</v>
      </c>
      <c r="D1289" s="6" t="s">
        <v>9940</v>
      </c>
      <c r="E1289" s="6" t="s">
        <v>9940</v>
      </c>
      <c r="F1289" s="6">
        <v>14.754261510560999</v>
      </c>
      <c r="G1289" s="6" t="s">
        <v>6254</v>
      </c>
      <c r="H1289" s="6">
        <v>14.315521180881801</v>
      </c>
      <c r="I1289" s="6">
        <v>14.8565351392451</v>
      </c>
      <c r="J1289" s="6">
        <v>13.3459839881482</v>
      </c>
      <c r="K1289" s="6">
        <v>13.865360580745</v>
      </c>
      <c r="L1289" s="6">
        <v>14.808522574755401</v>
      </c>
      <c r="M1289" s="6">
        <v>13.2734363467173</v>
      </c>
      <c r="N1289" s="6">
        <v>13.402510630460201</v>
      </c>
      <c r="O1289" s="6">
        <v>14.7578693322973</v>
      </c>
      <c r="P1289" s="6" t="s">
        <v>6254</v>
      </c>
      <c r="Q1289" s="6" t="s">
        <v>6254</v>
      </c>
    </row>
    <row r="1290" spans="1:17">
      <c r="A1290" s="6" t="s">
        <v>9941</v>
      </c>
      <c r="B1290" s="6" t="s">
        <v>9942</v>
      </c>
      <c r="C1290" s="6" t="s">
        <v>9943</v>
      </c>
      <c r="D1290" s="6" t="s">
        <v>9944</v>
      </c>
      <c r="E1290" s="6" t="s">
        <v>9945</v>
      </c>
      <c r="F1290" s="6">
        <v>14.495885898788501</v>
      </c>
      <c r="G1290" s="6">
        <v>14.0862996199237</v>
      </c>
      <c r="H1290" s="6">
        <v>14.2253759383205</v>
      </c>
      <c r="I1290" s="6">
        <v>14.864104731537701</v>
      </c>
      <c r="J1290" s="6">
        <v>13.3718163938938</v>
      </c>
      <c r="K1290" s="6">
        <v>14.5263619255633</v>
      </c>
      <c r="L1290" s="6">
        <v>14.673717629684599</v>
      </c>
      <c r="M1290" s="6" t="s">
        <v>6254</v>
      </c>
      <c r="N1290" s="6">
        <v>13.988017215757299</v>
      </c>
      <c r="O1290" s="6">
        <v>14.4999089522051</v>
      </c>
      <c r="P1290" s="6">
        <v>14.2046241140446</v>
      </c>
      <c r="Q1290" s="6">
        <v>13.025868528462301</v>
      </c>
    </row>
    <row r="1291" spans="1:17">
      <c r="A1291" s="6" t="s">
        <v>1922</v>
      </c>
      <c r="B1291" s="6" t="s">
        <v>1922</v>
      </c>
      <c r="C1291" s="6" t="s">
        <v>9946</v>
      </c>
      <c r="D1291" s="6" t="s">
        <v>9947</v>
      </c>
      <c r="E1291" s="6" t="s">
        <v>9947</v>
      </c>
      <c r="F1291" s="6">
        <v>14.3903560903101</v>
      </c>
      <c r="G1291" s="6">
        <v>14.1264532282002</v>
      </c>
      <c r="H1291" s="6">
        <v>14.245574730640699</v>
      </c>
      <c r="I1291" s="6">
        <v>14.8570692271296</v>
      </c>
      <c r="J1291" s="6">
        <v>13.3445615750821</v>
      </c>
      <c r="K1291" s="6">
        <v>14.2069470023555</v>
      </c>
      <c r="L1291" s="6">
        <v>14.0240109044337</v>
      </c>
      <c r="M1291" s="6">
        <v>13.720817640703601</v>
      </c>
      <c r="N1291" s="6">
        <v>14.580080931175999</v>
      </c>
      <c r="O1291" s="6">
        <v>13.0964196107799</v>
      </c>
      <c r="P1291" s="6">
        <v>13.950884563986</v>
      </c>
      <c r="Q1291" s="6">
        <v>12.7000053917609</v>
      </c>
    </row>
    <row r="1292" spans="1:17">
      <c r="A1292" s="6" t="s">
        <v>9948</v>
      </c>
      <c r="B1292" s="6" t="s">
        <v>9949</v>
      </c>
      <c r="C1292" s="6" t="s">
        <v>9950</v>
      </c>
      <c r="D1292" s="6" t="s">
        <v>9951</v>
      </c>
      <c r="E1292" s="6" t="s">
        <v>9952</v>
      </c>
      <c r="F1292" s="6">
        <v>14.020234174839601</v>
      </c>
      <c r="G1292" s="6">
        <v>14.4249057823365</v>
      </c>
      <c r="H1292" s="6">
        <v>13.2002873187436</v>
      </c>
      <c r="I1292" s="6">
        <v>14.236413548252299</v>
      </c>
      <c r="J1292" s="6">
        <v>12.850094143845</v>
      </c>
      <c r="K1292" s="6">
        <v>14.2388788442933</v>
      </c>
      <c r="L1292" s="6">
        <v>14.3619517095175</v>
      </c>
      <c r="M1292" s="6">
        <v>13.670549448465399</v>
      </c>
      <c r="N1292" s="6">
        <v>13.952639246704599</v>
      </c>
      <c r="O1292" s="6">
        <v>14.616413978931501</v>
      </c>
      <c r="P1292" s="6">
        <v>15.0965723202034</v>
      </c>
      <c r="Q1292" s="6" t="s">
        <v>6254</v>
      </c>
    </row>
    <row r="1293" spans="1:17">
      <c r="A1293" s="6" t="s">
        <v>9953</v>
      </c>
      <c r="B1293" s="6" t="s">
        <v>9953</v>
      </c>
      <c r="C1293" s="6" t="s">
        <v>9954</v>
      </c>
      <c r="D1293" s="6" t="s">
        <v>6601</v>
      </c>
      <c r="E1293" s="6" t="s">
        <v>6601</v>
      </c>
      <c r="F1293" s="6">
        <v>14.079270571575501</v>
      </c>
      <c r="G1293" s="6">
        <v>14.2828721314271</v>
      </c>
      <c r="H1293" s="6">
        <v>14.334370620844901</v>
      </c>
      <c r="I1293" s="6">
        <v>14.6920747773749</v>
      </c>
      <c r="J1293" s="6">
        <v>13.5235688100343</v>
      </c>
      <c r="K1293" s="6">
        <v>13.945280535488701</v>
      </c>
      <c r="L1293" s="6">
        <v>14.0420417356182</v>
      </c>
      <c r="M1293" s="6">
        <v>13.885066376679999</v>
      </c>
      <c r="N1293" s="6" t="s">
        <v>6254</v>
      </c>
      <c r="O1293" s="6">
        <v>14.8315270747618</v>
      </c>
      <c r="P1293" s="6">
        <v>14.538990894375701</v>
      </c>
      <c r="Q1293" s="6" t="s">
        <v>6254</v>
      </c>
    </row>
    <row r="1294" spans="1:17">
      <c r="A1294" s="6" t="s">
        <v>9955</v>
      </c>
      <c r="B1294" s="6" t="s">
        <v>4765</v>
      </c>
      <c r="C1294" s="6" t="s">
        <v>9956</v>
      </c>
      <c r="D1294" s="6" t="s">
        <v>9957</v>
      </c>
      <c r="E1294" s="6" t="s">
        <v>9958</v>
      </c>
      <c r="F1294" s="6">
        <v>13.352028030021801</v>
      </c>
      <c r="G1294" s="6">
        <v>14.3673283503256</v>
      </c>
      <c r="H1294" s="6">
        <v>14.064092748060901</v>
      </c>
      <c r="I1294" s="6">
        <v>14.3738427294104</v>
      </c>
      <c r="J1294" s="6" t="s">
        <v>6254</v>
      </c>
      <c r="K1294" s="6">
        <v>13.9970408725071</v>
      </c>
      <c r="L1294" s="6">
        <v>14.398757296601801</v>
      </c>
      <c r="M1294" s="6" t="s">
        <v>6254</v>
      </c>
      <c r="N1294" s="6" t="s">
        <v>6254</v>
      </c>
      <c r="O1294" s="6">
        <v>14.302646526241499</v>
      </c>
      <c r="P1294" s="6" t="s">
        <v>6254</v>
      </c>
      <c r="Q1294" s="6" t="s">
        <v>6254</v>
      </c>
    </row>
    <row r="1295" spans="1:17">
      <c r="A1295" s="6" t="s">
        <v>4137</v>
      </c>
      <c r="B1295" s="6" t="s">
        <v>4137</v>
      </c>
      <c r="C1295" s="6" t="s">
        <v>9959</v>
      </c>
      <c r="D1295" s="6" t="s">
        <v>9960</v>
      </c>
      <c r="E1295" s="6" t="s">
        <v>9960</v>
      </c>
      <c r="F1295" s="6">
        <v>14.665662336547101</v>
      </c>
      <c r="G1295" s="6" t="s">
        <v>6254</v>
      </c>
      <c r="H1295" s="6">
        <v>13.3510751001867</v>
      </c>
      <c r="I1295" s="6">
        <v>14.8028959044681</v>
      </c>
      <c r="J1295" s="6" t="s">
        <v>6254</v>
      </c>
      <c r="K1295" s="6">
        <v>14.050852911221799</v>
      </c>
      <c r="L1295" s="6">
        <v>14.1692718163011</v>
      </c>
      <c r="M1295" s="6" t="s">
        <v>6254</v>
      </c>
      <c r="N1295" s="6" t="s">
        <v>6254</v>
      </c>
      <c r="O1295" s="6" t="s">
        <v>6254</v>
      </c>
      <c r="P1295" s="6">
        <v>14.287353201308999</v>
      </c>
      <c r="Q1295" s="6" t="s">
        <v>6254</v>
      </c>
    </row>
    <row r="1296" spans="1:17">
      <c r="A1296" s="6" t="s">
        <v>9961</v>
      </c>
      <c r="B1296" s="6" t="s">
        <v>9962</v>
      </c>
      <c r="C1296" s="6" t="s">
        <v>9963</v>
      </c>
      <c r="D1296" s="6" t="s">
        <v>9964</v>
      </c>
      <c r="E1296" s="6" t="s">
        <v>9965</v>
      </c>
      <c r="F1296" s="6" t="s">
        <v>6254</v>
      </c>
      <c r="G1296" s="6" t="s">
        <v>6254</v>
      </c>
      <c r="H1296" s="6" t="s">
        <v>6254</v>
      </c>
      <c r="I1296" s="6">
        <v>15.1607506613789</v>
      </c>
      <c r="J1296" s="6" t="s">
        <v>6254</v>
      </c>
      <c r="K1296" s="6">
        <v>14.4076842582087</v>
      </c>
      <c r="L1296" s="6">
        <v>15.249687635049099</v>
      </c>
      <c r="M1296" s="6" t="s">
        <v>6254</v>
      </c>
      <c r="N1296" s="6" t="s">
        <v>6254</v>
      </c>
      <c r="O1296" s="6">
        <v>13.5729808409877</v>
      </c>
      <c r="P1296" s="6">
        <v>13.596013360868801</v>
      </c>
      <c r="Q1296" s="6" t="s">
        <v>6254</v>
      </c>
    </row>
    <row r="1297" spans="1:17">
      <c r="A1297" s="6" t="s">
        <v>2825</v>
      </c>
      <c r="B1297" s="6" t="s">
        <v>2825</v>
      </c>
      <c r="C1297" s="6" t="s">
        <v>9966</v>
      </c>
      <c r="D1297" s="6" t="s">
        <v>9967</v>
      </c>
      <c r="E1297" s="6" t="s">
        <v>9967</v>
      </c>
      <c r="F1297" s="6">
        <v>14.7542294277618</v>
      </c>
      <c r="G1297" s="6">
        <v>14.213325603300699</v>
      </c>
      <c r="H1297" s="6">
        <v>14.252045305373199</v>
      </c>
      <c r="I1297" s="6">
        <v>14.975231672362501</v>
      </c>
      <c r="J1297" s="6">
        <v>13.637502002817101</v>
      </c>
      <c r="K1297" s="6">
        <v>14.058185286952201</v>
      </c>
      <c r="L1297" s="6">
        <v>14.7233351549294</v>
      </c>
      <c r="M1297" s="6">
        <v>13.199247409137</v>
      </c>
      <c r="N1297" s="6">
        <v>13.5136084205845</v>
      </c>
      <c r="O1297" s="6">
        <v>14.661983119951801</v>
      </c>
      <c r="P1297" s="6">
        <v>14.5859582595132</v>
      </c>
      <c r="Q1297" s="6">
        <v>13.1874195473535</v>
      </c>
    </row>
    <row r="1298" spans="1:17">
      <c r="A1298" s="6" t="s">
        <v>9968</v>
      </c>
      <c r="B1298" s="6" t="s">
        <v>9969</v>
      </c>
      <c r="C1298" s="6" t="s">
        <v>9970</v>
      </c>
      <c r="D1298" s="6" t="s">
        <v>9971</v>
      </c>
      <c r="E1298" s="6" t="s">
        <v>9972</v>
      </c>
      <c r="F1298" s="6">
        <v>14.7035600634935</v>
      </c>
      <c r="G1298" s="6">
        <v>13.9916313393511</v>
      </c>
      <c r="H1298" s="6">
        <v>14.420755377177599</v>
      </c>
      <c r="I1298" s="6">
        <v>14.8736294556657</v>
      </c>
      <c r="J1298" s="6">
        <v>13.256337225805799</v>
      </c>
      <c r="K1298" s="6">
        <v>14.2965652979799</v>
      </c>
      <c r="L1298" s="6">
        <v>14.679729993903599</v>
      </c>
      <c r="M1298" s="6">
        <v>12.907392525511201</v>
      </c>
      <c r="N1298" s="6">
        <v>13.4927420071767</v>
      </c>
      <c r="O1298" s="6">
        <v>14.3568957232975</v>
      </c>
      <c r="P1298" s="6">
        <v>14.715054452970501</v>
      </c>
      <c r="Q1298" s="6" t="s">
        <v>6254</v>
      </c>
    </row>
    <row r="1299" spans="1:17">
      <c r="A1299" s="6" t="s">
        <v>2787</v>
      </c>
      <c r="B1299" s="6" t="s">
        <v>2787</v>
      </c>
      <c r="C1299" s="6" t="s">
        <v>9973</v>
      </c>
      <c r="D1299" s="6" t="s">
        <v>9974</v>
      </c>
      <c r="E1299" s="6" t="s">
        <v>9974</v>
      </c>
      <c r="F1299" s="6">
        <v>14.222836773980401</v>
      </c>
      <c r="G1299" s="6">
        <v>14.1586417334565</v>
      </c>
      <c r="H1299" s="6">
        <v>14.3456945372811</v>
      </c>
      <c r="I1299" s="6">
        <v>15.0846583227815</v>
      </c>
      <c r="J1299" s="6">
        <v>13.3339515525594</v>
      </c>
      <c r="K1299" s="6">
        <v>14.105563957060699</v>
      </c>
      <c r="L1299" s="6">
        <v>14.654075928680101</v>
      </c>
      <c r="M1299" s="6">
        <v>13.595691998381101</v>
      </c>
      <c r="N1299" s="6">
        <v>13.829682643343</v>
      </c>
      <c r="O1299" s="6">
        <v>14.523029623725</v>
      </c>
      <c r="P1299" s="6">
        <v>14.3582356819013</v>
      </c>
      <c r="Q1299" s="6">
        <v>12.303147404915199</v>
      </c>
    </row>
    <row r="1300" spans="1:17">
      <c r="A1300" s="6" t="s">
        <v>9975</v>
      </c>
      <c r="B1300" s="6" t="s">
        <v>9975</v>
      </c>
      <c r="C1300" s="6" t="s">
        <v>9976</v>
      </c>
      <c r="D1300" s="6" t="s">
        <v>9977</v>
      </c>
      <c r="E1300" s="6" t="s">
        <v>9977</v>
      </c>
      <c r="F1300" s="6">
        <v>14.2829793129854</v>
      </c>
      <c r="G1300" s="6">
        <v>13.9186922100641</v>
      </c>
      <c r="H1300" s="6">
        <v>13.8765520457944</v>
      </c>
      <c r="I1300" s="6">
        <v>15.245886515698899</v>
      </c>
      <c r="J1300" s="6" t="s">
        <v>6254</v>
      </c>
      <c r="K1300" s="6" t="s">
        <v>6254</v>
      </c>
      <c r="L1300" s="6">
        <v>14.870285666077899</v>
      </c>
      <c r="M1300" s="6">
        <v>12.408729738003601</v>
      </c>
      <c r="N1300" s="6">
        <v>13.2662710893865</v>
      </c>
      <c r="O1300" s="6">
        <v>14.5839144465399</v>
      </c>
      <c r="P1300" s="6">
        <v>14.594425713619501</v>
      </c>
      <c r="Q1300" s="6" t="s">
        <v>6254</v>
      </c>
    </row>
    <row r="1301" spans="1:17">
      <c r="A1301" s="6" t="s">
        <v>9978</v>
      </c>
      <c r="B1301" s="6" t="s">
        <v>9978</v>
      </c>
      <c r="C1301" s="6" t="s">
        <v>9979</v>
      </c>
      <c r="D1301" s="6" t="s">
        <v>9980</v>
      </c>
      <c r="E1301" s="6" t="s">
        <v>9980</v>
      </c>
      <c r="F1301" s="6">
        <v>14.528703001452801</v>
      </c>
      <c r="G1301" s="6">
        <v>14.1304410699987</v>
      </c>
      <c r="H1301" s="6">
        <v>13.4632434083862</v>
      </c>
      <c r="I1301" s="6">
        <v>15.1070803325886</v>
      </c>
      <c r="J1301" s="6">
        <v>13.500039290483601</v>
      </c>
      <c r="K1301" s="6">
        <v>14.3200868138966</v>
      </c>
      <c r="L1301" s="6">
        <v>14.564253231455099</v>
      </c>
      <c r="M1301" s="6">
        <v>13.005428670538199</v>
      </c>
      <c r="N1301" s="6">
        <v>13.5061778543029</v>
      </c>
      <c r="O1301" s="6">
        <v>14.4570187813794</v>
      </c>
      <c r="P1301" s="6">
        <v>14.294828546408899</v>
      </c>
      <c r="Q1301" s="6" t="s">
        <v>6254</v>
      </c>
    </row>
    <row r="1302" spans="1:17">
      <c r="A1302" s="6" t="s">
        <v>9981</v>
      </c>
      <c r="B1302" s="6" t="s">
        <v>9981</v>
      </c>
      <c r="C1302" s="6" t="s">
        <v>9982</v>
      </c>
      <c r="D1302" s="6" t="s">
        <v>9983</v>
      </c>
      <c r="E1302" s="6" t="s">
        <v>9983</v>
      </c>
      <c r="F1302" s="6" t="s">
        <v>6254</v>
      </c>
      <c r="G1302" s="6" t="s">
        <v>6254</v>
      </c>
      <c r="H1302" s="6" t="s">
        <v>6254</v>
      </c>
      <c r="I1302" s="6">
        <v>14.611234230267501</v>
      </c>
      <c r="J1302" s="6" t="s">
        <v>6254</v>
      </c>
      <c r="K1302" s="6" t="s">
        <v>6254</v>
      </c>
      <c r="L1302" s="6">
        <v>14.6169693315728</v>
      </c>
      <c r="M1302" s="6" t="s">
        <v>6254</v>
      </c>
      <c r="N1302" s="6">
        <v>14.6660881823493</v>
      </c>
      <c r="O1302" s="6">
        <v>13.6089489286689</v>
      </c>
      <c r="P1302" s="6" t="s">
        <v>6254</v>
      </c>
      <c r="Q1302" s="6" t="s">
        <v>6254</v>
      </c>
    </row>
    <row r="1303" spans="1:17">
      <c r="A1303" s="6" t="s">
        <v>3073</v>
      </c>
      <c r="B1303" s="6" t="s">
        <v>3073</v>
      </c>
      <c r="C1303" s="6" t="s">
        <v>9984</v>
      </c>
      <c r="D1303" s="6" t="s">
        <v>9985</v>
      </c>
      <c r="E1303" s="6" t="s">
        <v>9985</v>
      </c>
      <c r="F1303" s="6">
        <v>14.0613041879347</v>
      </c>
      <c r="G1303" s="6">
        <v>14.113260411622599</v>
      </c>
      <c r="H1303" s="6">
        <v>13.797238942521499</v>
      </c>
      <c r="I1303" s="6">
        <v>14.6329954488195</v>
      </c>
      <c r="J1303" s="6" t="s">
        <v>6254</v>
      </c>
      <c r="K1303" s="6">
        <v>14.403650046637701</v>
      </c>
      <c r="L1303" s="6">
        <v>15.184792529419299</v>
      </c>
      <c r="M1303" s="6" t="s">
        <v>6254</v>
      </c>
      <c r="N1303" s="6">
        <v>11.7895655698994</v>
      </c>
      <c r="O1303" s="6">
        <v>14.6451275415259</v>
      </c>
      <c r="P1303" s="6" t="s">
        <v>6254</v>
      </c>
      <c r="Q1303" s="6" t="s">
        <v>6254</v>
      </c>
    </row>
    <row r="1304" spans="1:17">
      <c r="A1304" s="6" t="s">
        <v>1995</v>
      </c>
      <c r="B1304" s="6" t="s">
        <v>1995</v>
      </c>
      <c r="C1304" s="6" t="s">
        <v>9986</v>
      </c>
      <c r="D1304" s="6" t="s">
        <v>9987</v>
      </c>
      <c r="E1304" s="6" t="s">
        <v>9987</v>
      </c>
      <c r="F1304" s="6">
        <v>14.6748210519834</v>
      </c>
      <c r="G1304" s="6">
        <v>13.1615194702445</v>
      </c>
      <c r="H1304" s="6">
        <v>14.3137906072278</v>
      </c>
      <c r="I1304" s="6">
        <v>14.5217453717881</v>
      </c>
      <c r="J1304" s="6">
        <v>13.029482801009699</v>
      </c>
      <c r="K1304" s="6">
        <v>13.873772749216499</v>
      </c>
      <c r="L1304" s="6">
        <v>14.694222687869599</v>
      </c>
      <c r="M1304" s="6" t="s">
        <v>6254</v>
      </c>
      <c r="N1304" s="6">
        <v>14.402975010282701</v>
      </c>
      <c r="O1304" s="6">
        <v>13.981520536088</v>
      </c>
      <c r="P1304" s="6" t="s">
        <v>6254</v>
      </c>
      <c r="Q1304" s="6" t="s">
        <v>6254</v>
      </c>
    </row>
    <row r="1305" spans="1:17">
      <c r="A1305" s="6" t="s">
        <v>9988</v>
      </c>
      <c r="B1305" s="6" t="s">
        <v>9989</v>
      </c>
      <c r="C1305" s="6" t="s">
        <v>9990</v>
      </c>
      <c r="D1305" s="6" t="s">
        <v>9991</v>
      </c>
      <c r="E1305" s="6" t="s">
        <v>9992</v>
      </c>
      <c r="F1305" s="6">
        <v>14.0032386189945</v>
      </c>
      <c r="G1305" s="6">
        <v>14.178206986533301</v>
      </c>
      <c r="H1305" s="6">
        <v>14.297349900292</v>
      </c>
      <c r="I1305" s="6">
        <v>14.2445454391663</v>
      </c>
      <c r="J1305" s="6">
        <v>13.4340277596725</v>
      </c>
      <c r="K1305" s="6">
        <v>13.4939619304202</v>
      </c>
      <c r="L1305" s="6">
        <v>14.6928604488097</v>
      </c>
      <c r="M1305" s="6">
        <v>13.0885577306969</v>
      </c>
      <c r="N1305" s="6">
        <v>13.3863650552041</v>
      </c>
      <c r="O1305" s="6">
        <v>14.229969858473799</v>
      </c>
      <c r="P1305" s="6">
        <v>14.488418562847601</v>
      </c>
      <c r="Q1305" s="6">
        <v>12.93053224696</v>
      </c>
    </row>
    <row r="1306" spans="1:17">
      <c r="A1306" s="6" t="s">
        <v>9993</v>
      </c>
      <c r="B1306" s="6" t="s">
        <v>9993</v>
      </c>
      <c r="C1306" s="6" t="s">
        <v>9994</v>
      </c>
      <c r="D1306" s="6" t="s">
        <v>9995</v>
      </c>
      <c r="E1306" s="6" t="s">
        <v>9995</v>
      </c>
      <c r="F1306" s="6">
        <v>15.0613827164303</v>
      </c>
      <c r="G1306" s="6">
        <v>13.431617226479901</v>
      </c>
      <c r="H1306" s="6">
        <v>14.2996744143051</v>
      </c>
      <c r="I1306" s="6">
        <v>15.0502864872456</v>
      </c>
      <c r="J1306" s="6" t="s">
        <v>6254</v>
      </c>
      <c r="K1306" s="6">
        <v>14.553815257470401</v>
      </c>
      <c r="L1306" s="6">
        <v>14.696864278351701</v>
      </c>
      <c r="M1306" s="6" t="s">
        <v>6254</v>
      </c>
      <c r="N1306" s="6">
        <v>13.3407793820945</v>
      </c>
      <c r="O1306" s="6">
        <v>14.4784414610561</v>
      </c>
      <c r="P1306" s="6">
        <v>14.604817934199501</v>
      </c>
      <c r="Q1306" s="6" t="s">
        <v>6254</v>
      </c>
    </row>
    <row r="1307" spans="1:17">
      <c r="A1307" s="6" t="s">
        <v>3063</v>
      </c>
      <c r="B1307" s="6" t="s">
        <v>3063</v>
      </c>
      <c r="C1307" s="6" t="s">
        <v>9996</v>
      </c>
      <c r="D1307" s="6" t="s">
        <v>9997</v>
      </c>
      <c r="E1307" s="6" t="s">
        <v>9997</v>
      </c>
      <c r="F1307" s="6">
        <v>14.6561857445974</v>
      </c>
      <c r="G1307" s="6">
        <v>13.8841911736101</v>
      </c>
      <c r="H1307" s="6">
        <v>14.1010415764583</v>
      </c>
      <c r="I1307" s="6">
        <v>15.013084332533399</v>
      </c>
      <c r="J1307" s="6">
        <v>13.588972936525799</v>
      </c>
      <c r="K1307" s="6">
        <v>14.357510236263799</v>
      </c>
      <c r="L1307" s="6">
        <v>14.623243531157501</v>
      </c>
      <c r="M1307" s="6">
        <v>12.959111759247101</v>
      </c>
      <c r="N1307" s="6">
        <v>13.5288012571917</v>
      </c>
      <c r="O1307" s="6">
        <v>14.348503864785201</v>
      </c>
      <c r="P1307" s="6">
        <v>14.565193765630699</v>
      </c>
      <c r="Q1307" s="6">
        <v>12.049187913694</v>
      </c>
    </row>
    <row r="1308" spans="1:17">
      <c r="A1308" s="6" t="s">
        <v>3196</v>
      </c>
      <c r="B1308" s="6" t="s">
        <v>3198</v>
      </c>
      <c r="C1308" s="6" t="s">
        <v>9998</v>
      </c>
      <c r="D1308" s="6" t="s">
        <v>9999</v>
      </c>
      <c r="E1308" s="6" t="s">
        <v>10000</v>
      </c>
      <c r="F1308" s="6">
        <v>14.7947551490506</v>
      </c>
      <c r="G1308" s="6">
        <v>13.7840615960832</v>
      </c>
      <c r="H1308" s="6">
        <v>14.5653385720064</v>
      </c>
      <c r="I1308" s="6">
        <v>14.921248094961101</v>
      </c>
      <c r="J1308" s="6">
        <v>13.4917462188437</v>
      </c>
      <c r="K1308" s="6">
        <v>13.7269962596671</v>
      </c>
      <c r="L1308" s="6">
        <v>14.480410948308201</v>
      </c>
      <c r="M1308" s="6">
        <v>12.813092452067901</v>
      </c>
      <c r="N1308" s="6">
        <v>13.942607539254899</v>
      </c>
      <c r="O1308" s="6">
        <v>14.3403527543768</v>
      </c>
      <c r="P1308" s="6">
        <v>14.757154964777699</v>
      </c>
      <c r="Q1308" s="6">
        <v>13.1397212156997</v>
      </c>
    </row>
    <row r="1309" spans="1:17">
      <c r="A1309" s="6" t="s">
        <v>10001</v>
      </c>
      <c r="B1309" s="6" t="s">
        <v>1338</v>
      </c>
      <c r="C1309" s="6" t="s">
        <v>10002</v>
      </c>
      <c r="D1309" s="6" t="s">
        <v>10003</v>
      </c>
      <c r="E1309" s="6" t="s">
        <v>10004</v>
      </c>
      <c r="F1309" s="6">
        <v>14.587208273249701</v>
      </c>
      <c r="G1309" s="6">
        <v>14.2514661048916</v>
      </c>
      <c r="H1309" s="6">
        <v>14.140123044102101</v>
      </c>
      <c r="I1309" s="6">
        <v>14.7871239981461</v>
      </c>
      <c r="J1309" s="6">
        <v>13.0446473984943</v>
      </c>
      <c r="K1309" s="6">
        <v>13.763707792435699</v>
      </c>
      <c r="L1309" s="6">
        <v>14.7994116077277</v>
      </c>
      <c r="M1309" s="6">
        <v>12.866633821448501</v>
      </c>
      <c r="N1309" s="6">
        <v>14.463937468252899</v>
      </c>
      <c r="O1309" s="6">
        <v>14.6332076577016</v>
      </c>
      <c r="P1309" s="6">
        <v>14.490500620240701</v>
      </c>
      <c r="Q1309" s="6" t="s">
        <v>6254</v>
      </c>
    </row>
    <row r="1310" spans="1:17">
      <c r="A1310" s="6" t="s">
        <v>990</v>
      </c>
      <c r="B1310" s="6" t="s">
        <v>990</v>
      </c>
      <c r="C1310" s="6" t="s">
        <v>10005</v>
      </c>
      <c r="D1310" s="6" t="s">
        <v>10006</v>
      </c>
      <c r="E1310" s="6" t="s">
        <v>10006</v>
      </c>
      <c r="F1310" s="6">
        <v>14.7099540758459</v>
      </c>
      <c r="G1310" s="6">
        <v>13.983778266403601</v>
      </c>
      <c r="H1310" s="6">
        <v>13.9404419374418</v>
      </c>
      <c r="I1310" s="6">
        <v>14.979869802459</v>
      </c>
      <c r="J1310" s="6">
        <v>13.4083169239171</v>
      </c>
      <c r="K1310" s="6">
        <v>13.8340018864344</v>
      </c>
      <c r="L1310" s="6">
        <v>14.7320342759573</v>
      </c>
      <c r="M1310" s="6">
        <v>12.968869339972001</v>
      </c>
      <c r="N1310" s="6">
        <v>14.026285155998</v>
      </c>
      <c r="O1310" s="6">
        <v>14.609482885105001</v>
      </c>
      <c r="P1310" s="6">
        <v>14.491896906688901</v>
      </c>
      <c r="Q1310" s="6">
        <v>12.3549968985322</v>
      </c>
    </row>
    <row r="1311" spans="1:17">
      <c r="A1311" s="6" t="s">
        <v>2427</v>
      </c>
      <c r="B1311" s="6" t="s">
        <v>2427</v>
      </c>
      <c r="C1311" s="6" t="s">
        <v>10007</v>
      </c>
      <c r="D1311" s="6" t="s">
        <v>10008</v>
      </c>
      <c r="E1311" s="6" t="s">
        <v>10008</v>
      </c>
      <c r="F1311" s="6">
        <v>14.5528803939673</v>
      </c>
      <c r="G1311" s="6">
        <v>14.092002006289601</v>
      </c>
      <c r="H1311" s="6">
        <v>14.037513983796901</v>
      </c>
      <c r="I1311" s="6">
        <v>14.780911109916801</v>
      </c>
      <c r="J1311" s="6">
        <v>13.4908495254753</v>
      </c>
      <c r="K1311" s="6">
        <v>14.2744151655279</v>
      </c>
      <c r="L1311" s="6">
        <v>14.4178793135557</v>
      </c>
      <c r="M1311" s="6">
        <v>13.2169569581845</v>
      </c>
      <c r="N1311" s="6">
        <v>13.1803582079413</v>
      </c>
      <c r="O1311" s="6">
        <v>14.5883896443721</v>
      </c>
      <c r="P1311" s="6">
        <v>14.5003171640763</v>
      </c>
      <c r="Q1311" s="6">
        <v>13.087697906251799</v>
      </c>
    </row>
    <row r="1312" spans="1:17">
      <c r="A1312" s="6" t="s">
        <v>10009</v>
      </c>
      <c r="B1312" s="6" t="s">
        <v>10009</v>
      </c>
      <c r="C1312" s="6" t="s">
        <v>10010</v>
      </c>
      <c r="D1312" s="6" t="s">
        <v>10011</v>
      </c>
      <c r="E1312" s="6" t="s">
        <v>10011</v>
      </c>
      <c r="F1312" s="6">
        <v>14.771712408536001</v>
      </c>
      <c r="G1312" s="6">
        <v>14.068676308177601</v>
      </c>
      <c r="H1312" s="6">
        <v>14.4027548963944</v>
      </c>
      <c r="I1312" s="6">
        <v>15.008742630812501</v>
      </c>
      <c r="J1312" s="6">
        <v>12.969473254527401</v>
      </c>
      <c r="K1312" s="6">
        <v>14.355349287735899</v>
      </c>
      <c r="L1312" s="6">
        <v>14.743164055990601</v>
      </c>
      <c r="M1312" s="6">
        <v>13.4231025192065</v>
      </c>
      <c r="N1312" s="6" t="s">
        <v>6254</v>
      </c>
      <c r="O1312" s="6">
        <v>14.4038086074862</v>
      </c>
      <c r="P1312" s="6">
        <v>14.197227550425501</v>
      </c>
      <c r="Q1312" s="6">
        <v>12.893119402374801</v>
      </c>
    </row>
    <row r="1313" spans="1:17">
      <c r="A1313" s="6" t="s">
        <v>10012</v>
      </c>
      <c r="B1313" s="6" t="s">
        <v>10013</v>
      </c>
      <c r="C1313" s="6" t="s">
        <v>10014</v>
      </c>
      <c r="D1313" s="6" t="s">
        <v>10015</v>
      </c>
      <c r="E1313" s="6" t="s">
        <v>10016</v>
      </c>
      <c r="F1313" s="6">
        <v>14.1800392079132</v>
      </c>
      <c r="G1313" s="6">
        <v>13.7754233682587</v>
      </c>
      <c r="H1313" s="6">
        <v>14.163931841067299</v>
      </c>
      <c r="I1313" s="6">
        <v>15.252263079539601</v>
      </c>
      <c r="J1313" s="6">
        <v>13.4549937335116</v>
      </c>
      <c r="K1313" s="6">
        <v>14.5173922466444</v>
      </c>
      <c r="L1313" s="6">
        <v>14.9330994011758</v>
      </c>
      <c r="M1313" s="6">
        <v>12.8603177817171</v>
      </c>
      <c r="N1313" s="6">
        <v>12.6618189382558</v>
      </c>
      <c r="O1313" s="6">
        <v>14.4522347519232</v>
      </c>
      <c r="P1313" s="6">
        <v>14.6114038429485</v>
      </c>
      <c r="Q1313" s="6" t="s">
        <v>6254</v>
      </c>
    </row>
    <row r="1314" spans="1:17">
      <c r="A1314" s="6" t="s">
        <v>3017</v>
      </c>
      <c r="B1314" s="6" t="s">
        <v>3017</v>
      </c>
      <c r="C1314" s="6" t="s">
        <v>10017</v>
      </c>
      <c r="D1314" s="6" t="s">
        <v>10018</v>
      </c>
      <c r="E1314" s="6" t="s">
        <v>10018</v>
      </c>
      <c r="F1314" s="6">
        <v>15.0717288595401</v>
      </c>
      <c r="G1314" s="6">
        <v>14.281223069711199</v>
      </c>
      <c r="H1314" s="6">
        <v>13.442124128068601</v>
      </c>
      <c r="I1314" s="6">
        <v>12.458749648864901</v>
      </c>
      <c r="J1314" s="6">
        <v>13.4623245732125</v>
      </c>
      <c r="K1314" s="6">
        <v>15.832882452670599</v>
      </c>
      <c r="L1314" s="6">
        <v>13.5543729043606</v>
      </c>
      <c r="M1314" s="6">
        <v>14.6368164742088</v>
      </c>
      <c r="N1314" s="6">
        <v>13.61414386459</v>
      </c>
      <c r="O1314" s="6">
        <v>14.5229471540211</v>
      </c>
      <c r="P1314" s="6">
        <v>14.4020726267682</v>
      </c>
      <c r="Q1314" s="6">
        <v>13.4608548216658</v>
      </c>
    </row>
    <row r="1315" spans="1:17">
      <c r="A1315" s="6" t="s">
        <v>10019</v>
      </c>
      <c r="B1315" s="6" t="s">
        <v>10019</v>
      </c>
      <c r="C1315" s="6" t="s">
        <v>10019</v>
      </c>
      <c r="D1315" s="6" t="s">
        <v>10019</v>
      </c>
      <c r="E1315" s="6" t="s">
        <v>10019</v>
      </c>
      <c r="F1315" s="6" t="s">
        <v>6254</v>
      </c>
      <c r="G1315" s="6" t="s">
        <v>6254</v>
      </c>
      <c r="H1315" s="6" t="s">
        <v>6254</v>
      </c>
      <c r="I1315" s="6" t="s">
        <v>6254</v>
      </c>
      <c r="J1315" s="6" t="s">
        <v>6254</v>
      </c>
      <c r="K1315" s="6" t="s">
        <v>6254</v>
      </c>
      <c r="L1315" s="6">
        <v>14.7512928788395</v>
      </c>
      <c r="M1315" s="6" t="s">
        <v>6254</v>
      </c>
      <c r="N1315" s="6">
        <v>13.9552316008558</v>
      </c>
      <c r="O1315" s="6" t="s">
        <v>6254</v>
      </c>
      <c r="P1315" s="6" t="s">
        <v>6254</v>
      </c>
      <c r="Q1315" s="6" t="s">
        <v>6254</v>
      </c>
    </row>
    <row r="1316" spans="1:17">
      <c r="A1316" s="6" t="s">
        <v>3284</v>
      </c>
      <c r="B1316" s="6" t="s">
        <v>3284</v>
      </c>
      <c r="C1316" s="6" t="s">
        <v>10020</v>
      </c>
      <c r="D1316" s="6" t="s">
        <v>10021</v>
      </c>
      <c r="E1316" s="6" t="s">
        <v>10021</v>
      </c>
      <c r="F1316" s="6">
        <v>14.3551703530871</v>
      </c>
      <c r="G1316" s="6">
        <v>14.131492582215801</v>
      </c>
      <c r="H1316" s="6">
        <v>14.0827370746307</v>
      </c>
      <c r="I1316" s="6">
        <v>14.866085808681399</v>
      </c>
      <c r="J1316" s="6">
        <v>13.237543443720799</v>
      </c>
      <c r="K1316" s="6">
        <v>14.6980065895068</v>
      </c>
      <c r="L1316" s="6">
        <v>14.631645134752</v>
      </c>
      <c r="M1316" s="6">
        <v>12.8985998531705</v>
      </c>
      <c r="N1316" s="6">
        <v>13.5159855978611</v>
      </c>
      <c r="O1316" s="6">
        <v>14.306011376828099</v>
      </c>
      <c r="P1316" s="6">
        <v>14.2990505788822</v>
      </c>
      <c r="Q1316" s="6">
        <v>13.1125343132965</v>
      </c>
    </row>
    <row r="1317" spans="1:17">
      <c r="A1317" s="6" t="s">
        <v>1454</v>
      </c>
      <c r="B1317" s="6" t="s">
        <v>1454</v>
      </c>
      <c r="C1317" s="6" t="s">
        <v>10022</v>
      </c>
      <c r="D1317" s="6" t="s">
        <v>10023</v>
      </c>
      <c r="E1317" s="6" t="s">
        <v>10023</v>
      </c>
      <c r="F1317" s="6">
        <v>14.3023592840796</v>
      </c>
      <c r="G1317" s="6">
        <v>13.3189802943145</v>
      </c>
      <c r="H1317" s="6">
        <v>13.929302220566401</v>
      </c>
      <c r="I1317" s="6">
        <v>15.065763681404</v>
      </c>
      <c r="J1317" s="6">
        <v>14.047499936075299</v>
      </c>
      <c r="K1317" s="6">
        <v>14.259868581723399</v>
      </c>
      <c r="L1317" s="6">
        <v>14.1694061215014</v>
      </c>
      <c r="M1317" s="6">
        <v>12.5783483006088</v>
      </c>
      <c r="N1317" s="6">
        <v>14.066487677673701</v>
      </c>
      <c r="O1317" s="6">
        <v>14.6700435157535</v>
      </c>
      <c r="P1317" s="6">
        <v>14.0228508782982</v>
      </c>
      <c r="Q1317" s="6" t="s">
        <v>6254</v>
      </c>
    </row>
    <row r="1318" spans="1:17">
      <c r="A1318" s="6" t="s">
        <v>10024</v>
      </c>
      <c r="B1318" s="6" t="s">
        <v>10024</v>
      </c>
      <c r="C1318" s="6" t="s">
        <v>10025</v>
      </c>
      <c r="D1318" s="6" t="s">
        <v>10026</v>
      </c>
      <c r="E1318" s="6" t="s">
        <v>10026</v>
      </c>
      <c r="F1318" s="6">
        <v>19.0904352505062</v>
      </c>
      <c r="G1318" s="6">
        <v>13.9373747110052</v>
      </c>
      <c r="H1318" s="6">
        <v>13.891362174095599</v>
      </c>
      <c r="I1318" s="6">
        <v>14.8587554164619</v>
      </c>
      <c r="J1318" s="6" t="s">
        <v>6254</v>
      </c>
      <c r="K1318" s="6">
        <v>13.867063967186001</v>
      </c>
      <c r="L1318" s="6" t="s">
        <v>6254</v>
      </c>
      <c r="M1318" s="6" t="s">
        <v>6254</v>
      </c>
      <c r="N1318" s="6" t="s">
        <v>6254</v>
      </c>
      <c r="O1318" s="6">
        <v>14.226894400548501</v>
      </c>
      <c r="P1318" s="6">
        <v>13.6096361489438</v>
      </c>
      <c r="Q1318" s="6" t="s">
        <v>6254</v>
      </c>
    </row>
    <row r="1319" spans="1:17">
      <c r="A1319" s="6" t="s">
        <v>1691</v>
      </c>
      <c r="B1319" s="6" t="s">
        <v>1691</v>
      </c>
      <c r="C1319" s="6" t="s">
        <v>10027</v>
      </c>
      <c r="D1319" s="6" t="s">
        <v>10028</v>
      </c>
      <c r="E1319" s="6" t="s">
        <v>10028</v>
      </c>
      <c r="F1319" s="6">
        <v>14.5704144364645</v>
      </c>
      <c r="G1319" s="6">
        <v>14.0014166161403</v>
      </c>
      <c r="H1319" s="6">
        <v>14.543395050913899</v>
      </c>
      <c r="I1319" s="6">
        <v>14.6676846039152</v>
      </c>
      <c r="J1319" s="6">
        <v>13.3334370089523</v>
      </c>
      <c r="K1319" s="6">
        <v>13.850656512726101</v>
      </c>
      <c r="L1319" s="6">
        <v>14.666011456029199</v>
      </c>
      <c r="M1319" s="6">
        <v>13.425520811385001</v>
      </c>
      <c r="N1319" s="6">
        <v>14.2964924902547</v>
      </c>
      <c r="O1319" s="6">
        <v>14.7567145649738</v>
      </c>
      <c r="P1319" s="6">
        <v>14.447011428637699</v>
      </c>
      <c r="Q1319" s="6">
        <v>12.621245682397801</v>
      </c>
    </row>
    <row r="1320" spans="1:17">
      <c r="A1320" s="6" t="s">
        <v>5802</v>
      </c>
      <c r="B1320" s="6" t="s">
        <v>5802</v>
      </c>
      <c r="C1320" s="6" t="s">
        <v>10029</v>
      </c>
      <c r="D1320" s="6" t="s">
        <v>10030</v>
      </c>
      <c r="E1320" s="6" t="s">
        <v>10030</v>
      </c>
      <c r="F1320" s="6">
        <v>14.656354324494099</v>
      </c>
      <c r="G1320" s="6">
        <v>13.0653816070114</v>
      </c>
      <c r="H1320" s="6">
        <v>14.4043269155841</v>
      </c>
      <c r="I1320" s="6">
        <v>15.502079356024099</v>
      </c>
      <c r="J1320" s="6">
        <v>14.132164847020601</v>
      </c>
      <c r="K1320" s="6">
        <v>14.6025364132876</v>
      </c>
      <c r="L1320" s="6">
        <v>15.6718145600803</v>
      </c>
      <c r="M1320" s="6">
        <v>13.902654945702499</v>
      </c>
      <c r="N1320" s="6">
        <v>14.0713508484748</v>
      </c>
      <c r="O1320" s="6">
        <v>13.870792935888099</v>
      </c>
      <c r="P1320" s="6">
        <v>14.1161215891811</v>
      </c>
      <c r="Q1320" s="6">
        <v>12.8450484341957</v>
      </c>
    </row>
    <row r="1321" spans="1:17">
      <c r="A1321" s="6" t="s">
        <v>10031</v>
      </c>
      <c r="B1321" s="6" t="s">
        <v>10032</v>
      </c>
      <c r="C1321" s="6" t="s">
        <v>10033</v>
      </c>
      <c r="D1321" s="6" t="s">
        <v>10034</v>
      </c>
      <c r="E1321" s="6" t="s">
        <v>10035</v>
      </c>
      <c r="F1321" s="6">
        <v>14.431039129435</v>
      </c>
      <c r="G1321" s="6">
        <v>13.8591186550681</v>
      </c>
      <c r="H1321" s="6">
        <v>14.006725160600499</v>
      </c>
      <c r="I1321" s="6">
        <v>14.839820178222199</v>
      </c>
      <c r="J1321" s="6">
        <v>12.9493121365722</v>
      </c>
      <c r="K1321" s="6">
        <v>14.0393845982294</v>
      </c>
      <c r="L1321" s="6">
        <v>15.246810623585599</v>
      </c>
      <c r="M1321" s="6">
        <v>12.895585149090801</v>
      </c>
      <c r="N1321" s="6">
        <v>14.1034221980781</v>
      </c>
      <c r="O1321" s="6">
        <v>14.616373188380001</v>
      </c>
      <c r="P1321" s="6">
        <v>14.462140699751499</v>
      </c>
      <c r="Q1321" s="6">
        <v>12.7307136239071</v>
      </c>
    </row>
    <row r="1322" spans="1:17">
      <c r="A1322" s="6" t="s">
        <v>2478</v>
      </c>
      <c r="B1322" s="6" t="s">
        <v>2478</v>
      </c>
      <c r="C1322" s="6" t="s">
        <v>10036</v>
      </c>
      <c r="D1322" s="6" t="s">
        <v>10037</v>
      </c>
      <c r="E1322" s="6" t="s">
        <v>10037</v>
      </c>
      <c r="F1322" s="6">
        <v>14.711198457681199</v>
      </c>
      <c r="G1322" s="6">
        <v>13.8692819271518</v>
      </c>
      <c r="H1322" s="6">
        <v>13.7950576286849</v>
      </c>
      <c r="I1322" s="6">
        <v>14.346787734139401</v>
      </c>
      <c r="J1322" s="6" t="s">
        <v>6254</v>
      </c>
      <c r="K1322" s="6">
        <v>14.561146227408599</v>
      </c>
      <c r="L1322" s="6">
        <v>14.5907036383082</v>
      </c>
      <c r="M1322" s="6">
        <v>12.8801322430415</v>
      </c>
      <c r="N1322" s="6">
        <v>12.871575641249001</v>
      </c>
      <c r="O1322" s="6">
        <v>14.634440973314801</v>
      </c>
      <c r="P1322" s="6">
        <v>15.066266538616199</v>
      </c>
      <c r="Q1322" s="6" t="s">
        <v>6254</v>
      </c>
    </row>
    <row r="1323" spans="1:17">
      <c r="A1323" s="6" t="s">
        <v>2326</v>
      </c>
      <c r="B1323" s="6" t="s">
        <v>2326</v>
      </c>
      <c r="C1323" s="6" t="s">
        <v>10038</v>
      </c>
      <c r="D1323" s="6" t="s">
        <v>10039</v>
      </c>
      <c r="E1323" s="6" t="s">
        <v>10039</v>
      </c>
      <c r="F1323" s="6">
        <v>14.260246071655301</v>
      </c>
      <c r="G1323" s="6">
        <v>14.2888429569162</v>
      </c>
      <c r="H1323" s="6">
        <v>13.9851873948031</v>
      </c>
      <c r="I1323" s="6">
        <v>14.7343335279351</v>
      </c>
      <c r="J1323" s="6">
        <v>13.1380454336288</v>
      </c>
      <c r="K1323" s="6">
        <v>14.0148740115223</v>
      </c>
      <c r="L1323" s="6">
        <v>14.653257848989799</v>
      </c>
      <c r="M1323" s="6">
        <v>13.3121989936206</v>
      </c>
      <c r="N1323" s="6">
        <v>13.3774791527918</v>
      </c>
      <c r="O1323" s="6">
        <v>14.487766282727501</v>
      </c>
      <c r="P1323" s="6">
        <v>14.317335356412899</v>
      </c>
      <c r="Q1323" s="6">
        <v>13.207396457276699</v>
      </c>
    </row>
    <row r="1324" spans="1:17">
      <c r="A1324" s="6" t="s">
        <v>10040</v>
      </c>
      <c r="B1324" s="6" t="s">
        <v>10040</v>
      </c>
      <c r="C1324" s="6" t="s">
        <v>10041</v>
      </c>
      <c r="D1324" s="6" t="s">
        <v>10042</v>
      </c>
      <c r="E1324" s="6" t="s">
        <v>10042</v>
      </c>
      <c r="F1324" s="6">
        <v>14.6216189222707</v>
      </c>
      <c r="G1324" s="6">
        <v>13.9133572087455</v>
      </c>
      <c r="H1324" s="6">
        <v>14.0951487294844</v>
      </c>
      <c r="I1324" s="6">
        <v>14.86518009624</v>
      </c>
      <c r="J1324" s="6">
        <v>13.732489628937101</v>
      </c>
      <c r="K1324" s="6">
        <v>14.1359353223277</v>
      </c>
      <c r="L1324" s="6">
        <v>14.512144989415701</v>
      </c>
      <c r="M1324" s="6">
        <v>12.710364051506801</v>
      </c>
      <c r="N1324" s="6">
        <v>13.758075887755099</v>
      </c>
      <c r="O1324" s="6">
        <v>14.398114796975699</v>
      </c>
      <c r="P1324" s="6">
        <v>14.517346904283499</v>
      </c>
      <c r="Q1324" s="6">
        <v>12.596991622308099</v>
      </c>
    </row>
    <row r="1325" spans="1:17">
      <c r="A1325" s="6" t="s">
        <v>3446</v>
      </c>
      <c r="B1325" s="6" t="s">
        <v>3446</v>
      </c>
      <c r="C1325" s="6" t="s">
        <v>10043</v>
      </c>
      <c r="D1325" s="6" t="s">
        <v>10044</v>
      </c>
      <c r="E1325" s="6" t="s">
        <v>10044</v>
      </c>
      <c r="F1325" s="6" t="s">
        <v>6254</v>
      </c>
      <c r="G1325" s="6" t="s">
        <v>6254</v>
      </c>
      <c r="H1325" s="6" t="s">
        <v>6254</v>
      </c>
      <c r="I1325" s="6">
        <v>13.8869696482296</v>
      </c>
      <c r="J1325" s="6" t="s">
        <v>6254</v>
      </c>
      <c r="K1325" s="6" t="s">
        <v>6254</v>
      </c>
      <c r="L1325" s="6">
        <v>14.260428873259199</v>
      </c>
      <c r="M1325" s="6" t="s">
        <v>6254</v>
      </c>
      <c r="N1325" s="6">
        <v>12.617899145928201</v>
      </c>
      <c r="O1325" s="6" t="s">
        <v>6254</v>
      </c>
      <c r="P1325" s="6" t="s">
        <v>6254</v>
      </c>
      <c r="Q1325" s="6" t="s">
        <v>6254</v>
      </c>
    </row>
    <row r="1326" spans="1:17">
      <c r="A1326" s="6" t="s">
        <v>2207</v>
      </c>
      <c r="B1326" s="6" t="s">
        <v>2207</v>
      </c>
      <c r="C1326" s="6" t="s">
        <v>10045</v>
      </c>
      <c r="D1326" s="6" t="s">
        <v>10046</v>
      </c>
      <c r="E1326" s="6" t="s">
        <v>10046</v>
      </c>
      <c r="F1326" s="6">
        <v>14.692399599980099</v>
      </c>
      <c r="G1326" s="6">
        <v>14.0563903090971</v>
      </c>
      <c r="H1326" s="6">
        <v>14.115812814726199</v>
      </c>
      <c r="I1326" s="6">
        <v>14.9672087415614</v>
      </c>
      <c r="J1326" s="6">
        <v>13.687847867437601</v>
      </c>
      <c r="K1326" s="6">
        <v>14.1839444595018</v>
      </c>
      <c r="L1326" s="6">
        <v>14.463480244121</v>
      </c>
      <c r="M1326" s="6">
        <v>13.008069185082601</v>
      </c>
      <c r="N1326" s="6">
        <v>13.3604389564572</v>
      </c>
      <c r="O1326" s="6">
        <v>14.3087431871327</v>
      </c>
      <c r="P1326" s="6">
        <v>14.2381383281522</v>
      </c>
      <c r="Q1326" s="6">
        <v>12.677301408163601</v>
      </c>
    </row>
    <row r="1327" spans="1:17">
      <c r="A1327" s="6" t="s">
        <v>10047</v>
      </c>
      <c r="B1327" s="6" t="s">
        <v>10048</v>
      </c>
      <c r="C1327" s="6" t="s">
        <v>10049</v>
      </c>
      <c r="D1327" s="6" t="s">
        <v>10050</v>
      </c>
      <c r="E1327" s="6" t="s">
        <v>10051</v>
      </c>
      <c r="F1327" s="6">
        <v>14.377868176031299</v>
      </c>
      <c r="G1327" s="6">
        <v>14.191057578305401</v>
      </c>
      <c r="H1327" s="6">
        <v>14.0981408069123</v>
      </c>
      <c r="I1327" s="6">
        <v>14.9758981093379</v>
      </c>
      <c r="J1327" s="6">
        <v>13.5607747274136</v>
      </c>
      <c r="K1327" s="6">
        <v>14.224191662951601</v>
      </c>
      <c r="L1327" s="6">
        <v>14.790490125435101</v>
      </c>
      <c r="M1327" s="6">
        <v>13.073834232589901</v>
      </c>
      <c r="N1327" s="6">
        <v>13.436162297895301</v>
      </c>
      <c r="O1327" s="6">
        <v>13.9152038767881</v>
      </c>
      <c r="P1327" s="6">
        <v>14.2447921445502</v>
      </c>
      <c r="Q1327" s="6">
        <v>13.040719307037</v>
      </c>
    </row>
    <row r="1328" spans="1:17">
      <c r="A1328" s="6" t="s">
        <v>3429</v>
      </c>
      <c r="B1328" s="6" t="s">
        <v>3429</v>
      </c>
      <c r="C1328" s="6" t="s">
        <v>10052</v>
      </c>
      <c r="D1328" s="6" t="s">
        <v>10053</v>
      </c>
      <c r="E1328" s="6" t="s">
        <v>10053</v>
      </c>
      <c r="F1328" s="6">
        <v>14.252782761738899</v>
      </c>
      <c r="G1328" s="6">
        <v>14.025669024314499</v>
      </c>
      <c r="H1328" s="6">
        <v>14.1859001328082</v>
      </c>
      <c r="I1328" s="6">
        <v>14.541815377914901</v>
      </c>
      <c r="J1328" s="6">
        <v>13.6856201421358</v>
      </c>
      <c r="K1328" s="6">
        <v>13.9531101776101</v>
      </c>
      <c r="L1328" s="6">
        <v>14.8930723115413</v>
      </c>
      <c r="M1328" s="6">
        <v>13.359556557810601</v>
      </c>
      <c r="N1328" s="6">
        <v>14.1186918138216</v>
      </c>
      <c r="O1328" s="6">
        <v>14.5119142414206</v>
      </c>
      <c r="P1328" s="6">
        <v>14.0375007827673</v>
      </c>
      <c r="Q1328" s="6" t="s">
        <v>6254</v>
      </c>
    </row>
    <row r="1329" spans="1:17">
      <c r="A1329" s="6" t="s">
        <v>4980</v>
      </c>
      <c r="B1329" s="6" t="s">
        <v>4980</v>
      </c>
      <c r="C1329" s="6" t="s">
        <v>10054</v>
      </c>
      <c r="D1329" s="6" t="s">
        <v>10055</v>
      </c>
      <c r="E1329" s="6" t="s">
        <v>10055</v>
      </c>
      <c r="F1329" s="6">
        <v>14.4885137838669</v>
      </c>
      <c r="G1329" s="6" t="s">
        <v>6254</v>
      </c>
      <c r="H1329" s="6">
        <v>14.5628141579237</v>
      </c>
      <c r="I1329" s="6">
        <v>15.129305423541901</v>
      </c>
      <c r="J1329" s="6">
        <v>13.4137218188168</v>
      </c>
      <c r="K1329" s="6">
        <v>14.6886893760623</v>
      </c>
      <c r="L1329" s="6">
        <v>15.009228239216499</v>
      </c>
      <c r="M1329" s="6">
        <v>12.905700632212801</v>
      </c>
      <c r="N1329" s="6">
        <v>13.3119312866414</v>
      </c>
      <c r="O1329" s="6">
        <v>14.6828926300247</v>
      </c>
      <c r="P1329" s="6">
        <v>14.2599090840835</v>
      </c>
      <c r="Q1329" s="6" t="s">
        <v>6254</v>
      </c>
    </row>
    <row r="1330" spans="1:17">
      <c r="A1330" s="6" t="s">
        <v>10056</v>
      </c>
      <c r="B1330" s="6" t="s">
        <v>10056</v>
      </c>
      <c r="C1330" s="6" t="s">
        <v>10057</v>
      </c>
      <c r="D1330" s="6" t="s">
        <v>10058</v>
      </c>
      <c r="E1330" s="6" t="s">
        <v>10058</v>
      </c>
      <c r="F1330" s="6">
        <v>14.6825005722526</v>
      </c>
      <c r="G1330" s="6" t="s">
        <v>6254</v>
      </c>
      <c r="H1330" s="6">
        <v>14.089574553919901</v>
      </c>
      <c r="I1330" s="6">
        <v>14.601505356233501</v>
      </c>
      <c r="J1330" s="6" t="s">
        <v>6254</v>
      </c>
      <c r="K1330" s="6">
        <v>13.6426344184909</v>
      </c>
      <c r="L1330" s="6">
        <v>14.154772707620401</v>
      </c>
      <c r="M1330" s="6" t="s">
        <v>6254</v>
      </c>
      <c r="N1330" s="6">
        <v>14.535914862803301</v>
      </c>
      <c r="O1330" s="6">
        <v>14.418422828907</v>
      </c>
      <c r="P1330" s="6">
        <v>14.804360925278001</v>
      </c>
      <c r="Q1330" s="6" t="s">
        <v>6254</v>
      </c>
    </row>
    <row r="1331" spans="1:17">
      <c r="A1331" s="6" t="s">
        <v>10059</v>
      </c>
      <c r="B1331" s="6" t="s">
        <v>10060</v>
      </c>
      <c r="C1331" s="6" t="s">
        <v>10061</v>
      </c>
      <c r="D1331" s="6" t="s">
        <v>10062</v>
      </c>
      <c r="E1331" s="6" t="s">
        <v>10063</v>
      </c>
      <c r="F1331" s="6">
        <v>14.6619047997048</v>
      </c>
      <c r="G1331" s="6">
        <v>14.1394269716055</v>
      </c>
      <c r="H1331" s="6">
        <v>13.003562902841701</v>
      </c>
      <c r="I1331" s="6">
        <v>15.012848693333799</v>
      </c>
      <c r="J1331" s="6">
        <v>13.9363041959657</v>
      </c>
      <c r="K1331" s="6">
        <v>14.0993642982825</v>
      </c>
      <c r="L1331" s="6">
        <v>14.507006137825501</v>
      </c>
      <c r="M1331" s="6">
        <v>13.425403894404401</v>
      </c>
      <c r="N1331" s="6">
        <v>12.198918565965799</v>
      </c>
      <c r="O1331" s="6">
        <v>14.662701975949201</v>
      </c>
      <c r="P1331" s="6">
        <v>15.018228055243499</v>
      </c>
      <c r="Q1331" s="6">
        <v>13.152392941935799</v>
      </c>
    </row>
    <row r="1332" spans="1:17">
      <c r="A1332" s="6" t="s">
        <v>10064</v>
      </c>
      <c r="B1332" s="6" t="s">
        <v>10065</v>
      </c>
      <c r="C1332" s="6" t="s">
        <v>10066</v>
      </c>
      <c r="D1332" s="6" t="s">
        <v>10067</v>
      </c>
      <c r="E1332" s="6" t="s">
        <v>10068</v>
      </c>
      <c r="F1332" s="6">
        <v>14.950750396439</v>
      </c>
      <c r="G1332" s="6">
        <v>13.2790386366779</v>
      </c>
      <c r="H1332" s="6">
        <v>13.1774694350853</v>
      </c>
      <c r="I1332" s="6">
        <v>15.136700176422099</v>
      </c>
      <c r="J1332" s="6" t="s">
        <v>6254</v>
      </c>
      <c r="K1332" s="6" t="s">
        <v>6254</v>
      </c>
      <c r="L1332" s="6">
        <v>13.8744652965445</v>
      </c>
      <c r="M1332" s="6" t="s">
        <v>6254</v>
      </c>
      <c r="N1332" s="6">
        <v>13.602315149868399</v>
      </c>
      <c r="O1332" s="6">
        <v>13.9000258622853</v>
      </c>
      <c r="P1332" s="6" t="s">
        <v>6254</v>
      </c>
      <c r="Q1332" s="6" t="s">
        <v>6254</v>
      </c>
    </row>
    <row r="1333" spans="1:17">
      <c r="A1333" s="6" t="s">
        <v>10069</v>
      </c>
      <c r="B1333" s="6" t="s">
        <v>10070</v>
      </c>
      <c r="C1333" s="6" t="s">
        <v>10071</v>
      </c>
      <c r="D1333" s="6" t="s">
        <v>10072</v>
      </c>
      <c r="E1333" s="6" t="s">
        <v>10073</v>
      </c>
      <c r="F1333" s="6">
        <v>14.6415008542471</v>
      </c>
      <c r="G1333" s="6">
        <v>13.898911694329501</v>
      </c>
      <c r="H1333" s="6">
        <v>13.921339689729299</v>
      </c>
      <c r="I1333" s="6">
        <v>15.1441425737952</v>
      </c>
      <c r="J1333" s="6">
        <v>13.857912222167799</v>
      </c>
      <c r="K1333" s="6">
        <v>14.1509089617913</v>
      </c>
      <c r="L1333" s="6">
        <v>14.6633762149623</v>
      </c>
      <c r="M1333" s="6">
        <v>10.6354215126297</v>
      </c>
      <c r="N1333" s="6">
        <v>14.3220090555256</v>
      </c>
      <c r="O1333" s="6">
        <v>14.5256300512681</v>
      </c>
      <c r="P1333" s="6">
        <v>14.034490841356901</v>
      </c>
      <c r="Q1333" s="6">
        <v>12.5329663118462</v>
      </c>
    </row>
    <row r="1334" spans="1:17">
      <c r="A1334" s="6" t="s">
        <v>2437</v>
      </c>
      <c r="B1334" s="6" t="s">
        <v>2437</v>
      </c>
      <c r="C1334" s="6" t="s">
        <v>10074</v>
      </c>
      <c r="D1334" s="6" t="s">
        <v>10075</v>
      </c>
      <c r="E1334" s="6" t="s">
        <v>10075</v>
      </c>
      <c r="F1334" s="6">
        <v>13.639008593937399</v>
      </c>
      <c r="G1334" s="6">
        <v>13.3219233416654</v>
      </c>
      <c r="H1334" s="6">
        <v>13.7152914725126</v>
      </c>
      <c r="I1334" s="6">
        <v>14.8165869211496</v>
      </c>
      <c r="J1334" s="6">
        <v>13.3991608529315</v>
      </c>
      <c r="K1334" s="6">
        <v>14.825510997567701</v>
      </c>
      <c r="L1334" s="6">
        <v>15.937460132436801</v>
      </c>
      <c r="M1334" s="6">
        <v>13.793738918563699</v>
      </c>
      <c r="N1334" s="6">
        <v>14.8755074138544</v>
      </c>
      <c r="O1334" s="6">
        <v>14.3694611117281</v>
      </c>
      <c r="P1334" s="6">
        <v>14.0611130320755</v>
      </c>
      <c r="Q1334" s="6">
        <v>12.714600826903</v>
      </c>
    </row>
    <row r="1335" spans="1:17">
      <c r="A1335" s="6" t="s">
        <v>10076</v>
      </c>
      <c r="B1335" s="6" t="s">
        <v>10077</v>
      </c>
      <c r="C1335" s="6" t="s">
        <v>10078</v>
      </c>
      <c r="D1335" s="6" t="s">
        <v>10079</v>
      </c>
      <c r="E1335" s="6" t="s">
        <v>10080</v>
      </c>
      <c r="F1335" s="6">
        <v>14.3577025422662</v>
      </c>
      <c r="G1335" s="6">
        <v>13.753175069308099</v>
      </c>
      <c r="H1335" s="6">
        <v>14.077176523368101</v>
      </c>
      <c r="I1335" s="6">
        <v>14.683136987099999</v>
      </c>
      <c r="J1335" s="6">
        <v>13.6141537404202</v>
      </c>
      <c r="K1335" s="6">
        <v>13.658451177821799</v>
      </c>
      <c r="L1335" s="6">
        <v>14.860022984023299</v>
      </c>
      <c r="M1335" s="6">
        <v>13.5836169753413</v>
      </c>
      <c r="N1335" s="6">
        <v>13.6570384595754</v>
      </c>
      <c r="O1335" s="6">
        <v>14.1771602993909</v>
      </c>
      <c r="P1335" s="6">
        <v>14.1118532761952</v>
      </c>
      <c r="Q1335" s="6">
        <v>13.3931537266324</v>
      </c>
    </row>
    <row r="1336" spans="1:17">
      <c r="A1336" s="6" t="s">
        <v>10081</v>
      </c>
      <c r="B1336" s="6" t="s">
        <v>10082</v>
      </c>
      <c r="C1336" s="6" t="s">
        <v>10083</v>
      </c>
      <c r="D1336" s="6" t="s">
        <v>10084</v>
      </c>
      <c r="E1336" s="6" t="s">
        <v>10085</v>
      </c>
      <c r="F1336" s="6">
        <v>14.637965453109601</v>
      </c>
      <c r="G1336" s="6">
        <v>14.267383320806699</v>
      </c>
      <c r="H1336" s="6">
        <v>14.2007460519477</v>
      </c>
      <c r="I1336" s="6">
        <v>14.639117459486499</v>
      </c>
      <c r="J1336" s="6">
        <v>13.764794720601801</v>
      </c>
      <c r="K1336" s="6">
        <v>13.9336863444949</v>
      </c>
      <c r="L1336" s="6">
        <v>14.74054805101</v>
      </c>
      <c r="M1336" s="6">
        <v>13.59147575962</v>
      </c>
      <c r="N1336" s="6">
        <v>13.015413590663201</v>
      </c>
      <c r="O1336" s="6">
        <v>14.472927388931099</v>
      </c>
      <c r="P1336" s="6">
        <v>14.2369268924437</v>
      </c>
      <c r="Q1336" s="6" t="s">
        <v>6254</v>
      </c>
    </row>
    <row r="1337" spans="1:17">
      <c r="A1337" s="6" t="s">
        <v>10086</v>
      </c>
      <c r="B1337" s="6" t="s">
        <v>10086</v>
      </c>
      <c r="C1337" s="6" t="s">
        <v>10087</v>
      </c>
      <c r="D1337" s="6" t="s">
        <v>10088</v>
      </c>
      <c r="E1337" s="6" t="s">
        <v>10088</v>
      </c>
      <c r="F1337" s="6">
        <v>13.971325391393201</v>
      </c>
      <c r="G1337" s="6" t="s">
        <v>6254</v>
      </c>
      <c r="H1337" s="6">
        <v>13.573953915567399</v>
      </c>
      <c r="I1337" s="6">
        <v>14.361076589681099</v>
      </c>
      <c r="J1337" s="6" t="s">
        <v>6254</v>
      </c>
      <c r="K1337" s="6" t="s">
        <v>6254</v>
      </c>
      <c r="L1337" s="6">
        <v>14.6374043045088</v>
      </c>
      <c r="M1337" s="6" t="s">
        <v>6254</v>
      </c>
      <c r="N1337" s="6" t="s">
        <v>6254</v>
      </c>
      <c r="O1337" s="6" t="s">
        <v>6254</v>
      </c>
      <c r="P1337" s="6" t="s">
        <v>6254</v>
      </c>
      <c r="Q1337" s="6" t="s">
        <v>6254</v>
      </c>
    </row>
    <row r="1338" spans="1:17">
      <c r="A1338" s="6" t="s">
        <v>10089</v>
      </c>
      <c r="B1338" s="6" t="s">
        <v>3279</v>
      </c>
      <c r="C1338" s="6" t="s">
        <v>10090</v>
      </c>
      <c r="D1338" s="6" t="s">
        <v>10091</v>
      </c>
      <c r="E1338" s="6" t="s">
        <v>10092</v>
      </c>
      <c r="F1338" s="6">
        <v>12.734984149642999</v>
      </c>
      <c r="G1338" s="6">
        <v>13.6828534366804</v>
      </c>
      <c r="H1338" s="6">
        <v>13.7553863770889</v>
      </c>
      <c r="I1338" s="6">
        <v>14.891575620360699</v>
      </c>
      <c r="J1338" s="6">
        <v>12.9723402485529</v>
      </c>
      <c r="K1338" s="6" t="s">
        <v>6254</v>
      </c>
      <c r="L1338" s="6" t="s">
        <v>6254</v>
      </c>
      <c r="M1338" s="6" t="s">
        <v>6254</v>
      </c>
      <c r="N1338" s="6" t="s">
        <v>6254</v>
      </c>
      <c r="O1338" s="6">
        <v>14.3906132941311</v>
      </c>
      <c r="P1338" s="6">
        <v>14.546012061007</v>
      </c>
      <c r="Q1338" s="6">
        <v>13.615340637590201</v>
      </c>
    </row>
    <row r="1339" spans="1:17">
      <c r="A1339" s="6" t="s">
        <v>10093</v>
      </c>
      <c r="B1339" s="6" t="s">
        <v>10093</v>
      </c>
      <c r="C1339" s="6" t="s">
        <v>10094</v>
      </c>
      <c r="D1339" s="6" t="s">
        <v>10095</v>
      </c>
      <c r="E1339" s="6" t="s">
        <v>10095</v>
      </c>
      <c r="F1339" s="6">
        <v>14.627515414437299</v>
      </c>
      <c r="G1339" s="6">
        <v>13.840161000361</v>
      </c>
      <c r="H1339" s="6">
        <v>14.0895879434502</v>
      </c>
      <c r="I1339" s="6">
        <v>14.4675793006886</v>
      </c>
      <c r="J1339" s="6" t="s">
        <v>6254</v>
      </c>
      <c r="K1339" s="6">
        <v>14.2669704480062</v>
      </c>
      <c r="L1339" s="6">
        <v>14.8383805381721</v>
      </c>
      <c r="M1339" s="6">
        <v>12.4234573956057</v>
      </c>
      <c r="N1339" s="6">
        <v>13.6632391701615</v>
      </c>
      <c r="O1339" s="6">
        <v>14.5028989929726</v>
      </c>
      <c r="P1339" s="6">
        <v>14.5599496162947</v>
      </c>
      <c r="Q1339" s="6" t="s">
        <v>6254</v>
      </c>
    </row>
    <row r="1340" spans="1:17">
      <c r="A1340" s="6" t="s">
        <v>2542</v>
      </c>
      <c r="B1340" s="6" t="s">
        <v>2542</v>
      </c>
      <c r="C1340" s="6" t="s">
        <v>10096</v>
      </c>
      <c r="D1340" s="6" t="s">
        <v>10097</v>
      </c>
      <c r="E1340" s="6" t="s">
        <v>10097</v>
      </c>
      <c r="F1340" s="6">
        <v>14.2036235275578</v>
      </c>
      <c r="G1340" s="6">
        <v>14.311466116169299</v>
      </c>
      <c r="H1340" s="6">
        <v>13.8771273043457</v>
      </c>
      <c r="I1340" s="6">
        <v>15.7019844879855</v>
      </c>
      <c r="J1340" s="6">
        <v>13.6551482406809</v>
      </c>
      <c r="K1340" s="6">
        <v>14.394190600759501</v>
      </c>
      <c r="L1340" s="6">
        <v>16.2539193250004</v>
      </c>
      <c r="M1340" s="6">
        <v>13.2427307214059</v>
      </c>
      <c r="N1340" s="6">
        <v>12.883348981696001</v>
      </c>
      <c r="O1340" s="6">
        <v>13.7792456649291</v>
      </c>
      <c r="P1340" s="6">
        <v>13.9093526252712</v>
      </c>
      <c r="Q1340" s="6">
        <v>12.913951369990601</v>
      </c>
    </row>
    <row r="1341" spans="1:17">
      <c r="A1341" s="6" t="s">
        <v>10098</v>
      </c>
      <c r="B1341" s="6" t="s">
        <v>10099</v>
      </c>
      <c r="C1341" s="6" t="s">
        <v>10100</v>
      </c>
      <c r="D1341" s="6" t="s">
        <v>10101</v>
      </c>
      <c r="E1341" s="6" t="s">
        <v>10102</v>
      </c>
      <c r="F1341" s="6">
        <v>14.503963902048101</v>
      </c>
      <c r="G1341" s="6">
        <v>13.536575534326101</v>
      </c>
      <c r="H1341" s="6">
        <v>14.958463509192599</v>
      </c>
      <c r="I1341" s="6">
        <v>15.012016465994099</v>
      </c>
      <c r="J1341" s="6">
        <v>13.1904278437197</v>
      </c>
      <c r="K1341" s="6">
        <v>13.532949016949299</v>
      </c>
      <c r="L1341" s="6">
        <v>15.8086472927579</v>
      </c>
      <c r="M1341" s="6">
        <v>13.5587521986747</v>
      </c>
      <c r="N1341" s="6">
        <v>13.6111808579198</v>
      </c>
      <c r="O1341" s="6">
        <v>14.3558480094818</v>
      </c>
      <c r="P1341" s="6" t="s">
        <v>6254</v>
      </c>
      <c r="Q1341" s="6" t="s">
        <v>6254</v>
      </c>
    </row>
    <row r="1342" spans="1:17">
      <c r="A1342" s="6" t="s">
        <v>10103</v>
      </c>
      <c r="B1342" s="6" t="s">
        <v>10104</v>
      </c>
      <c r="C1342" s="6" t="s">
        <v>10105</v>
      </c>
      <c r="D1342" s="6" t="s">
        <v>10106</v>
      </c>
      <c r="E1342" s="6" t="s">
        <v>10107</v>
      </c>
      <c r="F1342" s="6">
        <v>14.299166813349901</v>
      </c>
      <c r="G1342" s="6">
        <v>13.6605888171609</v>
      </c>
      <c r="H1342" s="6">
        <v>14.024553212119701</v>
      </c>
      <c r="I1342" s="6">
        <v>14.7774577765343</v>
      </c>
      <c r="J1342" s="6" t="s">
        <v>6254</v>
      </c>
      <c r="K1342" s="6">
        <v>13.7589342031086</v>
      </c>
      <c r="L1342" s="6">
        <v>14.855227505429299</v>
      </c>
      <c r="M1342" s="6" t="s">
        <v>6254</v>
      </c>
      <c r="N1342" s="6" t="s">
        <v>6254</v>
      </c>
      <c r="O1342" s="6">
        <v>14.431406413002</v>
      </c>
      <c r="P1342" s="6">
        <v>13.8543229826389</v>
      </c>
      <c r="Q1342" s="6">
        <v>12.260523209834901</v>
      </c>
    </row>
    <row r="1343" spans="1:17">
      <c r="A1343" s="6" t="s">
        <v>1235</v>
      </c>
      <c r="B1343" s="6" t="s">
        <v>1235</v>
      </c>
      <c r="C1343" s="6" t="s">
        <v>10108</v>
      </c>
      <c r="D1343" s="6" t="s">
        <v>10109</v>
      </c>
      <c r="E1343" s="6" t="s">
        <v>10109</v>
      </c>
      <c r="F1343" s="6">
        <v>14.6608076003675</v>
      </c>
      <c r="G1343" s="6">
        <v>14.1987665359869</v>
      </c>
      <c r="H1343" s="6">
        <v>14.348954015743001</v>
      </c>
      <c r="I1343" s="6">
        <v>14.7315000223523</v>
      </c>
      <c r="J1343" s="6">
        <v>13.604994353992099</v>
      </c>
      <c r="K1343" s="6">
        <v>14.2076980795163</v>
      </c>
      <c r="L1343" s="6">
        <v>14.360941672938299</v>
      </c>
      <c r="M1343" s="6">
        <v>13.305665747805399</v>
      </c>
      <c r="N1343" s="6">
        <v>13.137981099512899</v>
      </c>
      <c r="O1343" s="6">
        <v>14.6136804415738</v>
      </c>
      <c r="P1343" s="6">
        <v>14.3479235894591</v>
      </c>
      <c r="Q1343" s="6">
        <v>12.400425627023401</v>
      </c>
    </row>
    <row r="1344" spans="1:17">
      <c r="A1344" s="6" t="s">
        <v>4349</v>
      </c>
      <c r="B1344" s="6" t="s">
        <v>4349</v>
      </c>
      <c r="C1344" s="6" t="s">
        <v>10110</v>
      </c>
      <c r="D1344" s="6" t="s">
        <v>10111</v>
      </c>
      <c r="E1344" s="6" t="s">
        <v>10111</v>
      </c>
      <c r="F1344" s="6">
        <v>14.3612115675755</v>
      </c>
      <c r="G1344" s="6" t="s">
        <v>6254</v>
      </c>
      <c r="H1344" s="6">
        <v>14.133492089889</v>
      </c>
      <c r="I1344" s="6">
        <v>14.622511548334201</v>
      </c>
      <c r="J1344" s="6">
        <v>13.211551233629599</v>
      </c>
      <c r="K1344" s="6">
        <v>13.749531248576099</v>
      </c>
      <c r="L1344" s="6">
        <v>14.4440177099974</v>
      </c>
      <c r="M1344" s="6" t="s">
        <v>6254</v>
      </c>
      <c r="N1344" s="6">
        <v>14.0658546177647</v>
      </c>
      <c r="O1344" s="6">
        <v>14.0984871378694</v>
      </c>
      <c r="P1344" s="6">
        <v>14.2009834159007</v>
      </c>
      <c r="Q1344" s="6" t="s">
        <v>6254</v>
      </c>
    </row>
    <row r="1345" spans="1:17">
      <c r="A1345" s="6" t="s">
        <v>4249</v>
      </c>
      <c r="B1345" s="6" t="s">
        <v>4249</v>
      </c>
      <c r="C1345" s="6" t="s">
        <v>10112</v>
      </c>
      <c r="D1345" s="6" t="s">
        <v>10113</v>
      </c>
      <c r="E1345" s="6" t="s">
        <v>10113</v>
      </c>
      <c r="F1345" s="6">
        <v>13.594934527520801</v>
      </c>
      <c r="G1345" s="6" t="s">
        <v>6254</v>
      </c>
      <c r="H1345" s="6">
        <v>15.077234116321501</v>
      </c>
      <c r="I1345" s="6">
        <v>15.092278058845199</v>
      </c>
      <c r="J1345" s="6">
        <v>14.498096991004701</v>
      </c>
      <c r="K1345" s="6">
        <v>13.2705363745479</v>
      </c>
      <c r="L1345" s="6">
        <v>14.9435255278604</v>
      </c>
      <c r="M1345" s="6">
        <v>13.6803732443953</v>
      </c>
      <c r="N1345" s="6">
        <v>14.841264874894501</v>
      </c>
      <c r="O1345" s="6">
        <v>13.741735379549</v>
      </c>
      <c r="P1345" s="6">
        <v>13.790959083742599</v>
      </c>
      <c r="Q1345" s="6" t="s">
        <v>6254</v>
      </c>
    </row>
    <row r="1346" spans="1:17">
      <c r="A1346" s="6" t="s">
        <v>1794</v>
      </c>
      <c r="B1346" s="6" t="s">
        <v>1794</v>
      </c>
      <c r="C1346" s="6" t="s">
        <v>10114</v>
      </c>
      <c r="D1346" s="6" t="s">
        <v>10115</v>
      </c>
      <c r="E1346" s="6" t="s">
        <v>10115</v>
      </c>
      <c r="F1346" s="6">
        <v>14.262817875346901</v>
      </c>
      <c r="G1346" s="6">
        <v>14.148860130798401</v>
      </c>
      <c r="H1346" s="6">
        <v>14.258753557111</v>
      </c>
      <c r="I1346" s="6">
        <v>14.541003826890799</v>
      </c>
      <c r="J1346" s="6">
        <v>13.0636321946719</v>
      </c>
      <c r="K1346" s="6">
        <v>13.8215770834308</v>
      </c>
      <c r="L1346" s="6">
        <v>14.585214335127899</v>
      </c>
      <c r="M1346" s="6">
        <v>13.2956448592938</v>
      </c>
      <c r="N1346" s="6">
        <v>14.316771895897499</v>
      </c>
      <c r="O1346" s="6">
        <v>14.379492780500501</v>
      </c>
      <c r="P1346" s="6">
        <v>14.144989264382099</v>
      </c>
      <c r="Q1346" s="6">
        <v>12.9712301443189</v>
      </c>
    </row>
    <row r="1347" spans="1:17">
      <c r="A1347" s="6" t="s">
        <v>10116</v>
      </c>
      <c r="B1347" s="6" t="s">
        <v>10116</v>
      </c>
      <c r="C1347" s="6" t="s">
        <v>10117</v>
      </c>
      <c r="D1347" s="6" t="s">
        <v>10118</v>
      </c>
      <c r="E1347" s="6" t="s">
        <v>10118</v>
      </c>
      <c r="F1347" s="6">
        <v>14.6461409874889</v>
      </c>
      <c r="G1347" s="6">
        <v>14.0481324725533</v>
      </c>
      <c r="H1347" s="6">
        <v>14.089296733967</v>
      </c>
      <c r="I1347" s="6">
        <v>14.909294258500699</v>
      </c>
      <c r="J1347" s="6" t="s">
        <v>6254</v>
      </c>
      <c r="K1347" s="6">
        <v>14.265398573922401</v>
      </c>
      <c r="L1347" s="6">
        <v>14.572706241271099</v>
      </c>
      <c r="M1347" s="6" t="s">
        <v>6254</v>
      </c>
      <c r="N1347" s="6">
        <v>12.6875090942674</v>
      </c>
      <c r="O1347" s="6">
        <v>14.697732380905</v>
      </c>
      <c r="P1347" s="6">
        <v>14.4304930542822</v>
      </c>
      <c r="Q1347" s="6">
        <v>11.230702351899399</v>
      </c>
    </row>
    <row r="1348" spans="1:17">
      <c r="A1348" s="6" t="s">
        <v>10119</v>
      </c>
      <c r="B1348" s="6" t="s">
        <v>10120</v>
      </c>
      <c r="C1348" s="6" t="s">
        <v>10121</v>
      </c>
      <c r="D1348" s="6" t="s">
        <v>10122</v>
      </c>
      <c r="E1348" s="6" t="s">
        <v>10123</v>
      </c>
      <c r="F1348" s="6">
        <v>14.828225005247999</v>
      </c>
      <c r="G1348" s="6">
        <v>14.414034049922799</v>
      </c>
      <c r="H1348" s="6">
        <v>14.397237668904699</v>
      </c>
      <c r="I1348" s="6">
        <v>14.9333249976389</v>
      </c>
      <c r="J1348" s="6">
        <v>13.3337155772888</v>
      </c>
      <c r="K1348" s="6">
        <v>13.6408885636236</v>
      </c>
      <c r="L1348" s="6">
        <v>14.5203671344133</v>
      </c>
      <c r="M1348" s="6">
        <v>13.5155251451848</v>
      </c>
      <c r="N1348" s="6">
        <v>14.4718569109036</v>
      </c>
      <c r="O1348" s="6">
        <v>14.5438550014913</v>
      </c>
      <c r="P1348" s="6">
        <v>13.9174671338266</v>
      </c>
      <c r="Q1348" s="6">
        <v>12.5156864286062</v>
      </c>
    </row>
    <row r="1349" spans="1:17">
      <c r="A1349" s="6" t="s">
        <v>10124</v>
      </c>
      <c r="B1349" s="6" t="s">
        <v>10125</v>
      </c>
      <c r="C1349" s="6" t="s">
        <v>10126</v>
      </c>
      <c r="D1349" s="6" t="s">
        <v>10127</v>
      </c>
      <c r="E1349" s="6" t="s">
        <v>10128</v>
      </c>
      <c r="F1349" s="6">
        <v>14.2364557244201</v>
      </c>
      <c r="G1349" s="6">
        <v>14.3671638300172</v>
      </c>
      <c r="H1349" s="6">
        <v>14.8988032801179</v>
      </c>
      <c r="I1349" s="6">
        <v>15.177595413979001</v>
      </c>
      <c r="J1349" s="6">
        <v>13.866007187956599</v>
      </c>
      <c r="K1349" s="6">
        <v>14.107662256641699</v>
      </c>
      <c r="L1349" s="6">
        <v>14.403547468542</v>
      </c>
      <c r="M1349" s="6">
        <v>14.1173297209815</v>
      </c>
      <c r="N1349" s="6">
        <v>14.6545239430741</v>
      </c>
      <c r="O1349" s="6">
        <v>14.585655486235201</v>
      </c>
      <c r="P1349" s="6">
        <v>14.5834345918854</v>
      </c>
      <c r="Q1349" s="6">
        <v>12.211281998175499</v>
      </c>
    </row>
    <row r="1350" spans="1:17">
      <c r="A1350" s="6" t="s">
        <v>10129</v>
      </c>
      <c r="B1350" s="6" t="s">
        <v>10130</v>
      </c>
      <c r="C1350" s="6" t="s">
        <v>10131</v>
      </c>
      <c r="D1350" s="6" t="s">
        <v>10132</v>
      </c>
      <c r="E1350" s="6" t="s">
        <v>10133</v>
      </c>
      <c r="F1350" s="6">
        <v>14.6939832873661</v>
      </c>
      <c r="G1350" s="6">
        <v>13.9581191219355</v>
      </c>
      <c r="H1350" s="6">
        <v>14.003494804459899</v>
      </c>
      <c r="I1350" s="6">
        <v>14.889822350814701</v>
      </c>
      <c r="J1350" s="6">
        <v>13.3388110080083</v>
      </c>
      <c r="K1350" s="6">
        <v>14.3101806330172</v>
      </c>
      <c r="L1350" s="6">
        <v>14.645463085020999</v>
      </c>
      <c r="M1350" s="6">
        <v>13.1509004813076</v>
      </c>
      <c r="N1350" s="6">
        <v>13.5440652138841</v>
      </c>
      <c r="O1350" s="6">
        <v>14.206664604457799</v>
      </c>
      <c r="P1350" s="6">
        <v>14.278323975245099</v>
      </c>
      <c r="Q1350" s="6">
        <v>12.857978845957099</v>
      </c>
    </row>
    <row r="1351" spans="1:17">
      <c r="A1351" s="6" t="s">
        <v>1425</v>
      </c>
      <c r="B1351" s="6" t="s">
        <v>1425</v>
      </c>
      <c r="C1351" s="6" t="s">
        <v>10134</v>
      </c>
      <c r="D1351" s="6" t="s">
        <v>10135</v>
      </c>
      <c r="E1351" s="6" t="s">
        <v>10135</v>
      </c>
      <c r="F1351" s="6">
        <v>14.5171560224723</v>
      </c>
      <c r="G1351" s="6">
        <v>13.9855937248564</v>
      </c>
      <c r="H1351" s="6">
        <v>13.917914910955</v>
      </c>
      <c r="I1351" s="6">
        <v>14.889378280075899</v>
      </c>
      <c r="J1351" s="6">
        <v>13.129333235622299</v>
      </c>
      <c r="K1351" s="6">
        <v>14.1938000859681</v>
      </c>
      <c r="L1351" s="6">
        <v>14.577177269686899</v>
      </c>
      <c r="M1351" s="6">
        <v>13.337920429422301</v>
      </c>
      <c r="N1351" s="6">
        <v>13.303085111325</v>
      </c>
      <c r="O1351" s="6">
        <v>14.2845360524367</v>
      </c>
      <c r="P1351" s="6">
        <v>14.488829378102899</v>
      </c>
      <c r="Q1351" s="6">
        <v>13.090067290725401</v>
      </c>
    </row>
    <row r="1352" spans="1:17">
      <c r="A1352" s="6" t="s">
        <v>10136</v>
      </c>
      <c r="B1352" s="6" t="s">
        <v>10137</v>
      </c>
      <c r="C1352" s="6" t="s">
        <v>10138</v>
      </c>
      <c r="D1352" s="6" t="s">
        <v>10139</v>
      </c>
      <c r="E1352" s="6" t="s">
        <v>10140</v>
      </c>
      <c r="F1352" s="6">
        <v>14.093179699152101</v>
      </c>
      <c r="G1352" s="6" t="s">
        <v>6254</v>
      </c>
      <c r="H1352" s="6">
        <v>15.656744156840899</v>
      </c>
      <c r="I1352" s="6">
        <v>16.118285923614199</v>
      </c>
      <c r="J1352" s="6">
        <v>14.925323859729099</v>
      </c>
      <c r="K1352" s="6">
        <v>14.675607985086801</v>
      </c>
      <c r="L1352" s="6">
        <v>15.4095068135394</v>
      </c>
      <c r="M1352" s="6">
        <v>13.9547906814787</v>
      </c>
      <c r="N1352" s="6">
        <v>14.293267680435401</v>
      </c>
      <c r="O1352" s="6">
        <v>13.598578706150001</v>
      </c>
      <c r="P1352" s="6">
        <v>13.5186744230946</v>
      </c>
      <c r="Q1352" s="6">
        <v>12.4227817848244</v>
      </c>
    </row>
    <row r="1353" spans="1:17">
      <c r="A1353" s="6" t="s">
        <v>1549</v>
      </c>
      <c r="B1353" s="6" t="s">
        <v>1551</v>
      </c>
      <c r="C1353" s="6" t="s">
        <v>10141</v>
      </c>
      <c r="D1353" s="6" t="s">
        <v>10142</v>
      </c>
      <c r="E1353" s="6" t="s">
        <v>10143</v>
      </c>
      <c r="F1353" s="6">
        <v>14.206827602138301</v>
      </c>
      <c r="G1353" s="6">
        <v>13.9859820570259</v>
      </c>
      <c r="H1353" s="6">
        <v>14.1442091061756</v>
      </c>
      <c r="I1353" s="6">
        <v>14.988264761066301</v>
      </c>
      <c r="J1353" s="6">
        <v>13.670072127940101</v>
      </c>
      <c r="K1353" s="6">
        <v>14.056095669525501</v>
      </c>
      <c r="L1353" s="6">
        <v>14.603313323812401</v>
      </c>
      <c r="M1353" s="6">
        <v>13.0364998201575</v>
      </c>
      <c r="N1353" s="6">
        <v>13.009921147971699</v>
      </c>
      <c r="O1353" s="6">
        <v>14.4713697581234</v>
      </c>
      <c r="P1353" s="6">
        <v>14.446436977276299</v>
      </c>
      <c r="Q1353" s="6">
        <v>12.678749589934</v>
      </c>
    </row>
    <row r="1354" spans="1:17">
      <c r="A1354" s="6" t="s">
        <v>10144</v>
      </c>
      <c r="B1354" s="6" t="s">
        <v>10144</v>
      </c>
      <c r="C1354" s="6" t="s">
        <v>10144</v>
      </c>
      <c r="D1354" s="6" t="s">
        <v>10144</v>
      </c>
      <c r="E1354" s="6" t="s">
        <v>10144</v>
      </c>
      <c r="F1354" s="6" t="s">
        <v>6254</v>
      </c>
      <c r="G1354" s="6" t="s">
        <v>6254</v>
      </c>
      <c r="H1354" s="6" t="s">
        <v>6254</v>
      </c>
      <c r="I1354" s="6" t="s">
        <v>6254</v>
      </c>
      <c r="J1354" s="6" t="s">
        <v>6254</v>
      </c>
      <c r="K1354" s="6" t="s">
        <v>6254</v>
      </c>
      <c r="L1354" s="6" t="s">
        <v>6254</v>
      </c>
      <c r="M1354" s="6" t="s">
        <v>6254</v>
      </c>
      <c r="N1354" s="6">
        <v>16.9120772672055</v>
      </c>
      <c r="O1354" s="6" t="s">
        <v>6254</v>
      </c>
      <c r="P1354" s="6" t="s">
        <v>6254</v>
      </c>
      <c r="Q1354" s="6" t="s">
        <v>6254</v>
      </c>
    </row>
    <row r="1355" spans="1:17">
      <c r="A1355" s="6" t="s">
        <v>10145</v>
      </c>
      <c r="B1355" s="6" t="s">
        <v>10145</v>
      </c>
      <c r="C1355" s="6" t="s">
        <v>10146</v>
      </c>
      <c r="D1355" s="6" t="s">
        <v>10147</v>
      </c>
      <c r="E1355" s="6" t="s">
        <v>10147</v>
      </c>
      <c r="F1355" s="6">
        <v>12.344427739757499</v>
      </c>
      <c r="G1355" s="6">
        <v>13.707839409774801</v>
      </c>
      <c r="H1355" s="6">
        <v>14.247749954883201</v>
      </c>
      <c r="I1355" s="6">
        <v>14.231521291277501</v>
      </c>
      <c r="J1355" s="6">
        <v>14.0238271795783</v>
      </c>
      <c r="K1355" s="6">
        <v>14.726121560287501</v>
      </c>
      <c r="L1355" s="6">
        <v>15.741082219399701</v>
      </c>
      <c r="M1355" s="6">
        <v>13.6994773902058</v>
      </c>
      <c r="N1355" s="6">
        <v>14.4434378380986</v>
      </c>
      <c r="O1355" s="6">
        <v>14.246987351703799</v>
      </c>
      <c r="P1355" s="6">
        <v>14.499848610292201</v>
      </c>
      <c r="Q1355" s="6" t="s">
        <v>6254</v>
      </c>
    </row>
    <row r="1356" spans="1:17">
      <c r="A1356" s="6" t="s">
        <v>10148</v>
      </c>
      <c r="B1356" s="6" t="s">
        <v>10148</v>
      </c>
      <c r="C1356" s="6" t="s">
        <v>10149</v>
      </c>
      <c r="D1356" s="6" t="s">
        <v>10150</v>
      </c>
      <c r="E1356" s="6" t="s">
        <v>10150</v>
      </c>
      <c r="F1356" s="6">
        <v>14.2333189419418</v>
      </c>
      <c r="G1356" s="6">
        <v>14.0125640027688</v>
      </c>
      <c r="H1356" s="6">
        <v>14.146012861868201</v>
      </c>
      <c r="I1356" s="6">
        <v>14.52912708203</v>
      </c>
      <c r="J1356" s="6">
        <v>13.127074225049199</v>
      </c>
      <c r="K1356" s="6" t="s">
        <v>6254</v>
      </c>
      <c r="L1356" s="6">
        <v>14.556267234087301</v>
      </c>
      <c r="M1356" s="6">
        <v>13.5074130385457</v>
      </c>
      <c r="N1356" s="6">
        <v>13.7611680400362</v>
      </c>
      <c r="O1356" s="6">
        <v>13.817213413427501</v>
      </c>
      <c r="P1356" s="6">
        <v>13.1598877779189</v>
      </c>
      <c r="Q1356" s="6">
        <v>13.0967297884077</v>
      </c>
    </row>
    <row r="1357" spans="1:17">
      <c r="A1357" s="6" t="s">
        <v>3495</v>
      </c>
      <c r="B1357" s="6" t="s">
        <v>3495</v>
      </c>
      <c r="C1357" s="6" t="s">
        <v>10151</v>
      </c>
      <c r="D1357" s="6" t="s">
        <v>10152</v>
      </c>
      <c r="E1357" s="6" t="s">
        <v>10152</v>
      </c>
      <c r="F1357" s="6">
        <v>14.117299061325999</v>
      </c>
      <c r="G1357" s="6">
        <v>14.185797819920101</v>
      </c>
      <c r="H1357" s="6">
        <v>13.8798621097362</v>
      </c>
      <c r="I1357" s="6">
        <v>14.3320294707848</v>
      </c>
      <c r="J1357" s="6" t="s">
        <v>6254</v>
      </c>
      <c r="K1357" s="6">
        <v>14.0909482221264</v>
      </c>
      <c r="L1357" s="6">
        <v>14.6442921905397</v>
      </c>
      <c r="M1357" s="6" t="s">
        <v>6254</v>
      </c>
      <c r="N1357" s="6">
        <v>13.151031724776299</v>
      </c>
      <c r="O1357" s="6">
        <v>14.3839922369937</v>
      </c>
      <c r="P1357" s="6">
        <v>14.5152927519178</v>
      </c>
      <c r="Q1357" s="6">
        <v>12.542453402287499</v>
      </c>
    </row>
    <row r="1358" spans="1:17">
      <c r="A1358" s="6" t="s">
        <v>968</v>
      </c>
      <c r="B1358" s="6" t="s">
        <v>968</v>
      </c>
      <c r="C1358" s="6" t="s">
        <v>10153</v>
      </c>
      <c r="D1358" s="6" t="s">
        <v>10154</v>
      </c>
      <c r="E1358" s="6" t="s">
        <v>10154</v>
      </c>
      <c r="F1358" s="6">
        <v>14.6643890296676</v>
      </c>
      <c r="G1358" s="6">
        <v>13.667965299411501</v>
      </c>
      <c r="H1358" s="6">
        <v>14.2847813444442</v>
      </c>
      <c r="I1358" s="6">
        <v>14.702567253902</v>
      </c>
      <c r="J1358" s="6">
        <v>13.2775034490257</v>
      </c>
      <c r="K1358" s="6">
        <v>13.8857566827255</v>
      </c>
      <c r="L1358" s="6">
        <v>14.528817780134499</v>
      </c>
      <c r="M1358" s="6">
        <v>13.241934285369799</v>
      </c>
      <c r="N1358" s="6">
        <v>14.322606578015501</v>
      </c>
      <c r="O1358" s="6">
        <v>14.2607328570354</v>
      </c>
      <c r="P1358" s="6">
        <v>14.2611199384047</v>
      </c>
      <c r="Q1358" s="6">
        <v>12.4401027731311</v>
      </c>
    </row>
    <row r="1359" spans="1:17">
      <c r="A1359" s="6" t="s">
        <v>10155</v>
      </c>
      <c r="B1359" s="6" t="s">
        <v>10155</v>
      </c>
      <c r="C1359" s="6" t="s">
        <v>10156</v>
      </c>
      <c r="D1359" s="6" t="s">
        <v>10157</v>
      </c>
      <c r="E1359" s="6" t="s">
        <v>10157</v>
      </c>
      <c r="F1359" s="6">
        <v>14.5706379206978</v>
      </c>
      <c r="G1359" s="6">
        <v>14.1428679562353</v>
      </c>
      <c r="H1359" s="6">
        <v>14.0103518211096</v>
      </c>
      <c r="I1359" s="6">
        <v>14.8207805870892</v>
      </c>
      <c r="J1359" s="6">
        <v>13.130703849101501</v>
      </c>
      <c r="K1359" s="6">
        <v>14.0786021709458</v>
      </c>
      <c r="L1359" s="6">
        <v>14.6136322193443</v>
      </c>
      <c r="M1359" s="6">
        <v>13.3413596967237</v>
      </c>
      <c r="N1359" s="6">
        <v>13.9738319143528</v>
      </c>
      <c r="O1359" s="6">
        <v>14.3869009596353</v>
      </c>
      <c r="P1359" s="6">
        <v>14.2306325795322</v>
      </c>
      <c r="Q1359" s="6">
        <v>13.1780136775189</v>
      </c>
    </row>
    <row r="1360" spans="1:17">
      <c r="A1360" s="6" t="s">
        <v>10158</v>
      </c>
      <c r="B1360" s="6" t="s">
        <v>10158</v>
      </c>
      <c r="C1360" s="6" t="s">
        <v>10158</v>
      </c>
      <c r="D1360" s="6" t="s">
        <v>10158</v>
      </c>
      <c r="E1360" s="6" t="s">
        <v>10158</v>
      </c>
      <c r="F1360" s="6" t="s">
        <v>6254</v>
      </c>
      <c r="G1360" s="6" t="s">
        <v>6254</v>
      </c>
      <c r="H1360" s="6">
        <v>10.544783096001501</v>
      </c>
      <c r="I1360" s="6" t="s">
        <v>6254</v>
      </c>
      <c r="J1360" s="6">
        <v>17.0806237756888</v>
      </c>
      <c r="K1360" s="6" t="s">
        <v>6254</v>
      </c>
      <c r="L1360" s="6" t="s">
        <v>6254</v>
      </c>
      <c r="M1360" s="6" t="s">
        <v>6254</v>
      </c>
      <c r="N1360" s="6" t="s">
        <v>6254</v>
      </c>
      <c r="O1360" s="6" t="s">
        <v>6254</v>
      </c>
      <c r="P1360" s="6">
        <v>18.336464346134399</v>
      </c>
      <c r="Q1360" s="6" t="s">
        <v>6254</v>
      </c>
    </row>
    <row r="1361" spans="1:17">
      <c r="A1361" s="6" t="s">
        <v>5678</v>
      </c>
      <c r="B1361" s="6" t="s">
        <v>5678</v>
      </c>
      <c r="C1361" s="6" t="s">
        <v>10159</v>
      </c>
      <c r="D1361" s="6" t="s">
        <v>10160</v>
      </c>
      <c r="E1361" s="6" t="s">
        <v>10160</v>
      </c>
      <c r="F1361" s="6">
        <v>14.1373074333662</v>
      </c>
      <c r="G1361" s="6">
        <v>13.3831808310263</v>
      </c>
      <c r="H1361" s="6">
        <v>14.0691263582584</v>
      </c>
      <c r="I1361" s="6">
        <v>14.927536642063901</v>
      </c>
      <c r="J1361" s="6">
        <v>13.3883955794826</v>
      </c>
      <c r="K1361" s="6">
        <v>14.2232556094804</v>
      </c>
      <c r="L1361" s="6">
        <v>14.9535287373287</v>
      </c>
      <c r="M1361" s="6">
        <v>13.2295035436565</v>
      </c>
      <c r="N1361" s="6">
        <v>13.587117100534</v>
      </c>
      <c r="O1361" s="6">
        <v>14.225880438528399</v>
      </c>
      <c r="P1361" s="6">
        <v>14.4996043207439</v>
      </c>
      <c r="Q1361" s="6">
        <v>13.127037634380301</v>
      </c>
    </row>
    <row r="1362" spans="1:17">
      <c r="A1362" s="6" t="s">
        <v>3806</v>
      </c>
      <c r="B1362" s="6" t="s">
        <v>3806</v>
      </c>
      <c r="C1362" s="6" t="s">
        <v>10161</v>
      </c>
      <c r="D1362" s="6" t="s">
        <v>10162</v>
      </c>
      <c r="E1362" s="6" t="s">
        <v>10162</v>
      </c>
      <c r="F1362" s="6">
        <v>14.535990823718199</v>
      </c>
      <c r="G1362" s="6">
        <v>13.397643179710199</v>
      </c>
      <c r="H1362" s="6">
        <v>13.9811107215454</v>
      </c>
      <c r="I1362" s="6">
        <v>15.0831903402155</v>
      </c>
      <c r="J1362" s="6" t="s">
        <v>6254</v>
      </c>
      <c r="K1362" s="6">
        <v>14.0274731430945</v>
      </c>
      <c r="L1362" s="6">
        <v>14.5148729757375</v>
      </c>
      <c r="M1362" s="6">
        <v>13.236877525211099</v>
      </c>
      <c r="N1362" s="6">
        <v>13.9188541116217</v>
      </c>
      <c r="O1362" s="6">
        <v>14.1428411810738</v>
      </c>
      <c r="P1362" s="6">
        <v>14.4155752637693</v>
      </c>
      <c r="Q1362" s="6" t="s">
        <v>6254</v>
      </c>
    </row>
    <row r="1363" spans="1:17">
      <c r="A1363" s="6" t="s">
        <v>1465</v>
      </c>
      <c r="B1363" s="6" t="s">
        <v>1465</v>
      </c>
      <c r="C1363" s="6" t="s">
        <v>10163</v>
      </c>
      <c r="D1363" s="6" t="s">
        <v>10164</v>
      </c>
      <c r="E1363" s="6" t="s">
        <v>10164</v>
      </c>
      <c r="F1363" s="6">
        <v>14.7950886806802</v>
      </c>
      <c r="G1363" s="6">
        <v>13.934118176017099</v>
      </c>
      <c r="H1363" s="6">
        <v>14.0358246848548</v>
      </c>
      <c r="I1363" s="6">
        <v>14.797390663979799</v>
      </c>
      <c r="J1363" s="6">
        <v>13.2094600618379</v>
      </c>
      <c r="K1363" s="6">
        <v>13.9887486323421</v>
      </c>
      <c r="L1363" s="6">
        <v>14.668838800427</v>
      </c>
      <c r="M1363" s="6">
        <v>13.363266866328001</v>
      </c>
      <c r="N1363" s="6">
        <v>14.0391648900434</v>
      </c>
      <c r="O1363" s="6">
        <v>14.3843949607806</v>
      </c>
      <c r="P1363" s="6">
        <v>14.062417667011401</v>
      </c>
      <c r="Q1363" s="6">
        <v>11.980347261900899</v>
      </c>
    </row>
    <row r="1364" spans="1:17">
      <c r="A1364" s="6" t="s">
        <v>10165</v>
      </c>
      <c r="B1364" s="6" t="s">
        <v>10165</v>
      </c>
      <c r="C1364" s="6" t="s">
        <v>10166</v>
      </c>
      <c r="D1364" s="6" t="s">
        <v>10167</v>
      </c>
      <c r="E1364" s="6" t="s">
        <v>10167</v>
      </c>
      <c r="F1364" s="6">
        <v>15.778608429884599</v>
      </c>
      <c r="G1364" s="6">
        <v>14.271242834373099</v>
      </c>
      <c r="H1364" s="6">
        <v>14.1595660102035</v>
      </c>
      <c r="I1364" s="6">
        <v>14.962924736688301</v>
      </c>
      <c r="J1364" s="6">
        <v>12.672600157034701</v>
      </c>
      <c r="K1364" s="6">
        <v>13.5050222932681</v>
      </c>
      <c r="L1364" s="6">
        <v>14.624448078137901</v>
      </c>
      <c r="M1364" s="6">
        <v>14.720481948402</v>
      </c>
      <c r="N1364" s="6">
        <v>15.4622028478234</v>
      </c>
      <c r="O1364" s="6">
        <v>14.142194305892501</v>
      </c>
      <c r="P1364" s="6">
        <v>14.6259441845664</v>
      </c>
      <c r="Q1364" s="6" t="s">
        <v>6254</v>
      </c>
    </row>
    <row r="1365" spans="1:17">
      <c r="A1365" s="6" t="s">
        <v>1413</v>
      </c>
      <c r="B1365" s="6" t="s">
        <v>1413</v>
      </c>
      <c r="C1365" s="6" t="s">
        <v>10168</v>
      </c>
      <c r="D1365" s="6" t="s">
        <v>10169</v>
      </c>
      <c r="E1365" s="6" t="s">
        <v>10169</v>
      </c>
      <c r="F1365" s="6">
        <v>14.622881726905</v>
      </c>
      <c r="G1365" s="6">
        <v>14.1678354816423</v>
      </c>
      <c r="H1365" s="6">
        <v>14.0939334446795</v>
      </c>
      <c r="I1365" s="6">
        <v>14.878411829406</v>
      </c>
      <c r="J1365" s="6">
        <v>13.5242509657303</v>
      </c>
      <c r="K1365" s="6">
        <v>13.772855751173999</v>
      </c>
      <c r="L1365" s="6">
        <v>14.723953419083101</v>
      </c>
      <c r="M1365" s="6">
        <v>12.774511631533599</v>
      </c>
      <c r="N1365" s="6">
        <v>14.3003946965121</v>
      </c>
      <c r="O1365" s="6">
        <v>14.479334254639699</v>
      </c>
      <c r="P1365" s="6">
        <v>14.206347833412201</v>
      </c>
      <c r="Q1365" s="6">
        <v>12.5097494525559</v>
      </c>
    </row>
    <row r="1366" spans="1:17">
      <c r="A1366" s="6" t="s">
        <v>10170</v>
      </c>
      <c r="B1366" s="6" t="s">
        <v>2477</v>
      </c>
      <c r="C1366" s="6" t="s">
        <v>10171</v>
      </c>
      <c r="D1366" s="6" t="s">
        <v>10172</v>
      </c>
      <c r="E1366" s="6" t="s">
        <v>10173</v>
      </c>
      <c r="F1366" s="6">
        <v>14.7519777273637</v>
      </c>
      <c r="G1366" s="6">
        <v>14.0599874220737</v>
      </c>
      <c r="H1366" s="6">
        <v>13.999484304245099</v>
      </c>
      <c r="I1366" s="6">
        <v>14.5407045901469</v>
      </c>
      <c r="J1366" s="6">
        <v>13.301418359127799</v>
      </c>
      <c r="K1366" s="6">
        <v>13.5162000416605</v>
      </c>
      <c r="L1366" s="6">
        <v>14.7304894301295</v>
      </c>
      <c r="M1366" s="6">
        <v>12.374929396449801</v>
      </c>
      <c r="N1366" s="6">
        <v>14.2855909426609</v>
      </c>
      <c r="O1366" s="6">
        <v>14.4493266279966</v>
      </c>
      <c r="P1366" s="6">
        <v>14.419596890687499</v>
      </c>
      <c r="Q1366" s="6">
        <v>13.0353871976422</v>
      </c>
    </row>
    <row r="1367" spans="1:17">
      <c r="A1367" s="6" t="s">
        <v>2885</v>
      </c>
      <c r="B1367" s="6" t="s">
        <v>2885</v>
      </c>
      <c r="C1367" s="6" t="s">
        <v>10174</v>
      </c>
      <c r="D1367" s="6" t="s">
        <v>10175</v>
      </c>
      <c r="E1367" s="6" t="s">
        <v>10175</v>
      </c>
      <c r="F1367" s="6">
        <v>14.282944149547401</v>
      </c>
      <c r="G1367" s="6" t="s">
        <v>6254</v>
      </c>
      <c r="H1367" s="6">
        <v>14.5093976939503</v>
      </c>
      <c r="I1367" s="6">
        <v>15.6607434819571</v>
      </c>
      <c r="J1367" s="6">
        <v>13.983758690689699</v>
      </c>
      <c r="K1367" s="6">
        <v>14.1828829354428</v>
      </c>
      <c r="L1367" s="6">
        <v>14.572152120460601</v>
      </c>
      <c r="M1367" s="6">
        <v>12.321501124310601</v>
      </c>
      <c r="N1367" s="6">
        <v>14.533939498412799</v>
      </c>
      <c r="O1367" s="6">
        <v>13.0860361858623</v>
      </c>
      <c r="P1367" s="6">
        <v>12.6204096636689</v>
      </c>
      <c r="Q1367" s="6" t="s">
        <v>6254</v>
      </c>
    </row>
    <row r="1368" spans="1:17">
      <c r="A1368" s="6" t="s">
        <v>10176</v>
      </c>
      <c r="B1368" s="6" t="s">
        <v>10177</v>
      </c>
      <c r="C1368" s="6" t="s">
        <v>10178</v>
      </c>
      <c r="D1368" s="6" t="s">
        <v>10179</v>
      </c>
      <c r="E1368" s="6" t="s">
        <v>10180</v>
      </c>
      <c r="F1368" s="6">
        <v>14.490832799733999</v>
      </c>
      <c r="G1368" s="6">
        <v>14.2086615193491</v>
      </c>
      <c r="H1368" s="6">
        <v>13.987149296178099</v>
      </c>
      <c r="I1368" s="6">
        <v>14.827175629689499</v>
      </c>
      <c r="J1368" s="6">
        <v>13.5103680564937</v>
      </c>
      <c r="K1368" s="6">
        <v>14.1713221723603</v>
      </c>
      <c r="L1368" s="6">
        <v>14.3893359471436</v>
      </c>
      <c r="M1368" s="6">
        <v>13.0508398931311</v>
      </c>
      <c r="N1368" s="6">
        <v>13.218708961742401</v>
      </c>
      <c r="O1368" s="6">
        <v>14.4910589774827</v>
      </c>
      <c r="P1368" s="6">
        <v>14.763727545129999</v>
      </c>
      <c r="Q1368" s="6">
        <v>12.564366577180101</v>
      </c>
    </row>
    <row r="1369" spans="1:17">
      <c r="A1369" s="6" t="s">
        <v>1627</v>
      </c>
      <c r="B1369" s="6" t="s">
        <v>1627</v>
      </c>
      <c r="C1369" s="6" t="s">
        <v>10181</v>
      </c>
      <c r="D1369" s="6" t="s">
        <v>10182</v>
      </c>
      <c r="E1369" s="6" t="s">
        <v>10182</v>
      </c>
      <c r="F1369" s="6">
        <v>14.5002773118585</v>
      </c>
      <c r="G1369" s="6">
        <v>13.6838478343983</v>
      </c>
      <c r="H1369" s="6">
        <v>13.6462932279487</v>
      </c>
      <c r="I1369" s="6">
        <v>14.580518702513199</v>
      </c>
      <c r="J1369" s="6">
        <v>13.336307569597199</v>
      </c>
      <c r="K1369" s="6">
        <v>13.3883859730674</v>
      </c>
      <c r="L1369" s="6">
        <v>14.014616477944699</v>
      </c>
      <c r="M1369" s="6">
        <v>13.136472500011701</v>
      </c>
      <c r="N1369" s="6">
        <v>14.3604186103414</v>
      </c>
      <c r="O1369" s="6">
        <v>14.6343139300571</v>
      </c>
      <c r="P1369" s="6">
        <v>14.4705665626011</v>
      </c>
      <c r="Q1369" s="6">
        <v>13.811734522497099</v>
      </c>
    </row>
    <row r="1370" spans="1:17">
      <c r="A1370" s="6" t="s">
        <v>3699</v>
      </c>
      <c r="B1370" s="6" t="s">
        <v>3699</v>
      </c>
      <c r="C1370" s="6" t="s">
        <v>10183</v>
      </c>
      <c r="D1370" s="6" t="s">
        <v>10184</v>
      </c>
      <c r="E1370" s="6" t="s">
        <v>10184</v>
      </c>
      <c r="F1370" s="6">
        <v>14.4193971707586</v>
      </c>
      <c r="G1370" s="6">
        <v>13.951277332082601</v>
      </c>
      <c r="H1370" s="6">
        <v>13.6269176709782</v>
      </c>
      <c r="I1370" s="6">
        <v>14.695808267832399</v>
      </c>
      <c r="J1370" s="6" t="s">
        <v>6254</v>
      </c>
      <c r="K1370" s="6">
        <v>13.7262401874143</v>
      </c>
      <c r="L1370" s="6">
        <v>14.7225071107051</v>
      </c>
      <c r="M1370" s="6" t="s">
        <v>6254</v>
      </c>
      <c r="N1370" s="6" t="s">
        <v>6254</v>
      </c>
      <c r="O1370" s="6">
        <v>14.009531361469699</v>
      </c>
      <c r="P1370" s="6">
        <v>13.7522069406534</v>
      </c>
      <c r="Q1370" s="6" t="s">
        <v>6254</v>
      </c>
    </row>
    <row r="1371" spans="1:17">
      <c r="A1371" s="6" t="s">
        <v>1781</v>
      </c>
      <c r="B1371" s="6" t="s">
        <v>1781</v>
      </c>
      <c r="C1371" s="6" t="s">
        <v>10185</v>
      </c>
      <c r="D1371" s="6" t="s">
        <v>10186</v>
      </c>
      <c r="E1371" s="6" t="s">
        <v>10186</v>
      </c>
      <c r="F1371" s="6">
        <v>14.715982335154401</v>
      </c>
      <c r="G1371" s="6">
        <v>13.390279909007999</v>
      </c>
      <c r="H1371" s="6">
        <v>14.155461305863</v>
      </c>
      <c r="I1371" s="6">
        <v>15.142540384605599</v>
      </c>
      <c r="J1371" s="6">
        <v>13.0678067007702</v>
      </c>
      <c r="K1371" s="6">
        <v>14.2286487461206</v>
      </c>
      <c r="L1371" s="6">
        <v>14.9457441471457</v>
      </c>
      <c r="M1371" s="6">
        <v>12.889825165436999</v>
      </c>
      <c r="N1371" s="6">
        <v>14.0482313426154</v>
      </c>
      <c r="O1371" s="6">
        <v>14.4878070917577</v>
      </c>
      <c r="P1371" s="6">
        <v>14.5472068142995</v>
      </c>
      <c r="Q1371" s="6">
        <v>11.1746031845424</v>
      </c>
    </row>
    <row r="1372" spans="1:17">
      <c r="A1372" s="6" t="s">
        <v>10187</v>
      </c>
      <c r="B1372" s="6" t="s">
        <v>10187</v>
      </c>
      <c r="C1372" s="6" t="s">
        <v>10188</v>
      </c>
      <c r="D1372" s="6" t="s">
        <v>10189</v>
      </c>
      <c r="E1372" s="6" t="s">
        <v>10189</v>
      </c>
      <c r="F1372" s="6">
        <v>14.305067795279401</v>
      </c>
      <c r="G1372" s="6">
        <v>14.2322467345251</v>
      </c>
      <c r="H1372" s="6">
        <v>14.3154426476525</v>
      </c>
      <c r="I1372" s="6">
        <v>14.805107619065801</v>
      </c>
      <c r="J1372" s="6">
        <v>13.7450772741606</v>
      </c>
      <c r="K1372" s="6">
        <v>13.936969188838299</v>
      </c>
      <c r="L1372" s="6">
        <v>14.640544555497501</v>
      </c>
      <c r="M1372" s="6">
        <v>12.0093500812072</v>
      </c>
      <c r="N1372" s="6">
        <v>13.891883739912601</v>
      </c>
      <c r="O1372" s="6">
        <v>14.100413403927799</v>
      </c>
      <c r="P1372" s="6">
        <v>12.812366331468199</v>
      </c>
      <c r="Q1372" s="6" t="s">
        <v>6254</v>
      </c>
    </row>
    <row r="1373" spans="1:17">
      <c r="A1373" s="6" t="s">
        <v>5721</v>
      </c>
      <c r="B1373" s="6" t="s">
        <v>5723</v>
      </c>
      <c r="C1373" s="6" t="s">
        <v>10190</v>
      </c>
      <c r="D1373" s="6" t="s">
        <v>10191</v>
      </c>
      <c r="E1373" s="6" t="s">
        <v>10192</v>
      </c>
      <c r="F1373" s="6">
        <v>14.0985478754805</v>
      </c>
      <c r="G1373" s="6">
        <v>14.1060931034274</v>
      </c>
      <c r="H1373" s="6">
        <v>14.376510136123599</v>
      </c>
      <c r="I1373" s="6">
        <v>14.8707417242296</v>
      </c>
      <c r="J1373" s="6">
        <v>12.983089173373401</v>
      </c>
      <c r="K1373" s="6">
        <v>15.0357410500574</v>
      </c>
      <c r="L1373" s="6">
        <v>14.192953552800301</v>
      </c>
      <c r="M1373" s="6">
        <v>12.2194392173165</v>
      </c>
      <c r="N1373" s="6">
        <v>12.8184327880022</v>
      </c>
      <c r="O1373" s="6">
        <v>14.4942108921058</v>
      </c>
      <c r="P1373" s="6">
        <v>14.378659172041001</v>
      </c>
      <c r="Q1373" s="6">
        <v>13.5536980326125</v>
      </c>
    </row>
    <row r="1374" spans="1:17">
      <c r="A1374" s="6" t="s">
        <v>10193</v>
      </c>
      <c r="B1374" s="6" t="s">
        <v>10193</v>
      </c>
      <c r="C1374" s="6" t="s">
        <v>10194</v>
      </c>
      <c r="D1374" s="6" t="s">
        <v>10195</v>
      </c>
      <c r="E1374" s="6" t="s">
        <v>10195</v>
      </c>
      <c r="F1374" s="6" t="s">
        <v>6254</v>
      </c>
      <c r="G1374" s="6">
        <v>13.9411205239605</v>
      </c>
      <c r="H1374" s="6">
        <v>13.6348517099854</v>
      </c>
      <c r="I1374" s="6">
        <v>14.426356163399699</v>
      </c>
      <c r="J1374" s="6" t="s">
        <v>6254</v>
      </c>
      <c r="K1374" s="6" t="s">
        <v>6254</v>
      </c>
      <c r="L1374" s="6">
        <v>14.3207748796288</v>
      </c>
      <c r="M1374" s="6" t="s">
        <v>6254</v>
      </c>
      <c r="N1374" s="6" t="s">
        <v>6254</v>
      </c>
      <c r="O1374" s="6">
        <v>14.457351950305201</v>
      </c>
      <c r="P1374" s="6">
        <v>14.3477889185223</v>
      </c>
      <c r="Q1374" s="6" t="s">
        <v>6254</v>
      </c>
    </row>
    <row r="1375" spans="1:17">
      <c r="A1375" s="6" t="s">
        <v>10196</v>
      </c>
      <c r="B1375" s="6" t="s">
        <v>10197</v>
      </c>
      <c r="C1375" s="6" t="s">
        <v>10198</v>
      </c>
      <c r="D1375" s="6" t="s">
        <v>10199</v>
      </c>
      <c r="E1375" s="6" t="s">
        <v>10200</v>
      </c>
      <c r="F1375" s="6">
        <v>14.3953198581472</v>
      </c>
      <c r="G1375" s="6">
        <v>13.8575849297281</v>
      </c>
      <c r="H1375" s="6">
        <v>13.846779128359501</v>
      </c>
      <c r="I1375" s="6">
        <v>14.5869542588807</v>
      </c>
      <c r="J1375" s="6">
        <v>13.4569123640046</v>
      </c>
      <c r="K1375" s="6">
        <v>14.129821682289499</v>
      </c>
      <c r="L1375" s="6">
        <v>14.7036007052274</v>
      </c>
      <c r="M1375" s="6">
        <v>12.8754774922674</v>
      </c>
      <c r="N1375" s="6">
        <v>12.6612207076206</v>
      </c>
      <c r="O1375" s="6">
        <v>14.4633692890266</v>
      </c>
      <c r="P1375" s="6">
        <v>14.6354145885966</v>
      </c>
      <c r="Q1375" s="6" t="s">
        <v>6254</v>
      </c>
    </row>
    <row r="1376" spans="1:17">
      <c r="A1376" s="6" t="s">
        <v>10201</v>
      </c>
      <c r="B1376" s="6" t="s">
        <v>1870</v>
      </c>
      <c r="C1376" s="6" t="s">
        <v>10202</v>
      </c>
      <c r="D1376" s="6" t="s">
        <v>10203</v>
      </c>
      <c r="E1376" s="6" t="s">
        <v>10204</v>
      </c>
      <c r="F1376" s="6">
        <v>14.1447153230119</v>
      </c>
      <c r="G1376" s="6">
        <v>14.3020388583328</v>
      </c>
      <c r="H1376" s="6">
        <v>14.161896480317001</v>
      </c>
      <c r="I1376" s="6">
        <v>14.6954713593157</v>
      </c>
      <c r="J1376" s="6">
        <v>13.3039878684478</v>
      </c>
      <c r="K1376" s="6">
        <v>14.2171725873275</v>
      </c>
      <c r="L1376" s="6">
        <v>14.286326760311301</v>
      </c>
      <c r="M1376" s="6">
        <v>13.680372928503299</v>
      </c>
      <c r="N1376" s="6">
        <v>13.4654162590691</v>
      </c>
      <c r="O1376" s="6">
        <v>14.487608775511999</v>
      </c>
      <c r="P1376" s="6">
        <v>14.2707737764696</v>
      </c>
      <c r="Q1376" s="6">
        <v>12.2562085114723</v>
      </c>
    </row>
    <row r="1377" spans="1:17">
      <c r="A1377" s="6" t="s">
        <v>3146</v>
      </c>
      <c r="B1377" s="6" t="s">
        <v>3148</v>
      </c>
      <c r="C1377" s="6" t="s">
        <v>10205</v>
      </c>
      <c r="D1377" s="6" t="s">
        <v>10206</v>
      </c>
      <c r="E1377" s="6" t="s">
        <v>10207</v>
      </c>
      <c r="F1377" s="6">
        <v>14.3714446315952</v>
      </c>
      <c r="G1377" s="6">
        <v>14.084733644443499</v>
      </c>
      <c r="H1377" s="6">
        <v>14.0238130054605</v>
      </c>
      <c r="I1377" s="6">
        <v>14.6595441795816</v>
      </c>
      <c r="J1377" s="6">
        <v>13.632890624120799</v>
      </c>
      <c r="K1377" s="6">
        <v>14.142106958838101</v>
      </c>
      <c r="L1377" s="6">
        <v>14.3037838554304</v>
      </c>
      <c r="M1377" s="6">
        <v>13.471772507655301</v>
      </c>
      <c r="N1377" s="6">
        <v>13.9493877210883</v>
      </c>
      <c r="O1377" s="6">
        <v>14.2221770533633</v>
      </c>
      <c r="P1377" s="6">
        <v>14.1811603269943</v>
      </c>
      <c r="Q1377" s="6">
        <v>12.791369906810001</v>
      </c>
    </row>
    <row r="1378" spans="1:17">
      <c r="A1378" s="6" t="s">
        <v>10208</v>
      </c>
      <c r="B1378" s="6" t="s">
        <v>10209</v>
      </c>
      <c r="C1378" s="6" t="s">
        <v>10210</v>
      </c>
      <c r="D1378" s="6" t="s">
        <v>10211</v>
      </c>
      <c r="E1378" s="6" t="s">
        <v>10212</v>
      </c>
      <c r="F1378" s="6">
        <v>14.468841839825</v>
      </c>
      <c r="G1378" s="6">
        <v>14.0354991378797</v>
      </c>
      <c r="H1378" s="6">
        <v>13.8938400055663</v>
      </c>
      <c r="I1378" s="6">
        <v>14.9007338042752</v>
      </c>
      <c r="J1378" s="6">
        <v>13.1217959688609</v>
      </c>
      <c r="K1378" s="6">
        <v>13.5057963943324</v>
      </c>
      <c r="L1378" s="6">
        <v>14.796484798183201</v>
      </c>
      <c r="M1378" s="6" t="s">
        <v>6254</v>
      </c>
      <c r="N1378" s="6">
        <v>13.8881489313953</v>
      </c>
      <c r="O1378" s="6">
        <v>14.369238591860499</v>
      </c>
      <c r="P1378" s="6">
        <v>14.0405524097723</v>
      </c>
      <c r="Q1378" s="6" t="s">
        <v>6254</v>
      </c>
    </row>
    <row r="1379" spans="1:17">
      <c r="A1379" s="6" t="s">
        <v>10213</v>
      </c>
      <c r="B1379" s="6" t="s">
        <v>5092</v>
      </c>
      <c r="C1379" s="6" t="s">
        <v>10214</v>
      </c>
      <c r="D1379" s="6" t="s">
        <v>10215</v>
      </c>
      <c r="E1379" s="6" t="s">
        <v>10216</v>
      </c>
      <c r="F1379" s="6">
        <v>14.292651716539799</v>
      </c>
      <c r="G1379" s="6" t="s">
        <v>6254</v>
      </c>
      <c r="H1379" s="6">
        <v>14.337797201151</v>
      </c>
      <c r="I1379" s="6">
        <v>14.4708738670007</v>
      </c>
      <c r="J1379" s="6">
        <v>13.2356810790794</v>
      </c>
      <c r="K1379" s="6">
        <v>13.3061110348727</v>
      </c>
      <c r="L1379" s="6">
        <v>14.688215454562799</v>
      </c>
      <c r="M1379" s="6">
        <v>12.7850230743644</v>
      </c>
      <c r="N1379" s="6">
        <v>14.4163892503787</v>
      </c>
      <c r="O1379" s="6">
        <v>14.302881111252599</v>
      </c>
      <c r="P1379" s="6">
        <v>14.2244962821797</v>
      </c>
      <c r="Q1379" s="6" t="s">
        <v>6254</v>
      </c>
    </row>
    <row r="1380" spans="1:17">
      <c r="A1380" s="6" t="s">
        <v>10217</v>
      </c>
      <c r="B1380" s="6" t="s">
        <v>10218</v>
      </c>
      <c r="C1380" s="6" t="s">
        <v>10219</v>
      </c>
      <c r="D1380" s="6" t="s">
        <v>10220</v>
      </c>
      <c r="E1380" s="6" t="s">
        <v>10221</v>
      </c>
      <c r="F1380" s="6">
        <v>14.359443324558301</v>
      </c>
      <c r="G1380" s="6">
        <v>13.9647118609348</v>
      </c>
      <c r="H1380" s="6">
        <v>13.717364240720901</v>
      </c>
      <c r="I1380" s="6">
        <v>14.422180112926799</v>
      </c>
      <c r="J1380" s="6">
        <v>13.1030206820485</v>
      </c>
      <c r="K1380" s="6">
        <v>13.7112586381919</v>
      </c>
      <c r="L1380" s="6">
        <v>14.059499389643999</v>
      </c>
      <c r="M1380" s="6" t="s">
        <v>6254</v>
      </c>
      <c r="N1380" s="6">
        <v>13.4776632751314</v>
      </c>
      <c r="O1380" s="6">
        <v>14.5472064303937</v>
      </c>
      <c r="P1380" s="6">
        <v>14.3917253002893</v>
      </c>
      <c r="Q1380" s="6" t="s">
        <v>6254</v>
      </c>
    </row>
    <row r="1381" spans="1:17">
      <c r="A1381" s="6" t="s">
        <v>10222</v>
      </c>
      <c r="B1381" s="6" t="s">
        <v>10222</v>
      </c>
      <c r="C1381" s="6" t="s">
        <v>10223</v>
      </c>
      <c r="D1381" s="6" t="s">
        <v>10224</v>
      </c>
      <c r="E1381" s="6" t="s">
        <v>10224</v>
      </c>
      <c r="F1381" s="6">
        <v>14.326856875069</v>
      </c>
      <c r="G1381" s="6">
        <v>14.181891001196</v>
      </c>
      <c r="H1381" s="6">
        <v>13.8958038911431</v>
      </c>
      <c r="I1381" s="6">
        <v>14.6489490448627</v>
      </c>
      <c r="J1381" s="6" t="s">
        <v>6254</v>
      </c>
      <c r="K1381" s="6">
        <v>14.034536111820501</v>
      </c>
      <c r="L1381" s="6">
        <v>14.3220242678292</v>
      </c>
      <c r="M1381" s="6" t="s">
        <v>6254</v>
      </c>
      <c r="N1381" s="6">
        <v>13.678927309745101</v>
      </c>
      <c r="O1381" s="6">
        <v>14.2937181660763</v>
      </c>
      <c r="P1381" s="6">
        <v>14.452838903179501</v>
      </c>
      <c r="Q1381" s="6">
        <v>12.579667802748901</v>
      </c>
    </row>
    <row r="1382" spans="1:17">
      <c r="A1382" s="6" t="s">
        <v>2799</v>
      </c>
      <c r="B1382" s="6" t="s">
        <v>2799</v>
      </c>
      <c r="C1382" s="6" t="s">
        <v>10225</v>
      </c>
      <c r="D1382" s="6" t="s">
        <v>10226</v>
      </c>
      <c r="E1382" s="6" t="s">
        <v>10226</v>
      </c>
      <c r="F1382" s="6">
        <v>14.6675908797312</v>
      </c>
      <c r="G1382" s="6">
        <v>13.654693498691101</v>
      </c>
      <c r="H1382" s="6">
        <v>14.3071599999074</v>
      </c>
      <c r="I1382" s="6">
        <v>14.579433475189401</v>
      </c>
      <c r="J1382" s="6">
        <v>12.155029136478401</v>
      </c>
      <c r="K1382" s="6" t="s">
        <v>6254</v>
      </c>
      <c r="L1382" s="6">
        <v>14.312929806574299</v>
      </c>
      <c r="M1382" s="6">
        <v>13.1293264123615</v>
      </c>
      <c r="N1382" s="6">
        <v>14.0625719465417</v>
      </c>
      <c r="O1382" s="6">
        <v>14.3368364543325</v>
      </c>
      <c r="P1382" s="6">
        <v>14.1030155708069</v>
      </c>
      <c r="Q1382" s="6" t="s">
        <v>6254</v>
      </c>
    </row>
    <row r="1383" spans="1:17">
      <c r="A1383" s="6" t="s">
        <v>2154</v>
      </c>
      <c r="B1383" s="6" t="s">
        <v>2156</v>
      </c>
      <c r="C1383" s="6" t="s">
        <v>10227</v>
      </c>
      <c r="D1383" s="6" t="s">
        <v>10228</v>
      </c>
      <c r="E1383" s="6" t="s">
        <v>10229</v>
      </c>
      <c r="F1383" s="6">
        <v>13.4086318727636</v>
      </c>
      <c r="G1383" s="6" t="s">
        <v>6254</v>
      </c>
      <c r="H1383" s="6">
        <v>13.0288873819082</v>
      </c>
      <c r="I1383" s="6">
        <v>14.557898901333999</v>
      </c>
      <c r="J1383" s="6">
        <v>14.2658586186124</v>
      </c>
      <c r="K1383" s="6">
        <v>14.385719958473199</v>
      </c>
      <c r="L1383" s="6">
        <v>14.5125871013525</v>
      </c>
      <c r="M1383" s="6">
        <v>13.266777166955601</v>
      </c>
      <c r="N1383" s="6">
        <v>13.7953758781731</v>
      </c>
      <c r="O1383" s="6">
        <v>13.598947235678001</v>
      </c>
      <c r="P1383" s="6">
        <v>14.2136778001652</v>
      </c>
      <c r="Q1383" s="6">
        <v>13.5459861578586</v>
      </c>
    </row>
    <row r="1384" spans="1:17">
      <c r="A1384" s="6" t="s">
        <v>10230</v>
      </c>
      <c r="B1384" s="6" t="s">
        <v>10231</v>
      </c>
      <c r="C1384" s="6" t="s">
        <v>10232</v>
      </c>
      <c r="D1384" s="6" t="s">
        <v>10233</v>
      </c>
      <c r="E1384" s="6" t="s">
        <v>10234</v>
      </c>
      <c r="F1384" s="6">
        <v>14.579930439400099</v>
      </c>
      <c r="G1384" s="6">
        <v>13.5571605093083</v>
      </c>
      <c r="H1384" s="6">
        <v>13.936101842494301</v>
      </c>
      <c r="I1384" s="6">
        <v>14.3121353177263</v>
      </c>
      <c r="J1384" s="6">
        <v>13.466613858949399</v>
      </c>
      <c r="K1384" s="6">
        <v>14.1425651765738</v>
      </c>
      <c r="L1384" s="6">
        <v>14.4530907390398</v>
      </c>
      <c r="M1384" s="6">
        <v>13.177763867855299</v>
      </c>
      <c r="N1384" s="6" t="s">
        <v>6254</v>
      </c>
      <c r="O1384" s="6">
        <v>14.1407715068359</v>
      </c>
      <c r="P1384" s="6">
        <v>14.320693404758201</v>
      </c>
      <c r="Q1384" s="6" t="s">
        <v>6254</v>
      </c>
    </row>
    <row r="1385" spans="1:17">
      <c r="A1385" s="6" t="s">
        <v>2880</v>
      </c>
      <c r="B1385" s="6" t="s">
        <v>2880</v>
      </c>
      <c r="C1385" s="6" t="s">
        <v>10235</v>
      </c>
      <c r="D1385" s="6" t="s">
        <v>10236</v>
      </c>
      <c r="E1385" s="6" t="s">
        <v>10236</v>
      </c>
      <c r="F1385" s="6">
        <v>14.4446636045371</v>
      </c>
      <c r="G1385" s="6">
        <v>14.1439483840058</v>
      </c>
      <c r="H1385" s="6">
        <v>13.991172795688099</v>
      </c>
      <c r="I1385" s="6">
        <v>14.800496464858799</v>
      </c>
      <c r="J1385" s="6">
        <v>13.4917837268189</v>
      </c>
      <c r="K1385" s="6">
        <v>14.091748096023499</v>
      </c>
      <c r="L1385" s="6">
        <v>14.585331223942299</v>
      </c>
      <c r="M1385" s="6">
        <v>13.2472804731909</v>
      </c>
      <c r="N1385" s="6">
        <v>13.5619937133429</v>
      </c>
      <c r="O1385" s="6">
        <v>14.3416387806105</v>
      </c>
      <c r="P1385" s="6">
        <v>14.2348206326312</v>
      </c>
      <c r="Q1385" s="6">
        <v>12.667966560329701</v>
      </c>
    </row>
    <row r="1386" spans="1:17">
      <c r="A1386" s="6" t="s">
        <v>10237</v>
      </c>
      <c r="B1386" s="6" t="s">
        <v>10237</v>
      </c>
      <c r="C1386" s="6" t="s">
        <v>10238</v>
      </c>
      <c r="D1386" s="6" t="s">
        <v>10239</v>
      </c>
      <c r="E1386" s="6" t="s">
        <v>10239</v>
      </c>
      <c r="F1386" s="6" t="s">
        <v>6254</v>
      </c>
      <c r="G1386" s="6" t="s">
        <v>6254</v>
      </c>
      <c r="H1386" s="6" t="s">
        <v>6254</v>
      </c>
      <c r="I1386" s="6">
        <v>13.6368534730536</v>
      </c>
      <c r="J1386" s="6" t="s">
        <v>6254</v>
      </c>
      <c r="K1386" s="6" t="s">
        <v>6254</v>
      </c>
      <c r="L1386" s="6">
        <v>16.2501046546579</v>
      </c>
      <c r="M1386" s="6" t="s">
        <v>6254</v>
      </c>
      <c r="N1386" s="6" t="s">
        <v>6254</v>
      </c>
      <c r="O1386" s="6" t="s">
        <v>6254</v>
      </c>
      <c r="P1386" s="6" t="s">
        <v>6254</v>
      </c>
      <c r="Q1386" s="6" t="s">
        <v>6254</v>
      </c>
    </row>
    <row r="1387" spans="1:17">
      <c r="A1387" s="6" t="s">
        <v>2317</v>
      </c>
      <c r="B1387" s="6" t="s">
        <v>2317</v>
      </c>
      <c r="C1387" s="6" t="s">
        <v>10240</v>
      </c>
      <c r="D1387" s="6" t="s">
        <v>10241</v>
      </c>
      <c r="E1387" s="6" t="s">
        <v>10241</v>
      </c>
      <c r="F1387" s="6">
        <v>14.5194213117242</v>
      </c>
      <c r="G1387" s="6">
        <v>13.9469978728099</v>
      </c>
      <c r="H1387" s="6">
        <v>14.3115237378237</v>
      </c>
      <c r="I1387" s="6">
        <v>14.4211830544305</v>
      </c>
      <c r="J1387" s="6">
        <v>13.5467741555356</v>
      </c>
      <c r="K1387" s="6">
        <v>13.8081719261047</v>
      </c>
      <c r="L1387" s="6">
        <v>14.4111650158769</v>
      </c>
      <c r="M1387" s="6">
        <v>13.9092352453966</v>
      </c>
      <c r="N1387" s="6">
        <v>14.242340098945</v>
      </c>
      <c r="O1387" s="6">
        <v>14.0421083716711</v>
      </c>
      <c r="P1387" s="6">
        <v>14.5457063434982</v>
      </c>
      <c r="Q1387" s="6">
        <v>12.935217512914299</v>
      </c>
    </row>
    <row r="1388" spans="1:17">
      <c r="A1388" s="6" t="s">
        <v>3341</v>
      </c>
      <c r="B1388" s="6" t="s">
        <v>3341</v>
      </c>
      <c r="C1388" s="6" t="s">
        <v>10242</v>
      </c>
      <c r="D1388" s="6" t="s">
        <v>10243</v>
      </c>
      <c r="E1388" s="6" t="s">
        <v>10243</v>
      </c>
      <c r="F1388" s="6">
        <v>14.3839020579092</v>
      </c>
      <c r="G1388" s="6">
        <v>14.1276515792898</v>
      </c>
      <c r="H1388" s="6">
        <v>13.660478132126499</v>
      </c>
      <c r="I1388" s="6">
        <v>14.845139814961099</v>
      </c>
      <c r="J1388" s="6" t="s">
        <v>6254</v>
      </c>
      <c r="K1388" s="6">
        <v>13.857161327908999</v>
      </c>
      <c r="L1388" s="6">
        <v>14.516280377567201</v>
      </c>
      <c r="M1388" s="6" t="s">
        <v>6254</v>
      </c>
      <c r="N1388" s="6">
        <v>13.855533276956001</v>
      </c>
      <c r="O1388" s="6">
        <v>14.310670989191699</v>
      </c>
      <c r="P1388" s="6">
        <v>13.9443512745788</v>
      </c>
      <c r="Q1388" s="6">
        <v>12.745668151828401</v>
      </c>
    </row>
    <row r="1389" spans="1:17">
      <c r="A1389" s="6" t="s">
        <v>2614</v>
      </c>
      <c r="B1389" s="6" t="s">
        <v>2614</v>
      </c>
      <c r="C1389" s="6" t="s">
        <v>10244</v>
      </c>
      <c r="D1389" s="6" t="s">
        <v>10245</v>
      </c>
      <c r="E1389" s="6" t="s">
        <v>10245</v>
      </c>
      <c r="F1389" s="6">
        <v>14.344919891911299</v>
      </c>
      <c r="G1389" s="6">
        <v>14.0553937042512</v>
      </c>
      <c r="H1389" s="6">
        <v>14.1657120380882</v>
      </c>
      <c r="I1389" s="6">
        <v>14.831391410142301</v>
      </c>
      <c r="J1389" s="6">
        <v>13.359633458073899</v>
      </c>
      <c r="K1389" s="6">
        <v>13.9923358465239</v>
      </c>
      <c r="L1389" s="6">
        <v>14.520350026947799</v>
      </c>
      <c r="M1389" s="6">
        <v>13.2211646658071</v>
      </c>
      <c r="N1389" s="6">
        <v>13.4181819992305</v>
      </c>
      <c r="O1389" s="6">
        <v>14.2430647668017</v>
      </c>
      <c r="P1389" s="6">
        <v>14.1319134366311</v>
      </c>
      <c r="Q1389" s="6" t="s">
        <v>6254</v>
      </c>
    </row>
    <row r="1390" spans="1:17">
      <c r="A1390" s="6" t="s">
        <v>2420</v>
      </c>
      <c r="B1390" s="6" t="s">
        <v>2420</v>
      </c>
      <c r="C1390" s="6" t="s">
        <v>10246</v>
      </c>
      <c r="D1390" s="6" t="s">
        <v>10247</v>
      </c>
      <c r="E1390" s="6" t="s">
        <v>10247</v>
      </c>
      <c r="F1390" s="6">
        <v>14.6892048581296</v>
      </c>
      <c r="G1390" s="6">
        <v>13.6634453895534</v>
      </c>
      <c r="H1390" s="6">
        <v>14.173948135226</v>
      </c>
      <c r="I1390" s="6">
        <v>14.7745410505501</v>
      </c>
      <c r="J1390" s="6">
        <v>13.098980706216301</v>
      </c>
      <c r="K1390" s="6">
        <v>13.823602435088199</v>
      </c>
      <c r="L1390" s="6">
        <v>14.5664726245023</v>
      </c>
      <c r="M1390" s="6">
        <v>13.0569720466309</v>
      </c>
      <c r="N1390" s="6">
        <v>13.756695102494</v>
      </c>
      <c r="O1390" s="6">
        <v>14.314145826051799</v>
      </c>
      <c r="P1390" s="6">
        <v>14.553337969340401</v>
      </c>
      <c r="Q1390" s="6">
        <v>12.9678153385337</v>
      </c>
    </row>
    <row r="1391" spans="1:17">
      <c r="A1391" s="6" t="s">
        <v>3217</v>
      </c>
      <c r="B1391" s="6" t="s">
        <v>3217</v>
      </c>
      <c r="C1391" s="6" t="s">
        <v>10248</v>
      </c>
      <c r="D1391" s="6" t="s">
        <v>10249</v>
      </c>
      <c r="E1391" s="6" t="s">
        <v>10249</v>
      </c>
      <c r="F1391" s="6">
        <v>14.4375494281485</v>
      </c>
      <c r="G1391" s="6">
        <v>13.740231018984</v>
      </c>
      <c r="H1391" s="6">
        <v>14.195368649842299</v>
      </c>
      <c r="I1391" s="6">
        <v>14.728562573184201</v>
      </c>
      <c r="J1391" s="6">
        <v>13.1357383636573</v>
      </c>
      <c r="K1391" s="6">
        <v>13.5744019684075</v>
      </c>
      <c r="L1391" s="6">
        <v>14.7730562792014</v>
      </c>
      <c r="M1391" s="6">
        <v>13.289099896067601</v>
      </c>
      <c r="N1391" s="6">
        <v>14.26110995132</v>
      </c>
      <c r="O1391" s="6">
        <v>14.5088494526606</v>
      </c>
      <c r="P1391" s="6">
        <v>14.3062693093235</v>
      </c>
      <c r="Q1391" s="6" t="s">
        <v>6254</v>
      </c>
    </row>
    <row r="1392" spans="1:17">
      <c r="A1392" s="6" t="s">
        <v>4807</v>
      </c>
      <c r="B1392" s="6" t="s">
        <v>4807</v>
      </c>
      <c r="C1392" s="6" t="s">
        <v>10250</v>
      </c>
      <c r="D1392" s="6" t="s">
        <v>10251</v>
      </c>
      <c r="E1392" s="6" t="s">
        <v>10251</v>
      </c>
      <c r="F1392" s="6">
        <v>14.8609760664801</v>
      </c>
      <c r="G1392" s="6">
        <v>13.875650364987701</v>
      </c>
      <c r="H1392" s="6">
        <v>13.885561792176199</v>
      </c>
      <c r="I1392" s="6">
        <v>14.582784359164901</v>
      </c>
      <c r="J1392" s="6">
        <v>13.2751936727188</v>
      </c>
      <c r="K1392" s="6">
        <v>14.397855907367701</v>
      </c>
      <c r="L1392" s="6">
        <v>14.508093585025801</v>
      </c>
      <c r="M1392" s="6" t="s">
        <v>6254</v>
      </c>
      <c r="N1392" s="6">
        <v>13.568714880893401</v>
      </c>
      <c r="O1392" s="6">
        <v>13.351077371274</v>
      </c>
      <c r="P1392" s="6">
        <v>14.024723763270799</v>
      </c>
      <c r="Q1392" s="6">
        <v>12.5352630913256</v>
      </c>
    </row>
    <row r="1393" spans="1:17">
      <c r="A1393" s="6" t="s">
        <v>10252</v>
      </c>
      <c r="B1393" s="6" t="s">
        <v>10253</v>
      </c>
      <c r="C1393" s="6" t="s">
        <v>10254</v>
      </c>
      <c r="D1393" s="6" t="s">
        <v>10255</v>
      </c>
      <c r="E1393" s="6" t="s">
        <v>10256</v>
      </c>
      <c r="F1393" s="6">
        <v>14.358187456816299</v>
      </c>
      <c r="G1393" s="6">
        <v>13.810446055606301</v>
      </c>
      <c r="H1393" s="6">
        <v>14.086184207698301</v>
      </c>
      <c r="I1393" s="6">
        <v>14.5051811439321</v>
      </c>
      <c r="J1393" s="6">
        <v>13.129657108914399</v>
      </c>
      <c r="K1393" s="6">
        <v>13.883883382929</v>
      </c>
      <c r="L1393" s="6">
        <v>14.701821269988301</v>
      </c>
      <c r="M1393" s="6">
        <v>13.112628091485499</v>
      </c>
      <c r="N1393" s="6">
        <v>13.903954933330199</v>
      </c>
      <c r="O1393" s="6">
        <v>14.2464889493925</v>
      </c>
      <c r="P1393" s="6">
        <v>14.145635582568101</v>
      </c>
      <c r="Q1393" s="6">
        <v>12.5589510377945</v>
      </c>
    </row>
    <row r="1394" spans="1:17">
      <c r="A1394" s="6" t="s">
        <v>5549</v>
      </c>
      <c r="B1394" s="6" t="s">
        <v>5549</v>
      </c>
      <c r="C1394" s="6" t="s">
        <v>10257</v>
      </c>
      <c r="D1394" s="6" t="s">
        <v>10258</v>
      </c>
      <c r="E1394" s="6" t="s">
        <v>10258</v>
      </c>
      <c r="F1394" s="6">
        <v>14.046939565849501</v>
      </c>
      <c r="G1394" s="6" t="s">
        <v>6254</v>
      </c>
      <c r="H1394" s="6" t="s">
        <v>6254</v>
      </c>
      <c r="I1394" s="6">
        <v>14.251893135989199</v>
      </c>
      <c r="J1394" s="6">
        <v>13.846717475942899</v>
      </c>
      <c r="K1394" s="6">
        <v>14.6014887626513</v>
      </c>
      <c r="L1394" s="6">
        <v>14.080376441400301</v>
      </c>
      <c r="M1394" s="6" t="s">
        <v>6254</v>
      </c>
      <c r="N1394" s="6" t="s">
        <v>6254</v>
      </c>
      <c r="O1394" s="6">
        <v>13.9641980103841</v>
      </c>
      <c r="P1394" s="6" t="s">
        <v>6254</v>
      </c>
      <c r="Q1394" s="6">
        <v>14.8695732094981</v>
      </c>
    </row>
    <row r="1395" spans="1:17">
      <c r="A1395" s="6" t="s">
        <v>4106</v>
      </c>
      <c r="B1395" s="6" t="s">
        <v>4106</v>
      </c>
      <c r="C1395" s="6" t="s">
        <v>10259</v>
      </c>
      <c r="D1395" s="6" t="s">
        <v>10260</v>
      </c>
      <c r="E1395" s="6" t="s">
        <v>10260</v>
      </c>
      <c r="F1395" s="6">
        <v>13.850499418133399</v>
      </c>
      <c r="G1395" s="6">
        <v>13.657264103198999</v>
      </c>
      <c r="H1395" s="6">
        <v>14.3476348818422</v>
      </c>
      <c r="I1395" s="6">
        <v>14.6401756467192</v>
      </c>
      <c r="J1395" s="6">
        <v>12.275671863248199</v>
      </c>
      <c r="K1395" s="6">
        <v>13.6050230035844</v>
      </c>
      <c r="L1395" s="6">
        <v>14.766229547322</v>
      </c>
      <c r="M1395" s="6">
        <v>14.665511788844301</v>
      </c>
      <c r="N1395" s="6">
        <v>14.1021379417737</v>
      </c>
      <c r="O1395" s="6">
        <v>12.652420580221801</v>
      </c>
      <c r="P1395" s="6">
        <v>14.4548799557646</v>
      </c>
      <c r="Q1395" s="6" t="s">
        <v>6254</v>
      </c>
    </row>
    <row r="1396" spans="1:17">
      <c r="A1396" s="6" t="s">
        <v>10261</v>
      </c>
      <c r="B1396" s="6" t="s">
        <v>10262</v>
      </c>
      <c r="C1396" s="6" t="s">
        <v>10263</v>
      </c>
      <c r="D1396" s="6" t="s">
        <v>10264</v>
      </c>
      <c r="E1396" s="6" t="s">
        <v>10265</v>
      </c>
      <c r="F1396" s="6">
        <v>14.904260061792799</v>
      </c>
      <c r="G1396" s="6">
        <v>14.076426312525401</v>
      </c>
      <c r="H1396" s="6">
        <v>14.0739485645645</v>
      </c>
      <c r="I1396" s="6">
        <v>14.503165560328799</v>
      </c>
      <c r="J1396" s="6">
        <v>13.0284215980888</v>
      </c>
      <c r="K1396" s="6">
        <v>14.089692662998299</v>
      </c>
      <c r="L1396" s="6">
        <v>14.131006830362701</v>
      </c>
      <c r="M1396" s="6">
        <v>12.9884416175212</v>
      </c>
      <c r="N1396" s="6">
        <v>13.8477418657173</v>
      </c>
      <c r="O1396" s="6">
        <v>14.467210638508901</v>
      </c>
      <c r="P1396" s="6">
        <v>14.2232381591836</v>
      </c>
      <c r="Q1396" s="6" t="s">
        <v>6254</v>
      </c>
    </row>
    <row r="1397" spans="1:17">
      <c r="A1397" s="6" t="s">
        <v>10266</v>
      </c>
      <c r="B1397" s="6" t="s">
        <v>10267</v>
      </c>
      <c r="C1397" s="6" t="s">
        <v>10268</v>
      </c>
      <c r="D1397" s="6" t="s">
        <v>10269</v>
      </c>
      <c r="E1397" s="6" t="s">
        <v>10270</v>
      </c>
      <c r="F1397" s="6">
        <v>13.682899391271301</v>
      </c>
      <c r="G1397" s="6">
        <v>13.3041855168412</v>
      </c>
      <c r="H1397" s="6">
        <v>14.417473222520099</v>
      </c>
      <c r="I1397" s="6">
        <v>14.484008712004799</v>
      </c>
      <c r="J1397" s="6">
        <v>13.2555633710582</v>
      </c>
      <c r="K1397" s="6">
        <v>13.4981145772811</v>
      </c>
      <c r="L1397" s="6">
        <v>15.4092860975578</v>
      </c>
      <c r="M1397" s="6">
        <v>13.310776683448699</v>
      </c>
      <c r="N1397" s="6">
        <v>14.582136406765599</v>
      </c>
      <c r="O1397" s="6">
        <v>14.2479240669856</v>
      </c>
      <c r="P1397" s="6">
        <v>14.4082851617763</v>
      </c>
      <c r="Q1397" s="6">
        <v>12.7922469328891</v>
      </c>
    </row>
    <row r="1398" spans="1:17">
      <c r="A1398" s="6" t="s">
        <v>10271</v>
      </c>
      <c r="B1398" s="6" t="s">
        <v>3477</v>
      </c>
      <c r="C1398" s="6" t="s">
        <v>10272</v>
      </c>
      <c r="D1398" s="6" t="s">
        <v>10273</v>
      </c>
      <c r="E1398" s="6" t="s">
        <v>10274</v>
      </c>
      <c r="F1398" s="6">
        <v>14.809338159712</v>
      </c>
      <c r="G1398" s="6">
        <v>13.7732919176233</v>
      </c>
      <c r="H1398" s="6">
        <v>14.241272531026199</v>
      </c>
      <c r="I1398" s="6">
        <v>14.599222928729001</v>
      </c>
      <c r="J1398" s="6">
        <v>13.32848823008</v>
      </c>
      <c r="K1398" s="6">
        <v>13.815465007701199</v>
      </c>
      <c r="L1398" s="6">
        <v>14.0724054067345</v>
      </c>
      <c r="M1398" s="6">
        <v>12.3895646135568</v>
      </c>
      <c r="N1398" s="6">
        <v>14.095260231923101</v>
      </c>
      <c r="O1398" s="6">
        <v>14.464996536088</v>
      </c>
      <c r="P1398" s="6">
        <v>14.239235250066899</v>
      </c>
      <c r="Q1398" s="6" t="s">
        <v>6254</v>
      </c>
    </row>
    <row r="1399" spans="1:17">
      <c r="A1399" s="6" t="s">
        <v>10275</v>
      </c>
      <c r="B1399" s="6" t="s">
        <v>1202</v>
      </c>
      <c r="C1399" s="6" t="s">
        <v>10276</v>
      </c>
      <c r="D1399" s="6" t="s">
        <v>10277</v>
      </c>
      <c r="E1399" s="6" t="s">
        <v>10278</v>
      </c>
      <c r="F1399" s="6">
        <v>14.583890444339501</v>
      </c>
      <c r="G1399" s="6">
        <v>13.639269384685701</v>
      </c>
      <c r="H1399" s="6">
        <v>14.273966403420999</v>
      </c>
      <c r="I1399" s="6">
        <v>14.711892145392399</v>
      </c>
      <c r="J1399" s="6">
        <v>13.203328141637099</v>
      </c>
      <c r="K1399" s="6">
        <v>13.6697219207588</v>
      </c>
      <c r="L1399" s="6">
        <v>14.5825886409469</v>
      </c>
      <c r="M1399" s="6">
        <v>13.210150417301699</v>
      </c>
      <c r="N1399" s="6">
        <v>14.1173992770994</v>
      </c>
      <c r="O1399" s="6">
        <v>14.493844470147399</v>
      </c>
      <c r="P1399" s="6">
        <v>14.4416936221951</v>
      </c>
      <c r="Q1399" s="6">
        <v>12.5876669803658</v>
      </c>
    </row>
    <row r="1400" spans="1:17">
      <c r="A1400" s="6" t="s">
        <v>2540</v>
      </c>
      <c r="B1400" s="6" t="s">
        <v>2540</v>
      </c>
      <c r="C1400" s="6" t="s">
        <v>10279</v>
      </c>
      <c r="D1400" s="6" t="s">
        <v>10280</v>
      </c>
      <c r="E1400" s="6" t="s">
        <v>10280</v>
      </c>
      <c r="F1400" s="6">
        <v>14.5003140804321</v>
      </c>
      <c r="G1400" s="6">
        <v>13.9418625987211</v>
      </c>
      <c r="H1400" s="6">
        <v>14.150886426195299</v>
      </c>
      <c r="I1400" s="6">
        <v>14.452193578349901</v>
      </c>
      <c r="J1400" s="6">
        <v>13.326144119600899</v>
      </c>
      <c r="K1400" s="6">
        <v>13.749600945037001</v>
      </c>
      <c r="L1400" s="6">
        <v>14.510293005696701</v>
      </c>
      <c r="M1400" s="6">
        <v>13.433036229509</v>
      </c>
      <c r="N1400" s="6">
        <v>13.690718133627501</v>
      </c>
      <c r="O1400" s="6">
        <v>14.368122834242101</v>
      </c>
      <c r="P1400" s="6">
        <v>14.257234647034601</v>
      </c>
      <c r="Q1400" s="6">
        <v>12.8699492633771</v>
      </c>
    </row>
    <row r="1401" spans="1:17">
      <c r="A1401" s="6" t="s">
        <v>10281</v>
      </c>
      <c r="B1401" s="6" t="s">
        <v>10282</v>
      </c>
      <c r="C1401" s="6" t="s">
        <v>10283</v>
      </c>
      <c r="D1401" s="6" t="s">
        <v>10284</v>
      </c>
      <c r="E1401" s="6" t="s">
        <v>10285</v>
      </c>
      <c r="F1401" s="6">
        <v>14.4145557783512</v>
      </c>
      <c r="G1401" s="6">
        <v>12.7378527049494</v>
      </c>
      <c r="H1401" s="6">
        <v>13.8772335303007</v>
      </c>
      <c r="I1401" s="6">
        <v>14.4464491830034</v>
      </c>
      <c r="J1401" s="6">
        <v>13.3103096835372</v>
      </c>
      <c r="K1401" s="6" t="s">
        <v>6254</v>
      </c>
      <c r="L1401" s="6">
        <v>14.538752102973801</v>
      </c>
      <c r="M1401" s="6" t="s">
        <v>6254</v>
      </c>
      <c r="N1401" s="6">
        <v>14.2502895615988</v>
      </c>
      <c r="O1401" s="6">
        <v>14.349094139156399</v>
      </c>
      <c r="P1401" s="6">
        <v>14.224194514423299</v>
      </c>
      <c r="Q1401" s="6" t="s">
        <v>6254</v>
      </c>
    </row>
    <row r="1402" spans="1:17">
      <c r="A1402" s="6" t="s">
        <v>5563</v>
      </c>
      <c r="B1402" s="6" t="s">
        <v>5563</v>
      </c>
      <c r="C1402" s="6" t="s">
        <v>10286</v>
      </c>
      <c r="D1402" s="6" t="s">
        <v>10287</v>
      </c>
      <c r="E1402" s="6" t="s">
        <v>10287</v>
      </c>
      <c r="F1402" s="6">
        <v>14.4533369358118</v>
      </c>
      <c r="G1402" s="6">
        <v>12.9361331925241</v>
      </c>
      <c r="H1402" s="6">
        <v>14.445624415209201</v>
      </c>
      <c r="I1402" s="6">
        <v>15.497632261075101</v>
      </c>
      <c r="J1402" s="6">
        <v>13.703778804650501</v>
      </c>
      <c r="K1402" s="6">
        <v>14.541453830274</v>
      </c>
      <c r="L1402" s="6">
        <v>14.681781224916399</v>
      </c>
      <c r="M1402" s="6">
        <v>13.123670855646701</v>
      </c>
      <c r="N1402" s="6">
        <v>14.0096753222999</v>
      </c>
      <c r="O1402" s="6">
        <v>14.377192715806601</v>
      </c>
      <c r="P1402" s="6">
        <v>13.6241965019892</v>
      </c>
      <c r="Q1402" s="6" t="s">
        <v>6254</v>
      </c>
    </row>
    <row r="1403" spans="1:17">
      <c r="A1403" s="6" t="s">
        <v>3894</v>
      </c>
      <c r="B1403" s="6" t="s">
        <v>3894</v>
      </c>
      <c r="C1403" s="6" t="s">
        <v>10288</v>
      </c>
      <c r="D1403" s="6" t="s">
        <v>10289</v>
      </c>
      <c r="E1403" s="6" t="s">
        <v>10289</v>
      </c>
      <c r="F1403" s="6">
        <v>14.4470600800491</v>
      </c>
      <c r="G1403" s="6">
        <v>14.110784938210299</v>
      </c>
      <c r="H1403" s="6">
        <v>14.114642486540401</v>
      </c>
      <c r="I1403" s="6">
        <v>14.846529800268399</v>
      </c>
      <c r="J1403" s="6">
        <v>13.45480034845</v>
      </c>
      <c r="K1403" s="6">
        <v>14.1064020941657</v>
      </c>
      <c r="L1403" s="6">
        <v>14.587033757704599</v>
      </c>
      <c r="M1403" s="6">
        <v>13.046842986529899</v>
      </c>
      <c r="N1403" s="6">
        <v>13.327194834817499</v>
      </c>
      <c r="O1403" s="6">
        <v>14.476060500346501</v>
      </c>
      <c r="P1403" s="6">
        <v>14.265146315764801</v>
      </c>
      <c r="Q1403" s="6">
        <v>12.6786174991769</v>
      </c>
    </row>
    <row r="1404" spans="1:17">
      <c r="A1404" s="6" t="s">
        <v>5207</v>
      </c>
      <c r="B1404" s="6" t="s">
        <v>5209</v>
      </c>
      <c r="C1404" s="6" t="s">
        <v>10290</v>
      </c>
      <c r="D1404" s="6" t="s">
        <v>10291</v>
      </c>
      <c r="E1404" s="6" t="s">
        <v>10292</v>
      </c>
      <c r="F1404" s="6">
        <v>14.2720498289027</v>
      </c>
      <c r="G1404" s="6">
        <v>14.3153155568434</v>
      </c>
      <c r="H1404" s="6" t="s">
        <v>6254</v>
      </c>
      <c r="I1404" s="6">
        <v>13.5098153448352</v>
      </c>
      <c r="J1404" s="6" t="s">
        <v>6254</v>
      </c>
      <c r="K1404" s="6" t="s">
        <v>6254</v>
      </c>
      <c r="L1404" s="6">
        <v>14.4466039530476</v>
      </c>
      <c r="M1404" s="6" t="s">
        <v>6254</v>
      </c>
      <c r="N1404" s="6">
        <v>12.6796134058965</v>
      </c>
      <c r="O1404" s="6">
        <v>14.334920707653501</v>
      </c>
      <c r="P1404" s="6" t="s">
        <v>6254</v>
      </c>
      <c r="Q1404" s="6" t="s">
        <v>6254</v>
      </c>
    </row>
    <row r="1405" spans="1:17">
      <c r="A1405" s="6" t="s">
        <v>10293</v>
      </c>
      <c r="B1405" s="6" t="s">
        <v>10294</v>
      </c>
      <c r="C1405" s="6" t="s">
        <v>10295</v>
      </c>
      <c r="D1405" s="6" t="s">
        <v>10296</v>
      </c>
      <c r="E1405" s="6" t="s">
        <v>10297</v>
      </c>
      <c r="F1405" s="6">
        <v>14.401428791486399</v>
      </c>
      <c r="G1405" s="6">
        <v>13.957016270536799</v>
      </c>
      <c r="H1405" s="6">
        <v>13.946907461498199</v>
      </c>
      <c r="I1405" s="6">
        <v>14.689337464027499</v>
      </c>
      <c r="J1405" s="6">
        <v>13.2932047925456</v>
      </c>
      <c r="K1405" s="6">
        <v>13.9716435984098</v>
      </c>
      <c r="L1405" s="6">
        <v>14.752589996573199</v>
      </c>
      <c r="M1405" s="6">
        <v>12.7012785776579</v>
      </c>
      <c r="N1405" s="6">
        <v>13.6241652162348</v>
      </c>
      <c r="O1405" s="6">
        <v>14.360105224470599</v>
      </c>
      <c r="P1405" s="6">
        <v>14.114826144853501</v>
      </c>
      <c r="Q1405" s="6">
        <v>12.4655099025123</v>
      </c>
    </row>
    <row r="1406" spans="1:17">
      <c r="A1406" s="6" t="s">
        <v>10298</v>
      </c>
      <c r="B1406" s="6" t="s">
        <v>10299</v>
      </c>
      <c r="C1406" s="6" t="s">
        <v>10300</v>
      </c>
      <c r="D1406" s="6" t="s">
        <v>10301</v>
      </c>
      <c r="E1406" s="6" t="s">
        <v>10302</v>
      </c>
      <c r="F1406" s="6">
        <v>14.7161154152677</v>
      </c>
      <c r="G1406" s="6">
        <v>13.708375195426701</v>
      </c>
      <c r="H1406" s="6">
        <v>14.4202280565208</v>
      </c>
      <c r="I1406" s="6">
        <v>14.708838982345</v>
      </c>
      <c r="J1406" s="6">
        <v>12.828972862885999</v>
      </c>
      <c r="K1406" s="6">
        <v>13.9681881702606</v>
      </c>
      <c r="L1406" s="6">
        <v>14.245650756534101</v>
      </c>
      <c r="M1406" s="6">
        <v>13.3562502963164</v>
      </c>
      <c r="N1406" s="6">
        <v>14.523751299129099</v>
      </c>
      <c r="O1406" s="6">
        <v>14.296561386075</v>
      </c>
      <c r="P1406" s="6">
        <v>14.111673004015399</v>
      </c>
      <c r="Q1406" s="6">
        <v>12.929270684542701</v>
      </c>
    </row>
    <row r="1407" spans="1:17">
      <c r="A1407" s="6" t="s">
        <v>3296</v>
      </c>
      <c r="B1407" s="6" t="s">
        <v>3296</v>
      </c>
      <c r="C1407" s="6" t="s">
        <v>10303</v>
      </c>
      <c r="D1407" s="6" t="s">
        <v>10304</v>
      </c>
      <c r="E1407" s="6" t="s">
        <v>10304</v>
      </c>
      <c r="F1407" s="6">
        <v>14.5411370441077</v>
      </c>
      <c r="G1407" s="6">
        <v>13.8994843046253</v>
      </c>
      <c r="H1407" s="6">
        <v>13.6973546050218</v>
      </c>
      <c r="I1407" s="6">
        <v>14.8123377669754</v>
      </c>
      <c r="J1407" s="6">
        <v>13.083894107827099</v>
      </c>
      <c r="K1407" s="6">
        <v>14.3561635943251</v>
      </c>
      <c r="L1407" s="6" t="s">
        <v>6254</v>
      </c>
      <c r="M1407" s="6">
        <v>13.2231505798154</v>
      </c>
      <c r="N1407" s="6">
        <v>13.493840360762899</v>
      </c>
      <c r="O1407" s="6">
        <v>14.2080988047933</v>
      </c>
      <c r="P1407" s="6">
        <v>13.888085957879399</v>
      </c>
      <c r="Q1407" s="6" t="s">
        <v>6254</v>
      </c>
    </row>
    <row r="1408" spans="1:17">
      <c r="A1408" s="6" t="s">
        <v>5470</v>
      </c>
      <c r="B1408" s="6" t="s">
        <v>5470</v>
      </c>
      <c r="C1408" s="6" t="s">
        <v>10305</v>
      </c>
      <c r="D1408" s="6" t="s">
        <v>10306</v>
      </c>
      <c r="E1408" s="6" t="s">
        <v>10306</v>
      </c>
      <c r="F1408" s="6">
        <v>14.1372920974159</v>
      </c>
      <c r="G1408" s="6">
        <v>13.989086860495499</v>
      </c>
      <c r="H1408" s="6">
        <v>14.009684610113601</v>
      </c>
      <c r="I1408" s="6">
        <v>14.532007750822199</v>
      </c>
      <c r="J1408" s="6">
        <v>13.3800705855435</v>
      </c>
      <c r="K1408" s="6">
        <v>13.9214145105495</v>
      </c>
      <c r="L1408" s="6">
        <v>14.553964222250199</v>
      </c>
      <c r="M1408" s="6">
        <v>13.1253876820236</v>
      </c>
      <c r="N1408" s="6">
        <v>13.7784245578588</v>
      </c>
      <c r="O1408" s="6">
        <v>14.667777119373699</v>
      </c>
      <c r="P1408" s="6">
        <v>14.2628111523273</v>
      </c>
      <c r="Q1408" s="6">
        <v>13.0170356648799</v>
      </c>
    </row>
    <row r="1409" spans="1:17">
      <c r="A1409" s="6" t="s">
        <v>2330</v>
      </c>
      <c r="B1409" s="6" t="s">
        <v>2330</v>
      </c>
      <c r="C1409" s="6" t="s">
        <v>10307</v>
      </c>
      <c r="D1409" s="6" t="s">
        <v>10308</v>
      </c>
      <c r="E1409" s="6" t="s">
        <v>10308</v>
      </c>
      <c r="F1409" s="6">
        <v>14.4170204430322</v>
      </c>
      <c r="G1409" s="6">
        <v>13.973304657537399</v>
      </c>
      <c r="H1409" s="6">
        <v>13.8487182651113</v>
      </c>
      <c r="I1409" s="6">
        <v>14.9273407818013</v>
      </c>
      <c r="J1409" s="6">
        <v>12.8265458058682</v>
      </c>
      <c r="K1409" s="6">
        <v>13.5405495779411</v>
      </c>
      <c r="L1409" s="6">
        <v>14.875688332523699</v>
      </c>
      <c r="M1409" s="6">
        <v>13.200832736712901</v>
      </c>
      <c r="N1409" s="6">
        <v>13.373432290585299</v>
      </c>
      <c r="O1409" s="6">
        <v>14.2647965978193</v>
      </c>
      <c r="P1409" s="6">
        <v>14.232709432733699</v>
      </c>
      <c r="Q1409" s="6">
        <v>12.1134144145985</v>
      </c>
    </row>
    <row r="1410" spans="1:17">
      <c r="A1410" s="6" t="s">
        <v>1715</v>
      </c>
      <c r="B1410" s="6" t="s">
        <v>1717</v>
      </c>
      <c r="C1410" s="6" t="s">
        <v>10309</v>
      </c>
      <c r="D1410" s="6" t="s">
        <v>10310</v>
      </c>
      <c r="E1410" s="6" t="s">
        <v>10311</v>
      </c>
      <c r="F1410" s="6">
        <v>14.544924461304699</v>
      </c>
      <c r="G1410" s="6">
        <v>13.962786184170101</v>
      </c>
      <c r="H1410" s="6">
        <v>13.9963481356091</v>
      </c>
      <c r="I1410" s="6">
        <v>14.722186121799799</v>
      </c>
      <c r="J1410" s="6">
        <v>13.3902430649305</v>
      </c>
      <c r="K1410" s="6">
        <v>13.772459012230099</v>
      </c>
      <c r="L1410" s="6">
        <v>14.535327142077</v>
      </c>
      <c r="M1410" s="6">
        <v>13.3018014207339</v>
      </c>
      <c r="N1410" s="6">
        <v>14.016842734118301</v>
      </c>
      <c r="O1410" s="6">
        <v>14.4870993855459</v>
      </c>
      <c r="P1410" s="6">
        <v>14.2310505339799</v>
      </c>
      <c r="Q1410" s="6">
        <v>12.422393409127601</v>
      </c>
    </row>
    <row r="1411" spans="1:17">
      <c r="A1411" s="6" t="s">
        <v>2733</v>
      </c>
      <c r="B1411" s="6" t="s">
        <v>2733</v>
      </c>
      <c r="C1411" s="6" t="s">
        <v>10312</v>
      </c>
      <c r="D1411" s="6" t="s">
        <v>10313</v>
      </c>
      <c r="E1411" s="6" t="s">
        <v>10313</v>
      </c>
      <c r="F1411" s="6">
        <v>14.143315073060499</v>
      </c>
      <c r="G1411" s="6" t="s">
        <v>6254</v>
      </c>
      <c r="H1411" s="6">
        <v>14.0286949490696</v>
      </c>
      <c r="I1411" s="6">
        <v>14.973584923108</v>
      </c>
      <c r="J1411" s="6" t="s">
        <v>6254</v>
      </c>
      <c r="K1411" s="6">
        <v>13.831477489185501</v>
      </c>
      <c r="L1411" s="6">
        <v>14.7051357691977</v>
      </c>
      <c r="M1411" s="6" t="s">
        <v>6254</v>
      </c>
      <c r="N1411" s="6">
        <v>13.797859158770301</v>
      </c>
      <c r="O1411" s="6" t="s">
        <v>6254</v>
      </c>
      <c r="P1411" s="6" t="s">
        <v>6254</v>
      </c>
      <c r="Q1411" s="6" t="s">
        <v>6254</v>
      </c>
    </row>
    <row r="1412" spans="1:17">
      <c r="A1412" s="6" t="s">
        <v>10314</v>
      </c>
      <c r="B1412" s="6" t="s">
        <v>10314</v>
      </c>
      <c r="C1412" s="6" t="s">
        <v>10315</v>
      </c>
      <c r="D1412" s="6" t="s">
        <v>10316</v>
      </c>
      <c r="E1412" s="6" t="s">
        <v>10316</v>
      </c>
      <c r="F1412" s="6">
        <v>14.406949993562501</v>
      </c>
      <c r="G1412" s="6">
        <v>13.974494815773401</v>
      </c>
      <c r="H1412" s="6">
        <v>14.024823664204799</v>
      </c>
      <c r="I1412" s="6">
        <v>14.547464497657799</v>
      </c>
      <c r="J1412" s="6">
        <v>13.3805131777483</v>
      </c>
      <c r="K1412" s="6">
        <v>13.4271680866084</v>
      </c>
      <c r="L1412" s="6">
        <v>14.605953843758</v>
      </c>
      <c r="M1412" s="6">
        <v>13.4621351590679</v>
      </c>
      <c r="N1412" s="6">
        <v>13.5993081665384</v>
      </c>
      <c r="O1412" s="6">
        <v>14.334779624242</v>
      </c>
      <c r="P1412" s="6">
        <v>13.584027602273601</v>
      </c>
      <c r="Q1412" s="6">
        <v>13.2834741458094</v>
      </c>
    </row>
    <row r="1413" spans="1:17">
      <c r="A1413" s="6" t="s">
        <v>10317</v>
      </c>
      <c r="B1413" s="6" t="s">
        <v>10317</v>
      </c>
      <c r="C1413" s="6" t="s">
        <v>10318</v>
      </c>
      <c r="D1413" s="6" t="s">
        <v>10319</v>
      </c>
      <c r="E1413" s="6" t="s">
        <v>10319</v>
      </c>
      <c r="F1413" s="6">
        <v>14.460406536637301</v>
      </c>
      <c r="G1413" s="6">
        <v>13.560377020890201</v>
      </c>
      <c r="H1413" s="6">
        <v>14.056418284613001</v>
      </c>
      <c r="I1413" s="6">
        <v>14.4926665417549</v>
      </c>
      <c r="J1413" s="6" t="s">
        <v>6254</v>
      </c>
      <c r="K1413" s="6">
        <v>13.7194969201218</v>
      </c>
      <c r="L1413" s="6">
        <v>14.7886937913916</v>
      </c>
      <c r="M1413" s="6">
        <v>13.2586243342281</v>
      </c>
      <c r="N1413" s="6">
        <v>14.1933696286707</v>
      </c>
      <c r="O1413" s="6">
        <v>14.2893378798634</v>
      </c>
      <c r="P1413" s="6">
        <v>14.332693016089999</v>
      </c>
      <c r="Q1413" s="6" t="s">
        <v>6254</v>
      </c>
    </row>
    <row r="1414" spans="1:17">
      <c r="A1414" s="6" t="s">
        <v>1732</v>
      </c>
      <c r="B1414" s="6" t="s">
        <v>1734</v>
      </c>
      <c r="C1414" s="6" t="s">
        <v>10320</v>
      </c>
      <c r="D1414" s="6" t="s">
        <v>10321</v>
      </c>
      <c r="E1414" s="6" t="s">
        <v>10322</v>
      </c>
      <c r="F1414" s="6">
        <v>14.5798739157627</v>
      </c>
      <c r="G1414" s="6">
        <v>13.8673276511447</v>
      </c>
      <c r="H1414" s="6">
        <v>13.7937037461953</v>
      </c>
      <c r="I1414" s="6">
        <v>15.1635968914362</v>
      </c>
      <c r="J1414" s="6">
        <v>13.225187526729</v>
      </c>
      <c r="K1414" s="6">
        <v>14.322713513782199</v>
      </c>
      <c r="L1414" s="6">
        <v>14.577054237818301</v>
      </c>
      <c r="M1414" s="6">
        <v>13.0246701486698</v>
      </c>
      <c r="N1414" s="6">
        <v>13.6345744886503</v>
      </c>
      <c r="O1414" s="6">
        <v>14.416319076991201</v>
      </c>
      <c r="P1414" s="6">
        <v>14.3966114385782</v>
      </c>
      <c r="Q1414" s="6">
        <v>12.2865975477178</v>
      </c>
    </row>
    <row r="1415" spans="1:17">
      <c r="A1415" s="6" t="s">
        <v>10323</v>
      </c>
      <c r="B1415" s="6" t="s">
        <v>10323</v>
      </c>
      <c r="C1415" s="6" t="s">
        <v>10324</v>
      </c>
      <c r="D1415" s="6" t="s">
        <v>10325</v>
      </c>
      <c r="E1415" s="6" t="s">
        <v>10325</v>
      </c>
      <c r="F1415" s="6">
        <v>15.865265525301099</v>
      </c>
      <c r="G1415" s="6">
        <v>12.8792793291815</v>
      </c>
      <c r="H1415" s="6">
        <v>16.6434308747491</v>
      </c>
      <c r="I1415" s="6">
        <v>13.2003889083727</v>
      </c>
      <c r="J1415" s="6" t="s">
        <v>6254</v>
      </c>
      <c r="K1415" s="6">
        <v>13.8216383270926</v>
      </c>
      <c r="L1415" s="6">
        <v>13.183384944531999</v>
      </c>
      <c r="M1415" s="6" t="s">
        <v>6254</v>
      </c>
      <c r="N1415" s="6">
        <v>17.683660961209501</v>
      </c>
      <c r="O1415" s="6">
        <v>14.022660073730099</v>
      </c>
      <c r="P1415" s="6" t="s">
        <v>6254</v>
      </c>
      <c r="Q1415" s="6" t="s">
        <v>6254</v>
      </c>
    </row>
    <row r="1416" spans="1:17">
      <c r="A1416" s="6" t="s">
        <v>2756</v>
      </c>
      <c r="B1416" s="6" t="s">
        <v>2756</v>
      </c>
      <c r="C1416" s="6" t="s">
        <v>10326</v>
      </c>
      <c r="D1416" s="6" t="s">
        <v>10327</v>
      </c>
      <c r="E1416" s="6" t="s">
        <v>10327</v>
      </c>
      <c r="F1416" s="6">
        <v>14.462171191868601</v>
      </c>
      <c r="G1416" s="6">
        <v>14.167801278223999</v>
      </c>
      <c r="H1416" s="6">
        <v>14.0551857690467</v>
      </c>
      <c r="I1416" s="6">
        <v>14.4393362167079</v>
      </c>
      <c r="J1416" s="6">
        <v>13.674579452091599</v>
      </c>
      <c r="K1416" s="6">
        <v>14.7804114780393</v>
      </c>
      <c r="L1416" s="6">
        <v>14.452300114055999</v>
      </c>
      <c r="M1416" s="6">
        <v>12.9310163989404</v>
      </c>
      <c r="N1416" s="6">
        <v>13.618576567964499</v>
      </c>
      <c r="O1416" s="6">
        <v>14.180976061248399</v>
      </c>
      <c r="P1416" s="6">
        <v>13.9312125131552</v>
      </c>
      <c r="Q1416" s="6">
        <v>12.624734227640801</v>
      </c>
    </row>
    <row r="1417" spans="1:17">
      <c r="A1417" s="6" t="s">
        <v>10328</v>
      </c>
      <c r="B1417" s="6" t="s">
        <v>10329</v>
      </c>
      <c r="C1417" s="6" t="s">
        <v>10330</v>
      </c>
      <c r="D1417" s="6" t="s">
        <v>10331</v>
      </c>
      <c r="E1417" s="6" t="s">
        <v>10332</v>
      </c>
      <c r="F1417" s="6">
        <v>14.045193879291199</v>
      </c>
      <c r="G1417" s="6">
        <v>13.828615107899701</v>
      </c>
      <c r="H1417" s="6">
        <v>14.1998566900171</v>
      </c>
      <c r="I1417" s="6">
        <v>14.4043950098616</v>
      </c>
      <c r="J1417" s="6" t="s">
        <v>6254</v>
      </c>
      <c r="K1417" s="6">
        <v>12.708397040297999</v>
      </c>
      <c r="L1417" s="6">
        <v>14.821194310050799</v>
      </c>
      <c r="M1417" s="6" t="s">
        <v>6254</v>
      </c>
      <c r="N1417" s="6">
        <v>14.584206569726501</v>
      </c>
      <c r="O1417" s="6">
        <v>14.4112753607263</v>
      </c>
      <c r="P1417" s="6">
        <v>14.0760106836135</v>
      </c>
      <c r="Q1417" s="6">
        <v>11.187707497195801</v>
      </c>
    </row>
    <row r="1418" spans="1:17">
      <c r="A1418" s="6" t="s">
        <v>10333</v>
      </c>
      <c r="B1418" s="6" t="s">
        <v>10333</v>
      </c>
      <c r="C1418" s="6" t="s">
        <v>10334</v>
      </c>
      <c r="D1418" s="6" t="s">
        <v>10335</v>
      </c>
      <c r="E1418" s="6" t="s">
        <v>10335</v>
      </c>
      <c r="F1418" s="6">
        <v>13.8558378266682</v>
      </c>
      <c r="G1418" s="6">
        <v>14.144371746149099</v>
      </c>
      <c r="H1418" s="6">
        <v>14.159214126068299</v>
      </c>
      <c r="I1418" s="6">
        <v>14.651683371521599</v>
      </c>
      <c r="J1418" s="6">
        <v>13.332815428343499</v>
      </c>
      <c r="K1418" s="6" t="s">
        <v>6254</v>
      </c>
      <c r="L1418" s="6">
        <v>14.3850000724319</v>
      </c>
      <c r="M1418" s="6" t="s">
        <v>6254</v>
      </c>
      <c r="N1418" s="6">
        <v>13.434716988828299</v>
      </c>
      <c r="O1418" s="6">
        <v>14.129935263227599</v>
      </c>
      <c r="P1418" s="6">
        <v>14.5082486879671</v>
      </c>
      <c r="Q1418" s="6">
        <v>12.7149403875147</v>
      </c>
    </row>
    <row r="1419" spans="1:17">
      <c r="A1419" s="6" t="s">
        <v>10336</v>
      </c>
      <c r="B1419" s="6" t="s">
        <v>10336</v>
      </c>
      <c r="C1419" s="6" t="s">
        <v>10337</v>
      </c>
      <c r="D1419" s="6" t="s">
        <v>10338</v>
      </c>
      <c r="E1419" s="6" t="s">
        <v>10338</v>
      </c>
      <c r="F1419" s="6" t="s">
        <v>6254</v>
      </c>
      <c r="G1419" s="6" t="s">
        <v>6254</v>
      </c>
      <c r="H1419" s="6" t="s">
        <v>6254</v>
      </c>
      <c r="I1419" s="6">
        <v>13.9730958873278</v>
      </c>
      <c r="J1419" s="6" t="s">
        <v>6254</v>
      </c>
      <c r="K1419" s="6" t="s">
        <v>6254</v>
      </c>
      <c r="L1419" s="6" t="s">
        <v>6254</v>
      </c>
      <c r="M1419" s="6" t="s">
        <v>6254</v>
      </c>
      <c r="N1419" s="6" t="s">
        <v>6254</v>
      </c>
      <c r="O1419" s="6" t="s">
        <v>6254</v>
      </c>
      <c r="P1419" s="6" t="s">
        <v>6254</v>
      </c>
      <c r="Q1419" s="6" t="s">
        <v>6254</v>
      </c>
    </row>
    <row r="1420" spans="1:17">
      <c r="A1420" s="6" t="s">
        <v>10339</v>
      </c>
      <c r="B1420" s="6" t="s">
        <v>10340</v>
      </c>
      <c r="C1420" s="6" t="s">
        <v>10341</v>
      </c>
      <c r="D1420" s="6" t="s">
        <v>10342</v>
      </c>
      <c r="E1420" s="6" t="s">
        <v>10343</v>
      </c>
      <c r="F1420" s="6">
        <v>14.3738495361725</v>
      </c>
      <c r="G1420" s="6">
        <v>13.669114345168801</v>
      </c>
      <c r="H1420" s="6">
        <v>13.939817793774299</v>
      </c>
      <c r="I1420" s="6">
        <v>14.3912100680853</v>
      </c>
      <c r="J1420" s="6">
        <v>13.0215538298303</v>
      </c>
      <c r="K1420" s="6">
        <v>13.424138795112301</v>
      </c>
      <c r="L1420" s="6">
        <v>14.341581813372301</v>
      </c>
      <c r="M1420" s="6">
        <v>13.198021832655</v>
      </c>
      <c r="N1420" s="6">
        <v>14.5280224186087</v>
      </c>
      <c r="O1420" s="6">
        <v>14.3671689487816</v>
      </c>
      <c r="P1420" s="6">
        <v>14.354995406237901</v>
      </c>
      <c r="Q1420" s="6">
        <v>13.1840769220201</v>
      </c>
    </row>
    <row r="1421" spans="1:17">
      <c r="A1421" s="6" t="s">
        <v>10344</v>
      </c>
      <c r="B1421" s="6" t="s">
        <v>10344</v>
      </c>
      <c r="C1421" s="6" t="s">
        <v>10345</v>
      </c>
      <c r="D1421" s="6" t="s">
        <v>10346</v>
      </c>
      <c r="E1421" s="6" t="s">
        <v>10346</v>
      </c>
      <c r="F1421" s="6">
        <v>14.466429062689601</v>
      </c>
      <c r="G1421" s="6">
        <v>14.2552016983608</v>
      </c>
      <c r="H1421" s="6">
        <v>13.6638242045633</v>
      </c>
      <c r="I1421" s="6">
        <v>14.2999344138316</v>
      </c>
      <c r="J1421" s="6">
        <v>12.9103219534801</v>
      </c>
      <c r="K1421" s="6">
        <v>14.1174396851843</v>
      </c>
      <c r="L1421" s="6">
        <v>14.757749208112999</v>
      </c>
      <c r="M1421" s="6">
        <v>12.9868498159354</v>
      </c>
      <c r="N1421" s="6">
        <v>13.8836195605324</v>
      </c>
      <c r="O1421" s="6">
        <v>13.975995368436999</v>
      </c>
      <c r="P1421" s="6">
        <v>13.717674692625399</v>
      </c>
      <c r="Q1421" s="6">
        <v>13.3168273469125</v>
      </c>
    </row>
    <row r="1422" spans="1:17">
      <c r="A1422" s="6" t="s">
        <v>10347</v>
      </c>
      <c r="B1422" s="6" t="s">
        <v>10347</v>
      </c>
      <c r="C1422" s="6" t="s">
        <v>10348</v>
      </c>
      <c r="D1422" s="6" t="s">
        <v>10349</v>
      </c>
      <c r="E1422" s="6" t="s">
        <v>10349</v>
      </c>
      <c r="F1422" s="6" t="s">
        <v>6254</v>
      </c>
      <c r="G1422" s="6">
        <v>14.251268869870399</v>
      </c>
      <c r="H1422" s="6">
        <v>14.135150663366399</v>
      </c>
      <c r="I1422" s="6">
        <v>14.830317732846201</v>
      </c>
      <c r="J1422" s="6" t="s">
        <v>6254</v>
      </c>
      <c r="K1422" s="6" t="s">
        <v>6254</v>
      </c>
      <c r="L1422" s="6">
        <v>14.3788272773157</v>
      </c>
      <c r="M1422" s="6" t="s">
        <v>6254</v>
      </c>
      <c r="N1422" s="6">
        <v>14.212710541755699</v>
      </c>
      <c r="O1422" s="6" t="s">
        <v>6254</v>
      </c>
      <c r="P1422" s="6">
        <v>14.0499017808296</v>
      </c>
      <c r="Q1422" s="6">
        <v>12.5634918554723</v>
      </c>
    </row>
    <row r="1423" spans="1:17">
      <c r="A1423" s="6" t="s">
        <v>2838</v>
      </c>
      <c r="B1423" s="6" t="s">
        <v>2838</v>
      </c>
      <c r="C1423" s="6" t="s">
        <v>10350</v>
      </c>
      <c r="D1423" s="6" t="s">
        <v>10351</v>
      </c>
      <c r="E1423" s="6" t="s">
        <v>10351</v>
      </c>
      <c r="F1423" s="6">
        <v>14.757696047142501</v>
      </c>
      <c r="G1423" s="6">
        <v>13.787312244335499</v>
      </c>
      <c r="H1423" s="6" t="s">
        <v>6254</v>
      </c>
      <c r="I1423" s="6">
        <v>14.2031019145649</v>
      </c>
      <c r="J1423" s="6" t="s">
        <v>6254</v>
      </c>
      <c r="K1423" s="6">
        <v>13.6677614537524</v>
      </c>
      <c r="L1423" s="6">
        <v>14.1077760123255</v>
      </c>
      <c r="M1423" s="6">
        <v>12.6530256132103</v>
      </c>
      <c r="N1423" s="6">
        <v>13.8443952705026</v>
      </c>
      <c r="O1423" s="6">
        <v>15.261090916826999</v>
      </c>
      <c r="P1423" s="6">
        <v>14.884509674184301</v>
      </c>
      <c r="Q1423" s="6" t="s">
        <v>6254</v>
      </c>
    </row>
    <row r="1424" spans="1:17">
      <c r="A1424" s="6" t="s">
        <v>2526</v>
      </c>
      <c r="B1424" s="6" t="s">
        <v>2526</v>
      </c>
      <c r="C1424" s="6" t="s">
        <v>10352</v>
      </c>
      <c r="D1424" s="6" t="s">
        <v>10353</v>
      </c>
      <c r="E1424" s="6" t="s">
        <v>10353</v>
      </c>
      <c r="F1424" s="6">
        <v>14.510039975622901</v>
      </c>
      <c r="G1424" s="6">
        <v>14.0589815889262</v>
      </c>
      <c r="H1424" s="6">
        <v>13.8938265027426</v>
      </c>
      <c r="I1424" s="6">
        <v>14.6351805346223</v>
      </c>
      <c r="J1424" s="6" t="s">
        <v>6254</v>
      </c>
      <c r="K1424" s="6">
        <v>12.959517088209401</v>
      </c>
      <c r="L1424" s="6">
        <v>14.870133223556101</v>
      </c>
      <c r="M1424" s="6">
        <v>13.2090894686515</v>
      </c>
      <c r="N1424" s="6">
        <v>14.625276508559001</v>
      </c>
      <c r="O1424" s="6">
        <v>14.2650692637957</v>
      </c>
      <c r="P1424" s="6">
        <v>13.863831456697101</v>
      </c>
      <c r="Q1424" s="6">
        <v>12.0757166550998</v>
      </c>
    </row>
    <row r="1425" spans="1:17">
      <c r="A1425" s="6" t="s">
        <v>4264</v>
      </c>
      <c r="B1425" s="6" t="s">
        <v>4264</v>
      </c>
      <c r="C1425" s="6" t="s">
        <v>10354</v>
      </c>
      <c r="D1425" s="6" t="s">
        <v>10355</v>
      </c>
      <c r="E1425" s="6" t="s">
        <v>10355</v>
      </c>
      <c r="F1425" s="6">
        <v>14.3942449783566</v>
      </c>
      <c r="G1425" s="6">
        <v>13.894556635853499</v>
      </c>
      <c r="H1425" s="6">
        <v>13.7517592009632</v>
      </c>
      <c r="I1425" s="6">
        <v>14.3315378722465</v>
      </c>
      <c r="J1425" s="6">
        <v>12.716585678832599</v>
      </c>
      <c r="K1425" s="6" t="s">
        <v>6254</v>
      </c>
      <c r="L1425" s="6">
        <v>14.242205758468399</v>
      </c>
      <c r="M1425" s="6">
        <v>12.8173808329071</v>
      </c>
      <c r="N1425" s="6" t="s">
        <v>6254</v>
      </c>
      <c r="O1425" s="6">
        <v>14.355193477570401</v>
      </c>
      <c r="P1425" s="6">
        <v>14.357926957278501</v>
      </c>
      <c r="Q1425" s="6" t="s">
        <v>6254</v>
      </c>
    </row>
    <row r="1426" spans="1:17">
      <c r="A1426" s="6" t="s">
        <v>10356</v>
      </c>
      <c r="B1426" s="6" t="s">
        <v>10357</v>
      </c>
      <c r="C1426" s="6" t="s">
        <v>10358</v>
      </c>
      <c r="D1426" s="6" t="s">
        <v>10359</v>
      </c>
      <c r="E1426" s="6" t="s">
        <v>10360</v>
      </c>
      <c r="F1426" s="6">
        <v>14.599777383579699</v>
      </c>
      <c r="G1426" s="6">
        <v>13.354520844654401</v>
      </c>
      <c r="H1426" s="6">
        <v>14.0668676860787</v>
      </c>
      <c r="I1426" s="6">
        <v>14.575829859112201</v>
      </c>
      <c r="J1426" s="6" t="s">
        <v>6254</v>
      </c>
      <c r="K1426" s="6" t="s">
        <v>6254</v>
      </c>
      <c r="L1426" s="6">
        <v>14.577554491332</v>
      </c>
      <c r="M1426" s="6" t="s">
        <v>6254</v>
      </c>
      <c r="N1426" s="6" t="s">
        <v>6254</v>
      </c>
      <c r="O1426" s="6">
        <v>13.5650662681649</v>
      </c>
      <c r="P1426" s="6">
        <v>14.097255126078201</v>
      </c>
      <c r="Q1426" s="6" t="s">
        <v>6254</v>
      </c>
    </row>
    <row r="1427" spans="1:17">
      <c r="A1427" s="6" t="s">
        <v>10361</v>
      </c>
      <c r="B1427" s="6" t="s">
        <v>10362</v>
      </c>
      <c r="C1427" s="6" t="s">
        <v>10363</v>
      </c>
      <c r="D1427" s="6" t="s">
        <v>10364</v>
      </c>
      <c r="E1427" s="6" t="s">
        <v>10365</v>
      </c>
      <c r="F1427" s="6">
        <v>13.497064339022501</v>
      </c>
      <c r="G1427" s="6" t="s">
        <v>6254</v>
      </c>
      <c r="H1427" s="6">
        <v>13.863547137968499</v>
      </c>
      <c r="I1427" s="6">
        <v>15.383911042521</v>
      </c>
      <c r="J1427" s="6">
        <v>13.660703580231999</v>
      </c>
      <c r="K1427" s="6">
        <v>14.4270458440956</v>
      </c>
      <c r="L1427" s="6">
        <v>14.935292391909099</v>
      </c>
      <c r="M1427" s="6">
        <v>12.488758994068</v>
      </c>
      <c r="N1427" s="6">
        <v>13.670911059301099</v>
      </c>
      <c r="O1427" s="6">
        <v>13.3405815815156</v>
      </c>
      <c r="P1427" s="6">
        <v>12.8796643077924</v>
      </c>
      <c r="Q1427" s="6">
        <v>13.692063496608901</v>
      </c>
    </row>
    <row r="1428" spans="1:17">
      <c r="A1428" s="6" t="s">
        <v>1699</v>
      </c>
      <c r="B1428" s="6" t="s">
        <v>1699</v>
      </c>
      <c r="C1428" s="6" t="s">
        <v>10366</v>
      </c>
      <c r="D1428" s="6" t="s">
        <v>10367</v>
      </c>
      <c r="E1428" s="6" t="s">
        <v>10367</v>
      </c>
      <c r="F1428" s="6">
        <v>14.386391646235801</v>
      </c>
      <c r="G1428" s="6">
        <v>14.0391001744168</v>
      </c>
      <c r="H1428" s="6">
        <v>13.9074204054454</v>
      </c>
      <c r="I1428" s="6">
        <v>14.570201183310999</v>
      </c>
      <c r="J1428" s="6">
        <v>13.1633199661254</v>
      </c>
      <c r="K1428" s="6">
        <v>14.179415818437899</v>
      </c>
      <c r="L1428" s="6">
        <v>14.261726250336199</v>
      </c>
      <c r="M1428" s="6">
        <v>13.091515426569</v>
      </c>
      <c r="N1428" s="6">
        <v>14.0835806669948</v>
      </c>
      <c r="O1428" s="6">
        <v>14.276849111472499</v>
      </c>
      <c r="P1428" s="6">
        <v>14.476425298226401</v>
      </c>
      <c r="Q1428" s="6">
        <v>12.3400363940387</v>
      </c>
    </row>
    <row r="1429" spans="1:17">
      <c r="A1429" s="6" t="s">
        <v>10368</v>
      </c>
      <c r="B1429" s="6" t="s">
        <v>1943</v>
      </c>
      <c r="C1429" s="6" t="s">
        <v>10369</v>
      </c>
      <c r="D1429" s="6" t="s">
        <v>10370</v>
      </c>
      <c r="E1429" s="6" t="s">
        <v>10371</v>
      </c>
      <c r="F1429" s="6">
        <v>14.4826342500695</v>
      </c>
      <c r="G1429" s="6">
        <v>13.7923746986858</v>
      </c>
      <c r="H1429" s="6">
        <v>13.886273083988399</v>
      </c>
      <c r="I1429" s="6">
        <v>14.7319926284805</v>
      </c>
      <c r="J1429" s="6">
        <v>13.4520463859331</v>
      </c>
      <c r="K1429" s="6">
        <v>14.0422517434061</v>
      </c>
      <c r="L1429" s="6">
        <v>14.684777242350799</v>
      </c>
      <c r="M1429" s="6">
        <v>12.786474598782799</v>
      </c>
      <c r="N1429" s="6">
        <v>13.938895194962299</v>
      </c>
      <c r="O1429" s="6">
        <v>14.230564856733199</v>
      </c>
      <c r="P1429" s="6">
        <v>14.3815547203699</v>
      </c>
      <c r="Q1429" s="6">
        <v>12.679864491621499</v>
      </c>
    </row>
    <row r="1430" spans="1:17">
      <c r="A1430" s="6" t="s">
        <v>1711</v>
      </c>
      <c r="B1430" s="6" t="s">
        <v>1711</v>
      </c>
      <c r="C1430" s="6" t="s">
        <v>10372</v>
      </c>
      <c r="D1430" s="6" t="s">
        <v>10373</v>
      </c>
      <c r="E1430" s="6" t="s">
        <v>10373</v>
      </c>
      <c r="F1430" s="6">
        <v>15.1526012203137</v>
      </c>
      <c r="G1430" s="6">
        <v>14.091386064438399</v>
      </c>
      <c r="H1430" s="6">
        <v>14.074264380992901</v>
      </c>
      <c r="I1430" s="6">
        <v>15.038293824562899</v>
      </c>
      <c r="J1430" s="6">
        <v>14.003862641323501</v>
      </c>
      <c r="K1430" s="6">
        <v>13.8955345818423</v>
      </c>
      <c r="L1430" s="6">
        <v>14.808282687043899</v>
      </c>
      <c r="M1430" s="6">
        <v>13.083183422598999</v>
      </c>
      <c r="N1430" s="6">
        <v>14.4418910204067</v>
      </c>
      <c r="O1430" s="6">
        <v>13.9870354220346</v>
      </c>
      <c r="P1430" s="6">
        <v>13.647847327885801</v>
      </c>
      <c r="Q1430" s="6">
        <v>12.635078739385399</v>
      </c>
    </row>
    <row r="1431" spans="1:17">
      <c r="A1431" s="6" t="s">
        <v>10374</v>
      </c>
      <c r="B1431" s="6" t="s">
        <v>1434</v>
      </c>
      <c r="C1431" s="6" t="s">
        <v>10375</v>
      </c>
      <c r="D1431" s="6" t="s">
        <v>10376</v>
      </c>
      <c r="E1431" s="6" t="s">
        <v>10377</v>
      </c>
      <c r="F1431" s="6">
        <v>14.269331951209701</v>
      </c>
      <c r="G1431" s="6">
        <v>13.8044925372623</v>
      </c>
      <c r="H1431" s="6">
        <v>13.9284598111363</v>
      </c>
      <c r="I1431" s="6">
        <v>14.729363008523199</v>
      </c>
      <c r="J1431" s="6">
        <v>13.417246549952001</v>
      </c>
      <c r="K1431" s="6">
        <v>13.881103292428</v>
      </c>
      <c r="L1431" s="6">
        <v>14.5156713367778</v>
      </c>
      <c r="M1431" s="6">
        <v>13.0676771648384</v>
      </c>
      <c r="N1431" s="6">
        <v>13.3511045489583</v>
      </c>
      <c r="O1431" s="6">
        <v>14.2301794289196</v>
      </c>
      <c r="P1431" s="6">
        <v>14.396558286905099</v>
      </c>
      <c r="Q1431" s="6">
        <v>13.0200826613627</v>
      </c>
    </row>
    <row r="1432" spans="1:17">
      <c r="A1432" s="6" t="s">
        <v>10378</v>
      </c>
      <c r="B1432" s="6" t="s">
        <v>10378</v>
      </c>
      <c r="C1432" s="6" t="s">
        <v>10379</v>
      </c>
      <c r="D1432" s="6" t="s">
        <v>10380</v>
      </c>
      <c r="E1432" s="6" t="s">
        <v>10380</v>
      </c>
      <c r="F1432" s="6">
        <v>13.3681682722179</v>
      </c>
      <c r="G1432" s="6" t="s">
        <v>6254</v>
      </c>
      <c r="H1432" s="6">
        <v>14.619240286405001</v>
      </c>
      <c r="I1432" s="6" t="s">
        <v>6254</v>
      </c>
      <c r="J1432" s="6">
        <v>12.4851389671402</v>
      </c>
      <c r="K1432" s="6" t="s">
        <v>6254</v>
      </c>
      <c r="L1432" s="6">
        <v>14.842326165483</v>
      </c>
      <c r="M1432" s="6" t="s">
        <v>6254</v>
      </c>
      <c r="N1432" s="6">
        <v>11.790197776360399</v>
      </c>
      <c r="O1432" s="6">
        <v>14.5248493093187</v>
      </c>
      <c r="P1432" s="6" t="s">
        <v>6254</v>
      </c>
      <c r="Q1432" s="6">
        <v>16.420983970434499</v>
      </c>
    </row>
    <row r="1433" spans="1:17">
      <c r="A1433" s="6" t="s">
        <v>10381</v>
      </c>
      <c r="B1433" s="6" t="s">
        <v>10382</v>
      </c>
      <c r="C1433" s="6" t="s">
        <v>10383</v>
      </c>
      <c r="D1433" s="6" t="s">
        <v>10384</v>
      </c>
      <c r="E1433" s="6" t="s">
        <v>10385</v>
      </c>
      <c r="F1433" s="6">
        <v>14.499053769053599</v>
      </c>
      <c r="G1433" s="6">
        <v>14.003793763843801</v>
      </c>
      <c r="H1433" s="6">
        <v>14.1163505044739</v>
      </c>
      <c r="I1433" s="6">
        <v>14.6802957716161</v>
      </c>
      <c r="J1433" s="6">
        <v>13.454012922841599</v>
      </c>
      <c r="K1433" s="6">
        <v>13.9701771652676</v>
      </c>
      <c r="L1433" s="6">
        <v>14.5486064837014</v>
      </c>
      <c r="M1433" s="6">
        <v>13.180006042355</v>
      </c>
      <c r="N1433" s="6">
        <v>13.7808777764083</v>
      </c>
      <c r="O1433" s="6">
        <v>14.114965282152101</v>
      </c>
      <c r="P1433" s="6">
        <v>14.229252791165999</v>
      </c>
      <c r="Q1433" s="6">
        <v>12.2157858815059</v>
      </c>
    </row>
    <row r="1434" spans="1:17">
      <c r="A1434" s="6" t="s">
        <v>1885</v>
      </c>
      <c r="B1434" s="6" t="s">
        <v>1885</v>
      </c>
      <c r="C1434" s="6" t="s">
        <v>10386</v>
      </c>
      <c r="D1434" s="6" t="s">
        <v>10387</v>
      </c>
      <c r="E1434" s="6" t="s">
        <v>10387</v>
      </c>
      <c r="F1434" s="6">
        <v>14.2874267889873</v>
      </c>
      <c r="G1434" s="6">
        <v>13.5294649369947</v>
      </c>
      <c r="H1434" s="6">
        <v>14.2132882828123</v>
      </c>
      <c r="I1434" s="6">
        <v>14.422227569702899</v>
      </c>
      <c r="J1434" s="6">
        <v>12.9591280623101</v>
      </c>
      <c r="K1434" s="6">
        <v>13.3544722669393</v>
      </c>
      <c r="L1434" s="6">
        <v>14.6059708431931</v>
      </c>
      <c r="M1434" s="6">
        <v>12.8584193352219</v>
      </c>
      <c r="N1434" s="6">
        <v>14.3808669391384</v>
      </c>
      <c r="O1434" s="6">
        <v>14.327106727289699</v>
      </c>
      <c r="P1434" s="6">
        <v>13.970443689929899</v>
      </c>
      <c r="Q1434" s="6">
        <v>12.668985189473201</v>
      </c>
    </row>
    <row r="1435" spans="1:17">
      <c r="A1435" s="6" t="s">
        <v>10388</v>
      </c>
      <c r="B1435" s="6" t="s">
        <v>10389</v>
      </c>
      <c r="C1435" s="6" t="s">
        <v>10390</v>
      </c>
      <c r="D1435" s="6" t="s">
        <v>10391</v>
      </c>
      <c r="E1435" s="6" t="s">
        <v>10392</v>
      </c>
      <c r="F1435" s="6">
        <v>14.2842636005748</v>
      </c>
      <c r="G1435" s="6">
        <v>13.209873051765101</v>
      </c>
      <c r="H1435" s="6">
        <v>14.313265672423601</v>
      </c>
      <c r="I1435" s="6">
        <v>14.931651278292399</v>
      </c>
      <c r="J1435" s="6">
        <v>13.667322920279901</v>
      </c>
      <c r="K1435" s="6">
        <v>14.3768349658785</v>
      </c>
      <c r="L1435" s="6">
        <v>14.857662874958001</v>
      </c>
      <c r="M1435" s="6">
        <v>13.6088773759029</v>
      </c>
      <c r="N1435" s="6">
        <v>13.674514063569401</v>
      </c>
      <c r="O1435" s="6">
        <v>13.979758566013899</v>
      </c>
      <c r="P1435" s="6">
        <v>14.111226244794601</v>
      </c>
      <c r="Q1435" s="6">
        <v>12.829574443375</v>
      </c>
    </row>
    <row r="1436" spans="1:17">
      <c r="A1436" s="6" t="s">
        <v>10393</v>
      </c>
      <c r="B1436" s="6" t="s">
        <v>10394</v>
      </c>
      <c r="C1436" s="6" t="s">
        <v>10395</v>
      </c>
      <c r="D1436" s="6" t="s">
        <v>10396</v>
      </c>
      <c r="E1436" s="6" t="s">
        <v>10397</v>
      </c>
      <c r="F1436" s="6">
        <v>13.8740557900084</v>
      </c>
      <c r="G1436" s="6" t="s">
        <v>6254</v>
      </c>
      <c r="H1436" s="6">
        <v>14.170361957329</v>
      </c>
      <c r="I1436" s="6">
        <v>15.2664551226945</v>
      </c>
      <c r="J1436" s="6">
        <v>13.697532665007699</v>
      </c>
      <c r="K1436" s="6">
        <v>14.3561896218256</v>
      </c>
      <c r="L1436" s="6">
        <v>14.8998493563622</v>
      </c>
      <c r="M1436" s="6" t="s">
        <v>6254</v>
      </c>
      <c r="N1436" s="6">
        <v>14.027896458944699</v>
      </c>
      <c r="O1436" s="6">
        <v>13.8745023853332</v>
      </c>
      <c r="P1436" s="6">
        <v>14.0638262400534</v>
      </c>
      <c r="Q1436" s="6" t="s">
        <v>6254</v>
      </c>
    </row>
    <row r="1437" spans="1:17">
      <c r="A1437" s="6" t="s">
        <v>3506</v>
      </c>
      <c r="B1437" s="6" t="s">
        <v>3506</v>
      </c>
      <c r="C1437" s="6" t="s">
        <v>10398</v>
      </c>
      <c r="D1437" s="6" t="s">
        <v>10399</v>
      </c>
      <c r="E1437" s="6" t="s">
        <v>10399</v>
      </c>
      <c r="F1437" s="6">
        <v>14.8794402290272</v>
      </c>
      <c r="G1437" s="6">
        <v>12.712380093992399</v>
      </c>
      <c r="H1437" s="6">
        <v>13.7235371403544</v>
      </c>
      <c r="I1437" s="6">
        <v>14.6847082502065</v>
      </c>
      <c r="J1437" s="6">
        <v>12.819029187764601</v>
      </c>
      <c r="K1437" s="6">
        <v>14.1623364422877</v>
      </c>
      <c r="L1437" s="6">
        <v>14.590899170878799</v>
      </c>
      <c r="M1437" s="6" t="s">
        <v>6254</v>
      </c>
      <c r="N1437" s="6">
        <v>14.2848692083898</v>
      </c>
      <c r="O1437" s="6">
        <v>13.596153205938201</v>
      </c>
      <c r="P1437" s="6">
        <v>13.2773994865129</v>
      </c>
      <c r="Q1437" s="6" t="s">
        <v>6254</v>
      </c>
    </row>
    <row r="1438" spans="1:17">
      <c r="A1438" s="6" t="s">
        <v>10400</v>
      </c>
      <c r="B1438" s="6" t="s">
        <v>10401</v>
      </c>
      <c r="C1438" s="6" t="s">
        <v>10402</v>
      </c>
      <c r="D1438" s="6" t="s">
        <v>10403</v>
      </c>
      <c r="E1438" s="6" t="s">
        <v>10404</v>
      </c>
      <c r="F1438" s="6">
        <v>14.5481401707967</v>
      </c>
      <c r="G1438" s="6">
        <v>13.1497892705749</v>
      </c>
      <c r="H1438" s="6">
        <v>13.4704307765747</v>
      </c>
      <c r="I1438" s="6">
        <v>14.679838466844499</v>
      </c>
      <c r="J1438" s="6" t="s">
        <v>6254</v>
      </c>
      <c r="K1438" s="6">
        <v>13.779744157865601</v>
      </c>
      <c r="L1438" s="6">
        <v>14.8664538019909</v>
      </c>
      <c r="M1438" s="6">
        <v>13.1087185409461</v>
      </c>
      <c r="N1438" s="6">
        <v>13.617572119354699</v>
      </c>
      <c r="O1438" s="6">
        <v>14.3748170729272</v>
      </c>
      <c r="P1438" s="6">
        <v>14.4789591165573</v>
      </c>
      <c r="Q1438" s="6">
        <v>12.8230828451587</v>
      </c>
    </row>
    <row r="1439" spans="1:17">
      <c r="A1439" s="6" t="s">
        <v>10405</v>
      </c>
      <c r="B1439" s="6" t="s">
        <v>10405</v>
      </c>
      <c r="C1439" s="6" t="s">
        <v>10406</v>
      </c>
      <c r="D1439" s="6" t="s">
        <v>10407</v>
      </c>
      <c r="E1439" s="6" t="s">
        <v>10407</v>
      </c>
      <c r="F1439" s="6" t="s">
        <v>6254</v>
      </c>
      <c r="G1439" s="6" t="s">
        <v>6254</v>
      </c>
      <c r="H1439" s="6" t="s">
        <v>6254</v>
      </c>
      <c r="I1439" s="6">
        <v>14.659367047457501</v>
      </c>
      <c r="J1439" s="6" t="s">
        <v>6254</v>
      </c>
      <c r="K1439" s="6">
        <v>13.3487801895701</v>
      </c>
      <c r="L1439" s="6">
        <v>15.431867480973001</v>
      </c>
      <c r="M1439" s="6" t="s">
        <v>6254</v>
      </c>
      <c r="N1439" s="6" t="s">
        <v>6254</v>
      </c>
      <c r="O1439" s="6" t="s">
        <v>6254</v>
      </c>
      <c r="P1439" s="6">
        <v>13.0254619237177</v>
      </c>
      <c r="Q1439" s="6" t="s">
        <v>6254</v>
      </c>
    </row>
    <row r="1440" spans="1:17">
      <c r="A1440" s="6" t="s">
        <v>5100</v>
      </c>
      <c r="B1440" s="6" t="s">
        <v>5102</v>
      </c>
      <c r="C1440" s="6" t="s">
        <v>10408</v>
      </c>
      <c r="D1440" s="6" t="s">
        <v>10409</v>
      </c>
      <c r="E1440" s="6" t="s">
        <v>10410</v>
      </c>
      <c r="F1440" s="6">
        <v>14.008522903604</v>
      </c>
      <c r="G1440" s="6" t="s">
        <v>6254</v>
      </c>
      <c r="H1440" s="6">
        <v>13.787528454841</v>
      </c>
      <c r="I1440" s="6">
        <v>14.5449146295025</v>
      </c>
      <c r="J1440" s="6">
        <v>13.0764256723601</v>
      </c>
      <c r="K1440" s="6" t="s">
        <v>6254</v>
      </c>
      <c r="L1440" s="6">
        <v>14.0448656265316</v>
      </c>
      <c r="M1440" s="6" t="s">
        <v>6254</v>
      </c>
      <c r="N1440" s="6" t="s">
        <v>6254</v>
      </c>
      <c r="O1440" s="6">
        <v>14.047873590626001</v>
      </c>
      <c r="P1440" s="6">
        <v>13.8273231161173</v>
      </c>
      <c r="Q1440" s="6" t="s">
        <v>6254</v>
      </c>
    </row>
    <row r="1441" spans="1:17">
      <c r="A1441" s="6" t="s">
        <v>10411</v>
      </c>
      <c r="B1441" s="6" t="s">
        <v>10412</v>
      </c>
      <c r="C1441" s="6" t="s">
        <v>10413</v>
      </c>
      <c r="D1441" s="6" t="s">
        <v>10414</v>
      </c>
      <c r="E1441" s="6" t="s">
        <v>10415</v>
      </c>
      <c r="F1441" s="6">
        <v>13.979892809446</v>
      </c>
      <c r="G1441" s="6">
        <v>14.2438594895862</v>
      </c>
      <c r="H1441" s="6">
        <v>13.6312156859514</v>
      </c>
      <c r="I1441" s="6">
        <v>14.563920726704501</v>
      </c>
      <c r="J1441" s="6">
        <v>13.906520651084</v>
      </c>
      <c r="K1441" s="6">
        <v>13.656631181814699</v>
      </c>
      <c r="L1441" s="6">
        <v>14.4062822206226</v>
      </c>
      <c r="M1441" s="6">
        <v>13.1262311900591</v>
      </c>
      <c r="N1441" s="6">
        <v>12.207136403010701</v>
      </c>
      <c r="O1441" s="6">
        <v>14.007355165361201</v>
      </c>
      <c r="P1441" s="6">
        <v>13.197178406756301</v>
      </c>
      <c r="Q1441" s="6" t="s">
        <v>6254</v>
      </c>
    </row>
    <row r="1442" spans="1:17">
      <c r="A1442" s="6" t="s">
        <v>10416</v>
      </c>
      <c r="B1442" s="6" t="s">
        <v>10417</v>
      </c>
      <c r="C1442" s="6" t="s">
        <v>10418</v>
      </c>
      <c r="D1442" s="6" t="s">
        <v>10419</v>
      </c>
      <c r="E1442" s="6" t="s">
        <v>10420</v>
      </c>
      <c r="F1442" s="6">
        <v>14.394872797844799</v>
      </c>
      <c r="G1442" s="6">
        <v>13.7802161783166</v>
      </c>
      <c r="H1442" s="6">
        <v>14.007925247070499</v>
      </c>
      <c r="I1442" s="6">
        <v>14.5617607407947</v>
      </c>
      <c r="J1442" s="6">
        <v>13.240307769145801</v>
      </c>
      <c r="K1442" s="6">
        <v>13.783086146943299</v>
      </c>
      <c r="L1442" s="6">
        <v>14.454009890349999</v>
      </c>
      <c r="M1442" s="6">
        <v>13.157058377236</v>
      </c>
      <c r="N1442" s="6">
        <v>13.8285552411736</v>
      </c>
      <c r="O1442" s="6">
        <v>14.248804014863101</v>
      </c>
      <c r="P1442" s="6">
        <v>14.3092206214379</v>
      </c>
      <c r="Q1442" s="6">
        <v>12.6054792145845</v>
      </c>
    </row>
    <row r="1443" spans="1:17">
      <c r="A1443" s="6" t="s">
        <v>2011</v>
      </c>
      <c r="B1443" s="6" t="s">
        <v>2011</v>
      </c>
      <c r="C1443" s="6" t="s">
        <v>10421</v>
      </c>
      <c r="D1443" s="6" t="s">
        <v>10422</v>
      </c>
      <c r="E1443" s="6" t="s">
        <v>10422</v>
      </c>
      <c r="F1443" s="6">
        <v>14.467216532189299</v>
      </c>
      <c r="G1443" s="6">
        <v>14.0550335618713</v>
      </c>
      <c r="H1443" s="6">
        <v>13.9120174105798</v>
      </c>
      <c r="I1443" s="6">
        <v>14.6646802818832</v>
      </c>
      <c r="J1443" s="6">
        <v>12.8418766224456</v>
      </c>
      <c r="K1443" s="6">
        <v>13.868628233923699</v>
      </c>
      <c r="L1443" s="6">
        <v>14.309882604087001</v>
      </c>
      <c r="M1443" s="6">
        <v>13.11113553973</v>
      </c>
      <c r="N1443" s="6">
        <v>13.5594315562074</v>
      </c>
      <c r="O1443" s="6">
        <v>14.207865244738899</v>
      </c>
      <c r="P1443" s="6">
        <v>14.1326270865161</v>
      </c>
      <c r="Q1443" s="6">
        <v>13.044880261786499</v>
      </c>
    </row>
    <row r="1444" spans="1:17">
      <c r="A1444" s="6" t="s">
        <v>10423</v>
      </c>
      <c r="B1444" s="6" t="s">
        <v>10423</v>
      </c>
      <c r="C1444" s="6" t="s">
        <v>10424</v>
      </c>
      <c r="D1444" s="6" t="s">
        <v>10425</v>
      </c>
      <c r="E1444" s="6" t="s">
        <v>10425</v>
      </c>
      <c r="F1444" s="6">
        <v>11.7145237207764</v>
      </c>
      <c r="G1444" s="6">
        <v>14.081560988686901</v>
      </c>
      <c r="H1444" s="6">
        <v>14.9273644074975</v>
      </c>
      <c r="I1444" s="6" t="s">
        <v>6254</v>
      </c>
      <c r="J1444" s="6">
        <v>14.003095377638299</v>
      </c>
      <c r="K1444" s="6">
        <v>13.317942621325701</v>
      </c>
      <c r="L1444" s="6">
        <v>15.434832922968999</v>
      </c>
      <c r="M1444" s="6">
        <v>15.1154306880094</v>
      </c>
      <c r="N1444" s="6" t="s">
        <v>6254</v>
      </c>
      <c r="O1444" s="6" t="s">
        <v>6254</v>
      </c>
      <c r="P1444" s="6">
        <v>13.035198926043099</v>
      </c>
      <c r="Q1444" s="6" t="s">
        <v>6254</v>
      </c>
    </row>
    <row r="1445" spans="1:17">
      <c r="A1445" s="6" t="s">
        <v>605</v>
      </c>
      <c r="B1445" s="6" t="s">
        <v>605</v>
      </c>
      <c r="C1445" s="6" t="s">
        <v>10426</v>
      </c>
      <c r="D1445" s="6" t="s">
        <v>10427</v>
      </c>
      <c r="E1445" s="6" t="s">
        <v>10427</v>
      </c>
      <c r="F1445" s="6">
        <v>13.5860740652794</v>
      </c>
      <c r="G1445" s="6">
        <v>13.8072795814739</v>
      </c>
      <c r="H1445" s="6">
        <v>13.9871028805408</v>
      </c>
      <c r="I1445" s="6">
        <v>14.6304225700198</v>
      </c>
      <c r="J1445" s="6">
        <v>11.9265590156517</v>
      </c>
      <c r="K1445" s="6">
        <v>13.852499922701</v>
      </c>
      <c r="L1445" s="6">
        <v>14.9574488912364</v>
      </c>
      <c r="M1445" s="6">
        <v>13.9317667623733</v>
      </c>
      <c r="N1445" s="6">
        <v>12.7765826863164</v>
      </c>
      <c r="O1445" s="6">
        <v>14.755647759503301</v>
      </c>
      <c r="P1445" s="6">
        <v>14.921256420364699</v>
      </c>
      <c r="Q1445" s="6">
        <v>13.048824847443001</v>
      </c>
    </row>
    <row r="1446" spans="1:17">
      <c r="A1446" s="6" t="s">
        <v>10428</v>
      </c>
      <c r="B1446" s="6" t="s">
        <v>10428</v>
      </c>
      <c r="C1446" s="6" t="s">
        <v>10429</v>
      </c>
      <c r="D1446" s="6" t="s">
        <v>10430</v>
      </c>
      <c r="E1446" s="6" t="s">
        <v>10430</v>
      </c>
      <c r="F1446" s="6">
        <v>13.6919619448869</v>
      </c>
      <c r="G1446" s="6" t="s">
        <v>6254</v>
      </c>
      <c r="H1446" s="6" t="s">
        <v>6254</v>
      </c>
      <c r="I1446" s="6">
        <v>12.6831412501295</v>
      </c>
      <c r="J1446" s="6">
        <v>13.879716558532101</v>
      </c>
      <c r="K1446" s="6">
        <v>13.020128892144401</v>
      </c>
      <c r="L1446" s="6">
        <v>13.5630977835979</v>
      </c>
      <c r="M1446" s="6">
        <v>14.3142245088909</v>
      </c>
      <c r="N1446" s="6">
        <v>15.330338742390699</v>
      </c>
      <c r="O1446" s="6">
        <v>13.507970840507401</v>
      </c>
      <c r="P1446" s="6">
        <v>12.6460098970639</v>
      </c>
      <c r="Q1446" s="6">
        <v>13.878387730796501</v>
      </c>
    </row>
    <row r="1447" spans="1:17">
      <c r="A1447" s="6" t="s">
        <v>4739</v>
      </c>
      <c r="B1447" s="6" t="s">
        <v>4739</v>
      </c>
      <c r="C1447" s="6" t="s">
        <v>10431</v>
      </c>
      <c r="D1447" s="6" t="s">
        <v>10432</v>
      </c>
      <c r="E1447" s="6" t="s">
        <v>10432</v>
      </c>
      <c r="F1447" s="6">
        <v>13.996115758063601</v>
      </c>
      <c r="G1447" s="6">
        <v>14.383439289377099</v>
      </c>
      <c r="H1447" s="6">
        <v>14.1303399760041</v>
      </c>
      <c r="I1447" s="6">
        <v>14.4377903741316</v>
      </c>
      <c r="J1447" s="6">
        <v>13.1009201373409</v>
      </c>
      <c r="K1447" s="6">
        <v>14.107027544024399</v>
      </c>
      <c r="L1447" s="6">
        <v>14.997588470446001</v>
      </c>
      <c r="M1447" s="6">
        <v>13.0245239959382</v>
      </c>
      <c r="N1447" s="6">
        <v>14.5791048007142</v>
      </c>
      <c r="O1447" s="6">
        <v>12.5174082786244</v>
      </c>
      <c r="P1447" s="6">
        <v>14.0149251896589</v>
      </c>
      <c r="Q1447" s="6">
        <v>11.7974030478895</v>
      </c>
    </row>
    <row r="1448" spans="1:17">
      <c r="A1448" s="6" t="s">
        <v>10433</v>
      </c>
      <c r="B1448" s="6" t="s">
        <v>10434</v>
      </c>
      <c r="C1448" s="6" t="s">
        <v>10435</v>
      </c>
      <c r="D1448" s="6" t="s">
        <v>10436</v>
      </c>
      <c r="E1448" s="6" t="s">
        <v>10437</v>
      </c>
      <c r="F1448" s="6">
        <v>14.3034654219333</v>
      </c>
      <c r="G1448" s="6">
        <v>13.730682859593699</v>
      </c>
      <c r="H1448" s="6">
        <v>13.832480419716701</v>
      </c>
      <c r="I1448" s="6">
        <v>14.638065885579101</v>
      </c>
      <c r="J1448" s="6" t="s">
        <v>6254</v>
      </c>
      <c r="K1448" s="6">
        <v>13.346763717483</v>
      </c>
      <c r="L1448" s="6">
        <v>14.346285194699799</v>
      </c>
      <c r="M1448" s="6">
        <v>12.337846943242001</v>
      </c>
      <c r="N1448" s="6">
        <v>14.0794602736187</v>
      </c>
      <c r="O1448" s="6">
        <v>14.4096915093342</v>
      </c>
      <c r="P1448" s="6">
        <v>14.043711529409901</v>
      </c>
      <c r="Q1448" s="6" t="s">
        <v>6254</v>
      </c>
    </row>
    <row r="1449" spans="1:17">
      <c r="A1449" s="6" t="s">
        <v>10438</v>
      </c>
      <c r="B1449" s="6" t="s">
        <v>10439</v>
      </c>
      <c r="C1449" s="6" t="s">
        <v>10440</v>
      </c>
      <c r="D1449" s="6" t="s">
        <v>10441</v>
      </c>
      <c r="E1449" s="6" t="s">
        <v>10442</v>
      </c>
      <c r="F1449" s="6">
        <v>13.952522428153801</v>
      </c>
      <c r="G1449" s="6">
        <v>14.3158321372853</v>
      </c>
      <c r="H1449" s="6">
        <v>14.0713783602194</v>
      </c>
      <c r="I1449" s="6">
        <v>13.434946920397101</v>
      </c>
      <c r="J1449" s="6">
        <v>13.7540027298626</v>
      </c>
      <c r="K1449" s="6">
        <v>13.687533243629099</v>
      </c>
      <c r="L1449" s="6">
        <v>14.0075946729749</v>
      </c>
      <c r="M1449" s="6">
        <v>13.8579992487567</v>
      </c>
      <c r="N1449" s="6">
        <v>14.7707901202215</v>
      </c>
      <c r="O1449" s="6">
        <v>13.6703775443584</v>
      </c>
      <c r="P1449" s="6">
        <v>14.188797155485201</v>
      </c>
      <c r="Q1449" s="6">
        <v>13.774803830223901</v>
      </c>
    </row>
    <row r="1450" spans="1:17">
      <c r="A1450" s="6" t="s">
        <v>1678</v>
      </c>
      <c r="B1450" s="6" t="s">
        <v>1678</v>
      </c>
      <c r="C1450" s="6" t="s">
        <v>10443</v>
      </c>
      <c r="D1450" s="6" t="s">
        <v>10444</v>
      </c>
      <c r="E1450" s="6" t="s">
        <v>10444</v>
      </c>
      <c r="F1450" s="6">
        <v>14.4905893626322</v>
      </c>
      <c r="G1450" s="6">
        <v>13.704914369025399</v>
      </c>
      <c r="H1450" s="6">
        <v>14.205230879630999</v>
      </c>
      <c r="I1450" s="6">
        <v>14.629600032921701</v>
      </c>
      <c r="J1450" s="6">
        <v>13.1811922108253</v>
      </c>
      <c r="K1450" s="6">
        <v>13.2936040110782</v>
      </c>
      <c r="L1450" s="6">
        <v>14.5724286864976</v>
      </c>
      <c r="M1450" s="6">
        <v>13.3552891442939</v>
      </c>
      <c r="N1450" s="6">
        <v>14.5324238014749</v>
      </c>
      <c r="O1450" s="6">
        <v>14.1184166090303</v>
      </c>
      <c r="P1450" s="6">
        <v>13.912024247442501</v>
      </c>
      <c r="Q1450" s="6">
        <v>12.404809716291499</v>
      </c>
    </row>
    <row r="1451" spans="1:17">
      <c r="A1451" s="6" t="s">
        <v>3059</v>
      </c>
      <c r="B1451" s="6" t="s">
        <v>3059</v>
      </c>
      <c r="C1451" s="6" t="s">
        <v>10445</v>
      </c>
      <c r="D1451" s="6" t="s">
        <v>10446</v>
      </c>
      <c r="E1451" s="6" t="s">
        <v>10446</v>
      </c>
      <c r="F1451" s="6">
        <v>14.524816583454699</v>
      </c>
      <c r="G1451" s="6">
        <v>14.0866954460308</v>
      </c>
      <c r="H1451" s="6">
        <v>13.9615132315129</v>
      </c>
      <c r="I1451" s="6">
        <v>14.5799235817574</v>
      </c>
      <c r="J1451" s="6">
        <v>13.3879386448058</v>
      </c>
      <c r="K1451" s="6">
        <v>13.9553204530645</v>
      </c>
      <c r="L1451" s="6">
        <v>14.2759832755505</v>
      </c>
      <c r="M1451" s="6">
        <v>12.752332903330499</v>
      </c>
      <c r="N1451" s="6">
        <v>13.547557148650201</v>
      </c>
      <c r="O1451" s="6">
        <v>14.1906938445204</v>
      </c>
      <c r="P1451" s="6">
        <v>14.554668418176</v>
      </c>
      <c r="Q1451" s="6">
        <v>12.841544285413701</v>
      </c>
    </row>
    <row r="1452" spans="1:17">
      <c r="A1452" s="6" t="s">
        <v>10447</v>
      </c>
      <c r="B1452" s="6" t="s">
        <v>10448</v>
      </c>
      <c r="C1452" s="6" t="s">
        <v>10449</v>
      </c>
      <c r="D1452" s="6" t="s">
        <v>10450</v>
      </c>
      <c r="E1452" s="6" t="s">
        <v>10451</v>
      </c>
      <c r="F1452" s="6">
        <v>14.3298942485144</v>
      </c>
      <c r="G1452" s="6">
        <v>13.8052907434567</v>
      </c>
      <c r="H1452" s="6">
        <v>13.8183821210798</v>
      </c>
      <c r="I1452" s="6">
        <v>14.587265315749001</v>
      </c>
      <c r="J1452" s="6">
        <v>13.1307327805736</v>
      </c>
      <c r="K1452" s="6">
        <v>14.497425724577001</v>
      </c>
      <c r="L1452" s="6">
        <v>14.812582849508001</v>
      </c>
      <c r="M1452" s="6">
        <v>12.3543431991883</v>
      </c>
      <c r="N1452" s="6">
        <v>13.563089666292599</v>
      </c>
      <c r="O1452" s="6">
        <v>14.057804011591299</v>
      </c>
      <c r="P1452" s="6">
        <v>14.1075472306583</v>
      </c>
      <c r="Q1452" s="6" t="s">
        <v>6254</v>
      </c>
    </row>
    <row r="1453" spans="1:17">
      <c r="A1453" s="6" t="s">
        <v>10452</v>
      </c>
      <c r="B1453" s="6" t="s">
        <v>10453</v>
      </c>
      <c r="C1453" s="6" t="s">
        <v>10454</v>
      </c>
      <c r="D1453" s="6" t="s">
        <v>10455</v>
      </c>
      <c r="E1453" s="6" t="s">
        <v>10456</v>
      </c>
      <c r="F1453" s="6">
        <v>14.325988657395399</v>
      </c>
      <c r="G1453" s="6">
        <v>12.358501511651699</v>
      </c>
      <c r="H1453" s="6">
        <v>13.744592520492199</v>
      </c>
      <c r="I1453" s="6">
        <v>15.2313053045405</v>
      </c>
      <c r="J1453" s="6">
        <v>13.6952760983805</v>
      </c>
      <c r="K1453" s="6" t="s">
        <v>6254</v>
      </c>
      <c r="L1453" s="6">
        <v>14.8717533135192</v>
      </c>
      <c r="M1453" s="6">
        <v>13.9304402842515</v>
      </c>
      <c r="N1453" s="6">
        <v>14.3711823958813</v>
      </c>
      <c r="O1453" s="6">
        <v>12.9082005831938</v>
      </c>
      <c r="P1453" s="6">
        <v>13.7585316816094</v>
      </c>
      <c r="Q1453" s="6" t="s">
        <v>6254</v>
      </c>
    </row>
    <row r="1454" spans="1:17">
      <c r="A1454" s="6" t="s">
        <v>10457</v>
      </c>
      <c r="B1454" s="6" t="s">
        <v>2388</v>
      </c>
      <c r="C1454" s="6" t="s">
        <v>10458</v>
      </c>
      <c r="D1454" s="6" t="s">
        <v>10459</v>
      </c>
      <c r="E1454" s="6" t="s">
        <v>10460</v>
      </c>
      <c r="F1454" s="6">
        <v>14.3305324835411</v>
      </c>
      <c r="G1454" s="6">
        <v>13.8743207534168</v>
      </c>
      <c r="H1454" s="6">
        <v>14.120396927860201</v>
      </c>
      <c r="I1454" s="6">
        <v>14.800274603192401</v>
      </c>
      <c r="J1454" s="6">
        <v>13.2814679571275</v>
      </c>
      <c r="K1454" s="6">
        <v>13.9666767990227</v>
      </c>
      <c r="L1454" s="6">
        <v>14.4953660428517</v>
      </c>
      <c r="M1454" s="6">
        <v>13.285759505877101</v>
      </c>
      <c r="N1454" s="6">
        <v>13.102285716092</v>
      </c>
      <c r="O1454" s="6">
        <v>14.356561855089399</v>
      </c>
      <c r="P1454" s="6">
        <v>14.1950835393221</v>
      </c>
      <c r="Q1454" s="6">
        <v>12.5015080997187</v>
      </c>
    </row>
    <row r="1455" spans="1:17">
      <c r="A1455" s="6" t="s">
        <v>10461</v>
      </c>
      <c r="B1455" s="6" t="s">
        <v>10462</v>
      </c>
      <c r="C1455" s="6" t="s">
        <v>10463</v>
      </c>
      <c r="D1455" s="6" t="s">
        <v>10464</v>
      </c>
      <c r="E1455" s="6" t="s">
        <v>10465</v>
      </c>
      <c r="F1455" s="6">
        <v>14.3231457029831</v>
      </c>
      <c r="G1455" s="6">
        <v>14.2225243557479</v>
      </c>
      <c r="H1455" s="6">
        <v>14.203721039623501</v>
      </c>
      <c r="I1455" s="6">
        <v>14.6801470887248</v>
      </c>
      <c r="J1455" s="6">
        <v>12.981908576860899</v>
      </c>
      <c r="K1455" s="6">
        <v>13.896984567931099</v>
      </c>
      <c r="L1455" s="6">
        <v>13.952967757963901</v>
      </c>
      <c r="M1455" s="6">
        <v>13.636994696473</v>
      </c>
      <c r="N1455" s="6" t="s">
        <v>6254</v>
      </c>
      <c r="O1455" s="6">
        <v>14.135138665964501</v>
      </c>
      <c r="P1455" s="6">
        <v>14.377699788643101</v>
      </c>
      <c r="Q1455" s="6" t="s">
        <v>6254</v>
      </c>
    </row>
    <row r="1456" spans="1:17">
      <c r="A1456" s="6" t="s">
        <v>10466</v>
      </c>
      <c r="B1456" s="6" t="s">
        <v>10466</v>
      </c>
      <c r="C1456" s="6" t="s">
        <v>10466</v>
      </c>
      <c r="D1456" s="6" t="s">
        <v>10466</v>
      </c>
      <c r="E1456" s="6" t="s">
        <v>10466</v>
      </c>
      <c r="F1456" s="6" t="s">
        <v>6254</v>
      </c>
      <c r="G1456" s="6" t="s">
        <v>6254</v>
      </c>
      <c r="H1456" s="6" t="s">
        <v>6254</v>
      </c>
      <c r="I1456" s="6" t="s">
        <v>6254</v>
      </c>
      <c r="J1456" s="6">
        <v>14.5479218447297</v>
      </c>
      <c r="K1456" s="6" t="s">
        <v>6254</v>
      </c>
      <c r="L1456" s="6" t="s">
        <v>6254</v>
      </c>
      <c r="M1456" s="6" t="s">
        <v>6254</v>
      </c>
      <c r="N1456" s="6" t="s">
        <v>6254</v>
      </c>
      <c r="O1456" s="6" t="s">
        <v>6254</v>
      </c>
      <c r="P1456" s="6">
        <v>13.3954826917244</v>
      </c>
      <c r="Q1456" s="6" t="s">
        <v>6254</v>
      </c>
    </row>
    <row r="1457" spans="1:17">
      <c r="A1457" s="6" t="s">
        <v>10467</v>
      </c>
      <c r="B1457" s="6" t="s">
        <v>10468</v>
      </c>
      <c r="C1457" s="6" t="s">
        <v>10469</v>
      </c>
      <c r="D1457" s="6" t="s">
        <v>10470</v>
      </c>
      <c r="E1457" s="6" t="s">
        <v>10471</v>
      </c>
      <c r="F1457" s="6">
        <v>14.2096559775567</v>
      </c>
      <c r="G1457" s="6">
        <v>13.6473484459978</v>
      </c>
      <c r="H1457" s="6">
        <v>13.8934394352006</v>
      </c>
      <c r="I1457" s="6">
        <v>14.1189683309178</v>
      </c>
      <c r="J1457" s="6" t="s">
        <v>6254</v>
      </c>
      <c r="K1457" s="6">
        <v>14.0319523349365</v>
      </c>
      <c r="L1457" s="6">
        <v>14.483131027382299</v>
      </c>
      <c r="M1457" s="6" t="s">
        <v>6254</v>
      </c>
      <c r="N1457" s="6">
        <v>14.092411496886699</v>
      </c>
      <c r="O1457" s="6">
        <v>13.784273284039299</v>
      </c>
      <c r="P1457" s="6">
        <v>13.9870691155974</v>
      </c>
      <c r="Q1457" s="6">
        <v>12.814772700558899</v>
      </c>
    </row>
    <row r="1458" spans="1:17">
      <c r="A1458" s="6" t="s">
        <v>3125</v>
      </c>
      <c r="B1458" s="6" t="s">
        <v>3125</v>
      </c>
      <c r="C1458" s="6" t="s">
        <v>10472</v>
      </c>
      <c r="D1458" s="6" t="s">
        <v>10473</v>
      </c>
      <c r="E1458" s="6" t="s">
        <v>10473</v>
      </c>
      <c r="F1458" s="6">
        <v>14.0902564839226</v>
      </c>
      <c r="G1458" s="6">
        <v>13.4729029676239</v>
      </c>
      <c r="H1458" s="6">
        <v>13.756310367068799</v>
      </c>
      <c r="I1458" s="6">
        <v>13.9945261084676</v>
      </c>
      <c r="J1458" s="6">
        <v>13.0887093879719</v>
      </c>
      <c r="K1458" s="6">
        <v>14.6186529612143</v>
      </c>
      <c r="L1458" s="6">
        <v>14.0811790664724</v>
      </c>
      <c r="M1458" s="6">
        <v>14.178446602083101</v>
      </c>
      <c r="N1458" s="6">
        <v>12.766242067297901</v>
      </c>
      <c r="O1458" s="6">
        <v>13.8707161672799</v>
      </c>
      <c r="P1458" s="6">
        <v>13.6902272353237</v>
      </c>
      <c r="Q1458" s="6">
        <v>13.545040320061799</v>
      </c>
    </row>
    <row r="1459" spans="1:17">
      <c r="A1459" s="6" t="s">
        <v>2251</v>
      </c>
      <c r="B1459" s="6" t="s">
        <v>2251</v>
      </c>
      <c r="C1459" s="6" t="s">
        <v>10474</v>
      </c>
      <c r="D1459" s="6" t="s">
        <v>10475</v>
      </c>
      <c r="E1459" s="6" t="s">
        <v>10475</v>
      </c>
      <c r="F1459" s="6">
        <v>14.5451103465956</v>
      </c>
      <c r="G1459" s="6">
        <v>13.916233647803301</v>
      </c>
      <c r="H1459" s="6">
        <v>13.572606021727299</v>
      </c>
      <c r="I1459" s="6">
        <v>14.807260514808499</v>
      </c>
      <c r="J1459" s="6">
        <v>13.1509996906012</v>
      </c>
      <c r="K1459" s="6">
        <v>13.958300784703599</v>
      </c>
      <c r="L1459" s="6">
        <v>14.2498627393605</v>
      </c>
      <c r="M1459" s="6">
        <v>13.0576005516925</v>
      </c>
      <c r="N1459" s="6">
        <v>13.512886341841799</v>
      </c>
      <c r="O1459" s="6">
        <v>14.4399528306992</v>
      </c>
      <c r="P1459" s="6">
        <v>14.1747319853209</v>
      </c>
      <c r="Q1459" s="6">
        <v>12.361347999196401</v>
      </c>
    </row>
    <row r="1460" spans="1:17">
      <c r="A1460" s="6" t="s">
        <v>10476</v>
      </c>
      <c r="B1460" s="6" t="s">
        <v>2815</v>
      </c>
      <c r="C1460" s="6" t="s">
        <v>10477</v>
      </c>
      <c r="D1460" s="6" t="s">
        <v>10478</v>
      </c>
      <c r="E1460" s="6" t="s">
        <v>10479</v>
      </c>
      <c r="F1460" s="6">
        <v>14.370082393177601</v>
      </c>
      <c r="G1460" s="6">
        <v>13.6571849144194</v>
      </c>
      <c r="H1460" s="6">
        <v>14.056268819196999</v>
      </c>
      <c r="I1460" s="6">
        <v>14.6304257537049</v>
      </c>
      <c r="J1460" s="6">
        <v>13.5388862479368</v>
      </c>
      <c r="K1460" s="6">
        <v>13.833338340985</v>
      </c>
      <c r="L1460" s="6">
        <v>14.475789033172999</v>
      </c>
      <c r="M1460" s="6">
        <v>13.3624731851792</v>
      </c>
      <c r="N1460" s="6">
        <v>13.9798821751001</v>
      </c>
      <c r="O1460" s="6">
        <v>14.656005267277299</v>
      </c>
      <c r="P1460" s="6">
        <v>14.1400355823022</v>
      </c>
      <c r="Q1460" s="6" t="s">
        <v>6254</v>
      </c>
    </row>
    <row r="1461" spans="1:17">
      <c r="A1461" s="6" t="s">
        <v>1420</v>
      </c>
      <c r="B1461" s="6" t="s">
        <v>1422</v>
      </c>
      <c r="C1461" s="6" t="s">
        <v>10480</v>
      </c>
      <c r="D1461" s="6" t="s">
        <v>10481</v>
      </c>
      <c r="E1461" s="6" t="s">
        <v>10482</v>
      </c>
      <c r="F1461" s="6">
        <v>13.874402940567601</v>
      </c>
      <c r="G1461" s="6">
        <v>14.1869543970795</v>
      </c>
      <c r="H1461" s="6">
        <v>14.025558434591501</v>
      </c>
      <c r="I1461" s="6">
        <v>14.460843367049501</v>
      </c>
      <c r="J1461" s="6">
        <v>13.143082967927899</v>
      </c>
      <c r="K1461" s="6">
        <v>13.8944716019633</v>
      </c>
      <c r="L1461" s="6">
        <v>14.508682650320299</v>
      </c>
      <c r="M1461" s="6">
        <v>13.3627815304341</v>
      </c>
      <c r="N1461" s="6">
        <v>12.9559991836644</v>
      </c>
      <c r="O1461" s="6">
        <v>13.754803625438299</v>
      </c>
      <c r="P1461" s="6">
        <v>13.120023172612999</v>
      </c>
      <c r="Q1461" s="6">
        <v>13.2794459822391</v>
      </c>
    </row>
    <row r="1462" spans="1:17">
      <c r="A1462" s="6" t="s">
        <v>3585</v>
      </c>
      <c r="B1462" s="6" t="s">
        <v>3585</v>
      </c>
      <c r="C1462" s="6" t="s">
        <v>10483</v>
      </c>
      <c r="D1462" s="6" t="s">
        <v>10484</v>
      </c>
      <c r="E1462" s="6" t="s">
        <v>10484</v>
      </c>
      <c r="F1462" s="6">
        <v>14.363555151945601</v>
      </c>
      <c r="G1462" s="6">
        <v>13.457429885146899</v>
      </c>
      <c r="H1462" s="6">
        <v>13.900498231392101</v>
      </c>
      <c r="I1462" s="6">
        <v>14.705296420640099</v>
      </c>
      <c r="J1462" s="6">
        <v>13.1836817339408</v>
      </c>
      <c r="K1462" s="6">
        <v>13.861179987619799</v>
      </c>
      <c r="L1462" s="6">
        <v>14.5319540534207</v>
      </c>
      <c r="M1462" s="6">
        <v>12.849345698305401</v>
      </c>
      <c r="N1462" s="6">
        <v>13.5135189250742</v>
      </c>
      <c r="O1462" s="6">
        <v>14.204839442354199</v>
      </c>
      <c r="P1462" s="6">
        <v>14.083143025598799</v>
      </c>
      <c r="Q1462" s="6">
        <v>12.882255040125701</v>
      </c>
    </row>
    <row r="1463" spans="1:17">
      <c r="A1463" s="6" t="s">
        <v>10485</v>
      </c>
      <c r="B1463" s="6" t="s">
        <v>10486</v>
      </c>
      <c r="C1463" s="6" t="s">
        <v>10487</v>
      </c>
      <c r="D1463" s="6" t="s">
        <v>10488</v>
      </c>
      <c r="E1463" s="6" t="s">
        <v>10489</v>
      </c>
      <c r="F1463" s="6">
        <v>14.008057355389401</v>
      </c>
      <c r="G1463" s="6">
        <v>13.8160571328581</v>
      </c>
      <c r="H1463" s="6">
        <v>14.216520129722699</v>
      </c>
      <c r="I1463" s="6">
        <v>14.5772481717063</v>
      </c>
      <c r="J1463" s="6">
        <v>13.368246254276601</v>
      </c>
      <c r="K1463" s="6">
        <v>14.165329913023101</v>
      </c>
      <c r="L1463" s="6">
        <v>14.4535805390605</v>
      </c>
      <c r="M1463" s="6">
        <v>12.8122805551965</v>
      </c>
      <c r="N1463" s="6">
        <v>13.7593588534383</v>
      </c>
      <c r="O1463" s="6">
        <v>14.4733383853152</v>
      </c>
      <c r="P1463" s="6">
        <v>13.8578386185028</v>
      </c>
      <c r="Q1463" s="6" t="s">
        <v>6254</v>
      </c>
    </row>
    <row r="1464" spans="1:17">
      <c r="A1464" s="6" t="s">
        <v>10490</v>
      </c>
      <c r="B1464" s="6" t="s">
        <v>10491</v>
      </c>
      <c r="C1464" s="6" t="s">
        <v>10492</v>
      </c>
      <c r="D1464" s="6" t="s">
        <v>10493</v>
      </c>
      <c r="E1464" s="6" t="s">
        <v>10494</v>
      </c>
      <c r="F1464" s="6">
        <v>14.193040856286901</v>
      </c>
      <c r="G1464" s="6">
        <v>14.1853124884708</v>
      </c>
      <c r="H1464" s="6" t="s">
        <v>6254</v>
      </c>
      <c r="I1464" s="6" t="s">
        <v>6254</v>
      </c>
      <c r="J1464" s="6">
        <v>13.414443975918401</v>
      </c>
      <c r="K1464" s="6" t="s">
        <v>6254</v>
      </c>
      <c r="L1464" s="6">
        <v>14.633080744100701</v>
      </c>
      <c r="M1464" s="6" t="s">
        <v>6254</v>
      </c>
      <c r="N1464" s="6" t="s">
        <v>6254</v>
      </c>
      <c r="O1464" s="6" t="s">
        <v>6254</v>
      </c>
      <c r="P1464" s="6">
        <v>13.860627495033601</v>
      </c>
      <c r="Q1464" s="6" t="s">
        <v>6254</v>
      </c>
    </row>
    <row r="1465" spans="1:17">
      <c r="A1465" s="6" t="s">
        <v>10495</v>
      </c>
      <c r="B1465" s="6" t="s">
        <v>10496</v>
      </c>
      <c r="C1465" s="6" t="s">
        <v>10497</v>
      </c>
      <c r="D1465" s="6" t="s">
        <v>10498</v>
      </c>
      <c r="E1465" s="6" t="s">
        <v>10499</v>
      </c>
      <c r="F1465" s="6">
        <v>15.409764101104701</v>
      </c>
      <c r="G1465" s="6">
        <v>15.0260381520865</v>
      </c>
      <c r="H1465" s="6">
        <v>13.9127191860289</v>
      </c>
      <c r="I1465" s="6">
        <v>13.8452210716357</v>
      </c>
      <c r="J1465" s="6">
        <v>13.680988979005701</v>
      </c>
      <c r="K1465" s="6" t="s">
        <v>6254</v>
      </c>
      <c r="L1465" s="6">
        <v>13.6281402971753</v>
      </c>
      <c r="M1465" s="6">
        <v>13.7161095498272</v>
      </c>
      <c r="N1465" s="6">
        <v>14.7955100593593</v>
      </c>
      <c r="O1465" s="6">
        <v>13.2742569807961</v>
      </c>
      <c r="P1465" s="6">
        <v>14.913055094369501</v>
      </c>
      <c r="Q1465" s="6">
        <v>11.6963906232213</v>
      </c>
    </row>
    <row r="1466" spans="1:17">
      <c r="A1466" s="6" t="s">
        <v>10500</v>
      </c>
      <c r="B1466" s="6" t="s">
        <v>10501</v>
      </c>
      <c r="C1466" s="6" t="s">
        <v>10502</v>
      </c>
      <c r="D1466" s="6" t="s">
        <v>10503</v>
      </c>
      <c r="E1466" s="6" t="s">
        <v>10504</v>
      </c>
      <c r="F1466" s="6">
        <v>13.7140597673966</v>
      </c>
      <c r="G1466" s="6">
        <v>13.504749533626001</v>
      </c>
      <c r="H1466" s="6">
        <v>12.6739165909117</v>
      </c>
      <c r="I1466" s="6">
        <v>14.1767814823981</v>
      </c>
      <c r="J1466" s="6" t="s">
        <v>6254</v>
      </c>
      <c r="K1466" s="6">
        <v>13.8299124001039</v>
      </c>
      <c r="L1466" s="6">
        <v>12.974259958973301</v>
      </c>
      <c r="M1466" s="6">
        <v>18.631496229337099</v>
      </c>
      <c r="N1466" s="6" t="s">
        <v>6254</v>
      </c>
      <c r="O1466" s="6" t="s">
        <v>6254</v>
      </c>
      <c r="P1466" s="6">
        <v>13.592556317303201</v>
      </c>
      <c r="Q1466" s="6" t="s">
        <v>6254</v>
      </c>
    </row>
    <row r="1467" spans="1:17">
      <c r="A1467" s="6" t="s">
        <v>2702</v>
      </c>
      <c r="B1467" s="6" t="s">
        <v>2702</v>
      </c>
      <c r="C1467" s="6" t="s">
        <v>10505</v>
      </c>
      <c r="D1467" s="6" t="s">
        <v>10506</v>
      </c>
      <c r="E1467" s="6" t="s">
        <v>10506</v>
      </c>
      <c r="F1467" s="6" t="s">
        <v>6254</v>
      </c>
      <c r="G1467" s="6" t="s">
        <v>6254</v>
      </c>
      <c r="H1467" s="6" t="s">
        <v>6254</v>
      </c>
      <c r="I1467" s="6">
        <v>14.9450649014237</v>
      </c>
      <c r="J1467" s="6" t="s">
        <v>6254</v>
      </c>
      <c r="K1467" s="6" t="s">
        <v>6254</v>
      </c>
      <c r="L1467" s="6">
        <v>14.9066840167305</v>
      </c>
      <c r="M1467" s="6">
        <v>13.602273394163101</v>
      </c>
      <c r="N1467" s="6">
        <v>13.967188627223701</v>
      </c>
      <c r="O1467" s="6" t="s">
        <v>6254</v>
      </c>
      <c r="P1467" s="6">
        <v>12.860179331816299</v>
      </c>
      <c r="Q1467" s="6" t="s">
        <v>6254</v>
      </c>
    </row>
    <row r="1468" spans="1:17">
      <c r="A1468" s="6" t="s">
        <v>3046</v>
      </c>
      <c r="B1468" s="6" t="s">
        <v>3046</v>
      </c>
      <c r="C1468" s="6" t="s">
        <v>10507</v>
      </c>
      <c r="D1468" s="6" t="s">
        <v>10508</v>
      </c>
      <c r="E1468" s="6" t="s">
        <v>10508</v>
      </c>
      <c r="F1468" s="6">
        <v>15.0370606501809</v>
      </c>
      <c r="G1468" s="6">
        <v>13.6074224601739</v>
      </c>
      <c r="H1468" s="6">
        <v>13.7703188638372</v>
      </c>
      <c r="I1468" s="6">
        <v>14.7186511260147</v>
      </c>
      <c r="J1468" s="6" t="s">
        <v>6254</v>
      </c>
      <c r="K1468" s="6" t="s">
        <v>6254</v>
      </c>
      <c r="L1468" s="6">
        <v>14.4897629172289</v>
      </c>
      <c r="M1468" s="6">
        <v>13.3172468396572</v>
      </c>
      <c r="N1468" s="6">
        <v>13.5216473467702</v>
      </c>
      <c r="O1468" s="6">
        <v>13.8519221643145</v>
      </c>
      <c r="P1468" s="6">
        <v>14.035767637811499</v>
      </c>
      <c r="Q1468" s="6" t="s">
        <v>6254</v>
      </c>
    </row>
    <row r="1469" spans="1:17">
      <c r="A1469" s="6" t="s">
        <v>3489</v>
      </c>
      <c r="B1469" s="6" t="s">
        <v>3489</v>
      </c>
      <c r="C1469" s="6" t="s">
        <v>10509</v>
      </c>
      <c r="D1469" s="6" t="s">
        <v>10510</v>
      </c>
      <c r="E1469" s="6" t="s">
        <v>10510</v>
      </c>
      <c r="F1469" s="6">
        <v>14.3044701447203</v>
      </c>
      <c r="G1469" s="6" t="s">
        <v>6254</v>
      </c>
      <c r="H1469" s="6">
        <v>13.695281950762</v>
      </c>
      <c r="I1469" s="6">
        <v>14.6083633498586</v>
      </c>
      <c r="J1469" s="6">
        <v>13.205393378168401</v>
      </c>
      <c r="K1469" s="6">
        <v>14.650372054643601</v>
      </c>
      <c r="L1469" s="6">
        <v>14.325690232524</v>
      </c>
      <c r="M1469" s="6">
        <v>13.116974421762601</v>
      </c>
      <c r="N1469" s="6">
        <v>14.3534436912256</v>
      </c>
      <c r="O1469" s="6" t="s">
        <v>6254</v>
      </c>
      <c r="P1469" s="6" t="s">
        <v>6254</v>
      </c>
      <c r="Q1469" s="6" t="s">
        <v>6254</v>
      </c>
    </row>
    <row r="1470" spans="1:17">
      <c r="A1470" s="6" t="s">
        <v>2455</v>
      </c>
      <c r="B1470" s="6" t="s">
        <v>2455</v>
      </c>
      <c r="C1470" s="6" t="s">
        <v>10511</v>
      </c>
      <c r="D1470" s="6" t="s">
        <v>10512</v>
      </c>
      <c r="E1470" s="6" t="s">
        <v>10512</v>
      </c>
      <c r="F1470" s="6">
        <v>14.602411149638099</v>
      </c>
      <c r="G1470" s="6">
        <v>13.7433203311721</v>
      </c>
      <c r="H1470" s="6">
        <v>13.966011664079801</v>
      </c>
      <c r="I1470" s="6">
        <v>14.7452243517815</v>
      </c>
      <c r="J1470" s="6">
        <v>12.888718097368001</v>
      </c>
      <c r="K1470" s="6">
        <v>13.9247455310728</v>
      </c>
      <c r="L1470" s="6">
        <v>14.696183879538401</v>
      </c>
      <c r="M1470" s="6">
        <v>12.8778339803079</v>
      </c>
      <c r="N1470" s="6">
        <v>13.975649154294899</v>
      </c>
      <c r="O1470" s="6">
        <v>14.415360146598401</v>
      </c>
      <c r="P1470" s="6">
        <v>14.0722673059509</v>
      </c>
      <c r="Q1470" s="6">
        <v>12.6426194409016</v>
      </c>
    </row>
    <row r="1471" spans="1:17">
      <c r="A1471" s="6" t="s">
        <v>10513</v>
      </c>
      <c r="B1471" s="6" t="s">
        <v>10514</v>
      </c>
      <c r="C1471" s="6" t="s">
        <v>10515</v>
      </c>
      <c r="D1471" s="6" t="s">
        <v>10516</v>
      </c>
      <c r="E1471" s="6" t="s">
        <v>10517</v>
      </c>
      <c r="F1471" s="6">
        <v>14.2809712845145</v>
      </c>
      <c r="G1471" s="6">
        <v>13.422089917685801</v>
      </c>
      <c r="H1471" s="6">
        <v>14.2256744524051</v>
      </c>
      <c r="I1471" s="6">
        <v>14.7260584262671</v>
      </c>
      <c r="J1471" s="6">
        <v>13.532664947086101</v>
      </c>
      <c r="K1471" s="6">
        <v>14.052527309928699</v>
      </c>
      <c r="L1471" s="6">
        <v>13.5873138665958</v>
      </c>
      <c r="M1471" s="6">
        <v>12.737169986788</v>
      </c>
      <c r="N1471" s="6">
        <v>13.372551036261401</v>
      </c>
      <c r="O1471" s="6">
        <v>14.154399815839801</v>
      </c>
      <c r="P1471" s="6">
        <v>14.6376965251321</v>
      </c>
      <c r="Q1471" s="6" t="s">
        <v>6254</v>
      </c>
    </row>
    <row r="1472" spans="1:17">
      <c r="A1472" s="6" t="s">
        <v>5829</v>
      </c>
      <c r="B1472" s="6" t="s">
        <v>5829</v>
      </c>
      <c r="C1472" s="6" t="s">
        <v>10518</v>
      </c>
      <c r="D1472" s="6" t="s">
        <v>10519</v>
      </c>
      <c r="E1472" s="6" t="s">
        <v>10519</v>
      </c>
      <c r="F1472" s="6" t="s">
        <v>6254</v>
      </c>
      <c r="G1472" s="6" t="s">
        <v>6254</v>
      </c>
      <c r="H1472" s="6">
        <v>13.846240683047</v>
      </c>
      <c r="I1472" s="6" t="s">
        <v>6254</v>
      </c>
      <c r="J1472" s="6" t="s">
        <v>6254</v>
      </c>
      <c r="K1472" s="6">
        <v>12.834203976481099</v>
      </c>
      <c r="L1472" s="6">
        <v>13.4906405629369</v>
      </c>
      <c r="M1472" s="6" t="s">
        <v>6254</v>
      </c>
      <c r="N1472" s="6">
        <v>14.151750268689099</v>
      </c>
      <c r="O1472" s="6">
        <v>13.599662814147299</v>
      </c>
      <c r="P1472" s="6">
        <v>13.718934764211101</v>
      </c>
      <c r="Q1472" s="6" t="s">
        <v>6254</v>
      </c>
    </row>
    <row r="1473" spans="1:17">
      <c r="A1473" s="6" t="s">
        <v>10520</v>
      </c>
      <c r="B1473" s="6" t="s">
        <v>10520</v>
      </c>
      <c r="C1473" s="6" t="s">
        <v>10521</v>
      </c>
      <c r="D1473" s="6" t="s">
        <v>10522</v>
      </c>
      <c r="E1473" s="6" t="s">
        <v>10522</v>
      </c>
      <c r="F1473" s="6">
        <v>14.2394275198158</v>
      </c>
      <c r="G1473" s="6">
        <v>13.454810846699299</v>
      </c>
      <c r="H1473" s="6">
        <v>14.0924469620903</v>
      </c>
      <c r="I1473" s="6">
        <v>14.3710729407063</v>
      </c>
      <c r="J1473" s="6">
        <v>13.2192465060104</v>
      </c>
      <c r="K1473" s="6">
        <v>14.123225730901201</v>
      </c>
      <c r="L1473" s="6">
        <v>14.5066093737963</v>
      </c>
      <c r="M1473" s="6">
        <v>12.958097445699799</v>
      </c>
      <c r="N1473" s="6">
        <v>12.879801413379299</v>
      </c>
      <c r="O1473" s="6">
        <v>14.3162967574908</v>
      </c>
      <c r="P1473" s="6">
        <v>14.423232249421099</v>
      </c>
      <c r="Q1473" s="6">
        <v>12.810421039341399</v>
      </c>
    </row>
    <row r="1474" spans="1:17">
      <c r="A1474" s="6" t="s">
        <v>4886</v>
      </c>
      <c r="B1474" s="6" t="s">
        <v>4886</v>
      </c>
      <c r="C1474" s="6" t="s">
        <v>10523</v>
      </c>
      <c r="D1474" s="6" t="s">
        <v>10524</v>
      </c>
      <c r="E1474" s="6" t="s">
        <v>10524</v>
      </c>
      <c r="F1474" s="6">
        <v>14.8078618873107</v>
      </c>
      <c r="G1474" s="6">
        <v>13.640423750841499</v>
      </c>
      <c r="H1474" s="6" t="s">
        <v>6254</v>
      </c>
      <c r="I1474" s="6" t="s">
        <v>6254</v>
      </c>
      <c r="J1474" s="6" t="s">
        <v>6254</v>
      </c>
      <c r="K1474" s="6">
        <v>14.0413131162344</v>
      </c>
      <c r="L1474" s="6">
        <v>13.6300829528401</v>
      </c>
      <c r="M1474" s="6">
        <v>12.8023779060532</v>
      </c>
      <c r="N1474" s="6" t="s">
        <v>6254</v>
      </c>
      <c r="O1474" s="6">
        <v>14.1688394670546</v>
      </c>
      <c r="P1474" s="6" t="s">
        <v>6254</v>
      </c>
      <c r="Q1474" s="6" t="s">
        <v>6254</v>
      </c>
    </row>
    <row r="1475" spans="1:17">
      <c r="A1475" s="6" t="s">
        <v>4030</v>
      </c>
      <c r="B1475" s="6" t="s">
        <v>4030</v>
      </c>
      <c r="C1475" s="6" t="s">
        <v>10525</v>
      </c>
      <c r="D1475" s="6" t="s">
        <v>10526</v>
      </c>
      <c r="E1475" s="6" t="s">
        <v>10526</v>
      </c>
      <c r="F1475" s="6">
        <v>14.246321812489199</v>
      </c>
      <c r="G1475" s="6">
        <v>13.692569357595101</v>
      </c>
      <c r="H1475" s="6">
        <v>13.722007552169901</v>
      </c>
      <c r="I1475" s="6">
        <v>14.7747525331294</v>
      </c>
      <c r="J1475" s="6">
        <v>13.399326483100699</v>
      </c>
      <c r="K1475" s="6">
        <v>14.1074036088303</v>
      </c>
      <c r="L1475" s="6">
        <v>14.4082431241285</v>
      </c>
      <c r="M1475" s="6">
        <v>13.0641207120586</v>
      </c>
      <c r="N1475" s="6">
        <v>12.9249971670799</v>
      </c>
      <c r="O1475" s="6">
        <v>14.3588920073843</v>
      </c>
      <c r="P1475" s="6">
        <v>14.2291615169575</v>
      </c>
      <c r="Q1475" s="6">
        <v>13.0152957736631</v>
      </c>
    </row>
    <row r="1476" spans="1:17">
      <c r="A1476" s="6" t="s">
        <v>4901</v>
      </c>
      <c r="B1476" s="6" t="s">
        <v>4901</v>
      </c>
      <c r="C1476" s="6" t="s">
        <v>10527</v>
      </c>
      <c r="D1476" s="6" t="s">
        <v>10528</v>
      </c>
      <c r="E1476" s="6" t="s">
        <v>10528</v>
      </c>
      <c r="F1476" s="6">
        <v>14.0116387686857</v>
      </c>
      <c r="G1476" s="6">
        <v>13.892298892248</v>
      </c>
      <c r="H1476" s="6">
        <v>13.377842453182099</v>
      </c>
      <c r="I1476" s="6">
        <v>14.615327815269399</v>
      </c>
      <c r="J1476" s="6">
        <v>13.145030507299399</v>
      </c>
      <c r="K1476" s="6">
        <v>13.6517128062568</v>
      </c>
      <c r="L1476" s="6">
        <v>14.119193401869801</v>
      </c>
      <c r="M1476" s="6" t="s">
        <v>6254</v>
      </c>
      <c r="N1476" s="6" t="s">
        <v>6254</v>
      </c>
      <c r="O1476" s="6">
        <v>14.056631350036399</v>
      </c>
      <c r="P1476" s="6">
        <v>13.9751970539727</v>
      </c>
      <c r="Q1476" s="6" t="s">
        <v>6254</v>
      </c>
    </row>
    <row r="1477" spans="1:17">
      <c r="A1477" s="6" t="s">
        <v>10529</v>
      </c>
      <c r="B1477" s="6" t="s">
        <v>10530</v>
      </c>
      <c r="C1477" s="6" t="s">
        <v>10531</v>
      </c>
      <c r="D1477" s="6" t="s">
        <v>10532</v>
      </c>
      <c r="E1477" s="6" t="s">
        <v>10533</v>
      </c>
      <c r="F1477" s="6">
        <v>14.6722626239742</v>
      </c>
      <c r="G1477" s="6">
        <v>13.238067714115701</v>
      </c>
      <c r="H1477" s="6">
        <v>13.926050316130899</v>
      </c>
      <c r="I1477" s="6">
        <v>14.7273752694884</v>
      </c>
      <c r="J1477" s="6">
        <v>13.6907469447266</v>
      </c>
      <c r="K1477" s="6">
        <v>13.5845399332851</v>
      </c>
      <c r="L1477" s="6">
        <v>14.549074360252201</v>
      </c>
      <c r="M1477" s="6">
        <v>12.975439896839699</v>
      </c>
      <c r="N1477" s="6">
        <v>13.8298397170963</v>
      </c>
      <c r="O1477" s="6">
        <v>13.613391065073101</v>
      </c>
      <c r="P1477" s="6">
        <v>14.3232235164906</v>
      </c>
      <c r="Q1477" s="6">
        <v>13.362994063473099</v>
      </c>
    </row>
    <row r="1478" spans="1:17">
      <c r="A1478" s="6" t="s">
        <v>4771</v>
      </c>
      <c r="B1478" s="6" t="s">
        <v>4771</v>
      </c>
      <c r="C1478" s="6" t="s">
        <v>10534</v>
      </c>
      <c r="D1478" s="6" t="s">
        <v>10535</v>
      </c>
      <c r="E1478" s="6" t="s">
        <v>10535</v>
      </c>
      <c r="F1478" s="6">
        <v>14.0150269142752</v>
      </c>
      <c r="G1478" s="6">
        <v>13.6788997136783</v>
      </c>
      <c r="H1478" s="6">
        <v>13.8905205375082</v>
      </c>
      <c r="I1478" s="6">
        <v>14.3242727953377</v>
      </c>
      <c r="J1478" s="6">
        <v>13.3304892731613</v>
      </c>
      <c r="K1478" s="6">
        <v>14.096303492836601</v>
      </c>
      <c r="L1478" s="6">
        <v>14.2404436190628</v>
      </c>
      <c r="M1478" s="6">
        <v>13.1164338768641</v>
      </c>
      <c r="N1478" s="6" t="s">
        <v>6254</v>
      </c>
      <c r="O1478" s="6">
        <v>14.072266667267099</v>
      </c>
      <c r="P1478" s="6">
        <v>14.106899274759099</v>
      </c>
      <c r="Q1478" s="6">
        <v>12.249947671105399</v>
      </c>
    </row>
    <row r="1479" spans="1:17">
      <c r="A1479" s="6" t="s">
        <v>627</v>
      </c>
      <c r="B1479" s="6" t="s">
        <v>627</v>
      </c>
      <c r="C1479" s="6" t="s">
        <v>10536</v>
      </c>
      <c r="D1479" s="6" t="s">
        <v>10537</v>
      </c>
      <c r="E1479" s="6" t="s">
        <v>10537</v>
      </c>
      <c r="F1479" s="6">
        <v>14.736032163739001</v>
      </c>
      <c r="G1479" s="6">
        <v>13.726893488442499</v>
      </c>
      <c r="H1479" s="6">
        <v>13.769736465938101</v>
      </c>
      <c r="I1479" s="6">
        <v>14.9014777884209</v>
      </c>
      <c r="J1479" s="6">
        <v>12.955491907256601</v>
      </c>
      <c r="K1479" s="6">
        <v>14.3079564046024</v>
      </c>
      <c r="L1479" s="6">
        <v>14.302463224415201</v>
      </c>
      <c r="M1479" s="6">
        <v>13.020246060570001</v>
      </c>
      <c r="N1479" s="6">
        <v>13.6453057240085</v>
      </c>
      <c r="O1479" s="6">
        <v>14.398218565723599</v>
      </c>
      <c r="P1479" s="6">
        <v>14.476599741150901</v>
      </c>
      <c r="Q1479" s="6">
        <v>12.447886915613701</v>
      </c>
    </row>
    <row r="1480" spans="1:17">
      <c r="A1480" s="6" t="s">
        <v>10538</v>
      </c>
      <c r="B1480" s="6" t="s">
        <v>10538</v>
      </c>
      <c r="C1480" s="6" t="s">
        <v>10539</v>
      </c>
      <c r="D1480" s="6" t="s">
        <v>10540</v>
      </c>
      <c r="E1480" s="6" t="s">
        <v>10540</v>
      </c>
      <c r="F1480" s="6" t="s">
        <v>6254</v>
      </c>
      <c r="G1480" s="6">
        <v>13.303543163933499</v>
      </c>
      <c r="H1480" s="6">
        <v>14.179473574868499</v>
      </c>
      <c r="I1480" s="6">
        <v>13.6900649746296</v>
      </c>
      <c r="J1480" s="6">
        <v>13.1942030588433</v>
      </c>
      <c r="K1480" s="6">
        <v>14.088074651819401</v>
      </c>
      <c r="L1480" s="6">
        <v>15.246530479417199</v>
      </c>
      <c r="M1480" s="6">
        <v>13.452194403165</v>
      </c>
      <c r="N1480" s="6">
        <v>14.196089372670199</v>
      </c>
      <c r="O1480" s="6">
        <v>13.684103063522601</v>
      </c>
      <c r="P1480" s="6">
        <v>14.310684131595799</v>
      </c>
      <c r="Q1480" s="6" t="s">
        <v>6254</v>
      </c>
    </row>
    <row r="1481" spans="1:17">
      <c r="A1481" s="6" t="s">
        <v>10541</v>
      </c>
      <c r="B1481" s="6" t="s">
        <v>10542</v>
      </c>
      <c r="C1481" s="6" t="s">
        <v>10543</v>
      </c>
      <c r="D1481" s="6" t="s">
        <v>10544</v>
      </c>
      <c r="E1481" s="6" t="s">
        <v>10545</v>
      </c>
      <c r="F1481" s="6">
        <v>14.357864494785</v>
      </c>
      <c r="G1481" s="6">
        <v>13.7882792715669</v>
      </c>
      <c r="H1481" s="6">
        <v>13.9435132779544</v>
      </c>
      <c r="I1481" s="6">
        <v>14.5468531675874</v>
      </c>
      <c r="J1481" s="6">
        <v>13.222122796863401</v>
      </c>
      <c r="K1481" s="6">
        <v>13.757472661148901</v>
      </c>
      <c r="L1481" s="6">
        <v>14.6258899008056</v>
      </c>
      <c r="M1481" s="6">
        <v>12.7340692535596</v>
      </c>
      <c r="N1481" s="6">
        <v>13.993086042712999</v>
      </c>
      <c r="O1481" s="6">
        <v>14.412796597234999</v>
      </c>
      <c r="P1481" s="6">
        <v>14.006669787701799</v>
      </c>
      <c r="Q1481" s="6">
        <v>12.908774562617999</v>
      </c>
    </row>
    <row r="1482" spans="1:17">
      <c r="A1482" s="6" t="s">
        <v>2664</v>
      </c>
      <c r="B1482" s="6" t="s">
        <v>2666</v>
      </c>
      <c r="C1482" s="6" t="s">
        <v>10546</v>
      </c>
      <c r="D1482" s="6" t="s">
        <v>10547</v>
      </c>
      <c r="E1482" s="6" t="s">
        <v>10548</v>
      </c>
      <c r="F1482" s="6">
        <v>14.277736561587499</v>
      </c>
      <c r="G1482" s="6">
        <v>13.9388292854906</v>
      </c>
      <c r="H1482" s="6">
        <v>14.0533281403501</v>
      </c>
      <c r="I1482" s="6">
        <v>14.3860131972049</v>
      </c>
      <c r="J1482" s="6" t="s">
        <v>6254</v>
      </c>
      <c r="K1482" s="6">
        <v>13.731912587351699</v>
      </c>
      <c r="L1482" s="6">
        <v>13.9515961564582</v>
      </c>
      <c r="M1482" s="6" t="s">
        <v>6254</v>
      </c>
      <c r="N1482" s="6">
        <v>14.0875240793261</v>
      </c>
      <c r="O1482" s="6">
        <v>13.9992278632226</v>
      </c>
      <c r="P1482" s="6">
        <v>13.858496048277599</v>
      </c>
      <c r="Q1482" s="6" t="s">
        <v>6254</v>
      </c>
    </row>
    <row r="1483" spans="1:17">
      <c r="A1483" s="6" t="s">
        <v>10549</v>
      </c>
      <c r="B1483" s="6" t="s">
        <v>10550</v>
      </c>
      <c r="C1483" s="6" t="s">
        <v>10551</v>
      </c>
      <c r="D1483" s="6" t="s">
        <v>10552</v>
      </c>
      <c r="E1483" s="6" t="s">
        <v>10553</v>
      </c>
      <c r="F1483" s="6">
        <v>14.115882855712</v>
      </c>
      <c r="G1483" s="6">
        <v>14.059989959209901</v>
      </c>
      <c r="H1483" s="6" t="s">
        <v>6254</v>
      </c>
      <c r="I1483" s="6">
        <v>14.5716496934142</v>
      </c>
      <c r="J1483" s="6" t="s">
        <v>6254</v>
      </c>
      <c r="K1483" s="6">
        <v>13.790229550382501</v>
      </c>
      <c r="L1483" s="6" t="s">
        <v>6254</v>
      </c>
      <c r="M1483" s="6" t="s">
        <v>6254</v>
      </c>
      <c r="N1483" s="6" t="s">
        <v>6254</v>
      </c>
      <c r="O1483" s="6" t="s">
        <v>6254</v>
      </c>
      <c r="P1483" s="6">
        <v>13.905492487589999</v>
      </c>
      <c r="Q1483" s="6">
        <v>12.826502582575699</v>
      </c>
    </row>
    <row r="1484" spans="1:17">
      <c r="A1484" s="6" t="s">
        <v>6205</v>
      </c>
      <c r="B1484" s="6" t="s">
        <v>6205</v>
      </c>
      <c r="C1484" s="6" t="s">
        <v>10554</v>
      </c>
      <c r="D1484" s="6" t="s">
        <v>10555</v>
      </c>
      <c r="E1484" s="6" t="s">
        <v>10555</v>
      </c>
      <c r="F1484" s="6">
        <v>14.3712324757335</v>
      </c>
      <c r="G1484" s="6">
        <v>13.56684326281</v>
      </c>
      <c r="H1484" s="6">
        <v>14.2019970667297</v>
      </c>
      <c r="I1484" s="6">
        <v>14.838161829964299</v>
      </c>
      <c r="J1484" s="6">
        <v>13.0258535421007</v>
      </c>
      <c r="K1484" s="6">
        <v>14.235835679607399</v>
      </c>
      <c r="L1484" s="6">
        <v>14.4834411566233</v>
      </c>
      <c r="M1484" s="6">
        <v>13.299640567194199</v>
      </c>
      <c r="N1484" s="6">
        <v>13.433983431971001</v>
      </c>
      <c r="O1484" s="6">
        <v>14.4961703794973</v>
      </c>
      <c r="P1484" s="6">
        <v>14.378784373670101</v>
      </c>
      <c r="Q1484" s="6">
        <v>12.555566449350801</v>
      </c>
    </row>
    <row r="1485" spans="1:17">
      <c r="A1485" s="6" t="s">
        <v>1934</v>
      </c>
      <c r="B1485" s="6" t="s">
        <v>1934</v>
      </c>
      <c r="C1485" s="6" t="s">
        <v>10556</v>
      </c>
      <c r="D1485" s="6" t="s">
        <v>10557</v>
      </c>
      <c r="E1485" s="6" t="s">
        <v>10557</v>
      </c>
      <c r="F1485" s="6">
        <v>14.460517698302001</v>
      </c>
      <c r="G1485" s="6">
        <v>13.9797080534199</v>
      </c>
      <c r="H1485" s="6">
        <v>14.038590522503799</v>
      </c>
      <c r="I1485" s="6">
        <v>14.853534100663399</v>
      </c>
      <c r="J1485" s="6">
        <v>13.5109943872647</v>
      </c>
      <c r="K1485" s="6">
        <v>13.776923355018299</v>
      </c>
      <c r="L1485" s="6">
        <v>14.125346648099899</v>
      </c>
      <c r="M1485" s="6">
        <v>12.6756290023582</v>
      </c>
      <c r="N1485" s="6">
        <v>13.5775481252548</v>
      </c>
      <c r="O1485" s="6">
        <v>14.2593912641715</v>
      </c>
      <c r="P1485" s="6">
        <v>14.539367327384999</v>
      </c>
      <c r="Q1485" s="6">
        <v>12.467593426234901</v>
      </c>
    </row>
    <row r="1486" spans="1:17">
      <c r="A1486" s="6" t="s">
        <v>10558</v>
      </c>
      <c r="B1486" s="6" t="s">
        <v>10559</v>
      </c>
      <c r="C1486" s="6" t="s">
        <v>10560</v>
      </c>
      <c r="D1486" s="6" t="s">
        <v>10561</v>
      </c>
      <c r="E1486" s="6" t="s">
        <v>10562</v>
      </c>
      <c r="F1486" s="6">
        <v>14.479253166321801</v>
      </c>
      <c r="G1486" s="6">
        <v>13.308515838445601</v>
      </c>
      <c r="H1486" s="6">
        <v>13.269318360275101</v>
      </c>
      <c r="I1486" s="6">
        <v>14.3976975506098</v>
      </c>
      <c r="J1486" s="6">
        <v>12.9943884775866</v>
      </c>
      <c r="K1486" s="6" t="s">
        <v>6254</v>
      </c>
      <c r="L1486" s="6">
        <v>14.286150069049</v>
      </c>
      <c r="M1486" s="6">
        <v>13.182488359198</v>
      </c>
      <c r="N1486" s="6">
        <v>14.7587509160454</v>
      </c>
      <c r="O1486" s="6" t="s">
        <v>6254</v>
      </c>
      <c r="P1486" s="6" t="s">
        <v>6254</v>
      </c>
      <c r="Q1486" s="6">
        <v>12.4009790507495</v>
      </c>
    </row>
    <row r="1487" spans="1:17">
      <c r="A1487" s="6" t="s">
        <v>10563</v>
      </c>
      <c r="B1487" s="6" t="s">
        <v>10564</v>
      </c>
      <c r="C1487" s="6" t="s">
        <v>10565</v>
      </c>
      <c r="D1487" s="6" t="s">
        <v>10566</v>
      </c>
      <c r="E1487" s="6" t="s">
        <v>10567</v>
      </c>
      <c r="F1487" s="6" t="s">
        <v>6254</v>
      </c>
      <c r="G1487" s="6" t="s">
        <v>6254</v>
      </c>
      <c r="H1487" s="6">
        <v>14.4619097837856</v>
      </c>
      <c r="I1487" s="6">
        <v>14.6129068201425</v>
      </c>
      <c r="J1487" s="6">
        <v>13.7821251883234</v>
      </c>
      <c r="K1487" s="6" t="s">
        <v>6254</v>
      </c>
      <c r="L1487" s="6" t="s">
        <v>6254</v>
      </c>
      <c r="M1487" s="6">
        <v>13.006661421609101</v>
      </c>
      <c r="N1487" s="6" t="s">
        <v>6254</v>
      </c>
      <c r="O1487" s="6">
        <v>13.822542319562499</v>
      </c>
      <c r="P1487" s="6" t="s">
        <v>6254</v>
      </c>
      <c r="Q1487" s="6" t="s">
        <v>6254</v>
      </c>
    </row>
    <row r="1488" spans="1:17">
      <c r="A1488" s="6" t="s">
        <v>10568</v>
      </c>
      <c r="B1488" s="6" t="s">
        <v>10568</v>
      </c>
      <c r="C1488" s="6" t="s">
        <v>10569</v>
      </c>
      <c r="D1488" s="6" t="s">
        <v>6604</v>
      </c>
      <c r="E1488" s="6" t="s">
        <v>6604</v>
      </c>
      <c r="F1488" s="6">
        <v>13.522558770984601</v>
      </c>
      <c r="G1488" s="6" t="s">
        <v>6254</v>
      </c>
      <c r="H1488" s="6" t="s">
        <v>6254</v>
      </c>
      <c r="I1488" s="6">
        <v>14.426084999295099</v>
      </c>
      <c r="J1488" s="6" t="s">
        <v>6254</v>
      </c>
      <c r="K1488" s="6">
        <v>12.8185726364558</v>
      </c>
      <c r="L1488" s="6" t="s">
        <v>6254</v>
      </c>
      <c r="M1488" s="6">
        <v>11.1483842994098</v>
      </c>
      <c r="N1488" s="6">
        <v>15.406239779104901</v>
      </c>
      <c r="O1488" s="6">
        <v>16.2611332395293</v>
      </c>
      <c r="P1488" s="6" t="s">
        <v>6254</v>
      </c>
      <c r="Q1488" s="6" t="s">
        <v>6254</v>
      </c>
    </row>
    <row r="1489" spans="1:17">
      <c r="A1489" s="6" t="s">
        <v>1537</v>
      </c>
      <c r="B1489" s="6" t="s">
        <v>1537</v>
      </c>
      <c r="C1489" s="6" t="s">
        <v>10570</v>
      </c>
      <c r="D1489" s="6" t="s">
        <v>10571</v>
      </c>
      <c r="E1489" s="6" t="s">
        <v>10571</v>
      </c>
      <c r="F1489" s="6">
        <v>13.887627055031899</v>
      </c>
      <c r="G1489" s="6">
        <v>13.624523089453801</v>
      </c>
      <c r="H1489" s="6">
        <v>14.0478859521009</v>
      </c>
      <c r="I1489" s="6">
        <v>14.347609821020299</v>
      </c>
      <c r="J1489" s="6">
        <v>13.2128823556752</v>
      </c>
      <c r="K1489" s="6">
        <v>13.1773467874986</v>
      </c>
      <c r="L1489" s="6">
        <v>14.2559329096431</v>
      </c>
      <c r="M1489" s="6">
        <v>12.864980087064501</v>
      </c>
      <c r="N1489" s="6">
        <v>13.7044601548717</v>
      </c>
      <c r="O1489" s="6">
        <v>14.116766322693101</v>
      </c>
      <c r="P1489" s="6">
        <v>14.2212782901248</v>
      </c>
      <c r="Q1489" s="6">
        <v>12.7945832663735</v>
      </c>
    </row>
    <row r="1490" spans="1:17">
      <c r="A1490" s="6" t="s">
        <v>3948</v>
      </c>
      <c r="B1490" s="6" t="s">
        <v>3948</v>
      </c>
      <c r="C1490" s="6" t="s">
        <v>10572</v>
      </c>
      <c r="D1490" s="6" t="s">
        <v>10573</v>
      </c>
      <c r="E1490" s="6" t="s">
        <v>10573</v>
      </c>
      <c r="F1490" s="6">
        <v>14.605696704940099</v>
      </c>
      <c r="G1490" s="6">
        <v>13.595028341788201</v>
      </c>
      <c r="H1490" s="6">
        <v>14.1981712488134</v>
      </c>
      <c r="I1490" s="6">
        <v>14.684209892216799</v>
      </c>
      <c r="J1490" s="6">
        <v>12.817639105301801</v>
      </c>
      <c r="K1490" s="6">
        <v>14.003940908995499</v>
      </c>
      <c r="L1490" s="6">
        <v>14.5154685163194</v>
      </c>
      <c r="M1490" s="6">
        <v>13.3325202029115</v>
      </c>
      <c r="N1490" s="6">
        <v>13.415978082793201</v>
      </c>
      <c r="O1490" s="6">
        <v>14.1917016544382</v>
      </c>
      <c r="P1490" s="6">
        <v>14.4538996212569</v>
      </c>
      <c r="Q1490" s="6">
        <v>12.6801698456343</v>
      </c>
    </row>
    <row r="1491" spans="1:17">
      <c r="A1491" s="6" t="s">
        <v>3435</v>
      </c>
      <c r="B1491" s="6" t="s">
        <v>3435</v>
      </c>
      <c r="C1491" s="6" t="s">
        <v>10574</v>
      </c>
      <c r="D1491" s="6" t="s">
        <v>10575</v>
      </c>
      <c r="E1491" s="6" t="s">
        <v>10575</v>
      </c>
      <c r="F1491" s="6">
        <v>12.8557253358943</v>
      </c>
      <c r="G1491" s="6" t="s">
        <v>6254</v>
      </c>
      <c r="H1491" s="6">
        <v>13.717971032843201</v>
      </c>
      <c r="I1491" s="6">
        <v>14.748587260678899</v>
      </c>
      <c r="J1491" s="6" t="s">
        <v>6254</v>
      </c>
      <c r="K1491" s="6">
        <v>13.736083882401701</v>
      </c>
      <c r="L1491" s="6">
        <v>15.8456520501203</v>
      </c>
      <c r="M1491" s="6">
        <v>12.405025601142</v>
      </c>
      <c r="N1491" s="6" t="s">
        <v>6254</v>
      </c>
      <c r="O1491" s="6" t="s">
        <v>6254</v>
      </c>
      <c r="P1491" s="6">
        <v>12.9428188494641</v>
      </c>
      <c r="Q1491" s="6" t="s">
        <v>6254</v>
      </c>
    </row>
    <row r="1492" spans="1:17">
      <c r="A1492" s="6" t="s">
        <v>2008</v>
      </c>
      <c r="B1492" s="6" t="s">
        <v>2008</v>
      </c>
      <c r="C1492" s="6" t="s">
        <v>10576</v>
      </c>
      <c r="D1492" s="6" t="s">
        <v>10577</v>
      </c>
      <c r="E1492" s="6" t="s">
        <v>10577</v>
      </c>
      <c r="F1492" s="6">
        <v>14.6156010232122</v>
      </c>
      <c r="G1492" s="6">
        <v>13.879248184638501</v>
      </c>
      <c r="H1492" s="6">
        <v>13.8530662288948</v>
      </c>
      <c r="I1492" s="6">
        <v>14.659589619309401</v>
      </c>
      <c r="J1492" s="6">
        <v>13.229403394222301</v>
      </c>
      <c r="K1492" s="6">
        <v>13.5616124467006</v>
      </c>
      <c r="L1492" s="6">
        <v>14.6502947311553</v>
      </c>
      <c r="M1492" s="6">
        <v>12.8189698360015</v>
      </c>
      <c r="N1492" s="6">
        <v>13.736925097020899</v>
      </c>
      <c r="O1492" s="6">
        <v>14.039494380329501</v>
      </c>
      <c r="P1492" s="6">
        <v>13.8915816028822</v>
      </c>
      <c r="Q1492" s="6">
        <v>12.3363446997362</v>
      </c>
    </row>
    <row r="1493" spans="1:17">
      <c r="A1493" s="6" t="s">
        <v>10578</v>
      </c>
      <c r="B1493" s="6" t="s">
        <v>10578</v>
      </c>
      <c r="C1493" s="6" t="s">
        <v>10579</v>
      </c>
      <c r="D1493" s="6" t="s">
        <v>10580</v>
      </c>
      <c r="E1493" s="6" t="s">
        <v>10580</v>
      </c>
      <c r="F1493" s="6">
        <v>14.548388939474799</v>
      </c>
      <c r="G1493" s="6">
        <v>14.434990159691401</v>
      </c>
      <c r="H1493" s="6" t="s">
        <v>6254</v>
      </c>
      <c r="I1493" s="6">
        <v>14.304176139256899</v>
      </c>
      <c r="J1493" s="6">
        <v>13.0882880760205</v>
      </c>
      <c r="K1493" s="6">
        <v>14.143204982449401</v>
      </c>
      <c r="L1493" s="6">
        <v>14.958691285015799</v>
      </c>
      <c r="M1493" s="6" t="s">
        <v>6254</v>
      </c>
      <c r="N1493" s="6" t="s">
        <v>6254</v>
      </c>
      <c r="O1493" s="6">
        <v>13.933563161839</v>
      </c>
      <c r="P1493" s="6">
        <v>14.1498527182257</v>
      </c>
      <c r="Q1493" s="6">
        <v>13.194383846881101</v>
      </c>
    </row>
    <row r="1494" spans="1:17">
      <c r="A1494" s="6" t="s">
        <v>10581</v>
      </c>
      <c r="B1494" s="6" t="s">
        <v>10582</v>
      </c>
      <c r="C1494" s="6" t="s">
        <v>10583</v>
      </c>
      <c r="D1494" s="6" t="s">
        <v>10584</v>
      </c>
      <c r="E1494" s="6" t="s">
        <v>10585</v>
      </c>
      <c r="F1494" s="6">
        <v>13.800939204671501</v>
      </c>
      <c r="G1494" s="6">
        <v>13.514697235244</v>
      </c>
      <c r="H1494" s="6">
        <v>13.7487354825374</v>
      </c>
      <c r="I1494" s="6">
        <v>14.301321664430199</v>
      </c>
      <c r="J1494" s="6">
        <v>13.6296373854479</v>
      </c>
      <c r="K1494" s="6">
        <v>13.791898090771801</v>
      </c>
      <c r="L1494" s="6">
        <v>14.341150306626799</v>
      </c>
      <c r="M1494" s="6">
        <v>13.5321498967064</v>
      </c>
      <c r="N1494" s="6">
        <v>13.1861918058139</v>
      </c>
      <c r="O1494" s="6">
        <v>14.139476110837199</v>
      </c>
      <c r="P1494" s="6">
        <v>14.327300214114</v>
      </c>
      <c r="Q1494" s="6">
        <v>13.0238198104032</v>
      </c>
    </row>
    <row r="1495" spans="1:17">
      <c r="A1495" s="6" t="s">
        <v>10586</v>
      </c>
      <c r="B1495" s="6" t="s">
        <v>10586</v>
      </c>
      <c r="C1495" s="6" t="s">
        <v>10587</v>
      </c>
      <c r="D1495" s="6" t="s">
        <v>10588</v>
      </c>
      <c r="E1495" s="6" t="s">
        <v>10588</v>
      </c>
      <c r="F1495" s="6">
        <v>13.924843499467499</v>
      </c>
      <c r="G1495" s="6">
        <v>13.553325056254099</v>
      </c>
      <c r="H1495" s="6">
        <v>13.823635028920901</v>
      </c>
      <c r="I1495" s="6">
        <v>15.0562205518801</v>
      </c>
      <c r="J1495" s="6">
        <v>12.8719838552345</v>
      </c>
      <c r="K1495" s="6">
        <v>13.390329187993</v>
      </c>
      <c r="L1495" s="6">
        <v>14.471866618548001</v>
      </c>
      <c r="M1495" s="6">
        <v>13.190719749543801</v>
      </c>
      <c r="N1495" s="6">
        <v>13.8861393945818</v>
      </c>
      <c r="O1495" s="6" t="s">
        <v>6254</v>
      </c>
      <c r="P1495" s="6">
        <v>13.811292204733901</v>
      </c>
      <c r="Q1495" s="6" t="s">
        <v>6254</v>
      </c>
    </row>
    <row r="1496" spans="1:17">
      <c r="A1496" s="6" t="s">
        <v>10589</v>
      </c>
      <c r="B1496" s="6" t="s">
        <v>10590</v>
      </c>
      <c r="C1496" s="6" t="s">
        <v>10591</v>
      </c>
      <c r="D1496" s="6" t="s">
        <v>10592</v>
      </c>
      <c r="E1496" s="6" t="s">
        <v>10593</v>
      </c>
      <c r="F1496" s="6">
        <v>14.251296362231701</v>
      </c>
      <c r="G1496" s="6">
        <v>13.937537084663999</v>
      </c>
      <c r="H1496" s="6">
        <v>13.544547119531099</v>
      </c>
      <c r="I1496" s="6">
        <v>14.6576217639871</v>
      </c>
      <c r="J1496" s="6">
        <v>13.285424049537699</v>
      </c>
      <c r="K1496" s="6">
        <v>13.7867185412025</v>
      </c>
      <c r="L1496" s="6">
        <v>14.3990062797573</v>
      </c>
      <c r="M1496" s="6">
        <v>13.1166454692386</v>
      </c>
      <c r="N1496" s="6">
        <v>13.6141153986196</v>
      </c>
      <c r="O1496" s="6">
        <v>14.1770626571371</v>
      </c>
      <c r="P1496" s="6">
        <v>14.1466313013771</v>
      </c>
      <c r="Q1496" s="6">
        <v>13.158153006239999</v>
      </c>
    </row>
    <row r="1497" spans="1:17">
      <c r="A1497" s="6" t="s">
        <v>4830</v>
      </c>
      <c r="B1497" s="6" t="s">
        <v>4830</v>
      </c>
      <c r="C1497" s="6" t="s">
        <v>10594</v>
      </c>
      <c r="D1497" s="6" t="s">
        <v>10595</v>
      </c>
      <c r="E1497" s="6" t="s">
        <v>10595</v>
      </c>
      <c r="F1497" s="6">
        <v>14.3081266782784</v>
      </c>
      <c r="G1497" s="6" t="s">
        <v>6254</v>
      </c>
      <c r="H1497" s="6">
        <v>13.748199211066799</v>
      </c>
      <c r="I1497" s="6">
        <v>14.755764548804001</v>
      </c>
      <c r="J1497" s="6" t="s">
        <v>6254</v>
      </c>
      <c r="K1497" s="6">
        <v>13.616845906829001</v>
      </c>
      <c r="L1497" s="6">
        <v>14.7142275644905</v>
      </c>
      <c r="M1497" s="6">
        <v>13.191688811615601</v>
      </c>
      <c r="N1497" s="6">
        <v>13.524830875187799</v>
      </c>
      <c r="O1497" s="6">
        <v>13.957455728051601</v>
      </c>
      <c r="P1497" s="6">
        <v>14.247936247794399</v>
      </c>
      <c r="Q1497" s="6">
        <v>12.6059249942394</v>
      </c>
    </row>
    <row r="1498" spans="1:17">
      <c r="A1498" s="6" t="s">
        <v>10596</v>
      </c>
      <c r="B1498" s="6" t="s">
        <v>10597</v>
      </c>
      <c r="C1498" s="6" t="s">
        <v>10598</v>
      </c>
      <c r="D1498" s="6" t="s">
        <v>10599</v>
      </c>
      <c r="E1498" s="6" t="s">
        <v>10600</v>
      </c>
      <c r="F1498" s="6">
        <v>14.300676244471401</v>
      </c>
      <c r="G1498" s="6">
        <v>13.643552795319</v>
      </c>
      <c r="H1498" s="6">
        <v>14.3872210391465</v>
      </c>
      <c r="I1498" s="6">
        <v>14.700106740726699</v>
      </c>
      <c r="J1498" s="6">
        <v>13.660534719777999</v>
      </c>
      <c r="K1498" s="6">
        <v>13.669724005799701</v>
      </c>
      <c r="L1498" s="6">
        <v>14.978624420541999</v>
      </c>
      <c r="M1498" s="6">
        <v>13.3172585215412</v>
      </c>
      <c r="N1498" s="6">
        <v>13.941250535716801</v>
      </c>
      <c r="O1498" s="6">
        <v>14.2109429515226</v>
      </c>
      <c r="P1498" s="6">
        <v>13.590067940329901</v>
      </c>
      <c r="Q1498" s="6">
        <v>12.556043429788099</v>
      </c>
    </row>
    <row r="1499" spans="1:17">
      <c r="A1499" s="6" t="s">
        <v>10601</v>
      </c>
      <c r="B1499" s="6" t="s">
        <v>10602</v>
      </c>
      <c r="C1499" s="6" t="s">
        <v>10603</v>
      </c>
      <c r="D1499" s="6" t="s">
        <v>10604</v>
      </c>
      <c r="E1499" s="6" t="s">
        <v>10605</v>
      </c>
      <c r="F1499" s="6">
        <v>14.2478340087183</v>
      </c>
      <c r="G1499" s="6">
        <v>13.6590181862585</v>
      </c>
      <c r="H1499" s="6">
        <v>13.721170387341701</v>
      </c>
      <c r="I1499" s="6">
        <v>14.4723785864912</v>
      </c>
      <c r="J1499" s="6">
        <v>13.0360331436557</v>
      </c>
      <c r="K1499" s="6">
        <v>13.758976081073801</v>
      </c>
      <c r="L1499" s="6">
        <v>14.4433178946596</v>
      </c>
      <c r="M1499" s="6">
        <v>13.2695944981712</v>
      </c>
      <c r="N1499" s="6">
        <v>13.9097021276608</v>
      </c>
      <c r="O1499" s="6">
        <v>13.975651475841801</v>
      </c>
      <c r="P1499" s="6">
        <v>14.2701449570042</v>
      </c>
      <c r="Q1499" s="6">
        <v>12.4434704881517</v>
      </c>
    </row>
    <row r="1500" spans="1:17">
      <c r="A1500" s="6" t="s">
        <v>10606</v>
      </c>
      <c r="B1500" s="6" t="s">
        <v>10606</v>
      </c>
      <c r="C1500" s="6" t="s">
        <v>10607</v>
      </c>
      <c r="D1500" s="6" t="s">
        <v>10608</v>
      </c>
      <c r="E1500" s="6" t="s">
        <v>10608</v>
      </c>
      <c r="F1500" s="6" t="s">
        <v>6254</v>
      </c>
      <c r="G1500" s="6" t="s">
        <v>6254</v>
      </c>
      <c r="H1500" s="6" t="s">
        <v>6254</v>
      </c>
      <c r="I1500" s="6">
        <v>13.3455343564999</v>
      </c>
      <c r="J1500" s="6" t="s">
        <v>6254</v>
      </c>
      <c r="K1500" s="6">
        <v>13.4092949233391</v>
      </c>
      <c r="L1500" s="6">
        <v>14.978787730531501</v>
      </c>
      <c r="M1500" s="6" t="s">
        <v>6254</v>
      </c>
      <c r="N1500" s="6" t="s">
        <v>6254</v>
      </c>
      <c r="O1500" s="6">
        <v>12.877766612167999</v>
      </c>
      <c r="P1500" s="6" t="s">
        <v>6254</v>
      </c>
      <c r="Q1500" s="6" t="s">
        <v>6254</v>
      </c>
    </row>
    <row r="1501" spans="1:17">
      <c r="A1501" s="6" t="s">
        <v>2746</v>
      </c>
      <c r="B1501" s="6" t="s">
        <v>2746</v>
      </c>
      <c r="C1501" s="6" t="s">
        <v>10609</v>
      </c>
      <c r="D1501" s="6" t="s">
        <v>10610</v>
      </c>
      <c r="E1501" s="6" t="s">
        <v>10610</v>
      </c>
      <c r="F1501" s="6">
        <v>14.1336346038337</v>
      </c>
      <c r="G1501" s="6">
        <v>14.012937391602099</v>
      </c>
      <c r="H1501" s="6">
        <v>13.862497680729399</v>
      </c>
      <c r="I1501" s="6">
        <v>14.677814645775999</v>
      </c>
      <c r="J1501" s="6">
        <v>13.0695455826871</v>
      </c>
      <c r="K1501" s="6">
        <v>13.827188049084301</v>
      </c>
      <c r="L1501" s="6">
        <v>14.3266546224866</v>
      </c>
      <c r="M1501" s="6">
        <v>13.105064250154699</v>
      </c>
      <c r="N1501" s="6">
        <v>13.9646964826435</v>
      </c>
      <c r="O1501" s="6">
        <v>14.050226218045999</v>
      </c>
      <c r="P1501" s="6">
        <v>14.0820801530389</v>
      </c>
      <c r="Q1501" s="6">
        <v>12.818889344230801</v>
      </c>
    </row>
    <row r="1502" spans="1:17">
      <c r="A1502" s="6" t="s">
        <v>3208</v>
      </c>
      <c r="B1502" s="6" t="s">
        <v>3208</v>
      </c>
      <c r="C1502" s="6" t="s">
        <v>10611</v>
      </c>
      <c r="D1502" s="6" t="s">
        <v>10612</v>
      </c>
      <c r="E1502" s="6" t="s">
        <v>10612</v>
      </c>
      <c r="F1502" s="6">
        <v>13.754261757755099</v>
      </c>
      <c r="G1502" s="6">
        <v>13.9010843980783</v>
      </c>
      <c r="H1502" s="6">
        <v>13.6212313312977</v>
      </c>
      <c r="I1502" s="6">
        <v>14.6209712209687</v>
      </c>
      <c r="J1502" s="6">
        <v>13.4762779957065</v>
      </c>
      <c r="K1502" s="6">
        <v>14.150952035482799</v>
      </c>
      <c r="L1502" s="6">
        <v>14.0456588396983</v>
      </c>
      <c r="M1502" s="6">
        <v>13.245305592442399</v>
      </c>
      <c r="N1502" s="6">
        <v>13.0575182698049</v>
      </c>
      <c r="O1502" s="6">
        <v>14.023500908581701</v>
      </c>
      <c r="P1502" s="6">
        <v>14.2116114842936</v>
      </c>
      <c r="Q1502" s="6">
        <v>13.0340519140639</v>
      </c>
    </row>
    <row r="1503" spans="1:17">
      <c r="A1503" s="6" t="s">
        <v>2353</v>
      </c>
      <c r="B1503" s="6" t="s">
        <v>2353</v>
      </c>
      <c r="C1503" s="6" t="s">
        <v>10613</v>
      </c>
      <c r="D1503" s="6" t="s">
        <v>10614</v>
      </c>
      <c r="E1503" s="6" t="s">
        <v>10614</v>
      </c>
      <c r="F1503" s="6">
        <v>14.7649886294731</v>
      </c>
      <c r="G1503" s="6">
        <v>13.8575742762237</v>
      </c>
      <c r="H1503" s="6">
        <v>13.775138509488601</v>
      </c>
      <c r="I1503" s="6">
        <v>14.9091163156693</v>
      </c>
      <c r="J1503" s="6">
        <v>12.6847612980559</v>
      </c>
      <c r="K1503" s="6">
        <v>14.0914321337305</v>
      </c>
      <c r="L1503" s="6">
        <v>14.4966783649586</v>
      </c>
      <c r="M1503" s="6">
        <v>12.791412685358001</v>
      </c>
      <c r="N1503" s="6">
        <v>13.175222235269199</v>
      </c>
      <c r="O1503" s="6">
        <v>14.317921522411799</v>
      </c>
      <c r="P1503" s="6">
        <v>14.3357020607635</v>
      </c>
      <c r="Q1503" s="6">
        <v>12.1974872423542</v>
      </c>
    </row>
    <row r="1504" spans="1:17">
      <c r="A1504" s="6" t="s">
        <v>10615</v>
      </c>
      <c r="B1504" s="6" t="s">
        <v>10615</v>
      </c>
      <c r="C1504" s="6" t="s">
        <v>10616</v>
      </c>
      <c r="D1504" s="6" t="s">
        <v>10617</v>
      </c>
      <c r="E1504" s="6" t="s">
        <v>10617</v>
      </c>
      <c r="F1504" s="6">
        <v>14.054219894929499</v>
      </c>
      <c r="G1504" s="6">
        <v>14.4327677502943</v>
      </c>
      <c r="H1504" s="6" t="s">
        <v>6254</v>
      </c>
      <c r="I1504" s="6" t="s">
        <v>6254</v>
      </c>
      <c r="J1504" s="6">
        <v>12.190516272088299</v>
      </c>
      <c r="K1504" s="6">
        <v>13.9732160292895</v>
      </c>
      <c r="L1504" s="6" t="s">
        <v>6254</v>
      </c>
      <c r="M1504" s="6" t="s">
        <v>6254</v>
      </c>
      <c r="N1504" s="6" t="s">
        <v>6254</v>
      </c>
      <c r="O1504" s="6" t="s">
        <v>6254</v>
      </c>
      <c r="P1504" s="6" t="s">
        <v>6254</v>
      </c>
      <c r="Q1504" s="6" t="s">
        <v>6254</v>
      </c>
    </row>
    <row r="1505" spans="1:17">
      <c r="A1505" s="6" t="s">
        <v>10618</v>
      </c>
      <c r="B1505" s="6" t="s">
        <v>10619</v>
      </c>
      <c r="C1505" s="6" t="s">
        <v>10620</v>
      </c>
      <c r="D1505" s="6" t="s">
        <v>10621</v>
      </c>
      <c r="E1505" s="6" t="s">
        <v>10622</v>
      </c>
      <c r="F1505" s="6">
        <v>14.1232915125054</v>
      </c>
      <c r="G1505" s="6">
        <v>13.942948580641801</v>
      </c>
      <c r="H1505" s="6">
        <v>13.720351153340999</v>
      </c>
      <c r="I1505" s="6">
        <v>14.507310251822201</v>
      </c>
      <c r="J1505" s="6">
        <v>13.011271304631901</v>
      </c>
      <c r="K1505" s="6">
        <v>13.949207999048401</v>
      </c>
      <c r="L1505" s="6">
        <v>14.335187484644701</v>
      </c>
      <c r="M1505" s="6">
        <v>12.3328972218908</v>
      </c>
      <c r="N1505" s="6">
        <v>12.8357722657087</v>
      </c>
      <c r="O1505" s="6">
        <v>14.322259339463599</v>
      </c>
      <c r="P1505" s="6">
        <v>14.527918362300699</v>
      </c>
      <c r="Q1505" s="6" t="s">
        <v>6254</v>
      </c>
    </row>
    <row r="1506" spans="1:17">
      <c r="A1506" s="6" t="s">
        <v>10623</v>
      </c>
      <c r="B1506" s="6" t="s">
        <v>10624</v>
      </c>
      <c r="C1506" s="6" t="s">
        <v>10625</v>
      </c>
      <c r="D1506" s="6" t="s">
        <v>10626</v>
      </c>
      <c r="E1506" s="6" t="s">
        <v>10627</v>
      </c>
      <c r="F1506" s="6">
        <v>14.1902892946976</v>
      </c>
      <c r="G1506" s="6">
        <v>13.6204027761387</v>
      </c>
      <c r="H1506" s="6">
        <v>13.5800705463447</v>
      </c>
      <c r="I1506" s="6">
        <v>14.4142477213768</v>
      </c>
      <c r="J1506" s="6">
        <v>12.8595487615057</v>
      </c>
      <c r="K1506" s="6">
        <v>13.403025128745</v>
      </c>
      <c r="L1506" s="6">
        <v>14.6304894350538</v>
      </c>
      <c r="M1506" s="6">
        <v>12.517072893157399</v>
      </c>
      <c r="N1506" s="6">
        <v>14.124403789341301</v>
      </c>
      <c r="O1506" s="6">
        <v>14.5413149942719</v>
      </c>
      <c r="P1506" s="6">
        <v>14.195186071133399</v>
      </c>
      <c r="Q1506" s="6">
        <v>12.7789085756179</v>
      </c>
    </row>
    <row r="1507" spans="1:17">
      <c r="A1507" s="6" t="s">
        <v>10628</v>
      </c>
      <c r="B1507" s="6" t="s">
        <v>10629</v>
      </c>
      <c r="C1507" s="6" t="s">
        <v>10630</v>
      </c>
      <c r="D1507" s="6" t="s">
        <v>10631</v>
      </c>
      <c r="E1507" s="6" t="s">
        <v>10632</v>
      </c>
      <c r="F1507" s="6">
        <v>13.7946779037808</v>
      </c>
      <c r="G1507" s="6" t="s">
        <v>6254</v>
      </c>
      <c r="H1507" s="6">
        <v>14.178957818525801</v>
      </c>
      <c r="I1507" s="6">
        <v>14.3119073031407</v>
      </c>
      <c r="J1507" s="6" t="s">
        <v>6254</v>
      </c>
      <c r="K1507" s="6">
        <v>13.327394879454101</v>
      </c>
      <c r="L1507" s="6">
        <v>13.9153818597953</v>
      </c>
      <c r="M1507" s="6" t="s">
        <v>6254</v>
      </c>
      <c r="N1507" s="6">
        <v>15.029038388139799</v>
      </c>
      <c r="O1507" s="6">
        <v>13.320540198857501</v>
      </c>
      <c r="P1507" s="6">
        <v>13.8443944424381</v>
      </c>
      <c r="Q1507" s="6">
        <v>13.0875267701496</v>
      </c>
    </row>
    <row r="1508" spans="1:17">
      <c r="A1508" s="6" t="s">
        <v>1579</v>
      </c>
      <c r="B1508" s="6" t="s">
        <v>1579</v>
      </c>
      <c r="C1508" s="6" t="s">
        <v>10633</v>
      </c>
      <c r="D1508" s="6" t="s">
        <v>10634</v>
      </c>
      <c r="E1508" s="6" t="s">
        <v>10634</v>
      </c>
      <c r="F1508" s="6">
        <v>14.3437678137562</v>
      </c>
      <c r="G1508" s="6">
        <v>13.8294835411973</v>
      </c>
      <c r="H1508" s="6">
        <v>13.7721740433796</v>
      </c>
      <c r="I1508" s="6">
        <v>14.5912198769576</v>
      </c>
      <c r="J1508" s="6">
        <v>12.9001496438022</v>
      </c>
      <c r="K1508" s="6">
        <v>13.680634707368799</v>
      </c>
      <c r="L1508" s="6">
        <v>14.3455564689204</v>
      </c>
      <c r="M1508" s="6">
        <v>12.957386490437299</v>
      </c>
      <c r="N1508" s="6">
        <v>13.6442291011785</v>
      </c>
      <c r="O1508" s="6">
        <v>14.524239927272101</v>
      </c>
      <c r="P1508" s="6">
        <v>14.131204304648101</v>
      </c>
      <c r="Q1508" s="6">
        <v>12.6822946265154</v>
      </c>
    </row>
    <row r="1509" spans="1:17">
      <c r="A1509" s="6" t="s">
        <v>3095</v>
      </c>
      <c r="B1509" s="6" t="s">
        <v>3095</v>
      </c>
      <c r="C1509" s="6" t="s">
        <v>10635</v>
      </c>
      <c r="D1509" s="6" t="s">
        <v>10636</v>
      </c>
      <c r="E1509" s="6" t="s">
        <v>10636</v>
      </c>
      <c r="F1509" s="6">
        <v>14.1091025686785</v>
      </c>
      <c r="G1509" s="6">
        <v>13.172488094207401</v>
      </c>
      <c r="H1509" s="6">
        <v>13.888021777073901</v>
      </c>
      <c r="I1509" s="6">
        <v>14.814261694611099</v>
      </c>
      <c r="J1509" s="6">
        <v>13.4555242277887</v>
      </c>
      <c r="K1509" s="6">
        <v>14.066066519008499</v>
      </c>
      <c r="L1509" s="6">
        <v>14.510927732459299</v>
      </c>
      <c r="M1509" s="6">
        <v>13.5704950361323</v>
      </c>
      <c r="N1509" s="6">
        <v>14.279728523518401</v>
      </c>
      <c r="O1509" s="6">
        <v>13.928910809209</v>
      </c>
      <c r="P1509" s="6">
        <v>13.118244039883599</v>
      </c>
      <c r="Q1509" s="6">
        <v>12.254953099756699</v>
      </c>
    </row>
    <row r="1510" spans="1:17">
      <c r="A1510" s="6" t="s">
        <v>10637</v>
      </c>
      <c r="B1510" s="6" t="s">
        <v>10637</v>
      </c>
      <c r="C1510" s="6" t="s">
        <v>10638</v>
      </c>
      <c r="D1510" s="6" t="s">
        <v>10639</v>
      </c>
      <c r="E1510" s="6" t="s">
        <v>10639</v>
      </c>
      <c r="F1510" s="6" t="s">
        <v>6254</v>
      </c>
      <c r="G1510" s="6" t="s">
        <v>6254</v>
      </c>
      <c r="H1510" s="6" t="s">
        <v>6254</v>
      </c>
      <c r="I1510" s="6">
        <v>14.6733998890672</v>
      </c>
      <c r="J1510" s="6" t="s">
        <v>6254</v>
      </c>
      <c r="K1510" s="6" t="s">
        <v>6254</v>
      </c>
      <c r="L1510" s="6">
        <v>13.9285879565914</v>
      </c>
      <c r="M1510" s="6">
        <v>12.6136684063916</v>
      </c>
      <c r="N1510" s="6" t="s">
        <v>6254</v>
      </c>
      <c r="O1510" s="6">
        <v>13.5020028421507</v>
      </c>
      <c r="P1510" s="6">
        <v>14.085809946495299</v>
      </c>
      <c r="Q1510" s="6" t="s">
        <v>6254</v>
      </c>
    </row>
    <row r="1511" spans="1:17">
      <c r="A1511" s="6" t="s">
        <v>5088</v>
      </c>
      <c r="B1511" s="6" t="s">
        <v>5088</v>
      </c>
      <c r="C1511" s="6" t="s">
        <v>10640</v>
      </c>
      <c r="D1511" s="6" t="s">
        <v>10641</v>
      </c>
      <c r="E1511" s="6" t="s">
        <v>10641</v>
      </c>
      <c r="F1511" s="6">
        <v>14.4223433942798</v>
      </c>
      <c r="G1511" s="6">
        <v>13.4491353649786</v>
      </c>
      <c r="H1511" s="6">
        <v>14.030006410572099</v>
      </c>
      <c r="I1511" s="6">
        <v>14.3206303345902</v>
      </c>
      <c r="J1511" s="6">
        <v>12.943968887853799</v>
      </c>
      <c r="K1511" s="6">
        <v>13.4031792623838</v>
      </c>
      <c r="L1511" s="6">
        <v>14.4941926604532</v>
      </c>
      <c r="M1511" s="6">
        <v>13.1394113201482</v>
      </c>
      <c r="N1511" s="6">
        <v>14.056411294807701</v>
      </c>
      <c r="O1511" s="6">
        <v>14.0434311203989</v>
      </c>
      <c r="P1511" s="6">
        <v>13.989997844165901</v>
      </c>
      <c r="Q1511" s="6">
        <v>12.853980283073399</v>
      </c>
    </row>
    <row r="1512" spans="1:17">
      <c r="A1512" s="6" t="s">
        <v>2544</v>
      </c>
      <c r="B1512" s="6" t="s">
        <v>2544</v>
      </c>
      <c r="C1512" s="6" t="s">
        <v>10642</v>
      </c>
      <c r="D1512" s="6" t="s">
        <v>10643</v>
      </c>
      <c r="E1512" s="6" t="s">
        <v>10643</v>
      </c>
      <c r="F1512" s="6">
        <v>13.604818003426701</v>
      </c>
      <c r="G1512" s="6">
        <v>13.252470090822101</v>
      </c>
      <c r="H1512" s="6">
        <v>14.2284172131489</v>
      </c>
      <c r="I1512" s="6">
        <v>14.3370454588954</v>
      </c>
      <c r="J1512" s="6">
        <v>14.3140667630856</v>
      </c>
      <c r="K1512" s="6" t="s">
        <v>6254</v>
      </c>
      <c r="L1512" s="6">
        <v>14.2476860667048</v>
      </c>
      <c r="M1512" s="6">
        <v>13.799489801128599</v>
      </c>
      <c r="N1512" s="6">
        <v>13.5447981213152</v>
      </c>
      <c r="O1512" s="6" t="s">
        <v>6254</v>
      </c>
      <c r="P1512" s="6">
        <v>14.1437045695635</v>
      </c>
      <c r="Q1512" s="6" t="s">
        <v>6254</v>
      </c>
    </row>
    <row r="1513" spans="1:17">
      <c r="A1513" s="6" t="s">
        <v>4265</v>
      </c>
      <c r="B1513" s="6" t="s">
        <v>4265</v>
      </c>
      <c r="C1513" s="6" t="s">
        <v>10644</v>
      </c>
      <c r="D1513" s="6" t="s">
        <v>10645</v>
      </c>
      <c r="E1513" s="6" t="s">
        <v>10645</v>
      </c>
      <c r="F1513" s="6">
        <v>13.265133126240899</v>
      </c>
      <c r="G1513" s="6" t="s">
        <v>6254</v>
      </c>
      <c r="H1513" s="6">
        <v>13.7409385978881</v>
      </c>
      <c r="I1513" s="6">
        <v>14.4011669751981</v>
      </c>
      <c r="J1513" s="6" t="s">
        <v>6254</v>
      </c>
      <c r="K1513" s="6">
        <v>13.808576741914599</v>
      </c>
      <c r="L1513" s="6">
        <v>14.2417401216399</v>
      </c>
      <c r="M1513" s="6" t="s">
        <v>6254</v>
      </c>
      <c r="N1513" s="6">
        <v>12.833978582374799</v>
      </c>
      <c r="O1513" s="6">
        <v>14.1048996751886</v>
      </c>
      <c r="P1513" s="6">
        <v>14.1313476086336</v>
      </c>
      <c r="Q1513" s="6" t="s">
        <v>6254</v>
      </c>
    </row>
    <row r="1514" spans="1:17">
      <c r="A1514" s="6" t="s">
        <v>3465</v>
      </c>
      <c r="B1514" s="6" t="s">
        <v>3465</v>
      </c>
      <c r="C1514" s="6" t="s">
        <v>10646</v>
      </c>
      <c r="D1514" s="6" t="s">
        <v>10647</v>
      </c>
      <c r="E1514" s="6" t="s">
        <v>10647</v>
      </c>
      <c r="F1514" s="6">
        <v>13.6686006190918</v>
      </c>
      <c r="G1514" s="6">
        <v>13.0954313713753</v>
      </c>
      <c r="H1514" s="6">
        <v>13.811210990758299</v>
      </c>
      <c r="I1514" s="6">
        <v>14.558707604922899</v>
      </c>
      <c r="J1514" s="6">
        <v>13.399964752012799</v>
      </c>
      <c r="K1514" s="6">
        <v>14.147559029967001</v>
      </c>
      <c r="L1514" s="6">
        <v>14.282755085623</v>
      </c>
      <c r="M1514" s="6" t="s">
        <v>6254</v>
      </c>
      <c r="N1514" s="6">
        <v>12.9945488316786</v>
      </c>
      <c r="O1514" s="6">
        <v>14.0269653249327</v>
      </c>
      <c r="P1514" s="6">
        <v>14.1361038388825</v>
      </c>
      <c r="Q1514" s="6">
        <v>13.3498095857184</v>
      </c>
    </row>
    <row r="1515" spans="1:17">
      <c r="A1515" s="6" t="s">
        <v>1557</v>
      </c>
      <c r="B1515" s="6" t="s">
        <v>1557</v>
      </c>
      <c r="C1515" s="6" t="s">
        <v>10648</v>
      </c>
      <c r="D1515" s="6" t="s">
        <v>10649</v>
      </c>
      <c r="E1515" s="6" t="s">
        <v>10649</v>
      </c>
      <c r="F1515" s="6">
        <v>14.191882736438201</v>
      </c>
      <c r="G1515" s="6">
        <v>13.637527735740999</v>
      </c>
      <c r="H1515" s="6">
        <v>13.8087863371371</v>
      </c>
      <c r="I1515" s="6">
        <v>14.5069403601667</v>
      </c>
      <c r="J1515" s="6">
        <v>13.2926607399927</v>
      </c>
      <c r="K1515" s="6">
        <v>13.6909895112515</v>
      </c>
      <c r="L1515" s="6">
        <v>14.303434817707499</v>
      </c>
      <c r="M1515" s="6">
        <v>12.913357796923</v>
      </c>
      <c r="N1515" s="6">
        <v>13.9619842135141</v>
      </c>
      <c r="O1515" s="6">
        <v>14.2335931050232</v>
      </c>
      <c r="P1515" s="6">
        <v>14.1287205168369</v>
      </c>
      <c r="Q1515" s="6">
        <v>12.499229738757901</v>
      </c>
    </row>
    <row r="1516" spans="1:17">
      <c r="A1516" s="6" t="s">
        <v>10650</v>
      </c>
      <c r="B1516" s="6" t="s">
        <v>10650</v>
      </c>
      <c r="C1516" s="6" t="s">
        <v>10651</v>
      </c>
      <c r="D1516" s="6" t="s">
        <v>10652</v>
      </c>
      <c r="E1516" s="6" t="s">
        <v>10652</v>
      </c>
      <c r="F1516" s="6">
        <v>13.657813135417101</v>
      </c>
      <c r="G1516" s="6">
        <v>13.987904857023</v>
      </c>
      <c r="H1516" s="6">
        <v>13.9770664163345</v>
      </c>
      <c r="I1516" s="6">
        <v>14.2534506993984</v>
      </c>
      <c r="J1516" s="6">
        <v>13.1681187345323</v>
      </c>
      <c r="K1516" s="6">
        <v>13.864549218655499</v>
      </c>
      <c r="L1516" s="6">
        <v>14.8486508183463</v>
      </c>
      <c r="M1516" s="6">
        <v>13.077001855881701</v>
      </c>
      <c r="N1516" s="6">
        <v>12.410785417587499</v>
      </c>
      <c r="O1516" s="6">
        <v>14.148211899535699</v>
      </c>
      <c r="P1516" s="6">
        <v>14.0470274204328</v>
      </c>
      <c r="Q1516" s="6">
        <v>13.2464665054266</v>
      </c>
    </row>
    <row r="1517" spans="1:17">
      <c r="A1517" s="6" t="s">
        <v>10653</v>
      </c>
      <c r="B1517" s="6" t="s">
        <v>10654</v>
      </c>
      <c r="C1517" s="6" t="s">
        <v>10655</v>
      </c>
      <c r="D1517" s="6" t="s">
        <v>10656</v>
      </c>
      <c r="E1517" s="6" t="s">
        <v>10657</v>
      </c>
      <c r="F1517" s="6">
        <v>13.219209485895901</v>
      </c>
      <c r="G1517" s="6">
        <v>13.3980351600862</v>
      </c>
      <c r="H1517" s="6">
        <v>14.0813709221559</v>
      </c>
      <c r="I1517" s="6">
        <v>14.7203860546079</v>
      </c>
      <c r="J1517" s="6">
        <v>13.1020460842179</v>
      </c>
      <c r="K1517" s="6">
        <v>14.1817990461139</v>
      </c>
      <c r="L1517" s="6">
        <v>15.1442585251514</v>
      </c>
      <c r="M1517" s="6">
        <v>13.4357923465342</v>
      </c>
      <c r="N1517" s="6">
        <v>13.4685147330422</v>
      </c>
      <c r="O1517" s="6">
        <v>13.7555178608067</v>
      </c>
      <c r="P1517" s="6">
        <v>13.4239264346139</v>
      </c>
      <c r="Q1517" s="6">
        <v>12.721195547635499</v>
      </c>
    </row>
    <row r="1518" spans="1:17">
      <c r="A1518" s="6" t="s">
        <v>1720</v>
      </c>
      <c r="B1518" s="6" t="s">
        <v>1720</v>
      </c>
      <c r="C1518" s="6" t="s">
        <v>10658</v>
      </c>
      <c r="D1518" s="6" t="s">
        <v>10659</v>
      </c>
      <c r="E1518" s="6" t="s">
        <v>10659</v>
      </c>
      <c r="F1518" s="6">
        <v>14.411649440113999</v>
      </c>
      <c r="G1518" s="6">
        <v>13.7338451197779</v>
      </c>
      <c r="H1518" s="6">
        <v>13.8613016482369</v>
      </c>
      <c r="I1518" s="6">
        <v>14.6885781121634</v>
      </c>
      <c r="J1518" s="6">
        <v>13.2269395218804</v>
      </c>
      <c r="K1518" s="6">
        <v>13.8715036003892</v>
      </c>
      <c r="L1518" s="6">
        <v>14.1741106779363</v>
      </c>
      <c r="M1518" s="6">
        <v>12.8507822988919</v>
      </c>
      <c r="N1518" s="6">
        <v>13.412071680571501</v>
      </c>
      <c r="O1518" s="6">
        <v>14.1795754350898</v>
      </c>
      <c r="P1518" s="6">
        <v>14.340901699738099</v>
      </c>
      <c r="Q1518" s="6">
        <v>12.7302426244666</v>
      </c>
    </row>
    <row r="1519" spans="1:17">
      <c r="A1519" s="6" t="s">
        <v>5213</v>
      </c>
      <c r="B1519" s="6" t="s">
        <v>5213</v>
      </c>
      <c r="C1519" s="6" t="s">
        <v>10660</v>
      </c>
      <c r="D1519" s="6" t="s">
        <v>10661</v>
      </c>
      <c r="E1519" s="6" t="s">
        <v>10661</v>
      </c>
      <c r="F1519" s="6">
        <v>13.3255192910819</v>
      </c>
      <c r="G1519" s="6">
        <v>13.647721118541901</v>
      </c>
      <c r="H1519" s="6">
        <v>13.5966048437756</v>
      </c>
      <c r="I1519" s="6">
        <v>14.203046652725501</v>
      </c>
      <c r="J1519" s="6">
        <v>12.542313013216001</v>
      </c>
      <c r="K1519" s="6">
        <v>14.059035306829999</v>
      </c>
      <c r="L1519" s="6">
        <v>14.2818864712542</v>
      </c>
      <c r="M1519" s="6">
        <v>16.6614928866843</v>
      </c>
      <c r="N1519" s="6">
        <v>15.901339572790601</v>
      </c>
      <c r="O1519" s="6">
        <v>12.328927462798401</v>
      </c>
      <c r="P1519" s="6">
        <v>12.648930584827299</v>
      </c>
      <c r="Q1519" s="6">
        <v>13.323778031013299</v>
      </c>
    </row>
    <row r="1520" spans="1:17">
      <c r="A1520" s="6" t="s">
        <v>1860</v>
      </c>
      <c r="B1520" s="6" t="s">
        <v>1860</v>
      </c>
      <c r="C1520" s="6" t="s">
        <v>10662</v>
      </c>
      <c r="D1520" s="6" t="s">
        <v>10663</v>
      </c>
      <c r="E1520" s="6" t="s">
        <v>10663</v>
      </c>
      <c r="F1520" s="6">
        <v>14.2153353448487</v>
      </c>
      <c r="G1520" s="6">
        <v>13.6448145146072</v>
      </c>
      <c r="H1520" s="6">
        <v>13.825258946426199</v>
      </c>
      <c r="I1520" s="6">
        <v>14.5404885617655</v>
      </c>
      <c r="J1520" s="6">
        <v>12.807468884303001</v>
      </c>
      <c r="K1520" s="6">
        <v>13.833969776613801</v>
      </c>
      <c r="L1520" s="6">
        <v>14.086621894881</v>
      </c>
      <c r="M1520" s="6">
        <v>13.186062642753701</v>
      </c>
      <c r="N1520" s="6">
        <v>13.743981657502299</v>
      </c>
      <c r="O1520" s="6">
        <v>14.1088498614989</v>
      </c>
      <c r="P1520" s="6">
        <v>14.2703815058874</v>
      </c>
      <c r="Q1520" s="6">
        <v>12.595526646385199</v>
      </c>
    </row>
    <row r="1521" spans="1:17">
      <c r="A1521" s="6" t="s">
        <v>10664</v>
      </c>
      <c r="B1521" s="6" t="s">
        <v>10664</v>
      </c>
      <c r="C1521" s="6" t="s">
        <v>10665</v>
      </c>
      <c r="D1521" s="6" t="s">
        <v>10666</v>
      </c>
      <c r="E1521" s="6" t="s">
        <v>10666</v>
      </c>
      <c r="F1521" s="6">
        <v>14.210884908440301</v>
      </c>
      <c r="G1521" s="6" t="s">
        <v>6254</v>
      </c>
      <c r="H1521" s="6">
        <v>13.3378231009867</v>
      </c>
      <c r="I1521" s="6">
        <v>13.7563931821051</v>
      </c>
      <c r="J1521" s="6" t="s">
        <v>6254</v>
      </c>
      <c r="K1521" s="6" t="s">
        <v>6254</v>
      </c>
      <c r="L1521" s="6">
        <v>14.068741076583599</v>
      </c>
      <c r="M1521" s="6">
        <v>15.4993110423875</v>
      </c>
      <c r="N1521" s="6">
        <v>15.6535745012938</v>
      </c>
      <c r="O1521" s="6">
        <v>13.241895742692201</v>
      </c>
      <c r="P1521" s="6">
        <v>14.140168779071701</v>
      </c>
      <c r="Q1521" s="6" t="s">
        <v>6254</v>
      </c>
    </row>
    <row r="1522" spans="1:17">
      <c r="A1522" s="6" t="s">
        <v>3019</v>
      </c>
      <c r="B1522" s="6" t="s">
        <v>3021</v>
      </c>
      <c r="C1522" s="6" t="s">
        <v>10667</v>
      </c>
      <c r="D1522" s="6" t="s">
        <v>10668</v>
      </c>
      <c r="E1522" s="6" t="s">
        <v>10669</v>
      </c>
      <c r="F1522" s="6">
        <v>14.158939195542199</v>
      </c>
      <c r="G1522" s="6">
        <v>14.0595439493983</v>
      </c>
      <c r="H1522" s="6">
        <v>13.805696950712401</v>
      </c>
      <c r="I1522" s="6">
        <v>14.5152873293772</v>
      </c>
      <c r="J1522" s="6">
        <v>13.3487237408204</v>
      </c>
      <c r="K1522" s="6">
        <v>13.402309879778601</v>
      </c>
      <c r="L1522" s="6">
        <v>14.6150051871942</v>
      </c>
      <c r="M1522" s="6">
        <v>14.268368654358101</v>
      </c>
      <c r="N1522" s="6" t="s">
        <v>6254</v>
      </c>
      <c r="O1522" s="6">
        <v>14.253874882752299</v>
      </c>
      <c r="P1522" s="6">
        <v>13.4770528978</v>
      </c>
      <c r="Q1522" s="6">
        <v>12.9046887067505</v>
      </c>
    </row>
    <row r="1523" spans="1:17">
      <c r="A1523" s="6" t="s">
        <v>1750</v>
      </c>
      <c r="B1523" s="6" t="s">
        <v>1752</v>
      </c>
      <c r="C1523" s="6" t="s">
        <v>10670</v>
      </c>
      <c r="D1523" s="6" t="s">
        <v>10671</v>
      </c>
      <c r="E1523" s="6" t="s">
        <v>10672</v>
      </c>
      <c r="F1523" s="6">
        <v>14.355476988202</v>
      </c>
      <c r="G1523" s="6">
        <v>13.7888427081953</v>
      </c>
      <c r="H1523" s="6">
        <v>13.8955016233589</v>
      </c>
      <c r="I1523" s="6">
        <v>14.823818462030699</v>
      </c>
      <c r="J1523" s="6">
        <v>13.148223088520499</v>
      </c>
      <c r="K1523" s="6">
        <v>13.991253839753901</v>
      </c>
      <c r="L1523" s="6">
        <v>14.647231598540699</v>
      </c>
      <c r="M1523" s="6">
        <v>12.7073540151281</v>
      </c>
      <c r="N1523" s="6">
        <v>13.497085551746199</v>
      </c>
      <c r="O1523" s="6">
        <v>13.930886717993401</v>
      </c>
      <c r="P1523" s="6">
        <v>13.442670231047501</v>
      </c>
      <c r="Q1523" s="6">
        <v>12.7335381108585</v>
      </c>
    </row>
    <row r="1524" spans="1:17">
      <c r="A1524" s="6" t="s">
        <v>2553</v>
      </c>
      <c r="B1524" s="6" t="s">
        <v>2553</v>
      </c>
      <c r="C1524" s="6" t="s">
        <v>10673</v>
      </c>
      <c r="D1524" s="6" t="s">
        <v>10674</v>
      </c>
      <c r="E1524" s="6" t="s">
        <v>10674</v>
      </c>
      <c r="F1524" s="6">
        <v>14.1523244265882</v>
      </c>
      <c r="G1524" s="6">
        <v>13.9355748664569</v>
      </c>
      <c r="H1524" s="6">
        <v>13.8412326721237</v>
      </c>
      <c r="I1524" s="6">
        <v>14.140686539313601</v>
      </c>
      <c r="J1524" s="6">
        <v>12.7077433135189</v>
      </c>
      <c r="K1524" s="6">
        <v>13.7109210978878</v>
      </c>
      <c r="L1524" s="6">
        <v>14.2827986190656</v>
      </c>
      <c r="M1524" s="6">
        <v>13.0358609828301</v>
      </c>
      <c r="N1524" s="6">
        <v>14.800344594695201</v>
      </c>
      <c r="O1524" s="6">
        <v>13.949473835274</v>
      </c>
      <c r="P1524" s="6">
        <v>13.4821482661629</v>
      </c>
      <c r="Q1524" s="6">
        <v>12.8935090929943</v>
      </c>
    </row>
    <row r="1525" spans="1:17">
      <c r="A1525" s="6" t="s">
        <v>10675</v>
      </c>
      <c r="B1525" s="6" t="s">
        <v>10676</v>
      </c>
      <c r="C1525" s="6" t="s">
        <v>10677</v>
      </c>
      <c r="D1525" s="6" t="s">
        <v>10678</v>
      </c>
      <c r="E1525" s="6" t="s">
        <v>10679</v>
      </c>
      <c r="F1525" s="6">
        <v>14.277422581572701</v>
      </c>
      <c r="G1525" s="6">
        <v>13.6115679036413</v>
      </c>
      <c r="H1525" s="6">
        <v>13.523149220712099</v>
      </c>
      <c r="I1525" s="6">
        <v>14.449160143532101</v>
      </c>
      <c r="J1525" s="6">
        <v>13.339788198940401</v>
      </c>
      <c r="K1525" s="6">
        <v>13.8224602938453</v>
      </c>
      <c r="L1525" s="6">
        <v>14.531395370897499</v>
      </c>
      <c r="M1525" s="6">
        <v>13.4939901362992</v>
      </c>
      <c r="N1525" s="6">
        <v>13.1996403214622</v>
      </c>
      <c r="O1525" s="6">
        <v>14.075592248067499</v>
      </c>
      <c r="P1525" s="6">
        <v>14.260820201155999</v>
      </c>
      <c r="Q1525" s="6">
        <v>12.7395967870077</v>
      </c>
    </row>
    <row r="1526" spans="1:17">
      <c r="A1526" s="6" t="s">
        <v>2145</v>
      </c>
      <c r="B1526" s="6" t="s">
        <v>2145</v>
      </c>
      <c r="C1526" s="6" t="s">
        <v>10680</v>
      </c>
      <c r="D1526" s="6" t="s">
        <v>10681</v>
      </c>
      <c r="E1526" s="6" t="s">
        <v>10681</v>
      </c>
      <c r="F1526" s="6">
        <v>13.914522194930299</v>
      </c>
      <c r="G1526" s="6">
        <v>13.0140892115918</v>
      </c>
      <c r="H1526" s="6" t="s">
        <v>6254</v>
      </c>
      <c r="I1526" s="6">
        <v>14.479869637419799</v>
      </c>
      <c r="J1526" s="6" t="s">
        <v>6254</v>
      </c>
      <c r="K1526" s="6" t="s">
        <v>6254</v>
      </c>
      <c r="L1526" s="6">
        <v>14.016884391277999</v>
      </c>
      <c r="M1526" s="6" t="s">
        <v>6254</v>
      </c>
      <c r="N1526" s="6">
        <v>14.1107056014595</v>
      </c>
      <c r="O1526" s="6">
        <v>14.0904005826758</v>
      </c>
      <c r="P1526" s="6">
        <v>14.1200697991419</v>
      </c>
      <c r="Q1526" s="6" t="s">
        <v>6254</v>
      </c>
    </row>
    <row r="1527" spans="1:17">
      <c r="A1527" s="6" t="s">
        <v>10682</v>
      </c>
      <c r="B1527" s="6" t="s">
        <v>10682</v>
      </c>
      <c r="C1527" s="6" t="s">
        <v>10682</v>
      </c>
      <c r="D1527" s="6" t="s">
        <v>10682</v>
      </c>
      <c r="E1527" s="6" t="s">
        <v>10682</v>
      </c>
      <c r="F1527" s="6" t="s">
        <v>6254</v>
      </c>
      <c r="G1527" s="6" t="s">
        <v>6254</v>
      </c>
      <c r="H1527" s="6" t="s">
        <v>6254</v>
      </c>
      <c r="I1527" s="6">
        <v>13.8765732660504</v>
      </c>
      <c r="J1527" s="6" t="s">
        <v>6254</v>
      </c>
      <c r="K1527" s="6" t="s">
        <v>6254</v>
      </c>
      <c r="L1527" s="6" t="s">
        <v>6254</v>
      </c>
      <c r="M1527" s="6" t="s">
        <v>6254</v>
      </c>
      <c r="N1527" s="6" t="s">
        <v>6254</v>
      </c>
      <c r="O1527" s="6" t="s">
        <v>6254</v>
      </c>
      <c r="P1527" s="6" t="s">
        <v>6254</v>
      </c>
      <c r="Q1527" s="6" t="s">
        <v>6254</v>
      </c>
    </row>
    <row r="1528" spans="1:17">
      <c r="A1528" s="6" t="s">
        <v>10683</v>
      </c>
      <c r="B1528" s="6" t="s">
        <v>10684</v>
      </c>
      <c r="C1528" s="6" t="s">
        <v>10685</v>
      </c>
      <c r="D1528" s="6" t="s">
        <v>10686</v>
      </c>
      <c r="E1528" s="6" t="s">
        <v>10687</v>
      </c>
      <c r="F1528" s="6">
        <v>14.6304371146735</v>
      </c>
      <c r="G1528" s="6">
        <v>13.067256189523199</v>
      </c>
      <c r="H1528" s="6">
        <v>12.696057529981299</v>
      </c>
      <c r="I1528" s="6">
        <v>14.454185734502801</v>
      </c>
      <c r="J1528" s="6" t="s">
        <v>6254</v>
      </c>
      <c r="K1528" s="6" t="s">
        <v>6254</v>
      </c>
      <c r="L1528" s="6">
        <v>13.985386433714501</v>
      </c>
      <c r="M1528" s="6" t="s">
        <v>6254</v>
      </c>
      <c r="N1528" s="6">
        <v>13.681338169302901</v>
      </c>
      <c r="O1528" s="6">
        <v>13.7580659891055</v>
      </c>
      <c r="P1528" s="6">
        <v>14.118172128996299</v>
      </c>
      <c r="Q1528" s="6" t="s">
        <v>6254</v>
      </c>
    </row>
    <row r="1529" spans="1:17">
      <c r="A1529" s="6" t="s">
        <v>2743</v>
      </c>
      <c r="B1529" s="6" t="s">
        <v>2743</v>
      </c>
      <c r="C1529" s="6" t="s">
        <v>10688</v>
      </c>
      <c r="D1529" s="6" t="s">
        <v>10689</v>
      </c>
      <c r="E1529" s="6" t="s">
        <v>10689</v>
      </c>
      <c r="F1529" s="6">
        <v>14.1310729534875</v>
      </c>
      <c r="G1529" s="6">
        <v>13.6869954029093</v>
      </c>
      <c r="H1529" s="6">
        <v>13.937059543154501</v>
      </c>
      <c r="I1529" s="6">
        <v>14.5796182378895</v>
      </c>
      <c r="J1529" s="6">
        <v>12.3944874958881</v>
      </c>
      <c r="K1529" s="6">
        <v>13.706283449728399</v>
      </c>
      <c r="L1529" s="6">
        <v>14.15483039762</v>
      </c>
      <c r="M1529" s="6">
        <v>13.0738926735192</v>
      </c>
      <c r="N1529" s="6">
        <v>14.066174405726199</v>
      </c>
      <c r="O1529" s="6">
        <v>13.9179943434184</v>
      </c>
      <c r="P1529" s="6">
        <v>13.927033684371899</v>
      </c>
      <c r="Q1529" s="6" t="s">
        <v>6254</v>
      </c>
    </row>
    <row r="1530" spans="1:17">
      <c r="A1530" s="6" t="s">
        <v>10690</v>
      </c>
      <c r="B1530" s="6" t="s">
        <v>10691</v>
      </c>
      <c r="C1530" s="6" t="s">
        <v>10692</v>
      </c>
      <c r="D1530" s="6" t="s">
        <v>10693</v>
      </c>
      <c r="E1530" s="6" t="s">
        <v>10694</v>
      </c>
      <c r="F1530" s="6">
        <v>13.595060094751201</v>
      </c>
      <c r="G1530" s="6">
        <v>12.7057318363261</v>
      </c>
      <c r="H1530" s="6" t="s">
        <v>6254</v>
      </c>
      <c r="I1530" s="6">
        <v>15.0190981865788</v>
      </c>
      <c r="J1530" s="6">
        <v>14.062225828733601</v>
      </c>
      <c r="K1530" s="6">
        <v>13.3478374751234</v>
      </c>
      <c r="L1530" s="6">
        <v>14.3051107994561</v>
      </c>
      <c r="M1530" s="6" t="s">
        <v>6254</v>
      </c>
      <c r="N1530" s="6" t="s">
        <v>6254</v>
      </c>
      <c r="O1530" s="6" t="s">
        <v>6254</v>
      </c>
      <c r="P1530" s="6">
        <v>14.250873417591199</v>
      </c>
      <c r="Q1530" s="6" t="s">
        <v>6254</v>
      </c>
    </row>
    <row r="1531" spans="1:17">
      <c r="A1531" s="6" t="s">
        <v>3348</v>
      </c>
      <c r="B1531" s="6" t="s">
        <v>3348</v>
      </c>
      <c r="C1531" s="6" t="s">
        <v>10695</v>
      </c>
      <c r="D1531" s="6" t="s">
        <v>10696</v>
      </c>
      <c r="E1531" s="6" t="s">
        <v>10696</v>
      </c>
      <c r="F1531" s="6">
        <v>13.7455980821358</v>
      </c>
      <c r="G1531" s="6">
        <v>13.626374891733199</v>
      </c>
      <c r="H1531" s="6">
        <v>13.653021252891399</v>
      </c>
      <c r="I1531" s="6">
        <v>14.433712730834401</v>
      </c>
      <c r="J1531" s="6">
        <v>12.8999918001187</v>
      </c>
      <c r="K1531" s="6">
        <v>13.833872332170101</v>
      </c>
      <c r="L1531" s="6">
        <v>13.9778016412657</v>
      </c>
      <c r="M1531" s="6" t="s">
        <v>6254</v>
      </c>
      <c r="N1531" s="6">
        <v>13.689314961259001</v>
      </c>
      <c r="O1531" s="6">
        <v>14.001939793739901</v>
      </c>
      <c r="P1531" s="6">
        <v>13.692906287708301</v>
      </c>
      <c r="Q1531" s="6" t="s">
        <v>6254</v>
      </c>
    </row>
    <row r="1532" spans="1:17">
      <c r="A1532" s="6" t="s">
        <v>1898</v>
      </c>
      <c r="B1532" s="6" t="s">
        <v>1900</v>
      </c>
      <c r="C1532" s="6" t="s">
        <v>10697</v>
      </c>
      <c r="D1532" s="6" t="s">
        <v>10698</v>
      </c>
      <c r="E1532" s="6" t="s">
        <v>10699</v>
      </c>
      <c r="F1532" s="6">
        <v>14.1945821433814</v>
      </c>
      <c r="G1532" s="6">
        <v>13.8738815571696</v>
      </c>
      <c r="H1532" s="6">
        <v>13.844987879336999</v>
      </c>
      <c r="I1532" s="6">
        <v>14.475470866014501</v>
      </c>
      <c r="J1532" s="6">
        <v>13.198700485719</v>
      </c>
      <c r="K1532" s="6">
        <v>13.9069657660479</v>
      </c>
      <c r="L1532" s="6">
        <v>14.3173916606702</v>
      </c>
      <c r="M1532" s="6">
        <v>13.1129334760384</v>
      </c>
      <c r="N1532" s="6">
        <v>13.0654029553331</v>
      </c>
      <c r="O1532" s="6">
        <v>13.992786895614501</v>
      </c>
      <c r="P1532" s="6">
        <v>14.1200095885298</v>
      </c>
      <c r="Q1532" s="6">
        <v>12.8740152098704</v>
      </c>
    </row>
    <row r="1533" spans="1:17">
      <c r="A1533" s="6" t="s">
        <v>4208</v>
      </c>
      <c r="B1533" s="6" t="s">
        <v>4208</v>
      </c>
      <c r="C1533" s="6" t="s">
        <v>10700</v>
      </c>
      <c r="D1533" s="6" t="s">
        <v>10701</v>
      </c>
      <c r="E1533" s="6" t="s">
        <v>10701</v>
      </c>
      <c r="F1533" s="6">
        <v>14.2634698803638</v>
      </c>
      <c r="G1533" s="6" t="s">
        <v>6254</v>
      </c>
      <c r="H1533" s="6" t="s">
        <v>6254</v>
      </c>
      <c r="I1533" s="6">
        <v>14.694670540892099</v>
      </c>
      <c r="J1533" s="6" t="s">
        <v>6254</v>
      </c>
      <c r="K1533" s="6">
        <v>13.911786994057101</v>
      </c>
      <c r="L1533" s="6">
        <v>14.4229714735468</v>
      </c>
      <c r="M1533" s="6" t="s">
        <v>6254</v>
      </c>
      <c r="N1533" s="6" t="s">
        <v>6254</v>
      </c>
      <c r="O1533" s="6">
        <v>14.1202284587111</v>
      </c>
      <c r="P1533" s="6">
        <v>13.9198033056461</v>
      </c>
      <c r="Q1533" s="6" t="s">
        <v>6254</v>
      </c>
    </row>
    <row r="1534" spans="1:17">
      <c r="A1534" s="6" t="s">
        <v>10702</v>
      </c>
      <c r="B1534" s="6" t="s">
        <v>2917</v>
      </c>
      <c r="C1534" s="6" t="s">
        <v>10703</v>
      </c>
      <c r="D1534" s="6" t="s">
        <v>10704</v>
      </c>
      <c r="E1534" s="6" t="s">
        <v>10705</v>
      </c>
      <c r="F1534" s="6">
        <v>14.243838515688299</v>
      </c>
      <c r="G1534" s="6" t="s">
        <v>6254</v>
      </c>
      <c r="H1534" s="6">
        <v>13.9446451608232</v>
      </c>
      <c r="I1534" s="6">
        <v>13.9875963502533</v>
      </c>
      <c r="J1534" s="6" t="s">
        <v>6254</v>
      </c>
      <c r="K1534" s="6">
        <v>13.435032691824199</v>
      </c>
      <c r="L1534" s="6">
        <v>14.062450313482399</v>
      </c>
      <c r="M1534" s="6" t="s">
        <v>6254</v>
      </c>
      <c r="N1534" s="6" t="s">
        <v>6254</v>
      </c>
      <c r="O1534" s="6">
        <v>14.3952678856079</v>
      </c>
      <c r="P1534" s="6">
        <v>13.8549186358004</v>
      </c>
      <c r="Q1534" s="6">
        <v>12.621092995343201</v>
      </c>
    </row>
    <row r="1535" spans="1:17">
      <c r="A1535" s="6" t="s">
        <v>3436</v>
      </c>
      <c r="B1535" s="6" t="s">
        <v>3436</v>
      </c>
      <c r="C1535" s="6" t="s">
        <v>10706</v>
      </c>
      <c r="D1535" s="6" t="s">
        <v>10707</v>
      </c>
      <c r="E1535" s="6" t="s">
        <v>10707</v>
      </c>
      <c r="F1535" s="6">
        <v>14.095642288308101</v>
      </c>
      <c r="G1535" s="6">
        <v>13.787800233289101</v>
      </c>
      <c r="H1535" s="6">
        <v>13.9850819780594</v>
      </c>
      <c r="I1535" s="6">
        <v>14.5751656808816</v>
      </c>
      <c r="J1535" s="6">
        <v>13.0168100915291</v>
      </c>
      <c r="K1535" s="6">
        <v>13.913064229334401</v>
      </c>
      <c r="L1535" s="6">
        <v>14.4642611984023</v>
      </c>
      <c r="M1535" s="6">
        <v>12.671470951144901</v>
      </c>
      <c r="N1535" s="6">
        <v>13.077211284859899</v>
      </c>
      <c r="O1535" s="6">
        <v>14.062497151758</v>
      </c>
      <c r="P1535" s="6">
        <v>14.3045905429844</v>
      </c>
      <c r="Q1535" s="6">
        <v>12.4582480069369</v>
      </c>
    </row>
    <row r="1536" spans="1:17">
      <c r="A1536" s="6" t="s">
        <v>10708</v>
      </c>
      <c r="B1536" s="6" t="s">
        <v>10708</v>
      </c>
      <c r="C1536" s="6" t="s">
        <v>10709</v>
      </c>
      <c r="D1536" s="6" t="s">
        <v>10710</v>
      </c>
      <c r="E1536" s="6" t="s">
        <v>10710</v>
      </c>
      <c r="F1536" s="6">
        <v>14.492074620453399</v>
      </c>
      <c r="G1536" s="6">
        <v>13.3473345159437</v>
      </c>
      <c r="H1536" s="6">
        <v>13.7462259639235</v>
      </c>
      <c r="I1536" s="6">
        <v>14.889103974592899</v>
      </c>
      <c r="J1536" s="6">
        <v>13.264807910771999</v>
      </c>
      <c r="K1536" s="6">
        <v>14.391434312499801</v>
      </c>
      <c r="L1536" s="6">
        <v>14.751183087256001</v>
      </c>
      <c r="M1536" s="6">
        <v>13.7281583318366</v>
      </c>
      <c r="N1536" s="6">
        <v>13.633074681925001</v>
      </c>
      <c r="O1536" s="6">
        <v>13.5400206688482</v>
      </c>
      <c r="P1536" s="6">
        <v>13.8041608716032</v>
      </c>
      <c r="Q1536" s="6">
        <v>12.1826958536376</v>
      </c>
    </row>
    <row r="1537" spans="1:17">
      <c r="A1537" s="6" t="s">
        <v>10711</v>
      </c>
      <c r="B1537" s="6" t="s">
        <v>10711</v>
      </c>
      <c r="C1537" s="6" t="s">
        <v>10712</v>
      </c>
      <c r="D1537" s="6" t="s">
        <v>10713</v>
      </c>
      <c r="E1537" s="6" t="s">
        <v>10713</v>
      </c>
      <c r="F1537" s="6">
        <v>13.4031983691485</v>
      </c>
      <c r="G1537" s="6">
        <v>13.4975808545503</v>
      </c>
      <c r="H1537" s="6">
        <v>13.3656502952027</v>
      </c>
      <c r="I1537" s="6">
        <v>14.2140250363476</v>
      </c>
      <c r="J1537" s="6" t="s">
        <v>6254</v>
      </c>
      <c r="K1537" s="6">
        <v>13.452295239902799</v>
      </c>
      <c r="L1537" s="6">
        <v>14.1540531439462</v>
      </c>
      <c r="M1537" s="6" t="s">
        <v>6254</v>
      </c>
      <c r="N1537" s="6" t="s">
        <v>6254</v>
      </c>
      <c r="O1537" s="6">
        <v>13.444295257506599</v>
      </c>
      <c r="P1537" s="6">
        <v>13.672725411348001</v>
      </c>
      <c r="Q1537" s="6" t="s">
        <v>6254</v>
      </c>
    </row>
    <row r="1538" spans="1:17">
      <c r="A1538" s="6" t="s">
        <v>10714</v>
      </c>
      <c r="B1538" s="6" t="s">
        <v>10715</v>
      </c>
      <c r="C1538" s="6" t="s">
        <v>10716</v>
      </c>
      <c r="D1538" s="6" t="s">
        <v>10717</v>
      </c>
      <c r="E1538" s="6" t="s">
        <v>10718</v>
      </c>
      <c r="F1538" s="6" t="s">
        <v>6254</v>
      </c>
      <c r="G1538" s="6" t="s">
        <v>6254</v>
      </c>
      <c r="H1538" s="6" t="s">
        <v>6254</v>
      </c>
      <c r="I1538" s="6">
        <v>14.287364168195101</v>
      </c>
      <c r="J1538" s="6" t="s">
        <v>6254</v>
      </c>
      <c r="K1538" s="6" t="s">
        <v>6254</v>
      </c>
      <c r="L1538" s="6">
        <v>13.9520872366073</v>
      </c>
      <c r="M1538" s="6" t="s">
        <v>6254</v>
      </c>
      <c r="N1538" s="6">
        <v>13.1911502307454</v>
      </c>
      <c r="O1538" s="6" t="s">
        <v>6254</v>
      </c>
      <c r="P1538" s="6">
        <v>14.197578409287701</v>
      </c>
      <c r="Q1538" s="6" t="s">
        <v>6254</v>
      </c>
    </row>
    <row r="1539" spans="1:17">
      <c r="A1539" s="6" t="s">
        <v>10719</v>
      </c>
      <c r="B1539" s="6" t="s">
        <v>10719</v>
      </c>
      <c r="C1539" s="6" t="s">
        <v>10720</v>
      </c>
      <c r="D1539" s="6" t="s">
        <v>10721</v>
      </c>
      <c r="E1539" s="6" t="s">
        <v>10721</v>
      </c>
      <c r="F1539" s="6">
        <v>14.309871354076501</v>
      </c>
      <c r="G1539" s="6" t="s">
        <v>6254</v>
      </c>
      <c r="H1539" s="6">
        <v>13.521798730363599</v>
      </c>
      <c r="I1539" s="6">
        <v>14.434109273501001</v>
      </c>
      <c r="J1539" s="6" t="s">
        <v>6254</v>
      </c>
      <c r="K1539" s="6">
        <v>13.541895110789101</v>
      </c>
      <c r="L1539" s="6">
        <v>14.002046783000999</v>
      </c>
      <c r="M1539" s="6" t="s">
        <v>6254</v>
      </c>
      <c r="N1539" s="6">
        <v>13.8774393993749</v>
      </c>
      <c r="O1539" s="6">
        <v>13.148411594847801</v>
      </c>
      <c r="P1539" s="6" t="s">
        <v>6254</v>
      </c>
      <c r="Q1539" s="6" t="s">
        <v>6254</v>
      </c>
    </row>
    <row r="1540" spans="1:17">
      <c r="A1540" s="6" t="s">
        <v>3008</v>
      </c>
      <c r="B1540" s="6" t="s">
        <v>3008</v>
      </c>
      <c r="C1540" s="6" t="s">
        <v>10722</v>
      </c>
      <c r="D1540" s="6" t="s">
        <v>10723</v>
      </c>
      <c r="E1540" s="6" t="s">
        <v>10723</v>
      </c>
      <c r="F1540" s="6">
        <v>12.7178167691124</v>
      </c>
      <c r="G1540" s="6">
        <v>13.842382013958201</v>
      </c>
      <c r="H1540" s="6">
        <v>13.4365629893461</v>
      </c>
      <c r="I1540" s="6">
        <v>14.4257692340485</v>
      </c>
      <c r="J1540" s="6" t="s">
        <v>6254</v>
      </c>
      <c r="K1540" s="6">
        <v>14.063008486381101</v>
      </c>
      <c r="L1540" s="6">
        <v>14.300652570252399</v>
      </c>
      <c r="M1540" s="6" t="s">
        <v>6254</v>
      </c>
      <c r="N1540" s="6">
        <v>13.2419543926885</v>
      </c>
      <c r="O1540" s="6">
        <v>14.027575089331901</v>
      </c>
      <c r="P1540" s="6">
        <v>14.1884996987657</v>
      </c>
      <c r="Q1540" s="6">
        <v>13.0872805074189</v>
      </c>
    </row>
    <row r="1541" spans="1:17">
      <c r="A1541" s="6" t="s">
        <v>10724</v>
      </c>
      <c r="B1541" s="6" t="s">
        <v>10724</v>
      </c>
      <c r="C1541" s="6" t="s">
        <v>10725</v>
      </c>
      <c r="D1541" s="6" t="s">
        <v>10726</v>
      </c>
      <c r="E1541" s="6" t="s">
        <v>10726</v>
      </c>
      <c r="F1541" s="6">
        <v>14.5300716977296</v>
      </c>
      <c r="G1541" s="6">
        <v>13.889320045037801</v>
      </c>
      <c r="H1541" s="6">
        <v>13.6137474616301</v>
      </c>
      <c r="I1541" s="6">
        <v>14.3126775462627</v>
      </c>
      <c r="J1541" s="6">
        <v>13.0830197726445</v>
      </c>
      <c r="K1541" s="6">
        <v>13.646259293929299</v>
      </c>
      <c r="L1541" s="6">
        <v>14.267294114877201</v>
      </c>
      <c r="M1541" s="6" t="s">
        <v>6254</v>
      </c>
      <c r="N1541" s="6" t="s">
        <v>6254</v>
      </c>
      <c r="O1541" s="6">
        <v>13.7454726037701</v>
      </c>
      <c r="P1541" s="6">
        <v>13.720231503728501</v>
      </c>
      <c r="Q1541" s="6">
        <v>12.5740416363868</v>
      </c>
    </row>
    <row r="1542" spans="1:17">
      <c r="A1542" s="6" t="s">
        <v>508</v>
      </c>
      <c r="B1542" s="6" t="s">
        <v>508</v>
      </c>
      <c r="C1542" s="6" t="s">
        <v>10727</v>
      </c>
      <c r="D1542" s="6" t="s">
        <v>10728</v>
      </c>
      <c r="E1542" s="6" t="s">
        <v>10728</v>
      </c>
      <c r="F1542" s="6">
        <v>14.3437603345656</v>
      </c>
      <c r="G1542" s="6">
        <v>13.5987963806915</v>
      </c>
      <c r="H1542" s="6">
        <v>13.947257060827299</v>
      </c>
      <c r="I1542" s="6">
        <v>14.377149914788999</v>
      </c>
      <c r="J1542" s="6">
        <v>12.9715648056617</v>
      </c>
      <c r="K1542" s="6">
        <v>13.4031137823753</v>
      </c>
      <c r="L1542" s="6">
        <v>14.388240158895201</v>
      </c>
      <c r="M1542" s="6">
        <v>12.867635967502199</v>
      </c>
      <c r="N1542" s="6">
        <v>14.119267793300001</v>
      </c>
      <c r="O1542" s="6">
        <v>14.1669979928038</v>
      </c>
      <c r="P1542" s="6">
        <v>14.1134363991131</v>
      </c>
      <c r="Q1542" s="6">
        <v>12.2378526405346</v>
      </c>
    </row>
    <row r="1543" spans="1:17">
      <c r="A1543" s="6" t="s">
        <v>2624</v>
      </c>
      <c r="B1543" s="6" t="s">
        <v>2624</v>
      </c>
      <c r="C1543" s="6" t="s">
        <v>10729</v>
      </c>
      <c r="D1543" s="6" t="s">
        <v>10730</v>
      </c>
      <c r="E1543" s="6" t="s">
        <v>10730</v>
      </c>
      <c r="F1543" s="6">
        <v>14.4715121935313</v>
      </c>
      <c r="G1543" s="6">
        <v>13.420446287165399</v>
      </c>
      <c r="H1543" s="6">
        <v>14.1562802204259</v>
      </c>
      <c r="I1543" s="6">
        <v>14.1400209175581</v>
      </c>
      <c r="J1543" s="6" t="s">
        <v>6254</v>
      </c>
      <c r="K1543" s="6">
        <v>13.334498318845499</v>
      </c>
      <c r="L1543" s="6">
        <v>14.5833111499423</v>
      </c>
      <c r="M1543" s="6" t="s">
        <v>6254</v>
      </c>
      <c r="N1543" s="6">
        <v>13.9229433365755</v>
      </c>
      <c r="O1543" s="6">
        <v>14.4200477412819</v>
      </c>
      <c r="P1543" s="6">
        <v>14.042235001214401</v>
      </c>
      <c r="Q1543" s="6">
        <v>12.7494102222871</v>
      </c>
    </row>
    <row r="1544" spans="1:17">
      <c r="A1544" s="6" t="s">
        <v>2945</v>
      </c>
      <c r="B1544" s="6" t="s">
        <v>2945</v>
      </c>
      <c r="C1544" s="6" t="s">
        <v>10731</v>
      </c>
      <c r="D1544" s="6" t="s">
        <v>10732</v>
      </c>
      <c r="E1544" s="6" t="s">
        <v>10732</v>
      </c>
      <c r="F1544" s="6">
        <v>14.445441020257601</v>
      </c>
      <c r="G1544" s="6">
        <v>13.730807782961801</v>
      </c>
      <c r="H1544" s="6">
        <v>13.5770077747471</v>
      </c>
      <c r="I1544" s="6">
        <v>14.399756951312501</v>
      </c>
      <c r="J1544" s="6">
        <v>13.0482980094887</v>
      </c>
      <c r="K1544" s="6">
        <v>13.626303825775</v>
      </c>
      <c r="L1544" s="6">
        <v>14.2834561073196</v>
      </c>
      <c r="M1544" s="6" t="s">
        <v>6254</v>
      </c>
      <c r="N1544" s="6">
        <v>14.0072612481411</v>
      </c>
      <c r="O1544" s="6">
        <v>13.5723777308751</v>
      </c>
      <c r="P1544" s="6">
        <v>13.111630882973801</v>
      </c>
      <c r="Q1544" s="6" t="s">
        <v>6254</v>
      </c>
    </row>
    <row r="1545" spans="1:17">
      <c r="A1545" s="6" t="s">
        <v>10733</v>
      </c>
      <c r="B1545" s="6" t="s">
        <v>10734</v>
      </c>
      <c r="C1545" s="6" t="s">
        <v>10735</v>
      </c>
      <c r="D1545" s="6" t="s">
        <v>10736</v>
      </c>
      <c r="E1545" s="6" t="s">
        <v>10737</v>
      </c>
      <c r="F1545" s="6">
        <v>14.4152928140571</v>
      </c>
      <c r="G1545" s="6">
        <v>13.635225401253701</v>
      </c>
      <c r="H1545" s="6">
        <v>13.8466426923599</v>
      </c>
      <c r="I1545" s="6">
        <v>14.5534831873131</v>
      </c>
      <c r="J1545" s="6">
        <v>13.095053238842601</v>
      </c>
      <c r="K1545" s="6">
        <v>13.667822582885901</v>
      </c>
      <c r="L1545" s="6">
        <v>14.227290600132401</v>
      </c>
      <c r="M1545" s="6">
        <v>12.954680607058799</v>
      </c>
      <c r="N1545" s="6">
        <v>14.019704870090001</v>
      </c>
      <c r="O1545" s="6">
        <v>14.035613944303201</v>
      </c>
      <c r="P1545" s="6">
        <v>14.215349144411199</v>
      </c>
      <c r="Q1545" s="6">
        <v>12.5323861384491</v>
      </c>
    </row>
    <row r="1546" spans="1:17">
      <c r="A1546" s="6" t="s">
        <v>5296</v>
      </c>
      <c r="B1546" s="6" t="s">
        <v>5296</v>
      </c>
      <c r="C1546" s="6" t="s">
        <v>10738</v>
      </c>
      <c r="D1546" s="6" t="s">
        <v>10739</v>
      </c>
      <c r="E1546" s="6" t="s">
        <v>10739</v>
      </c>
      <c r="F1546" s="6">
        <v>14.826733510943701</v>
      </c>
      <c r="G1546" s="6">
        <v>13.4015202637722</v>
      </c>
      <c r="H1546" s="6">
        <v>13.419981463894899</v>
      </c>
      <c r="I1546" s="6">
        <v>14.346467938655101</v>
      </c>
      <c r="J1546" s="6" t="s">
        <v>6254</v>
      </c>
      <c r="K1546" s="6">
        <v>13.6643732888818</v>
      </c>
      <c r="L1546" s="6" t="s">
        <v>6254</v>
      </c>
      <c r="M1546" s="6">
        <v>12.819562863922201</v>
      </c>
      <c r="N1546" s="6">
        <v>12.6058471065802</v>
      </c>
      <c r="O1546" s="6">
        <v>13.6158397770148</v>
      </c>
      <c r="P1546" s="6">
        <v>14.242878890064199</v>
      </c>
      <c r="Q1546" s="6" t="s">
        <v>6254</v>
      </c>
    </row>
    <row r="1547" spans="1:17">
      <c r="A1547" s="6" t="s">
        <v>10740</v>
      </c>
      <c r="B1547" s="6" t="s">
        <v>10741</v>
      </c>
      <c r="C1547" s="6" t="s">
        <v>10742</v>
      </c>
      <c r="D1547" s="6" t="s">
        <v>10743</v>
      </c>
      <c r="E1547" s="6" t="s">
        <v>10744</v>
      </c>
      <c r="F1547" s="6" t="s">
        <v>6254</v>
      </c>
      <c r="G1547" s="6" t="s">
        <v>6254</v>
      </c>
      <c r="H1547" s="6">
        <v>13.3698545908518</v>
      </c>
      <c r="I1547" s="6" t="s">
        <v>6254</v>
      </c>
      <c r="J1547" s="6">
        <v>13.2911557093499</v>
      </c>
      <c r="K1547" s="6" t="s">
        <v>6254</v>
      </c>
      <c r="L1547" s="6">
        <v>13.098062355191701</v>
      </c>
      <c r="M1547" s="6">
        <v>13.1827642449019</v>
      </c>
      <c r="N1547" s="6" t="s">
        <v>6254</v>
      </c>
      <c r="O1547" s="6" t="s">
        <v>6254</v>
      </c>
      <c r="P1547" s="6" t="s">
        <v>6254</v>
      </c>
      <c r="Q1547" s="6">
        <v>13.881325720373299</v>
      </c>
    </row>
    <row r="1548" spans="1:17">
      <c r="A1548" s="6" t="s">
        <v>10745</v>
      </c>
      <c r="B1548" s="6" t="s">
        <v>10745</v>
      </c>
      <c r="C1548" s="6" t="s">
        <v>10746</v>
      </c>
      <c r="D1548" s="6" t="s">
        <v>10747</v>
      </c>
      <c r="E1548" s="6" t="s">
        <v>10747</v>
      </c>
      <c r="F1548" s="6">
        <v>14.177633736211201</v>
      </c>
      <c r="G1548" s="6">
        <v>13.5001962253407</v>
      </c>
      <c r="H1548" s="6">
        <v>13.4838277647528</v>
      </c>
      <c r="I1548" s="6">
        <v>14.1241636893768</v>
      </c>
      <c r="J1548" s="6" t="s">
        <v>6254</v>
      </c>
      <c r="K1548" s="6">
        <v>13.9143428137416</v>
      </c>
      <c r="L1548" s="6">
        <v>14.7945367534313</v>
      </c>
      <c r="M1548" s="6">
        <v>13.089466914113601</v>
      </c>
      <c r="N1548" s="6">
        <v>13.881501177952</v>
      </c>
      <c r="O1548" s="6">
        <v>14.2558318631107</v>
      </c>
      <c r="P1548" s="6">
        <v>14.055656023769499</v>
      </c>
      <c r="Q1548" s="6">
        <v>12.246437935159101</v>
      </c>
    </row>
    <row r="1549" spans="1:17">
      <c r="A1549" s="6" t="s">
        <v>4515</v>
      </c>
      <c r="B1549" s="6" t="s">
        <v>4515</v>
      </c>
      <c r="C1549" s="6" t="s">
        <v>10748</v>
      </c>
      <c r="D1549" s="6" t="s">
        <v>10749</v>
      </c>
      <c r="E1549" s="6" t="s">
        <v>10749</v>
      </c>
      <c r="F1549" s="6">
        <v>14.2118005126448</v>
      </c>
      <c r="G1549" s="6">
        <v>13.986643801166499</v>
      </c>
      <c r="H1549" s="6">
        <v>14.065668250126899</v>
      </c>
      <c r="I1549" s="6">
        <v>14.5416334287958</v>
      </c>
      <c r="J1549" s="6">
        <v>12.9924245351878</v>
      </c>
      <c r="K1549" s="6">
        <v>13.459380757932101</v>
      </c>
      <c r="L1549" s="6">
        <v>14.4457590330423</v>
      </c>
      <c r="M1549" s="6">
        <v>12.6408861338163</v>
      </c>
      <c r="N1549" s="6">
        <v>14.340733455850501</v>
      </c>
      <c r="O1549" s="6">
        <v>14.275876457862401</v>
      </c>
      <c r="P1549" s="6">
        <v>13.791553386171101</v>
      </c>
      <c r="Q1549" s="6">
        <v>11.9832264452356</v>
      </c>
    </row>
    <row r="1550" spans="1:17">
      <c r="A1550" s="6" t="s">
        <v>2342</v>
      </c>
      <c r="B1550" s="6" t="s">
        <v>2342</v>
      </c>
      <c r="C1550" s="6" t="s">
        <v>10750</v>
      </c>
      <c r="D1550" s="6" t="s">
        <v>10751</v>
      </c>
      <c r="E1550" s="6" t="s">
        <v>10751</v>
      </c>
      <c r="F1550" s="6">
        <v>13.9883324692945</v>
      </c>
      <c r="G1550" s="6">
        <v>13.535961328976001</v>
      </c>
      <c r="H1550" s="6">
        <v>13.968124243304199</v>
      </c>
      <c r="I1550" s="6">
        <v>14.4481591431501</v>
      </c>
      <c r="J1550" s="6">
        <v>13.359047412849099</v>
      </c>
      <c r="K1550" s="6">
        <v>13.9731288736614</v>
      </c>
      <c r="L1550" s="6">
        <v>14.0928181222458</v>
      </c>
      <c r="M1550" s="6">
        <v>13.1598926760343</v>
      </c>
      <c r="N1550" s="6">
        <v>13.124372948009899</v>
      </c>
      <c r="O1550" s="6">
        <v>14.307795493185299</v>
      </c>
      <c r="P1550" s="6">
        <v>14.4217574813137</v>
      </c>
      <c r="Q1550" s="6">
        <v>12.187020967618601</v>
      </c>
    </row>
    <row r="1551" spans="1:17">
      <c r="A1551" s="6" t="s">
        <v>2405</v>
      </c>
      <c r="B1551" s="6" t="s">
        <v>2405</v>
      </c>
      <c r="C1551" s="6" t="s">
        <v>10752</v>
      </c>
      <c r="D1551" s="6" t="s">
        <v>10753</v>
      </c>
      <c r="E1551" s="6" t="s">
        <v>10753</v>
      </c>
      <c r="F1551" s="6">
        <v>14.167707469985601</v>
      </c>
      <c r="G1551" s="6">
        <v>13.6588505929217</v>
      </c>
      <c r="H1551" s="6">
        <v>13.783922010955701</v>
      </c>
      <c r="I1551" s="6">
        <v>14.328314329831199</v>
      </c>
      <c r="J1551" s="6">
        <v>13.1419071666233</v>
      </c>
      <c r="K1551" s="6">
        <v>13.510158031554599</v>
      </c>
      <c r="L1551" s="6">
        <v>14.4479387459041</v>
      </c>
      <c r="M1551" s="6">
        <v>12.932534705016501</v>
      </c>
      <c r="N1551" s="6">
        <v>13.950947130221399</v>
      </c>
      <c r="O1551" s="6">
        <v>14.0559016441435</v>
      </c>
      <c r="P1551" s="6">
        <v>13.700006300373399</v>
      </c>
      <c r="Q1551" s="6" t="s">
        <v>6254</v>
      </c>
    </row>
    <row r="1552" spans="1:17">
      <c r="A1552" s="6" t="s">
        <v>10754</v>
      </c>
      <c r="B1552" s="6" t="s">
        <v>10754</v>
      </c>
      <c r="C1552" s="6" t="s">
        <v>10755</v>
      </c>
      <c r="D1552" s="6" t="s">
        <v>10756</v>
      </c>
      <c r="E1552" s="6" t="s">
        <v>10756</v>
      </c>
      <c r="F1552" s="6">
        <v>15.644380786731899</v>
      </c>
      <c r="G1552" s="6">
        <v>14.953191109734201</v>
      </c>
      <c r="H1552" s="6">
        <v>13.725138649544901</v>
      </c>
      <c r="I1552" s="6">
        <v>14.148360221139701</v>
      </c>
      <c r="J1552" s="6">
        <v>14.1463421299565</v>
      </c>
      <c r="K1552" s="6">
        <v>12.8365588298518</v>
      </c>
      <c r="L1552" s="6">
        <v>13.371323789221499</v>
      </c>
      <c r="M1552" s="6">
        <v>14.3216402399557</v>
      </c>
      <c r="N1552" s="6">
        <v>14.589344912232299</v>
      </c>
      <c r="O1552" s="6">
        <v>13.659911141185299</v>
      </c>
      <c r="P1552" s="6">
        <v>15.122951310527</v>
      </c>
      <c r="Q1552" s="6">
        <v>11.774937312245401</v>
      </c>
    </row>
    <row r="1553" spans="1:17">
      <c r="A1553" s="6" t="s">
        <v>1521</v>
      </c>
      <c r="B1553" s="6" t="s">
        <v>1521</v>
      </c>
      <c r="C1553" s="6" t="s">
        <v>10757</v>
      </c>
      <c r="D1553" s="6" t="s">
        <v>10758</v>
      </c>
      <c r="E1553" s="6" t="s">
        <v>10758</v>
      </c>
      <c r="F1553" s="6">
        <v>13.7336037532885</v>
      </c>
      <c r="G1553" s="6">
        <v>14.496821217844699</v>
      </c>
      <c r="H1553" s="6">
        <v>12.7646754853911</v>
      </c>
      <c r="I1553" s="6">
        <v>14.241779876250099</v>
      </c>
      <c r="J1553" s="6">
        <v>13.104189977951799</v>
      </c>
      <c r="K1553" s="6">
        <v>14.5483650172535</v>
      </c>
      <c r="L1553" s="6">
        <v>14.4327317555855</v>
      </c>
      <c r="M1553" s="6">
        <v>12.234983475850999</v>
      </c>
      <c r="N1553" s="6">
        <v>14.8131195792641</v>
      </c>
      <c r="O1553" s="6">
        <v>14.422835230110801</v>
      </c>
      <c r="P1553" s="6">
        <v>13.8869979059538</v>
      </c>
      <c r="Q1553" s="6">
        <v>12.8210047529841</v>
      </c>
    </row>
    <row r="1554" spans="1:17">
      <c r="A1554" s="6" t="s">
        <v>10759</v>
      </c>
      <c r="B1554" s="6" t="s">
        <v>5064</v>
      </c>
      <c r="C1554" s="6" t="s">
        <v>10760</v>
      </c>
      <c r="D1554" s="6" t="s">
        <v>10761</v>
      </c>
      <c r="E1554" s="6" t="s">
        <v>10762</v>
      </c>
      <c r="F1554" s="6">
        <v>11.2993228623761</v>
      </c>
      <c r="G1554" s="6">
        <v>11.2344223551616</v>
      </c>
      <c r="H1554" s="6">
        <v>16.405091176372601</v>
      </c>
      <c r="I1554" s="6">
        <v>16.0557449629917</v>
      </c>
      <c r="J1554" s="6" t="s">
        <v>6254</v>
      </c>
      <c r="K1554" s="6">
        <v>15.4069331887709</v>
      </c>
      <c r="L1554" s="6">
        <v>16.104998871777099</v>
      </c>
      <c r="M1554" s="6">
        <v>12.032593964490299</v>
      </c>
      <c r="N1554" s="6">
        <v>16.1053945081423</v>
      </c>
      <c r="O1554" s="6">
        <v>13.101431741708099</v>
      </c>
      <c r="P1554" s="6">
        <v>13.6633754662616</v>
      </c>
      <c r="Q1554" s="6" t="s">
        <v>6254</v>
      </c>
    </row>
    <row r="1555" spans="1:17">
      <c r="A1555" s="6" t="s">
        <v>2096</v>
      </c>
      <c r="B1555" s="6" t="s">
        <v>2096</v>
      </c>
      <c r="C1555" s="6" t="s">
        <v>10763</v>
      </c>
      <c r="D1555" s="6" t="s">
        <v>10764</v>
      </c>
      <c r="E1555" s="6" t="s">
        <v>10764</v>
      </c>
      <c r="F1555" s="6">
        <v>14.200307292196101</v>
      </c>
      <c r="G1555" s="6">
        <v>13.3276154260205</v>
      </c>
      <c r="H1555" s="6">
        <v>13.901294646058499</v>
      </c>
      <c r="I1555" s="6">
        <v>14.764728874244801</v>
      </c>
      <c r="J1555" s="6">
        <v>12.6723325239492</v>
      </c>
      <c r="K1555" s="6">
        <v>13.196116777926299</v>
      </c>
      <c r="L1555" s="6">
        <v>14.4117668657236</v>
      </c>
      <c r="M1555" s="6">
        <v>12.823877864019201</v>
      </c>
      <c r="N1555" s="6">
        <v>13.597991730415099</v>
      </c>
      <c r="O1555" s="6">
        <v>14.307071497356601</v>
      </c>
      <c r="P1555" s="6">
        <v>13.816235591911701</v>
      </c>
      <c r="Q1555" s="6">
        <v>12.181775394422999</v>
      </c>
    </row>
    <row r="1556" spans="1:17">
      <c r="A1556" s="6" t="s">
        <v>2049</v>
      </c>
      <c r="B1556" s="6" t="s">
        <v>2049</v>
      </c>
      <c r="C1556" s="6" t="s">
        <v>10765</v>
      </c>
      <c r="D1556" s="6" t="s">
        <v>10766</v>
      </c>
      <c r="E1556" s="6" t="s">
        <v>10766</v>
      </c>
      <c r="F1556" s="6">
        <v>14.4700752116449</v>
      </c>
      <c r="G1556" s="6">
        <v>13.682379673224601</v>
      </c>
      <c r="H1556" s="6">
        <v>13.6142170229831</v>
      </c>
      <c r="I1556" s="6">
        <v>14.809308381663</v>
      </c>
      <c r="J1556" s="6">
        <v>13.2087154517692</v>
      </c>
      <c r="K1556" s="6">
        <v>13.910217934776</v>
      </c>
      <c r="L1556" s="6">
        <v>14.274407920578</v>
      </c>
      <c r="M1556" s="6">
        <v>13.12582108392</v>
      </c>
      <c r="N1556" s="6">
        <v>12.9928390669437</v>
      </c>
      <c r="O1556" s="6">
        <v>14.381044862568601</v>
      </c>
      <c r="P1556" s="6">
        <v>14.520457669062999</v>
      </c>
      <c r="Q1556" s="6">
        <v>12.5396395396576</v>
      </c>
    </row>
    <row r="1557" spans="1:17">
      <c r="A1557" s="6" t="s">
        <v>10767</v>
      </c>
      <c r="B1557" s="6" t="s">
        <v>10767</v>
      </c>
      <c r="C1557" s="6" t="s">
        <v>10768</v>
      </c>
      <c r="D1557" s="6" t="s">
        <v>10769</v>
      </c>
      <c r="E1557" s="6" t="s">
        <v>10769</v>
      </c>
      <c r="F1557" s="6">
        <v>14.1413717128468</v>
      </c>
      <c r="G1557" s="6">
        <v>13.763572993847999</v>
      </c>
      <c r="H1557" s="6">
        <v>13.869041015439301</v>
      </c>
      <c r="I1557" s="6">
        <v>14.4809235023446</v>
      </c>
      <c r="J1557" s="6">
        <v>13.0845056863071</v>
      </c>
      <c r="K1557" s="6">
        <v>13.526299320383799</v>
      </c>
      <c r="L1557" s="6">
        <v>14.267541574307799</v>
      </c>
      <c r="M1557" s="6" t="s">
        <v>6254</v>
      </c>
      <c r="N1557" s="6">
        <v>13.0293828526694</v>
      </c>
      <c r="O1557" s="6">
        <v>13.5933493001565</v>
      </c>
      <c r="P1557" s="6">
        <v>14.0177358892028</v>
      </c>
      <c r="Q1557" s="6">
        <v>12.9894133749786</v>
      </c>
    </row>
    <row r="1558" spans="1:17">
      <c r="A1558" s="6" t="s">
        <v>5373</v>
      </c>
      <c r="B1558" s="6" t="s">
        <v>5373</v>
      </c>
      <c r="C1558" s="6" t="s">
        <v>10770</v>
      </c>
      <c r="D1558" s="6" t="s">
        <v>10771</v>
      </c>
      <c r="E1558" s="6" t="s">
        <v>10771</v>
      </c>
      <c r="F1558" s="6">
        <v>14.1353665195339</v>
      </c>
      <c r="G1558" s="6">
        <v>13.2394137942219</v>
      </c>
      <c r="H1558" s="6">
        <v>13.4676840881827</v>
      </c>
      <c r="I1558" s="6" t="s">
        <v>6254</v>
      </c>
      <c r="J1558" s="6" t="s">
        <v>6254</v>
      </c>
      <c r="K1558" s="6" t="s">
        <v>6254</v>
      </c>
      <c r="L1558" s="6">
        <v>14.007266889951</v>
      </c>
      <c r="M1558" s="6" t="s">
        <v>6254</v>
      </c>
      <c r="N1558" s="6">
        <v>14.744009970267699</v>
      </c>
      <c r="O1558" s="6">
        <v>16.419046464157699</v>
      </c>
      <c r="P1558" s="6">
        <v>13.446360423703901</v>
      </c>
      <c r="Q1558" s="6" t="s">
        <v>6254</v>
      </c>
    </row>
    <row r="1559" spans="1:17">
      <c r="A1559" s="6" t="s">
        <v>10772</v>
      </c>
      <c r="B1559" s="6" t="s">
        <v>10773</v>
      </c>
      <c r="C1559" s="6" t="s">
        <v>10774</v>
      </c>
      <c r="D1559" s="6" t="s">
        <v>10775</v>
      </c>
      <c r="E1559" s="6" t="s">
        <v>10776</v>
      </c>
      <c r="F1559" s="6" t="s">
        <v>6254</v>
      </c>
      <c r="G1559" s="6">
        <v>13.7820419493379</v>
      </c>
      <c r="H1559" s="6">
        <v>14.7493180790011</v>
      </c>
      <c r="I1559" s="6" t="s">
        <v>6254</v>
      </c>
      <c r="J1559" s="6" t="s">
        <v>6254</v>
      </c>
      <c r="K1559" s="6">
        <v>14.1657475230808</v>
      </c>
      <c r="L1559" s="6">
        <v>12.466176358951399</v>
      </c>
      <c r="M1559" s="6">
        <v>13.5999919853442</v>
      </c>
      <c r="N1559" s="6">
        <v>13.841758439204</v>
      </c>
      <c r="O1559" s="6">
        <v>14.184285352618801</v>
      </c>
      <c r="P1559" s="6">
        <v>12.466602822020301</v>
      </c>
      <c r="Q1559" s="6" t="s">
        <v>6254</v>
      </c>
    </row>
    <row r="1560" spans="1:17">
      <c r="A1560" s="6" t="s">
        <v>2833</v>
      </c>
      <c r="B1560" s="6" t="s">
        <v>2833</v>
      </c>
      <c r="C1560" s="6" t="s">
        <v>10777</v>
      </c>
      <c r="D1560" s="6" t="s">
        <v>10778</v>
      </c>
      <c r="E1560" s="6" t="s">
        <v>10778</v>
      </c>
      <c r="F1560" s="6">
        <v>14.4073585965399</v>
      </c>
      <c r="G1560" s="6">
        <v>13.5529863729105</v>
      </c>
      <c r="H1560" s="6">
        <v>13.4186102498227</v>
      </c>
      <c r="I1560" s="6">
        <v>14.41834866686</v>
      </c>
      <c r="J1560" s="6">
        <v>12.7864965788464</v>
      </c>
      <c r="K1560" s="6">
        <v>13.580337330344999</v>
      </c>
      <c r="L1560" s="6">
        <v>14.232095697434101</v>
      </c>
      <c r="M1560" s="6">
        <v>12.944353222627701</v>
      </c>
      <c r="N1560" s="6">
        <v>13.081086242939801</v>
      </c>
      <c r="O1560" s="6">
        <v>14.0606818050759</v>
      </c>
      <c r="P1560" s="6">
        <v>13.8888136163123</v>
      </c>
      <c r="Q1560" s="6">
        <v>12.8380826464437</v>
      </c>
    </row>
    <row r="1561" spans="1:17">
      <c r="A1561" s="6" t="s">
        <v>4499</v>
      </c>
      <c r="B1561" s="6" t="s">
        <v>4499</v>
      </c>
      <c r="C1561" s="6" t="s">
        <v>10779</v>
      </c>
      <c r="D1561" s="6" t="s">
        <v>10780</v>
      </c>
      <c r="E1561" s="6" t="s">
        <v>10780</v>
      </c>
      <c r="F1561" s="6">
        <v>14.533697181239599</v>
      </c>
      <c r="G1561" s="6">
        <v>12.8748301338393</v>
      </c>
      <c r="H1561" s="6">
        <v>15.7303513588074</v>
      </c>
      <c r="I1561" s="6">
        <v>14.2767548280291</v>
      </c>
      <c r="J1561" s="6">
        <v>13.965474131983401</v>
      </c>
      <c r="K1561" s="6">
        <v>14.0645408122734</v>
      </c>
      <c r="L1561" s="6">
        <v>13.466899745912199</v>
      </c>
      <c r="M1561" s="6" t="s">
        <v>6254</v>
      </c>
      <c r="N1561" s="6" t="s">
        <v>6254</v>
      </c>
      <c r="O1561" s="6">
        <v>13.8598865308805</v>
      </c>
      <c r="P1561" s="6" t="s">
        <v>6254</v>
      </c>
      <c r="Q1561" s="6" t="s">
        <v>6254</v>
      </c>
    </row>
    <row r="1562" spans="1:17">
      <c r="A1562" s="6" t="s">
        <v>10781</v>
      </c>
      <c r="B1562" s="6" t="s">
        <v>10782</v>
      </c>
      <c r="C1562" s="6" t="s">
        <v>10783</v>
      </c>
      <c r="D1562" s="6" t="s">
        <v>10784</v>
      </c>
      <c r="E1562" s="6" t="s">
        <v>10785</v>
      </c>
      <c r="F1562" s="6">
        <v>13.3720597846378</v>
      </c>
      <c r="G1562" s="6">
        <v>13.620679706887501</v>
      </c>
      <c r="H1562" s="6">
        <v>13.903284681791799</v>
      </c>
      <c r="I1562" s="6">
        <v>14.4710250633297</v>
      </c>
      <c r="J1562" s="6">
        <v>13.2485006039699</v>
      </c>
      <c r="K1562" s="6">
        <v>13.5895031777202</v>
      </c>
      <c r="L1562" s="6">
        <v>14.4257029160008</v>
      </c>
      <c r="M1562" s="6">
        <v>12.5813415462391</v>
      </c>
      <c r="N1562" s="6">
        <v>11.8684189705696</v>
      </c>
      <c r="O1562" s="6">
        <v>14.125885197017</v>
      </c>
      <c r="P1562" s="6">
        <v>13.5839339598254</v>
      </c>
      <c r="Q1562" s="6">
        <v>12.715377189189701</v>
      </c>
    </row>
    <row r="1563" spans="1:17">
      <c r="A1563" s="6" t="s">
        <v>10786</v>
      </c>
      <c r="B1563" s="6" t="s">
        <v>10787</v>
      </c>
      <c r="C1563" s="6" t="s">
        <v>10788</v>
      </c>
      <c r="D1563" s="6" t="s">
        <v>10789</v>
      </c>
      <c r="E1563" s="6" t="s">
        <v>10790</v>
      </c>
      <c r="F1563" s="6">
        <v>13.909117917197699</v>
      </c>
      <c r="G1563" s="6">
        <v>13.607264443941199</v>
      </c>
      <c r="H1563" s="6">
        <v>13.9008717157483</v>
      </c>
      <c r="I1563" s="6">
        <v>14.685221370407501</v>
      </c>
      <c r="J1563" s="6">
        <v>13.201424116512801</v>
      </c>
      <c r="K1563" s="6">
        <v>13.9601289036181</v>
      </c>
      <c r="L1563" s="6">
        <v>14.0212487951454</v>
      </c>
      <c r="M1563" s="6">
        <v>12.838223493429201</v>
      </c>
      <c r="N1563" s="6">
        <v>13.0396940668703</v>
      </c>
      <c r="O1563" s="6">
        <v>14.000634161393901</v>
      </c>
      <c r="P1563" s="6">
        <v>14.1887304480046</v>
      </c>
      <c r="Q1563" s="6">
        <v>12.722848789598199</v>
      </c>
    </row>
    <row r="1564" spans="1:17">
      <c r="A1564" s="6" t="s">
        <v>10791</v>
      </c>
      <c r="B1564" s="6" t="s">
        <v>10792</v>
      </c>
      <c r="C1564" s="6" t="s">
        <v>10793</v>
      </c>
      <c r="D1564" s="6" t="s">
        <v>10794</v>
      </c>
      <c r="E1564" s="6" t="s">
        <v>10795</v>
      </c>
      <c r="F1564" s="6">
        <v>14.1196714067942</v>
      </c>
      <c r="G1564" s="6">
        <v>14.072579744147401</v>
      </c>
      <c r="H1564" s="6">
        <v>13.8093899402128</v>
      </c>
      <c r="I1564" s="6">
        <v>14.524733562555801</v>
      </c>
      <c r="J1564" s="6">
        <v>12.830437837727199</v>
      </c>
      <c r="K1564" s="6">
        <v>13.949174815573601</v>
      </c>
      <c r="L1564" s="6">
        <v>14.7487621674038</v>
      </c>
      <c r="M1564" s="6">
        <v>12.3544449444521</v>
      </c>
      <c r="N1564" s="6" t="s">
        <v>6254</v>
      </c>
      <c r="O1564" s="6">
        <v>13.8120521289236</v>
      </c>
      <c r="P1564" s="6">
        <v>13.0320006170243</v>
      </c>
      <c r="Q1564" s="6">
        <v>12.209971493883801</v>
      </c>
    </row>
    <row r="1565" spans="1:17">
      <c r="A1565" s="6" t="s">
        <v>10796</v>
      </c>
      <c r="B1565" s="6" t="s">
        <v>10796</v>
      </c>
      <c r="C1565" s="6" t="s">
        <v>10797</v>
      </c>
      <c r="D1565" s="6" t="s">
        <v>10798</v>
      </c>
      <c r="E1565" s="6" t="s">
        <v>10798</v>
      </c>
      <c r="F1565" s="6" t="s">
        <v>6254</v>
      </c>
      <c r="G1565" s="6" t="s">
        <v>6254</v>
      </c>
      <c r="H1565" s="6" t="s">
        <v>6254</v>
      </c>
      <c r="I1565" s="6">
        <v>13.467019981643199</v>
      </c>
      <c r="J1565" s="6" t="s">
        <v>6254</v>
      </c>
      <c r="K1565" s="6" t="s">
        <v>6254</v>
      </c>
      <c r="L1565" s="6" t="s">
        <v>6254</v>
      </c>
      <c r="M1565" s="6" t="s">
        <v>6254</v>
      </c>
      <c r="N1565" s="6" t="s">
        <v>6254</v>
      </c>
      <c r="O1565" s="6" t="s">
        <v>6254</v>
      </c>
      <c r="P1565" s="6" t="s">
        <v>6254</v>
      </c>
      <c r="Q1565" s="6" t="s">
        <v>6254</v>
      </c>
    </row>
    <row r="1566" spans="1:17">
      <c r="A1566" s="6" t="s">
        <v>5516</v>
      </c>
      <c r="B1566" s="6" t="s">
        <v>5516</v>
      </c>
      <c r="C1566" s="6" t="s">
        <v>10799</v>
      </c>
      <c r="D1566" s="6" t="s">
        <v>10800</v>
      </c>
      <c r="E1566" s="6" t="s">
        <v>10800</v>
      </c>
      <c r="F1566" s="6">
        <v>14.590388494849</v>
      </c>
      <c r="G1566" s="6" t="s">
        <v>6254</v>
      </c>
      <c r="H1566" s="6" t="s">
        <v>6254</v>
      </c>
      <c r="I1566" s="6">
        <v>14.936877966012601</v>
      </c>
      <c r="J1566" s="6" t="s">
        <v>6254</v>
      </c>
      <c r="K1566" s="6" t="s">
        <v>6254</v>
      </c>
      <c r="L1566" s="6">
        <v>14.9212653966955</v>
      </c>
      <c r="M1566" s="6">
        <v>13.150944860320701</v>
      </c>
      <c r="N1566" s="6" t="s">
        <v>6254</v>
      </c>
      <c r="O1566" s="6">
        <v>12.432218958602901</v>
      </c>
      <c r="P1566" s="6">
        <v>14.3978144978978</v>
      </c>
      <c r="Q1566" s="6" t="s">
        <v>6254</v>
      </c>
    </row>
    <row r="1567" spans="1:17">
      <c r="A1567" s="6" t="s">
        <v>4960</v>
      </c>
      <c r="B1567" s="6" t="s">
        <v>4960</v>
      </c>
      <c r="C1567" s="6" t="s">
        <v>10801</v>
      </c>
      <c r="D1567" s="6" t="s">
        <v>10802</v>
      </c>
      <c r="E1567" s="6" t="s">
        <v>10802</v>
      </c>
      <c r="F1567" s="6">
        <v>13.8339435358752</v>
      </c>
      <c r="G1567" s="6" t="s">
        <v>6254</v>
      </c>
      <c r="H1567" s="6">
        <v>12.990937531508401</v>
      </c>
      <c r="I1567" s="6">
        <v>15.7703274289915</v>
      </c>
      <c r="J1567" s="6" t="s">
        <v>6254</v>
      </c>
      <c r="K1567" s="6">
        <v>13.3075393151165</v>
      </c>
      <c r="L1567" s="6">
        <v>14.5182243030021</v>
      </c>
      <c r="M1567" s="6" t="s">
        <v>6254</v>
      </c>
      <c r="N1567" s="6">
        <v>12.283519993771799</v>
      </c>
      <c r="O1567" s="6">
        <v>13.6749608976939</v>
      </c>
      <c r="P1567" s="6">
        <v>14.3314187669035</v>
      </c>
      <c r="Q1567" s="6">
        <v>12.157801468884699</v>
      </c>
    </row>
    <row r="1568" spans="1:17">
      <c r="A1568" s="6" t="s">
        <v>10803</v>
      </c>
      <c r="B1568" s="6" t="s">
        <v>10804</v>
      </c>
      <c r="C1568" s="6" t="s">
        <v>10805</v>
      </c>
      <c r="D1568" s="6" t="s">
        <v>10806</v>
      </c>
      <c r="E1568" s="6" t="s">
        <v>10807</v>
      </c>
      <c r="F1568" s="6">
        <v>14.1158313386464</v>
      </c>
      <c r="G1568" s="6">
        <v>13.5303739849706</v>
      </c>
      <c r="H1568" s="6">
        <v>13.7840218006095</v>
      </c>
      <c r="I1568" s="6">
        <v>14.422964195473</v>
      </c>
      <c r="J1568" s="6">
        <v>12.925613817910801</v>
      </c>
      <c r="K1568" s="6">
        <v>13.6432395360263</v>
      </c>
      <c r="L1568" s="6">
        <v>14.0961112177463</v>
      </c>
      <c r="M1568" s="6">
        <v>12.498682494493799</v>
      </c>
      <c r="N1568" s="6">
        <v>13.641769980022699</v>
      </c>
      <c r="O1568" s="6">
        <v>14.098519739751699</v>
      </c>
      <c r="P1568" s="6">
        <v>14.1775989255604</v>
      </c>
      <c r="Q1568" s="6">
        <v>12.5152209652908</v>
      </c>
    </row>
    <row r="1569" spans="1:17">
      <c r="A1569" s="6" t="s">
        <v>6178</v>
      </c>
      <c r="B1569" s="6" t="s">
        <v>6178</v>
      </c>
      <c r="C1569" s="6" t="s">
        <v>10808</v>
      </c>
      <c r="D1569" s="6" t="s">
        <v>10809</v>
      </c>
      <c r="E1569" s="6" t="s">
        <v>10809</v>
      </c>
      <c r="F1569" s="6">
        <v>13.876530710181299</v>
      </c>
      <c r="G1569" s="6">
        <v>12.8996400198735</v>
      </c>
      <c r="H1569" s="6">
        <v>14.196030019255501</v>
      </c>
      <c r="I1569" s="6">
        <v>14.2725125401978</v>
      </c>
      <c r="J1569" s="6">
        <v>13.5927224904871</v>
      </c>
      <c r="K1569" s="6">
        <v>13.2587903986817</v>
      </c>
      <c r="L1569" s="6">
        <v>13.8873142572579</v>
      </c>
      <c r="M1569" s="6">
        <v>13.8420175278199</v>
      </c>
      <c r="N1569" s="6">
        <v>13.570548937626899</v>
      </c>
      <c r="O1569" s="6">
        <v>15.2049963182443</v>
      </c>
      <c r="P1569" s="6">
        <v>14.455336373761</v>
      </c>
      <c r="Q1569" s="6">
        <v>12.7735095580119</v>
      </c>
    </row>
    <row r="1570" spans="1:17">
      <c r="A1570" s="6" t="s">
        <v>5509</v>
      </c>
      <c r="B1570" s="6" t="s">
        <v>5509</v>
      </c>
      <c r="C1570" s="6" t="s">
        <v>10810</v>
      </c>
      <c r="D1570" s="6" t="s">
        <v>10811</v>
      </c>
      <c r="E1570" s="6" t="s">
        <v>10811</v>
      </c>
      <c r="F1570" s="6">
        <v>14.0872751579194</v>
      </c>
      <c r="G1570" s="6">
        <v>13.0555169558935</v>
      </c>
      <c r="H1570" s="6">
        <v>13.589063869664599</v>
      </c>
      <c r="I1570" s="6">
        <v>14.466218362456701</v>
      </c>
      <c r="J1570" s="6" t="s">
        <v>6254</v>
      </c>
      <c r="K1570" s="6">
        <v>13.687695918174899</v>
      </c>
      <c r="L1570" s="6">
        <v>14.6641172668084</v>
      </c>
      <c r="M1570" s="6" t="s">
        <v>6254</v>
      </c>
      <c r="N1570" s="6">
        <v>12.2844830886369</v>
      </c>
      <c r="O1570" s="6">
        <v>14.3722828920091</v>
      </c>
      <c r="P1570" s="6">
        <v>14.616906817308401</v>
      </c>
      <c r="Q1570" s="6">
        <v>12.1154749338562</v>
      </c>
    </row>
    <row r="1571" spans="1:17">
      <c r="A1571" s="6" t="s">
        <v>10812</v>
      </c>
      <c r="B1571" s="6" t="s">
        <v>10812</v>
      </c>
      <c r="C1571" s="6" t="s">
        <v>10813</v>
      </c>
      <c r="D1571" s="6" t="s">
        <v>10814</v>
      </c>
      <c r="E1571" s="6" t="s">
        <v>10814</v>
      </c>
      <c r="F1571" s="6">
        <v>14.5360267057532</v>
      </c>
      <c r="G1571" s="6">
        <v>13.9408761388912</v>
      </c>
      <c r="H1571" s="6" t="s">
        <v>6254</v>
      </c>
      <c r="I1571" s="6" t="s">
        <v>6254</v>
      </c>
      <c r="J1571" s="6" t="s">
        <v>6254</v>
      </c>
      <c r="K1571" s="6" t="s">
        <v>6254</v>
      </c>
      <c r="L1571" s="6" t="s">
        <v>6254</v>
      </c>
      <c r="M1571" s="6" t="s">
        <v>6254</v>
      </c>
      <c r="N1571" s="6">
        <v>12.7478246962197</v>
      </c>
      <c r="O1571" s="6">
        <v>14.225346011008099</v>
      </c>
      <c r="P1571" s="6" t="s">
        <v>6254</v>
      </c>
      <c r="Q1571" s="6" t="s">
        <v>6254</v>
      </c>
    </row>
    <row r="1572" spans="1:17">
      <c r="A1572" s="6" t="s">
        <v>5883</v>
      </c>
      <c r="B1572" s="6" t="s">
        <v>5883</v>
      </c>
      <c r="C1572" s="6" t="s">
        <v>10815</v>
      </c>
      <c r="D1572" s="6" t="s">
        <v>10816</v>
      </c>
      <c r="E1572" s="6" t="s">
        <v>10816</v>
      </c>
      <c r="F1572" s="6">
        <v>14.5135652766532</v>
      </c>
      <c r="G1572" s="6">
        <v>13.247937945596201</v>
      </c>
      <c r="H1572" s="6" t="s">
        <v>6254</v>
      </c>
      <c r="I1572" s="6">
        <v>13.537801932626101</v>
      </c>
      <c r="J1572" s="6" t="s">
        <v>6254</v>
      </c>
      <c r="K1572" s="6">
        <v>13.762893666262899</v>
      </c>
      <c r="L1572" s="6" t="s">
        <v>6254</v>
      </c>
      <c r="M1572" s="6">
        <v>13.7077630038967</v>
      </c>
      <c r="N1572" s="6">
        <v>13.9627572917867</v>
      </c>
      <c r="O1572" s="6">
        <v>12.548653815201</v>
      </c>
      <c r="P1572" s="6">
        <v>13.3504451178986</v>
      </c>
      <c r="Q1572" s="6" t="s">
        <v>6254</v>
      </c>
    </row>
    <row r="1573" spans="1:17">
      <c r="A1573" s="6" t="s">
        <v>2122</v>
      </c>
      <c r="B1573" s="6" t="s">
        <v>2122</v>
      </c>
      <c r="C1573" s="6" t="s">
        <v>10817</v>
      </c>
      <c r="D1573" s="6" t="s">
        <v>10818</v>
      </c>
      <c r="E1573" s="6" t="s">
        <v>10818</v>
      </c>
      <c r="F1573" s="6">
        <v>13.6894436573593</v>
      </c>
      <c r="G1573" s="6">
        <v>13.841166531300599</v>
      </c>
      <c r="H1573" s="6">
        <v>13.560348962166699</v>
      </c>
      <c r="I1573" s="6">
        <v>13.939304750138</v>
      </c>
      <c r="J1573" s="6">
        <v>12.626526869666</v>
      </c>
      <c r="K1573" s="6">
        <v>13.5446412106227</v>
      </c>
      <c r="L1573" s="6">
        <v>14.0830469557844</v>
      </c>
      <c r="M1573" s="6">
        <v>11.7224994520347</v>
      </c>
      <c r="N1573" s="6">
        <v>12.5585600264279</v>
      </c>
      <c r="O1573" s="6">
        <v>13.8997096655233</v>
      </c>
      <c r="P1573" s="6">
        <v>14.2345828870031</v>
      </c>
      <c r="Q1573" s="6">
        <v>13.3231514663807</v>
      </c>
    </row>
    <row r="1574" spans="1:17">
      <c r="A1574" s="6" t="s">
        <v>2568</v>
      </c>
      <c r="B1574" s="6" t="s">
        <v>2568</v>
      </c>
      <c r="C1574" s="6" t="s">
        <v>10819</v>
      </c>
      <c r="D1574" s="6" t="s">
        <v>10820</v>
      </c>
      <c r="E1574" s="6" t="s">
        <v>10820</v>
      </c>
      <c r="F1574" s="6">
        <v>14.208204423249599</v>
      </c>
      <c r="G1574" s="6">
        <v>13.3889999438875</v>
      </c>
      <c r="H1574" s="6">
        <v>13.747947226399701</v>
      </c>
      <c r="I1574" s="6">
        <v>14.1713702741344</v>
      </c>
      <c r="J1574" s="6">
        <v>12.8974977918033</v>
      </c>
      <c r="K1574" s="6">
        <v>13.336526002166</v>
      </c>
      <c r="L1574" s="6">
        <v>14.371532413547101</v>
      </c>
      <c r="M1574" s="6" t="s">
        <v>6254</v>
      </c>
      <c r="N1574" s="6">
        <v>14.057085416513999</v>
      </c>
      <c r="O1574" s="6">
        <v>14.0742189011021</v>
      </c>
      <c r="P1574" s="6">
        <v>13.841707241161499</v>
      </c>
      <c r="Q1574" s="6">
        <v>12.2499980018718</v>
      </c>
    </row>
    <row r="1575" spans="1:17">
      <c r="A1575" s="6" t="s">
        <v>10821</v>
      </c>
      <c r="B1575" s="6" t="s">
        <v>10821</v>
      </c>
      <c r="C1575" s="6" t="s">
        <v>10822</v>
      </c>
      <c r="D1575" s="6" t="s">
        <v>10823</v>
      </c>
      <c r="E1575" s="6" t="s">
        <v>10823</v>
      </c>
      <c r="F1575" s="6">
        <v>14.307121441953701</v>
      </c>
      <c r="G1575" s="6">
        <v>13.703633318552701</v>
      </c>
      <c r="H1575" s="6">
        <v>13.051433176787199</v>
      </c>
      <c r="I1575" s="6" t="s">
        <v>6254</v>
      </c>
      <c r="J1575" s="6" t="s">
        <v>6254</v>
      </c>
      <c r="K1575" s="6">
        <v>12.266307124905</v>
      </c>
      <c r="L1575" s="6" t="s">
        <v>6254</v>
      </c>
      <c r="M1575" s="6" t="s">
        <v>6254</v>
      </c>
      <c r="N1575" s="6">
        <v>14.1417896005114</v>
      </c>
      <c r="O1575" s="6" t="s">
        <v>6254</v>
      </c>
      <c r="P1575" s="6">
        <v>13.5434662838178</v>
      </c>
      <c r="Q1575" s="6" t="s">
        <v>6254</v>
      </c>
    </row>
    <row r="1576" spans="1:17">
      <c r="A1576" s="6" t="s">
        <v>10824</v>
      </c>
      <c r="B1576" s="6" t="s">
        <v>10825</v>
      </c>
      <c r="C1576" s="6" t="s">
        <v>10826</v>
      </c>
      <c r="D1576" s="6" t="s">
        <v>10827</v>
      </c>
      <c r="E1576" s="6" t="s">
        <v>10828</v>
      </c>
      <c r="F1576" s="6" t="s">
        <v>6254</v>
      </c>
      <c r="G1576" s="6" t="s">
        <v>6254</v>
      </c>
      <c r="H1576" s="6" t="s">
        <v>6254</v>
      </c>
      <c r="I1576" s="6" t="s">
        <v>6254</v>
      </c>
      <c r="J1576" s="6" t="s">
        <v>6254</v>
      </c>
      <c r="K1576" s="6" t="s">
        <v>6254</v>
      </c>
      <c r="L1576" s="6" t="s">
        <v>6254</v>
      </c>
      <c r="M1576" s="6" t="s">
        <v>6254</v>
      </c>
      <c r="N1576" s="6" t="s">
        <v>6254</v>
      </c>
      <c r="O1576" s="6" t="s">
        <v>6254</v>
      </c>
      <c r="P1576" s="6" t="s">
        <v>6254</v>
      </c>
      <c r="Q1576" s="6" t="s">
        <v>6254</v>
      </c>
    </row>
    <row r="1577" spans="1:17">
      <c r="A1577" s="6" t="s">
        <v>10829</v>
      </c>
      <c r="B1577" s="6" t="s">
        <v>10829</v>
      </c>
      <c r="C1577" s="6" t="s">
        <v>10830</v>
      </c>
      <c r="D1577" s="6" t="s">
        <v>10831</v>
      </c>
      <c r="E1577" s="6" t="s">
        <v>10831</v>
      </c>
      <c r="F1577" s="6">
        <v>12.749238780590099</v>
      </c>
      <c r="G1577" s="6">
        <v>13.9149632230544</v>
      </c>
      <c r="H1577" s="6">
        <v>13.6914593323151</v>
      </c>
      <c r="I1577" s="6">
        <v>14.1267502252858</v>
      </c>
      <c r="J1577" s="6" t="s">
        <v>6254</v>
      </c>
      <c r="K1577" s="6">
        <v>13.7810830142311</v>
      </c>
      <c r="L1577" s="6">
        <v>13.9099377678869</v>
      </c>
      <c r="M1577" s="6">
        <v>13.1392368341845</v>
      </c>
      <c r="N1577" s="6">
        <v>12.964450584523499</v>
      </c>
      <c r="O1577" s="6">
        <v>14.1310915286124</v>
      </c>
      <c r="P1577" s="6">
        <v>14.051406974508501</v>
      </c>
      <c r="Q1577" s="6" t="s">
        <v>6254</v>
      </c>
    </row>
    <row r="1578" spans="1:17">
      <c r="A1578" s="6" t="s">
        <v>4382</v>
      </c>
      <c r="B1578" s="6" t="s">
        <v>4382</v>
      </c>
      <c r="C1578" s="6" t="s">
        <v>10832</v>
      </c>
      <c r="D1578" s="6" t="s">
        <v>10833</v>
      </c>
      <c r="E1578" s="6" t="s">
        <v>10833</v>
      </c>
      <c r="F1578" s="6">
        <v>14.196646147070499</v>
      </c>
      <c r="G1578" s="6">
        <v>13.1986871314704</v>
      </c>
      <c r="H1578" s="6">
        <v>13.713539319515</v>
      </c>
      <c r="I1578" s="6">
        <v>14.176580411903799</v>
      </c>
      <c r="J1578" s="6" t="s">
        <v>6254</v>
      </c>
      <c r="K1578" s="6">
        <v>13.144082779225601</v>
      </c>
      <c r="L1578" s="6">
        <v>14.226753576878901</v>
      </c>
      <c r="M1578" s="6" t="s">
        <v>6254</v>
      </c>
      <c r="N1578" s="6">
        <v>13.3253890786232</v>
      </c>
      <c r="O1578" s="6">
        <v>14.1361735470503</v>
      </c>
      <c r="P1578" s="6">
        <v>13.9506455628742</v>
      </c>
      <c r="Q1578" s="6" t="s">
        <v>6254</v>
      </c>
    </row>
    <row r="1579" spans="1:17">
      <c r="A1579" s="6" t="s">
        <v>10834</v>
      </c>
      <c r="B1579" s="6" t="s">
        <v>3973</v>
      </c>
      <c r="C1579" s="6" t="s">
        <v>10835</v>
      </c>
      <c r="D1579" s="6" t="s">
        <v>10836</v>
      </c>
      <c r="E1579" s="6" t="s">
        <v>10837</v>
      </c>
      <c r="F1579" s="6">
        <v>14.2243612364257</v>
      </c>
      <c r="G1579" s="6" t="s">
        <v>6254</v>
      </c>
      <c r="H1579" s="6" t="s">
        <v>6254</v>
      </c>
      <c r="I1579" s="6">
        <v>14.0661615993951</v>
      </c>
      <c r="J1579" s="6" t="s">
        <v>6254</v>
      </c>
      <c r="K1579" s="6" t="s">
        <v>6254</v>
      </c>
      <c r="L1579" s="6">
        <v>14.2346371008811</v>
      </c>
      <c r="M1579" s="6" t="s">
        <v>6254</v>
      </c>
      <c r="N1579" s="6">
        <v>12.923203061124999</v>
      </c>
      <c r="O1579" s="6" t="s">
        <v>6254</v>
      </c>
      <c r="P1579" s="6" t="s">
        <v>6254</v>
      </c>
      <c r="Q1579" s="6" t="s">
        <v>6254</v>
      </c>
    </row>
    <row r="1580" spans="1:17">
      <c r="A1580" s="6" t="s">
        <v>5837</v>
      </c>
      <c r="B1580" s="6" t="s">
        <v>5837</v>
      </c>
      <c r="C1580" s="6" t="s">
        <v>10838</v>
      </c>
      <c r="D1580" s="6" t="s">
        <v>10839</v>
      </c>
      <c r="E1580" s="6" t="s">
        <v>10839</v>
      </c>
      <c r="F1580" s="6">
        <v>13.915274486960501</v>
      </c>
      <c r="G1580" s="6">
        <v>13.8716813731054</v>
      </c>
      <c r="H1580" s="6" t="s">
        <v>6254</v>
      </c>
      <c r="I1580" s="6">
        <v>14.629770236916899</v>
      </c>
      <c r="J1580" s="6" t="s">
        <v>6254</v>
      </c>
      <c r="K1580" s="6" t="s">
        <v>6254</v>
      </c>
      <c r="L1580" s="6">
        <v>13.9746221277678</v>
      </c>
      <c r="M1580" s="6" t="s">
        <v>6254</v>
      </c>
      <c r="N1580" s="6">
        <v>13.0533279525526</v>
      </c>
      <c r="O1580" s="6">
        <v>14.2114892257742</v>
      </c>
      <c r="P1580" s="6">
        <v>13.8499918750134</v>
      </c>
      <c r="Q1580" s="6" t="s">
        <v>6254</v>
      </c>
    </row>
    <row r="1581" spans="1:17">
      <c r="A1581" s="6" t="s">
        <v>10840</v>
      </c>
      <c r="B1581" s="6" t="s">
        <v>10840</v>
      </c>
      <c r="C1581" s="6" t="s">
        <v>10841</v>
      </c>
      <c r="D1581" s="6" t="s">
        <v>10842</v>
      </c>
      <c r="E1581" s="6" t="s">
        <v>10842</v>
      </c>
      <c r="F1581" s="6" t="s">
        <v>6254</v>
      </c>
      <c r="G1581" s="6" t="s">
        <v>6254</v>
      </c>
      <c r="H1581" s="6" t="s">
        <v>6254</v>
      </c>
      <c r="I1581" s="6">
        <v>13.9150177713109</v>
      </c>
      <c r="J1581" s="6" t="s">
        <v>6254</v>
      </c>
      <c r="K1581" s="6" t="s">
        <v>6254</v>
      </c>
      <c r="L1581" s="6" t="s">
        <v>6254</v>
      </c>
      <c r="M1581" s="6">
        <v>14.5095608620926</v>
      </c>
      <c r="N1581" s="6">
        <v>13.3131542766961</v>
      </c>
      <c r="O1581" s="6" t="s">
        <v>6254</v>
      </c>
      <c r="P1581" s="6" t="s">
        <v>6254</v>
      </c>
      <c r="Q1581" s="6" t="s">
        <v>6254</v>
      </c>
    </row>
    <row r="1582" spans="1:17">
      <c r="A1582" s="6" t="s">
        <v>4399</v>
      </c>
      <c r="B1582" s="6" t="s">
        <v>4401</v>
      </c>
      <c r="C1582" s="6" t="s">
        <v>10843</v>
      </c>
      <c r="D1582" s="6" t="s">
        <v>10844</v>
      </c>
      <c r="E1582" s="6" t="s">
        <v>10845</v>
      </c>
      <c r="F1582" s="6">
        <v>14.496654258288</v>
      </c>
      <c r="G1582" s="6" t="s">
        <v>6254</v>
      </c>
      <c r="H1582" s="6">
        <v>13.610427680113901</v>
      </c>
      <c r="I1582" s="6">
        <v>14.2444085890646</v>
      </c>
      <c r="J1582" s="6">
        <v>13.2285447503701</v>
      </c>
      <c r="K1582" s="6">
        <v>14.272324526279199</v>
      </c>
      <c r="L1582" s="6">
        <v>14.2200914154707</v>
      </c>
      <c r="M1582" s="6" t="s">
        <v>6254</v>
      </c>
      <c r="N1582" s="6">
        <v>13.267394027772101</v>
      </c>
      <c r="O1582" s="6">
        <v>14.340855476962499</v>
      </c>
      <c r="P1582" s="6">
        <v>13.8842406936703</v>
      </c>
      <c r="Q1582" s="6">
        <v>13.188417043033599</v>
      </c>
    </row>
    <row r="1583" spans="1:17">
      <c r="A1583" s="6" t="s">
        <v>2850</v>
      </c>
      <c r="B1583" s="6" t="s">
        <v>2850</v>
      </c>
      <c r="C1583" s="6" t="s">
        <v>10846</v>
      </c>
      <c r="D1583" s="6" t="s">
        <v>10847</v>
      </c>
      <c r="E1583" s="6" t="s">
        <v>10847</v>
      </c>
      <c r="F1583" s="6">
        <v>14.110023722218299</v>
      </c>
      <c r="G1583" s="6">
        <v>13.6978128086174</v>
      </c>
      <c r="H1583" s="6">
        <v>13.5496061460688</v>
      </c>
      <c r="I1583" s="6">
        <v>14.4268564039201</v>
      </c>
      <c r="J1583" s="6" t="s">
        <v>6254</v>
      </c>
      <c r="K1583" s="6">
        <v>14.071754926068399</v>
      </c>
      <c r="L1583" s="6">
        <v>14.4831834412236</v>
      </c>
      <c r="M1583" s="6">
        <v>12.1773790163458</v>
      </c>
      <c r="N1583" s="6">
        <v>12.993053584951101</v>
      </c>
      <c r="O1583" s="6">
        <v>13.956994816158399</v>
      </c>
      <c r="P1583" s="6">
        <v>13.9199032182708</v>
      </c>
      <c r="Q1583" s="6">
        <v>12.120851196838199</v>
      </c>
    </row>
    <row r="1584" spans="1:17">
      <c r="A1584" s="6" t="s">
        <v>4898</v>
      </c>
      <c r="B1584" s="6" t="s">
        <v>4898</v>
      </c>
      <c r="C1584" s="6" t="s">
        <v>10848</v>
      </c>
      <c r="D1584" s="6" t="s">
        <v>10849</v>
      </c>
      <c r="E1584" s="6" t="s">
        <v>10849</v>
      </c>
      <c r="F1584" s="6">
        <v>14.4384927588344</v>
      </c>
      <c r="G1584" s="6">
        <v>13.538819831390001</v>
      </c>
      <c r="H1584" s="6">
        <v>13.695311963422199</v>
      </c>
      <c r="I1584" s="6">
        <v>14.3245084250524</v>
      </c>
      <c r="J1584" s="6">
        <v>12.8046421339603</v>
      </c>
      <c r="K1584" s="6">
        <v>13.413388175255699</v>
      </c>
      <c r="L1584" s="6">
        <v>14.430508208292</v>
      </c>
      <c r="M1584" s="6">
        <v>13.1607523781498</v>
      </c>
      <c r="N1584" s="6">
        <v>13.663474150763401</v>
      </c>
      <c r="O1584" s="6">
        <v>14.0626206015721</v>
      </c>
      <c r="P1584" s="6">
        <v>13.703487098419201</v>
      </c>
      <c r="Q1584" s="6">
        <v>12.211323276560099</v>
      </c>
    </row>
    <row r="1585" spans="1:17">
      <c r="A1585" s="6" t="s">
        <v>10850</v>
      </c>
      <c r="B1585" s="6" t="s">
        <v>10851</v>
      </c>
      <c r="C1585" s="6" t="s">
        <v>10852</v>
      </c>
      <c r="D1585" s="6" t="s">
        <v>10853</v>
      </c>
      <c r="E1585" s="6" t="s">
        <v>10854</v>
      </c>
      <c r="F1585" s="6">
        <v>14.1360997652018</v>
      </c>
      <c r="G1585" s="6">
        <v>13.344857027465499</v>
      </c>
      <c r="H1585" s="6">
        <v>13.191809938501599</v>
      </c>
      <c r="I1585" s="6">
        <v>14.390814929181399</v>
      </c>
      <c r="J1585" s="6" t="s">
        <v>6254</v>
      </c>
      <c r="K1585" s="6">
        <v>14.1844004027358</v>
      </c>
      <c r="L1585" s="6">
        <v>14.057248679554499</v>
      </c>
      <c r="M1585" s="6">
        <v>12.999734366238</v>
      </c>
      <c r="N1585" s="6" t="s">
        <v>6254</v>
      </c>
      <c r="O1585" s="6">
        <v>13.468974050114801</v>
      </c>
      <c r="P1585" s="6">
        <v>13.8085694524238</v>
      </c>
      <c r="Q1585" s="6" t="s">
        <v>6254</v>
      </c>
    </row>
    <row r="1586" spans="1:17">
      <c r="A1586" s="6" t="s">
        <v>10855</v>
      </c>
      <c r="B1586" s="6" t="s">
        <v>10855</v>
      </c>
      <c r="C1586" s="6" t="s">
        <v>10856</v>
      </c>
      <c r="D1586" s="6" t="s">
        <v>10857</v>
      </c>
      <c r="E1586" s="6" t="s">
        <v>10857</v>
      </c>
      <c r="F1586" s="6" t="s">
        <v>6254</v>
      </c>
      <c r="G1586" s="6" t="s">
        <v>6254</v>
      </c>
      <c r="H1586" s="6">
        <v>13.7562821558555</v>
      </c>
      <c r="I1586" s="6" t="s">
        <v>6254</v>
      </c>
      <c r="J1586" s="6" t="s">
        <v>6254</v>
      </c>
      <c r="K1586" s="6" t="s">
        <v>6254</v>
      </c>
      <c r="L1586" s="6">
        <v>14.226110512154699</v>
      </c>
      <c r="M1586" s="6" t="s">
        <v>6254</v>
      </c>
      <c r="N1586" s="6">
        <v>13.7884597660422</v>
      </c>
      <c r="O1586" s="6">
        <v>13.371487388974099</v>
      </c>
      <c r="P1586" s="6" t="s">
        <v>6254</v>
      </c>
      <c r="Q1586" s="6" t="s">
        <v>6254</v>
      </c>
    </row>
    <row r="1587" spans="1:17">
      <c r="A1587" s="6" t="s">
        <v>10858</v>
      </c>
      <c r="B1587" s="6" t="s">
        <v>2776</v>
      </c>
      <c r="C1587" s="6" t="s">
        <v>10859</v>
      </c>
      <c r="D1587" s="6" t="s">
        <v>10860</v>
      </c>
      <c r="E1587" s="6" t="s">
        <v>10861</v>
      </c>
      <c r="F1587" s="6">
        <v>14.0225278102924</v>
      </c>
      <c r="G1587" s="6">
        <v>11.884417233068699</v>
      </c>
      <c r="H1587" s="6">
        <v>13.454446157122099</v>
      </c>
      <c r="I1587" s="6">
        <v>13.8128258132102</v>
      </c>
      <c r="J1587" s="6">
        <v>12.683365553646301</v>
      </c>
      <c r="K1587" s="6">
        <v>13.286366643702401</v>
      </c>
      <c r="L1587" s="6">
        <v>13.9961322849938</v>
      </c>
      <c r="M1587" s="6">
        <v>13.0244830362046</v>
      </c>
      <c r="N1587" s="6">
        <v>14.4321955748775</v>
      </c>
      <c r="O1587" s="6">
        <v>14.442926161149099</v>
      </c>
      <c r="P1587" s="6">
        <v>13.9725681899601</v>
      </c>
      <c r="Q1587" s="6">
        <v>12.9093618641253</v>
      </c>
    </row>
    <row r="1588" spans="1:17">
      <c r="A1588" s="6" t="s">
        <v>10862</v>
      </c>
      <c r="B1588" s="6" t="s">
        <v>10863</v>
      </c>
      <c r="C1588" s="6" t="s">
        <v>10864</v>
      </c>
      <c r="D1588" s="6" t="s">
        <v>10865</v>
      </c>
      <c r="E1588" s="6" t="s">
        <v>10866</v>
      </c>
      <c r="F1588" s="6">
        <v>14.4957804950593</v>
      </c>
      <c r="G1588" s="6">
        <v>13.531758132509401</v>
      </c>
      <c r="H1588" s="6">
        <v>13.8509920292923</v>
      </c>
      <c r="I1588" s="6">
        <v>14.647939380317</v>
      </c>
      <c r="J1588" s="6">
        <v>12.779050479728401</v>
      </c>
      <c r="K1588" s="6">
        <v>13.845374533709901</v>
      </c>
      <c r="L1588" s="6">
        <v>14.433823611103801</v>
      </c>
      <c r="M1588" s="6">
        <v>12.713789622853501</v>
      </c>
      <c r="N1588" s="6">
        <v>12.989418514737601</v>
      </c>
      <c r="O1588" s="6">
        <v>13.841220221407101</v>
      </c>
      <c r="P1588" s="6">
        <v>14.2264886076044</v>
      </c>
      <c r="Q1588" s="6">
        <v>12.372183850530201</v>
      </c>
    </row>
    <row r="1589" spans="1:17">
      <c r="A1589" s="6" t="s">
        <v>2064</v>
      </c>
      <c r="B1589" s="6" t="s">
        <v>2064</v>
      </c>
      <c r="C1589" s="6" t="s">
        <v>10867</v>
      </c>
      <c r="D1589" s="6" t="s">
        <v>10868</v>
      </c>
      <c r="E1589" s="6" t="s">
        <v>10868</v>
      </c>
      <c r="F1589" s="6">
        <v>14.693614591502699</v>
      </c>
      <c r="G1589" s="6">
        <v>13.5612377868212</v>
      </c>
      <c r="H1589" s="6">
        <v>13.720096516739799</v>
      </c>
      <c r="I1589" s="6">
        <v>14.2744410367043</v>
      </c>
      <c r="J1589" s="6">
        <v>13.0769432712328</v>
      </c>
      <c r="K1589" s="6">
        <v>13.901066632428501</v>
      </c>
      <c r="L1589" s="6">
        <v>14.251911310177199</v>
      </c>
      <c r="M1589" s="6">
        <v>12.503471793646</v>
      </c>
      <c r="N1589" s="6">
        <v>13.486815673338601</v>
      </c>
      <c r="O1589" s="6">
        <v>13.797070984484201</v>
      </c>
      <c r="P1589" s="6">
        <v>13.861404749529999</v>
      </c>
      <c r="Q1589" s="6">
        <v>12.8324757763938</v>
      </c>
    </row>
    <row r="1590" spans="1:17">
      <c r="A1590" s="6" t="s">
        <v>2549</v>
      </c>
      <c r="B1590" s="6" t="s">
        <v>2549</v>
      </c>
      <c r="C1590" s="6" t="s">
        <v>10869</v>
      </c>
      <c r="D1590" s="6" t="s">
        <v>10870</v>
      </c>
      <c r="E1590" s="6" t="s">
        <v>10870</v>
      </c>
      <c r="F1590" s="6" t="s">
        <v>6254</v>
      </c>
      <c r="G1590" s="6" t="s">
        <v>6254</v>
      </c>
      <c r="H1590" s="6" t="s">
        <v>6254</v>
      </c>
      <c r="I1590" s="6">
        <v>14.123567470213301</v>
      </c>
      <c r="J1590" s="6" t="s">
        <v>6254</v>
      </c>
      <c r="K1590" s="6">
        <v>14.0263189811521</v>
      </c>
      <c r="L1590" s="6">
        <v>14.8747864259735</v>
      </c>
      <c r="M1590" s="6">
        <v>12.7291413991339</v>
      </c>
      <c r="N1590" s="6" t="s">
        <v>6254</v>
      </c>
      <c r="O1590" s="6" t="s">
        <v>6254</v>
      </c>
      <c r="P1590" s="6">
        <v>13.0785136053822</v>
      </c>
      <c r="Q1590" s="6" t="s">
        <v>6254</v>
      </c>
    </row>
    <row r="1591" spans="1:17">
      <c r="A1591" s="6" t="s">
        <v>10871</v>
      </c>
      <c r="B1591" s="6" t="s">
        <v>10872</v>
      </c>
      <c r="C1591" s="6" t="s">
        <v>10873</v>
      </c>
      <c r="D1591" s="6" t="s">
        <v>10874</v>
      </c>
      <c r="E1591" s="6" t="s">
        <v>10875</v>
      </c>
      <c r="F1591" s="6">
        <v>14.394475236575801</v>
      </c>
      <c r="G1591" s="6">
        <v>13.7364083084664</v>
      </c>
      <c r="H1591" s="6">
        <v>13.4880268318155</v>
      </c>
      <c r="I1591" s="6">
        <v>13.9848562916616</v>
      </c>
      <c r="J1591" s="6">
        <v>11.790728705868</v>
      </c>
      <c r="K1591" s="6">
        <v>13.3262829466148</v>
      </c>
      <c r="L1591" s="6">
        <v>13.998142864870401</v>
      </c>
      <c r="M1591" s="6" t="s">
        <v>6254</v>
      </c>
      <c r="N1591" s="6">
        <v>14.28529408106</v>
      </c>
      <c r="O1591" s="6">
        <v>13.680768847236401</v>
      </c>
      <c r="P1591" s="6">
        <v>14.028350651196799</v>
      </c>
      <c r="Q1591" s="6" t="s">
        <v>6254</v>
      </c>
    </row>
    <row r="1592" spans="1:17">
      <c r="A1592" s="6" t="s">
        <v>1170</v>
      </c>
      <c r="B1592" s="6" t="s">
        <v>1170</v>
      </c>
      <c r="C1592" s="6" t="s">
        <v>10876</v>
      </c>
      <c r="D1592" s="6" t="s">
        <v>10877</v>
      </c>
      <c r="E1592" s="6" t="s">
        <v>10877</v>
      </c>
      <c r="F1592" s="6">
        <v>13.823849297230501</v>
      </c>
      <c r="G1592" s="6">
        <v>13.7266628782689</v>
      </c>
      <c r="H1592" s="6">
        <v>13.741928831854899</v>
      </c>
      <c r="I1592" s="6">
        <v>14.436782013123199</v>
      </c>
      <c r="J1592" s="6">
        <v>13.004078500971801</v>
      </c>
      <c r="K1592" s="6">
        <v>13.6948379583398</v>
      </c>
      <c r="L1592" s="6">
        <v>14.3621035106097</v>
      </c>
      <c r="M1592" s="6">
        <v>12.969610969957399</v>
      </c>
      <c r="N1592" s="6">
        <v>13.4052814918834</v>
      </c>
      <c r="O1592" s="6">
        <v>13.990401451608999</v>
      </c>
      <c r="P1592" s="6">
        <v>13.75580378648</v>
      </c>
      <c r="Q1592" s="6">
        <v>12.719099713576201</v>
      </c>
    </row>
    <row r="1593" spans="1:17">
      <c r="A1593" s="6" t="s">
        <v>10878</v>
      </c>
      <c r="B1593" s="6" t="s">
        <v>10879</v>
      </c>
      <c r="C1593" s="6" t="s">
        <v>10880</v>
      </c>
      <c r="D1593" s="6" t="s">
        <v>10881</v>
      </c>
      <c r="E1593" s="6" t="s">
        <v>10882</v>
      </c>
      <c r="F1593" s="6">
        <v>14.134939918555</v>
      </c>
      <c r="G1593" s="6">
        <v>14.119308693993901</v>
      </c>
      <c r="H1593" s="6" t="s">
        <v>6254</v>
      </c>
      <c r="I1593" s="6">
        <v>13.642465464595601</v>
      </c>
      <c r="J1593" s="6">
        <v>12.485554291722201</v>
      </c>
      <c r="K1593" s="6" t="s">
        <v>6254</v>
      </c>
      <c r="L1593" s="6">
        <v>12.1079293452163</v>
      </c>
      <c r="M1593" s="6" t="s">
        <v>6254</v>
      </c>
      <c r="N1593" s="6">
        <v>14.681387569526001</v>
      </c>
      <c r="O1593" s="6">
        <v>14.0554607092987</v>
      </c>
      <c r="P1593" s="6">
        <v>14.571173364929599</v>
      </c>
      <c r="Q1593" s="6" t="s">
        <v>6254</v>
      </c>
    </row>
    <row r="1594" spans="1:17">
      <c r="A1594" s="6" t="s">
        <v>10883</v>
      </c>
      <c r="B1594" s="6" t="s">
        <v>10884</v>
      </c>
      <c r="C1594" s="6" t="s">
        <v>10885</v>
      </c>
      <c r="D1594" s="6" t="s">
        <v>10886</v>
      </c>
      <c r="E1594" s="6" t="s">
        <v>10887</v>
      </c>
      <c r="F1594" s="6">
        <v>13.3772301126847</v>
      </c>
      <c r="G1594" s="6">
        <v>15.1654516569841</v>
      </c>
      <c r="H1594" s="6">
        <v>12.898982707068001</v>
      </c>
      <c r="I1594" s="6">
        <v>15.590575854565699</v>
      </c>
      <c r="J1594" s="6">
        <v>14.165893209225199</v>
      </c>
      <c r="K1594" s="6">
        <v>14.6477575454016</v>
      </c>
      <c r="L1594" s="6">
        <v>13.377482408286401</v>
      </c>
      <c r="M1594" s="6">
        <v>12.069630493650701</v>
      </c>
      <c r="N1594" s="6">
        <v>12.721637271720899</v>
      </c>
      <c r="O1594" s="6">
        <v>13.405664683747601</v>
      </c>
      <c r="P1594" s="6">
        <v>15.0330439367205</v>
      </c>
      <c r="Q1594" s="6">
        <v>11.4882585192479</v>
      </c>
    </row>
    <row r="1595" spans="1:17">
      <c r="A1595" s="6" t="s">
        <v>3910</v>
      </c>
      <c r="B1595" s="6" t="s">
        <v>3910</v>
      </c>
      <c r="C1595" s="6" t="s">
        <v>10888</v>
      </c>
      <c r="D1595" s="6" t="s">
        <v>10889</v>
      </c>
      <c r="E1595" s="6" t="s">
        <v>10889</v>
      </c>
      <c r="F1595" s="6">
        <v>13.919814353964099</v>
      </c>
      <c r="G1595" s="6">
        <v>13.4307162497704</v>
      </c>
      <c r="H1595" s="6">
        <v>13.250348716192301</v>
      </c>
      <c r="I1595" s="6">
        <v>14.3378654384328</v>
      </c>
      <c r="J1595" s="6">
        <v>13.0087241878217</v>
      </c>
      <c r="K1595" s="6">
        <v>14.1277832976536</v>
      </c>
      <c r="L1595" s="6">
        <v>14.384615843116199</v>
      </c>
      <c r="M1595" s="6">
        <v>12.9546782844892</v>
      </c>
      <c r="N1595" s="6">
        <v>13.0735299132687</v>
      </c>
      <c r="O1595" s="6">
        <v>13.911250014133399</v>
      </c>
      <c r="P1595" s="6">
        <v>14.027068304836099</v>
      </c>
      <c r="Q1595" s="6">
        <v>12.9464779575167</v>
      </c>
    </row>
    <row r="1596" spans="1:17">
      <c r="A1596" s="6" t="s">
        <v>1564</v>
      </c>
      <c r="B1596" s="6" t="s">
        <v>1564</v>
      </c>
      <c r="C1596" s="6" t="s">
        <v>10890</v>
      </c>
      <c r="D1596" s="6" t="s">
        <v>10891</v>
      </c>
      <c r="E1596" s="6" t="s">
        <v>10891</v>
      </c>
      <c r="F1596" s="6">
        <v>14.4082907849105</v>
      </c>
      <c r="G1596" s="6">
        <v>13.575227793322</v>
      </c>
      <c r="H1596" s="6">
        <v>13.556431779471501</v>
      </c>
      <c r="I1596" s="6">
        <v>14.305097005120199</v>
      </c>
      <c r="J1596" s="6">
        <v>12.9739694500757</v>
      </c>
      <c r="K1596" s="6">
        <v>13.430051627328501</v>
      </c>
      <c r="L1596" s="6">
        <v>14.047702324137999</v>
      </c>
      <c r="M1596" s="6">
        <v>12.6141662831671</v>
      </c>
      <c r="N1596" s="6">
        <v>14.013551740072201</v>
      </c>
      <c r="O1596" s="6">
        <v>14.148717210419001</v>
      </c>
      <c r="P1596" s="6">
        <v>13.7505934805581</v>
      </c>
      <c r="Q1596" s="6">
        <v>11.9738361410456</v>
      </c>
    </row>
    <row r="1597" spans="1:17">
      <c r="A1597" s="6" t="s">
        <v>10892</v>
      </c>
      <c r="B1597" s="6" t="s">
        <v>10893</v>
      </c>
      <c r="C1597" s="6" t="s">
        <v>10894</v>
      </c>
      <c r="D1597" s="6" t="s">
        <v>10895</v>
      </c>
      <c r="E1597" s="6" t="s">
        <v>10896</v>
      </c>
      <c r="F1597" s="6">
        <v>14.0140342517163</v>
      </c>
      <c r="G1597" s="6">
        <v>12.8268150139235</v>
      </c>
      <c r="H1597" s="6">
        <v>13.995705543521201</v>
      </c>
      <c r="I1597" s="6">
        <v>14.5953773216107</v>
      </c>
      <c r="J1597" s="6" t="s">
        <v>6254</v>
      </c>
      <c r="K1597" s="6">
        <v>13.3853616141985</v>
      </c>
      <c r="L1597" s="6">
        <v>14.4023672578427</v>
      </c>
      <c r="M1597" s="6">
        <v>12.6185360304654</v>
      </c>
      <c r="N1597" s="6">
        <v>13.5522706479337</v>
      </c>
      <c r="O1597" s="6">
        <v>14.0485582720321</v>
      </c>
      <c r="P1597" s="6">
        <v>14.0350280161413</v>
      </c>
      <c r="Q1597" s="6">
        <v>11.930242412758901</v>
      </c>
    </row>
    <row r="1598" spans="1:17">
      <c r="A1598" s="6" t="s">
        <v>10897</v>
      </c>
      <c r="B1598" s="6" t="s">
        <v>10898</v>
      </c>
      <c r="C1598" s="6" t="s">
        <v>10899</v>
      </c>
      <c r="D1598" s="6" t="s">
        <v>10900</v>
      </c>
      <c r="E1598" s="6" t="s">
        <v>10901</v>
      </c>
      <c r="F1598" s="6">
        <v>13.9989455393629</v>
      </c>
      <c r="G1598" s="6">
        <v>13.538712502142999</v>
      </c>
      <c r="H1598" s="6">
        <v>13.418334962145201</v>
      </c>
      <c r="I1598" s="6">
        <v>14.591508681479599</v>
      </c>
      <c r="J1598" s="6">
        <v>13.1628177450709</v>
      </c>
      <c r="K1598" s="6">
        <v>13.7150445195508</v>
      </c>
      <c r="L1598" s="6">
        <v>14.617047370439</v>
      </c>
      <c r="M1598" s="6">
        <v>12.6683644631168</v>
      </c>
      <c r="N1598" s="6">
        <v>13.6580222771049</v>
      </c>
      <c r="O1598" s="6">
        <v>13.948677379347</v>
      </c>
      <c r="P1598" s="6">
        <v>13.8840394130776</v>
      </c>
      <c r="Q1598" s="6">
        <v>12.552991524445799</v>
      </c>
    </row>
    <row r="1599" spans="1:17">
      <c r="A1599" s="6" t="s">
        <v>10902</v>
      </c>
      <c r="B1599" s="6" t="s">
        <v>10902</v>
      </c>
      <c r="C1599" s="6" t="s">
        <v>10902</v>
      </c>
      <c r="D1599" s="6" t="s">
        <v>10902</v>
      </c>
      <c r="E1599" s="6" t="s">
        <v>10902</v>
      </c>
      <c r="F1599" s="6" t="s">
        <v>6254</v>
      </c>
      <c r="G1599" s="6" t="s">
        <v>6254</v>
      </c>
      <c r="H1599" s="6" t="s">
        <v>6254</v>
      </c>
      <c r="I1599" s="6" t="s">
        <v>6254</v>
      </c>
      <c r="J1599" s="6" t="s">
        <v>6254</v>
      </c>
      <c r="K1599" s="6" t="s">
        <v>6254</v>
      </c>
      <c r="L1599" s="6" t="s">
        <v>6254</v>
      </c>
      <c r="M1599" s="6" t="s">
        <v>6254</v>
      </c>
      <c r="N1599" s="6" t="s">
        <v>6254</v>
      </c>
      <c r="O1599" s="6" t="s">
        <v>6254</v>
      </c>
      <c r="P1599" s="6" t="s">
        <v>6254</v>
      </c>
      <c r="Q1599" s="6" t="s">
        <v>6254</v>
      </c>
    </row>
    <row r="1600" spans="1:17">
      <c r="A1600" s="6" t="s">
        <v>10903</v>
      </c>
      <c r="B1600" s="6" t="s">
        <v>10904</v>
      </c>
      <c r="C1600" s="6" t="s">
        <v>10905</v>
      </c>
      <c r="D1600" s="6" t="s">
        <v>10906</v>
      </c>
      <c r="E1600" s="6" t="s">
        <v>10907</v>
      </c>
      <c r="F1600" s="6">
        <v>14.0227446013416</v>
      </c>
      <c r="G1600" s="6">
        <v>13.458715278050599</v>
      </c>
      <c r="H1600" s="6">
        <v>13.8321242051127</v>
      </c>
      <c r="I1600" s="6">
        <v>14.0265409172668</v>
      </c>
      <c r="J1600" s="6" t="s">
        <v>6254</v>
      </c>
      <c r="K1600" s="6">
        <v>13.3554440602576</v>
      </c>
      <c r="L1600" s="6">
        <v>14.133621174235699</v>
      </c>
      <c r="M1600" s="6" t="s">
        <v>6254</v>
      </c>
      <c r="N1600" s="6">
        <v>13.6043075537648</v>
      </c>
      <c r="O1600" s="6">
        <v>14.2219180091426</v>
      </c>
      <c r="P1600" s="6">
        <v>13.548004097882499</v>
      </c>
      <c r="Q1600" s="6">
        <v>12.253676078949701</v>
      </c>
    </row>
    <row r="1601" spans="1:17">
      <c r="A1601" s="6" t="s">
        <v>3421</v>
      </c>
      <c r="B1601" s="6" t="s">
        <v>3421</v>
      </c>
      <c r="C1601" s="6" t="s">
        <v>10908</v>
      </c>
      <c r="D1601" s="6" t="s">
        <v>10909</v>
      </c>
      <c r="E1601" s="6" t="s">
        <v>10909</v>
      </c>
      <c r="F1601" s="6">
        <v>14.2295808607242</v>
      </c>
      <c r="G1601" s="6">
        <v>12.494094493590501</v>
      </c>
      <c r="H1601" s="6">
        <v>13.835774276981899</v>
      </c>
      <c r="I1601" s="6">
        <v>14.5393923719878</v>
      </c>
      <c r="J1601" s="6">
        <v>12.7059176334309</v>
      </c>
      <c r="K1601" s="6">
        <v>13.899472461467001</v>
      </c>
      <c r="L1601" s="6">
        <v>14.125489488222</v>
      </c>
      <c r="M1601" s="6" t="s">
        <v>6254</v>
      </c>
      <c r="N1601" s="6">
        <v>14.319432517171901</v>
      </c>
      <c r="O1601" s="6">
        <v>13.901069974169801</v>
      </c>
      <c r="P1601" s="6">
        <v>14.4883139597435</v>
      </c>
      <c r="Q1601" s="6" t="s">
        <v>6254</v>
      </c>
    </row>
    <row r="1602" spans="1:17">
      <c r="A1602" s="6" t="s">
        <v>2108</v>
      </c>
      <c r="B1602" s="6" t="s">
        <v>2108</v>
      </c>
      <c r="C1602" s="6" t="s">
        <v>10910</v>
      </c>
      <c r="D1602" s="6" t="s">
        <v>10911</v>
      </c>
      <c r="E1602" s="6" t="s">
        <v>10911</v>
      </c>
      <c r="F1602" s="6">
        <v>14.139986974426099</v>
      </c>
      <c r="G1602" s="6">
        <v>13.509733753509201</v>
      </c>
      <c r="H1602" s="6">
        <v>13.902437297119601</v>
      </c>
      <c r="I1602" s="6">
        <v>14.340935948720499</v>
      </c>
      <c r="J1602" s="6">
        <v>13.052339428791999</v>
      </c>
      <c r="K1602" s="6">
        <v>13.6004454129215</v>
      </c>
      <c r="L1602" s="6">
        <v>14.033808040740301</v>
      </c>
      <c r="M1602" s="6">
        <v>12.911827351066201</v>
      </c>
      <c r="N1602" s="6">
        <v>13.7066642586</v>
      </c>
      <c r="O1602" s="6">
        <v>13.894544759281001</v>
      </c>
      <c r="P1602" s="6">
        <v>14.098616253834701</v>
      </c>
      <c r="Q1602" s="6">
        <v>11.713687483226099</v>
      </c>
    </row>
    <row r="1603" spans="1:17">
      <c r="A1603" s="6" t="s">
        <v>10912</v>
      </c>
      <c r="B1603" s="6" t="s">
        <v>10913</v>
      </c>
      <c r="C1603" s="6" t="s">
        <v>10914</v>
      </c>
      <c r="D1603" s="6" t="s">
        <v>10915</v>
      </c>
      <c r="E1603" s="6" t="s">
        <v>10916</v>
      </c>
      <c r="F1603" s="6">
        <v>14.0768944673031</v>
      </c>
      <c r="G1603" s="6">
        <v>13.7749511312074</v>
      </c>
      <c r="H1603" s="6">
        <v>13.638912564825601</v>
      </c>
      <c r="I1603" s="6">
        <v>14.6146764674324</v>
      </c>
      <c r="J1603" s="6" t="s">
        <v>6254</v>
      </c>
      <c r="K1603" s="6">
        <v>13.7606681403404</v>
      </c>
      <c r="L1603" s="6">
        <v>14.2429814397921</v>
      </c>
      <c r="M1603" s="6">
        <v>12.7716391457501</v>
      </c>
      <c r="N1603" s="6">
        <v>13.207622461368899</v>
      </c>
      <c r="O1603" s="6">
        <v>14.17842520868</v>
      </c>
      <c r="P1603" s="6">
        <v>14.2157622097735</v>
      </c>
      <c r="Q1603" s="6">
        <v>11.779033921615399</v>
      </c>
    </row>
    <row r="1604" spans="1:17">
      <c r="A1604" s="6" t="s">
        <v>4198</v>
      </c>
      <c r="B1604" s="6" t="s">
        <v>4198</v>
      </c>
      <c r="C1604" s="6" t="s">
        <v>10917</v>
      </c>
      <c r="D1604" s="6" t="s">
        <v>10918</v>
      </c>
      <c r="E1604" s="6" t="s">
        <v>10918</v>
      </c>
      <c r="F1604" s="6">
        <v>14.0924521955773</v>
      </c>
      <c r="G1604" s="6">
        <v>13.786412178466399</v>
      </c>
      <c r="H1604" s="6">
        <v>14.0194982410944</v>
      </c>
      <c r="I1604" s="6">
        <v>13.893678493469499</v>
      </c>
      <c r="J1604" s="6">
        <v>13.218849365497601</v>
      </c>
      <c r="K1604" s="6">
        <v>13.8864450567683</v>
      </c>
      <c r="L1604" s="6">
        <v>14.1673393946137</v>
      </c>
      <c r="M1604" s="6">
        <v>12.923357121194099</v>
      </c>
      <c r="N1604" s="6">
        <v>13.062101483266</v>
      </c>
      <c r="O1604" s="6">
        <v>13.8856993196679</v>
      </c>
      <c r="P1604" s="6">
        <v>14.070647628433401</v>
      </c>
      <c r="Q1604" s="6">
        <v>12.7160309673045</v>
      </c>
    </row>
    <row r="1605" spans="1:17">
      <c r="A1605" s="6" t="s">
        <v>10919</v>
      </c>
      <c r="B1605" s="6" t="s">
        <v>10919</v>
      </c>
      <c r="C1605" s="6" t="s">
        <v>10920</v>
      </c>
      <c r="D1605" s="6" t="s">
        <v>10921</v>
      </c>
      <c r="E1605" s="6" t="s">
        <v>10921</v>
      </c>
      <c r="F1605" s="6" t="s">
        <v>6254</v>
      </c>
      <c r="G1605" s="6" t="s">
        <v>6254</v>
      </c>
      <c r="H1605" s="6" t="s">
        <v>6254</v>
      </c>
      <c r="I1605" s="6">
        <v>14.6691293090401</v>
      </c>
      <c r="J1605" s="6" t="s">
        <v>6254</v>
      </c>
      <c r="K1605" s="6" t="s">
        <v>6254</v>
      </c>
      <c r="L1605" s="6">
        <v>15.4572033893474</v>
      </c>
      <c r="M1605" s="6" t="s">
        <v>6254</v>
      </c>
      <c r="N1605" s="6" t="s">
        <v>6254</v>
      </c>
      <c r="O1605" s="6" t="s">
        <v>6254</v>
      </c>
      <c r="P1605" s="6" t="s">
        <v>6254</v>
      </c>
      <c r="Q1605" s="6" t="s">
        <v>6254</v>
      </c>
    </row>
    <row r="1606" spans="1:17">
      <c r="A1606" s="6" t="s">
        <v>10922</v>
      </c>
      <c r="B1606" s="6" t="s">
        <v>10922</v>
      </c>
      <c r="C1606" s="6" t="s">
        <v>10923</v>
      </c>
      <c r="D1606" s="6" t="s">
        <v>10924</v>
      </c>
      <c r="E1606" s="6" t="s">
        <v>10924</v>
      </c>
      <c r="F1606" s="6">
        <v>13.856318311254499</v>
      </c>
      <c r="G1606" s="6">
        <v>13.9742011268129</v>
      </c>
      <c r="H1606" s="6">
        <v>12.811340091116101</v>
      </c>
      <c r="I1606" s="6">
        <v>14.2460631115199</v>
      </c>
      <c r="J1606" s="6" t="s">
        <v>6254</v>
      </c>
      <c r="K1606" s="6">
        <v>13.9631757040762</v>
      </c>
      <c r="L1606" s="6">
        <v>14.2944680559359</v>
      </c>
      <c r="M1606" s="6">
        <v>12.930225550166</v>
      </c>
      <c r="N1606" s="6" t="s">
        <v>6254</v>
      </c>
      <c r="O1606" s="6">
        <v>13.502151215062399</v>
      </c>
      <c r="P1606" s="6" t="s">
        <v>6254</v>
      </c>
      <c r="Q1606" s="6" t="s">
        <v>6254</v>
      </c>
    </row>
    <row r="1607" spans="1:17">
      <c r="A1607" s="6" t="s">
        <v>10925</v>
      </c>
      <c r="B1607" s="6" t="s">
        <v>2565</v>
      </c>
      <c r="C1607" s="6" t="s">
        <v>10926</v>
      </c>
      <c r="D1607" s="6" t="s">
        <v>10927</v>
      </c>
      <c r="E1607" s="6" t="s">
        <v>10928</v>
      </c>
      <c r="F1607" s="6">
        <v>14.0679587943056</v>
      </c>
      <c r="G1607" s="6">
        <v>14.268858800802301</v>
      </c>
      <c r="H1607" s="6">
        <v>13.7326114015766</v>
      </c>
      <c r="I1607" s="6">
        <v>14.221200745599701</v>
      </c>
      <c r="J1607" s="6">
        <v>13.393995330391601</v>
      </c>
      <c r="K1607" s="6">
        <v>12.831692578928999</v>
      </c>
      <c r="L1607" s="6">
        <v>14.3900858700661</v>
      </c>
      <c r="M1607" s="6">
        <v>12.7536098204342</v>
      </c>
      <c r="N1607" s="6">
        <v>13.327230173064301</v>
      </c>
      <c r="O1607" s="6">
        <v>14.5148603627546</v>
      </c>
      <c r="P1607" s="6">
        <v>13.818694962125999</v>
      </c>
      <c r="Q1607" s="6" t="s">
        <v>6254</v>
      </c>
    </row>
    <row r="1608" spans="1:17">
      <c r="A1608" s="6" t="s">
        <v>10929</v>
      </c>
      <c r="B1608" s="6" t="s">
        <v>10930</v>
      </c>
      <c r="C1608" s="6" t="s">
        <v>10931</v>
      </c>
      <c r="D1608" s="6" t="s">
        <v>10932</v>
      </c>
      <c r="E1608" s="6" t="s">
        <v>10933</v>
      </c>
      <c r="F1608" s="6">
        <v>13.8536737381802</v>
      </c>
      <c r="G1608" s="6">
        <v>13.664468225001899</v>
      </c>
      <c r="H1608" s="6">
        <v>13.854219343899899</v>
      </c>
      <c r="I1608" s="6">
        <v>14.2829451556445</v>
      </c>
      <c r="J1608" s="6" t="s">
        <v>6254</v>
      </c>
      <c r="K1608" s="6">
        <v>13.717141924539</v>
      </c>
      <c r="L1608" s="6">
        <v>13.9715998506751</v>
      </c>
      <c r="M1608" s="6">
        <v>12.9786877003729</v>
      </c>
      <c r="N1608" s="6">
        <v>12.8202715283108</v>
      </c>
      <c r="O1608" s="6">
        <v>13.9835611410636</v>
      </c>
      <c r="P1608" s="6">
        <v>14.1910674420138</v>
      </c>
      <c r="Q1608" s="6" t="s">
        <v>6254</v>
      </c>
    </row>
    <row r="1609" spans="1:17">
      <c r="A1609" s="6" t="s">
        <v>2779</v>
      </c>
      <c r="B1609" s="6" t="s">
        <v>2779</v>
      </c>
      <c r="C1609" s="6" t="s">
        <v>10934</v>
      </c>
      <c r="D1609" s="6" t="s">
        <v>10935</v>
      </c>
      <c r="E1609" s="6" t="s">
        <v>10935</v>
      </c>
      <c r="F1609" s="6">
        <v>14.0993017074032</v>
      </c>
      <c r="G1609" s="6">
        <v>13.845578331473501</v>
      </c>
      <c r="H1609" s="6">
        <v>13.247923300603899</v>
      </c>
      <c r="I1609" s="6">
        <v>14.6025209755362</v>
      </c>
      <c r="J1609" s="6">
        <v>12.7647637444471</v>
      </c>
      <c r="K1609" s="6">
        <v>13.5584289419429</v>
      </c>
      <c r="L1609" s="6">
        <v>14.148826764503299</v>
      </c>
      <c r="M1609" s="6">
        <v>13.421203585296601</v>
      </c>
      <c r="N1609" s="6">
        <v>13.385906709107701</v>
      </c>
      <c r="O1609" s="6">
        <v>13.9054478083861</v>
      </c>
      <c r="P1609" s="6">
        <v>13.7410875087311</v>
      </c>
      <c r="Q1609" s="6" t="s">
        <v>6254</v>
      </c>
    </row>
    <row r="1610" spans="1:17">
      <c r="A1610" s="6" t="s">
        <v>2311</v>
      </c>
      <c r="B1610" s="6" t="s">
        <v>2311</v>
      </c>
      <c r="C1610" s="6" t="s">
        <v>10936</v>
      </c>
      <c r="D1610" s="6" t="s">
        <v>10937</v>
      </c>
      <c r="E1610" s="6" t="s">
        <v>10937</v>
      </c>
      <c r="F1610" s="6">
        <v>14.112468543940899</v>
      </c>
      <c r="G1610" s="6">
        <v>14.015296445639001</v>
      </c>
      <c r="H1610" s="6">
        <v>13.631819811856699</v>
      </c>
      <c r="I1610" s="6">
        <v>14.2960723276497</v>
      </c>
      <c r="J1610" s="6">
        <v>12.932740701164899</v>
      </c>
      <c r="K1610" s="6">
        <v>13.637988169899501</v>
      </c>
      <c r="L1610" s="6">
        <v>13.966605722354499</v>
      </c>
      <c r="M1610" s="6">
        <v>12.823859203588899</v>
      </c>
      <c r="N1610" s="6">
        <v>12.802564690815</v>
      </c>
      <c r="O1610" s="6">
        <v>13.696358066171401</v>
      </c>
      <c r="P1610" s="6">
        <v>13.4470223765973</v>
      </c>
      <c r="Q1610" s="6" t="s">
        <v>6254</v>
      </c>
    </row>
    <row r="1611" spans="1:17">
      <c r="A1611" s="6" t="s">
        <v>3240</v>
      </c>
      <c r="B1611" s="6" t="s">
        <v>3240</v>
      </c>
      <c r="C1611" s="6" t="s">
        <v>10938</v>
      </c>
      <c r="D1611" s="6" t="s">
        <v>10939</v>
      </c>
      <c r="E1611" s="6" t="s">
        <v>10939</v>
      </c>
      <c r="F1611" s="6">
        <v>14.3219932848037</v>
      </c>
      <c r="G1611" s="6">
        <v>13.861315696068999</v>
      </c>
      <c r="H1611" s="6">
        <v>14.1141652892248</v>
      </c>
      <c r="I1611" s="6">
        <v>14.3756688510855</v>
      </c>
      <c r="J1611" s="6">
        <v>13.131184306692999</v>
      </c>
      <c r="K1611" s="6">
        <v>13.335363774266501</v>
      </c>
      <c r="L1611" s="6">
        <v>14.1144459809185</v>
      </c>
      <c r="M1611" s="6">
        <v>13.102951637406299</v>
      </c>
      <c r="N1611" s="6">
        <v>14.1128987175949</v>
      </c>
      <c r="O1611" s="6">
        <v>14.1147639850715</v>
      </c>
      <c r="P1611" s="6">
        <v>14.2753740729241</v>
      </c>
      <c r="Q1611" s="6">
        <v>12.1150586115682</v>
      </c>
    </row>
    <row r="1612" spans="1:17">
      <c r="A1612" s="6" t="s">
        <v>2048</v>
      </c>
      <c r="B1612" s="6" t="s">
        <v>2048</v>
      </c>
      <c r="C1612" s="6" t="s">
        <v>10940</v>
      </c>
      <c r="D1612" s="6" t="s">
        <v>10941</v>
      </c>
      <c r="E1612" s="6" t="s">
        <v>10941</v>
      </c>
      <c r="F1612" s="6">
        <v>14.2219329776465</v>
      </c>
      <c r="G1612" s="6">
        <v>13.424266074125301</v>
      </c>
      <c r="H1612" s="6">
        <v>13.8152739984293</v>
      </c>
      <c r="I1612" s="6">
        <v>14.480784147341399</v>
      </c>
      <c r="J1612" s="6">
        <v>12.889727672809</v>
      </c>
      <c r="K1612" s="6">
        <v>13.531878231494799</v>
      </c>
      <c r="L1612" s="6">
        <v>14.2652847105138</v>
      </c>
      <c r="M1612" s="6">
        <v>12.9341634131716</v>
      </c>
      <c r="N1612" s="6">
        <v>13.636667734344799</v>
      </c>
      <c r="O1612" s="6">
        <v>14.0343456137256</v>
      </c>
      <c r="P1612" s="6">
        <v>13.0330919878411</v>
      </c>
      <c r="Q1612" s="6">
        <v>12.5605484469679</v>
      </c>
    </row>
    <row r="1613" spans="1:17">
      <c r="A1613" s="6" t="s">
        <v>3838</v>
      </c>
      <c r="B1613" s="6" t="s">
        <v>3838</v>
      </c>
      <c r="C1613" s="6" t="s">
        <v>10942</v>
      </c>
      <c r="D1613" s="6" t="s">
        <v>10943</v>
      </c>
      <c r="E1613" s="6" t="s">
        <v>10943</v>
      </c>
      <c r="F1613" s="6">
        <v>14.2146089444011</v>
      </c>
      <c r="G1613" s="6">
        <v>13.9609237805864</v>
      </c>
      <c r="H1613" s="6">
        <v>13.4760513413826</v>
      </c>
      <c r="I1613" s="6">
        <v>14.4691011468634</v>
      </c>
      <c r="J1613" s="6">
        <v>12.512604435296099</v>
      </c>
      <c r="K1613" s="6">
        <v>13.6538603591988</v>
      </c>
      <c r="L1613" s="6">
        <v>14.2934148635619</v>
      </c>
      <c r="M1613" s="6">
        <v>12.5771618211055</v>
      </c>
      <c r="N1613" s="6">
        <v>13.511398485372601</v>
      </c>
      <c r="O1613" s="6">
        <v>14.0750208008516</v>
      </c>
      <c r="P1613" s="6">
        <v>13.7605204866621</v>
      </c>
      <c r="Q1613" s="6" t="s">
        <v>6254</v>
      </c>
    </row>
    <row r="1614" spans="1:17">
      <c r="A1614" s="6" t="s">
        <v>2971</v>
      </c>
      <c r="B1614" s="6" t="s">
        <v>2971</v>
      </c>
      <c r="C1614" s="6" t="s">
        <v>10944</v>
      </c>
      <c r="D1614" s="6" t="s">
        <v>10945</v>
      </c>
      <c r="E1614" s="6" t="s">
        <v>10945</v>
      </c>
      <c r="F1614" s="6">
        <v>14.229569364737101</v>
      </c>
      <c r="G1614" s="6">
        <v>14.100061723433001</v>
      </c>
      <c r="H1614" s="6">
        <v>13.349272111106201</v>
      </c>
      <c r="I1614" s="6">
        <v>14.526425815891301</v>
      </c>
      <c r="J1614" s="6">
        <v>12.282721688919301</v>
      </c>
      <c r="K1614" s="6">
        <v>13.700455876524099</v>
      </c>
      <c r="L1614" s="6">
        <v>14.9484917747716</v>
      </c>
      <c r="M1614" s="6">
        <v>12.3222329571462</v>
      </c>
      <c r="N1614" s="6">
        <v>13.233713142891601</v>
      </c>
      <c r="O1614" s="6">
        <v>14.3430407339668</v>
      </c>
      <c r="P1614" s="6">
        <v>13.529861254018201</v>
      </c>
      <c r="Q1614" s="6">
        <v>11.8851176505163</v>
      </c>
    </row>
    <row r="1615" spans="1:17">
      <c r="A1615" s="6" t="s">
        <v>4837</v>
      </c>
      <c r="B1615" s="6" t="s">
        <v>4837</v>
      </c>
      <c r="C1615" s="6" t="s">
        <v>10946</v>
      </c>
      <c r="D1615" s="6" t="s">
        <v>10947</v>
      </c>
      <c r="E1615" s="6" t="s">
        <v>10947</v>
      </c>
      <c r="F1615" s="6">
        <v>13.7993406475456</v>
      </c>
      <c r="G1615" s="6">
        <v>14.483694878324</v>
      </c>
      <c r="H1615" s="6">
        <v>13.987856870520201</v>
      </c>
      <c r="I1615" s="6">
        <v>13.800556116651601</v>
      </c>
      <c r="J1615" s="6">
        <v>13.114277718198201</v>
      </c>
      <c r="K1615" s="6">
        <v>13.3198344202083</v>
      </c>
      <c r="L1615" s="6">
        <v>14.704116962352799</v>
      </c>
      <c r="M1615" s="6">
        <v>13.1298675933004</v>
      </c>
      <c r="N1615" s="6">
        <v>13.8880598643835</v>
      </c>
      <c r="O1615" s="6">
        <v>14.012137129754301</v>
      </c>
      <c r="P1615" s="6">
        <v>13.5645126211913</v>
      </c>
      <c r="Q1615" s="6">
        <v>12.4776073277301</v>
      </c>
    </row>
    <row r="1616" spans="1:17">
      <c r="A1616" s="6" t="s">
        <v>10948</v>
      </c>
      <c r="B1616" s="6" t="s">
        <v>10949</v>
      </c>
      <c r="C1616" s="6" t="s">
        <v>10950</v>
      </c>
      <c r="D1616" s="6" t="s">
        <v>10951</v>
      </c>
      <c r="E1616" s="6" t="s">
        <v>10952</v>
      </c>
      <c r="F1616" s="6">
        <v>14.300137433770299</v>
      </c>
      <c r="G1616" s="6" t="s">
        <v>6254</v>
      </c>
      <c r="H1616" s="6">
        <v>13.8500584982893</v>
      </c>
      <c r="I1616" s="6">
        <v>14.506557237189201</v>
      </c>
      <c r="J1616" s="6">
        <v>13.3653540607284</v>
      </c>
      <c r="K1616" s="6">
        <v>14.125710223689399</v>
      </c>
      <c r="L1616" s="6">
        <v>14.080622294655999</v>
      </c>
      <c r="M1616" s="6">
        <v>12.754958757941001</v>
      </c>
      <c r="N1616" s="6" t="s">
        <v>6254</v>
      </c>
      <c r="O1616" s="6">
        <v>14.0135936127315</v>
      </c>
      <c r="P1616" s="6">
        <v>14.5900347937947</v>
      </c>
      <c r="Q1616" s="6" t="s">
        <v>6254</v>
      </c>
    </row>
    <row r="1617" spans="1:17">
      <c r="A1617" s="6" t="s">
        <v>10953</v>
      </c>
      <c r="B1617" s="6" t="s">
        <v>10954</v>
      </c>
      <c r="C1617" s="6" t="s">
        <v>10955</v>
      </c>
      <c r="D1617" s="6" t="s">
        <v>10956</v>
      </c>
      <c r="E1617" s="6" t="s">
        <v>10957</v>
      </c>
      <c r="F1617" s="6">
        <v>13.686007260259199</v>
      </c>
      <c r="G1617" s="6" t="s">
        <v>6254</v>
      </c>
      <c r="H1617" s="6" t="s">
        <v>6254</v>
      </c>
      <c r="I1617" s="6">
        <v>14.6087105060962</v>
      </c>
      <c r="J1617" s="6">
        <v>12.7925423256795</v>
      </c>
      <c r="K1617" s="6">
        <v>14.4695863858816</v>
      </c>
      <c r="L1617" s="6">
        <v>14.607703046835899</v>
      </c>
      <c r="M1617" s="6" t="s">
        <v>6254</v>
      </c>
      <c r="N1617" s="6" t="s">
        <v>6254</v>
      </c>
      <c r="O1617" s="6">
        <v>14.145180075232901</v>
      </c>
      <c r="P1617" s="6">
        <v>14.110221904462</v>
      </c>
      <c r="Q1617" s="6" t="s">
        <v>6254</v>
      </c>
    </row>
    <row r="1618" spans="1:17">
      <c r="A1618" s="6" t="s">
        <v>10958</v>
      </c>
      <c r="B1618" s="6" t="s">
        <v>10959</v>
      </c>
      <c r="C1618" s="6" t="s">
        <v>10960</v>
      </c>
      <c r="D1618" s="6" t="s">
        <v>10961</v>
      </c>
      <c r="E1618" s="6" t="s">
        <v>10962</v>
      </c>
      <c r="F1618" s="6">
        <v>14.1596865995083</v>
      </c>
      <c r="G1618" s="6">
        <v>13.9858260746587</v>
      </c>
      <c r="H1618" s="6">
        <v>13.746019425219799</v>
      </c>
      <c r="I1618" s="6">
        <v>14.2470042518309</v>
      </c>
      <c r="J1618" s="6">
        <v>13.083531647775599</v>
      </c>
      <c r="K1618" s="6">
        <v>13.518674301357301</v>
      </c>
      <c r="L1618" s="6">
        <v>14.0065571368681</v>
      </c>
      <c r="M1618" s="6">
        <v>13.0809881246992</v>
      </c>
      <c r="N1618" s="6">
        <v>13.3453105815277</v>
      </c>
      <c r="O1618" s="6">
        <v>13.928613385125599</v>
      </c>
      <c r="P1618" s="6">
        <v>13.7580776610555</v>
      </c>
      <c r="Q1618" s="6">
        <v>12.3819503301496</v>
      </c>
    </row>
    <row r="1619" spans="1:17">
      <c r="A1619" s="6" t="s">
        <v>10963</v>
      </c>
      <c r="B1619" s="6" t="s">
        <v>10964</v>
      </c>
      <c r="C1619" s="6" t="s">
        <v>10965</v>
      </c>
      <c r="D1619" s="6" t="s">
        <v>10966</v>
      </c>
      <c r="E1619" s="6" t="s">
        <v>10967</v>
      </c>
      <c r="F1619" s="6">
        <v>13.2204297582787</v>
      </c>
      <c r="G1619" s="6">
        <v>12.8319129422499</v>
      </c>
      <c r="H1619" s="6">
        <v>13.5480779971993</v>
      </c>
      <c r="I1619" s="6">
        <v>14.9844353864932</v>
      </c>
      <c r="J1619" s="6" t="s">
        <v>6254</v>
      </c>
      <c r="K1619" s="6">
        <v>14.069370111387499</v>
      </c>
      <c r="L1619" s="6">
        <v>15.911588588604801</v>
      </c>
      <c r="M1619" s="6">
        <v>13.164683538297099</v>
      </c>
      <c r="N1619" s="6">
        <v>12.772486886032</v>
      </c>
      <c r="O1619" s="6">
        <v>12.9519456696872</v>
      </c>
      <c r="P1619" s="6">
        <v>13.2775421351601</v>
      </c>
      <c r="Q1619" s="6" t="s">
        <v>6254</v>
      </c>
    </row>
    <row r="1620" spans="1:17">
      <c r="A1620" s="6" t="s">
        <v>10968</v>
      </c>
      <c r="B1620" s="6" t="s">
        <v>10969</v>
      </c>
      <c r="C1620" s="6" t="s">
        <v>10970</v>
      </c>
      <c r="D1620" s="6" t="s">
        <v>10971</v>
      </c>
      <c r="E1620" s="6" t="s">
        <v>10972</v>
      </c>
      <c r="F1620" s="6">
        <v>14.2174725339452</v>
      </c>
      <c r="G1620" s="6">
        <v>13.4471138989603</v>
      </c>
      <c r="H1620" s="6">
        <v>13.077716249782201</v>
      </c>
      <c r="I1620" s="6">
        <v>14.0507205411706</v>
      </c>
      <c r="J1620" s="6" t="s">
        <v>6254</v>
      </c>
      <c r="K1620" s="6">
        <v>13.3440807928926</v>
      </c>
      <c r="L1620" s="6">
        <v>14.086456756515</v>
      </c>
      <c r="M1620" s="6" t="s">
        <v>6254</v>
      </c>
      <c r="N1620" s="6">
        <v>13.1463742140877</v>
      </c>
      <c r="O1620" s="6">
        <v>12.913884898205</v>
      </c>
      <c r="P1620" s="6">
        <v>14.3376612153523</v>
      </c>
      <c r="Q1620" s="6" t="s">
        <v>6254</v>
      </c>
    </row>
    <row r="1621" spans="1:17">
      <c r="A1621" s="6" t="s">
        <v>10973</v>
      </c>
      <c r="B1621" s="6" t="s">
        <v>10974</v>
      </c>
      <c r="C1621" s="6" t="s">
        <v>10975</v>
      </c>
      <c r="D1621" s="6" t="s">
        <v>10976</v>
      </c>
      <c r="E1621" s="6" t="s">
        <v>10977</v>
      </c>
      <c r="F1621" s="6">
        <v>13.057195830209601</v>
      </c>
      <c r="G1621" s="6">
        <v>13.275912034030901</v>
      </c>
      <c r="H1621" s="6" t="s">
        <v>6254</v>
      </c>
      <c r="I1621" s="6">
        <v>14.0649843005035</v>
      </c>
      <c r="J1621" s="6" t="s">
        <v>6254</v>
      </c>
      <c r="K1621" s="6" t="s">
        <v>6254</v>
      </c>
      <c r="L1621" s="6" t="s">
        <v>6254</v>
      </c>
      <c r="M1621" s="6" t="s">
        <v>6254</v>
      </c>
      <c r="N1621" s="6">
        <v>15.4711991063458</v>
      </c>
      <c r="O1621" s="6" t="s">
        <v>6254</v>
      </c>
      <c r="P1621" s="6" t="s">
        <v>6254</v>
      </c>
      <c r="Q1621" s="6" t="s">
        <v>6254</v>
      </c>
    </row>
    <row r="1622" spans="1:17">
      <c r="A1622" s="6" t="s">
        <v>10978</v>
      </c>
      <c r="B1622" s="6" t="s">
        <v>10979</v>
      </c>
      <c r="C1622" s="6" t="s">
        <v>10980</v>
      </c>
      <c r="D1622" s="6" t="s">
        <v>10981</v>
      </c>
      <c r="E1622" s="6" t="s">
        <v>10982</v>
      </c>
      <c r="F1622" s="6" t="s">
        <v>6254</v>
      </c>
      <c r="G1622" s="6">
        <v>13.2904901728366</v>
      </c>
      <c r="H1622" s="6">
        <v>13.437650554288499</v>
      </c>
      <c r="I1622" s="6">
        <v>14.609486696045</v>
      </c>
      <c r="J1622" s="6">
        <v>12.5707876862717</v>
      </c>
      <c r="K1622" s="6" t="s">
        <v>6254</v>
      </c>
      <c r="L1622" s="6">
        <v>13.869834386070099</v>
      </c>
      <c r="M1622" s="6" t="s">
        <v>6254</v>
      </c>
      <c r="N1622" s="6">
        <v>13.209389607144701</v>
      </c>
      <c r="O1622" s="6">
        <v>13.9343467132698</v>
      </c>
      <c r="P1622" s="6">
        <v>13.9961845585402</v>
      </c>
      <c r="Q1622" s="6" t="s">
        <v>6254</v>
      </c>
    </row>
    <row r="1623" spans="1:17">
      <c r="A1623" s="6" t="s">
        <v>3722</v>
      </c>
      <c r="B1623" s="6" t="s">
        <v>3722</v>
      </c>
      <c r="C1623" s="6" t="s">
        <v>10983</v>
      </c>
      <c r="D1623" s="6" t="s">
        <v>10984</v>
      </c>
      <c r="E1623" s="6" t="s">
        <v>10984</v>
      </c>
      <c r="F1623" s="6">
        <v>14.580794476353301</v>
      </c>
      <c r="G1623" s="6">
        <v>13.4537802818336</v>
      </c>
      <c r="H1623" s="6">
        <v>13.774747219077801</v>
      </c>
      <c r="I1623" s="6">
        <v>13.872023841481001</v>
      </c>
      <c r="J1623" s="6">
        <v>12.5194123966194</v>
      </c>
      <c r="K1623" s="6" t="s">
        <v>6254</v>
      </c>
      <c r="L1623" s="6">
        <v>14.286363076091799</v>
      </c>
      <c r="M1623" s="6" t="s">
        <v>6254</v>
      </c>
      <c r="N1623" s="6" t="s">
        <v>6254</v>
      </c>
      <c r="O1623" s="6">
        <v>13.5429727010274</v>
      </c>
      <c r="P1623" s="6">
        <v>14.8305951212112</v>
      </c>
      <c r="Q1623" s="6" t="s">
        <v>6254</v>
      </c>
    </row>
    <row r="1624" spans="1:17">
      <c r="A1624" s="6" t="s">
        <v>3678</v>
      </c>
      <c r="B1624" s="6" t="s">
        <v>3678</v>
      </c>
      <c r="C1624" s="6" t="s">
        <v>10985</v>
      </c>
      <c r="D1624" s="6" t="s">
        <v>10986</v>
      </c>
      <c r="E1624" s="6" t="s">
        <v>10986</v>
      </c>
      <c r="F1624" s="6">
        <v>14.041303767496499</v>
      </c>
      <c r="G1624" s="6">
        <v>13.796764267379199</v>
      </c>
      <c r="H1624" s="6">
        <v>13.308845436985401</v>
      </c>
      <c r="I1624" s="6">
        <v>14.234017012378001</v>
      </c>
      <c r="J1624" s="6">
        <v>12.903341007506301</v>
      </c>
      <c r="K1624" s="6">
        <v>13.4455904424756</v>
      </c>
      <c r="L1624" s="6">
        <v>13.9791655281694</v>
      </c>
      <c r="M1624" s="6">
        <v>12.646723845531399</v>
      </c>
      <c r="N1624" s="6">
        <v>12.730438344294599</v>
      </c>
      <c r="O1624" s="6">
        <v>14.281376603078099</v>
      </c>
      <c r="P1624" s="6">
        <v>13.8708151119614</v>
      </c>
      <c r="Q1624" s="6">
        <v>13.225941818660299</v>
      </c>
    </row>
    <row r="1625" spans="1:17">
      <c r="A1625" s="6" t="s">
        <v>10987</v>
      </c>
      <c r="B1625" s="6" t="s">
        <v>10988</v>
      </c>
      <c r="C1625" s="6" t="s">
        <v>10989</v>
      </c>
      <c r="D1625" s="6" t="s">
        <v>10990</v>
      </c>
      <c r="E1625" s="6" t="s">
        <v>10991</v>
      </c>
      <c r="F1625" s="6" t="s">
        <v>6254</v>
      </c>
      <c r="G1625" s="6" t="s">
        <v>6254</v>
      </c>
      <c r="H1625" s="6">
        <v>13.684075704681501</v>
      </c>
      <c r="I1625" s="6" t="s">
        <v>6254</v>
      </c>
      <c r="J1625" s="6" t="s">
        <v>6254</v>
      </c>
      <c r="K1625" s="6" t="s">
        <v>6254</v>
      </c>
      <c r="L1625" s="6" t="s">
        <v>6254</v>
      </c>
      <c r="M1625" s="6" t="s">
        <v>6254</v>
      </c>
      <c r="N1625" s="6">
        <v>13.886438062007899</v>
      </c>
      <c r="O1625" s="6" t="s">
        <v>6254</v>
      </c>
      <c r="P1625" s="6" t="s">
        <v>6254</v>
      </c>
      <c r="Q1625" s="6">
        <v>13.200392149686101</v>
      </c>
    </row>
    <row r="1626" spans="1:17">
      <c r="A1626" s="6" t="s">
        <v>10992</v>
      </c>
      <c r="B1626" s="6" t="s">
        <v>10993</v>
      </c>
      <c r="C1626" s="6" t="s">
        <v>10994</v>
      </c>
      <c r="D1626" s="6" t="s">
        <v>10995</v>
      </c>
      <c r="E1626" s="6" t="s">
        <v>10996</v>
      </c>
      <c r="F1626" s="6">
        <v>13.7208816507577</v>
      </c>
      <c r="G1626" s="6">
        <v>13.5029341211284</v>
      </c>
      <c r="H1626" s="6" t="s">
        <v>6254</v>
      </c>
      <c r="I1626" s="6">
        <v>14.1980958368824</v>
      </c>
      <c r="J1626" s="6" t="s">
        <v>6254</v>
      </c>
      <c r="K1626" s="6" t="s">
        <v>6254</v>
      </c>
      <c r="L1626" s="6">
        <v>13.545586544898001</v>
      </c>
      <c r="M1626" s="6" t="s">
        <v>6254</v>
      </c>
      <c r="N1626" s="6" t="s">
        <v>6254</v>
      </c>
      <c r="O1626" s="6" t="s">
        <v>6254</v>
      </c>
      <c r="P1626" s="6" t="s">
        <v>6254</v>
      </c>
      <c r="Q1626" s="6" t="s">
        <v>6254</v>
      </c>
    </row>
    <row r="1627" spans="1:17">
      <c r="A1627" s="6" t="s">
        <v>10997</v>
      </c>
      <c r="B1627" s="6" t="s">
        <v>10998</v>
      </c>
      <c r="C1627" s="6" t="s">
        <v>10999</v>
      </c>
      <c r="D1627" s="6" t="s">
        <v>11000</v>
      </c>
      <c r="E1627" s="6" t="s">
        <v>11001</v>
      </c>
      <c r="F1627" s="6">
        <v>14.4911758691666</v>
      </c>
      <c r="G1627" s="6">
        <v>13.1399300148852</v>
      </c>
      <c r="H1627" s="6">
        <v>14.102420353157999</v>
      </c>
      <c r="I1627" s="6">
        <v>13.4375703527108</v>
      </c>
      <c r="J1627" s="6">
        <v>13.7841876643401</v>
      </c>
      <c r="K1627" s="6">
        <v>14.058894889052</v>
      </c>
      <c r="L1627" s="6">
        <v>14.4424983602028</v>
      </c>
      <c r="M1627" s="6">
        <v>13.119277619889999</v>
      </c>
      <c r="N1627" s="6">
        <v>13.7675125557875</v>
      </c>
      <c r="O1627" s="6">
        <v>14.189157136213099</v>
      </c>
      <c r="P1627" s="6">
        <v>9.7585548705877407</v>
      </c>
      <c r="Q1627" s="6">
        <v>12.435254458136299</v>
      </c>
    </row>
    <row r="1628" spans="1:17">
      <c r="A1628" s="6" t="s">
        <v>2755</v>
      </c>
      <c r="B1628" s="6" t="s">
        <v>2755</v>
      </c>
      <c r="C1628" s="6" t="s">
        <v>11002</v>
      </c>
      <c r="D1628" s="6" t="s">
        <v>11003</v>
      </c>
      <c r="E1628" s="6" t="s">
        <v>11003</v>
      </c>
      <c r="F1628" s="6">
        <v>14.3734310364202</v>
      </c>
      <c r="G1628" s="6">
        <v>14.3592410984715</v>
      </c>
      <c r="H1628" s="6">
        <v>13.3087469053186</v>
      </c>
      <c r="I1628" s="6">
        <v>13.9191006697374</v>
      </c>
      <c r="J1628" s="6">
        <v>13.129239060887199</v>
      </c>
      <c r="K1628" s="6">
        <v>13.5043719304478</v>
      </c>
      <c r="L1628" s="6">
        <v>14.156650285790301</v>
      </c>
      <c r="M1628" s="6">
        <v>12.8861387000136</v>
      </c>
      <c r="N1628" s="6">
        <v>13.0360162434408</v>
      </c>
      <c r="O1628" s="6">
        <v>13.886477037673201</v>
      </c>
      <c r="P1628" s="6">
        <v>13.614438703296001</v>
      </c>
      <c r="Q1628" s="6">
        <v>12.6933649258262</v>
      </c>
    </row>
    <row r="1629" spans="1:17">
      <c r="A1629" s="6" t="s">
        <v>3805</v>
      </c>
      <c r="B1629" s="6" t="s">
        <v>3805</v>
      </c>
      <c r="C1629" s="6" t="s">
        <v>11004</v>
      </c>
      <c r="D1629" s="6" t="s">
        <v>11005</v>
      </c>
      <c r="E1629" s="6" t="s">
        <v>11005</v>
      </c>
      <c r="F1629" s="6">
        <v>13.717187784759201</v>
      </c>
      <c r="G1629" s="6" t="s">
        <v>6254</v>
      </c>
      <c r="H1629" s="6" t="s">
        <v>6254</v>
      </c>
      <c r="I1629" s="6">
        <v>14.1576728199967</v>
      </c>
      <c r="J1629" s="6" t="s">
        <v>6254</v>
      </c>
      <c r="K1629" s="6" t="s">
        <v>6254</v>
      </c>
      <c r="L1629" s="6">
        <v>13.1270201281549</v>
      </c>
      <c r="M1629" s="6" t="s">
        <v>6254</v>
      </c>
      <c r="N1629" s="6" t="s">
        <v>6254</v>
      </c>
      <c r="O1629" s="6">
        <v>12.5103429998859</v>
      </c>
      <c r="P1629" s="6">
        <v>13.9346354139832</v>
      </c>
      <c r="Q1629" s="6" t="s">
        <v>6254</v>
      </c>
    </row>
    <row r="1630" spans="1:17">
      <c r="A1630" s="6" t="s">
        <v>2309</v>
      </c>
      <c r="B1630" s="6" t="s">
        <v>2309</v>
      </c>
      <c r="C1630" s="6" t="s">
        <v>11006</v>
      </c>
      <c r="D1630" s="6" t="s">
        <v>11007</v>
      </c>
      <c r="E1630" s="6" t="s">
        <v>11007</v>
      </c>
      <c r="F1630" s="6">
        <v>14.0568346565961</v>
      </c>
      <c r="G1630" s="6">
        <v>13.588303439491</v>
      </c>
      <c r="H1630" s="6">
        <v>13.464089593783299</v>
      </c>
      <c r="I1630" s="6">
        <v>14.5055606508339</v>
      </c>
      <c r="J1630" s="6">
        <v>13.0179828132586</v>
      </c>
      <c r="K1630" s="6">
        <v>13.8309788707609</v>
      </c>
      <c r="L1630" s="6">
        <v>14.1859993625659</v>
      </c>
      <c r="M1630" s="6">
        <v>12.944680524046801</v>
      </c>
      <c r="N1630" s="6">
        <v>13.1763149555597</v>
      </c>
      <c r="O1630" s="6">
        <v>13.698230914329599</v>
      </c>
      <c r="P1630" s="6">
        <v>13.485294234741399</v>
      </c>
      <c r="Q1630" s="6">
        <v>13.099332482105099</v>
      </c>
    </row>
    <row r="1631" spans="1:17">
      <c r="A1631" s="6" t="s">
        <v>11008</v>
      </c>
      <c r="B1631" s="6" t="s">
        <v>11009</v>
      </c>
      <c r="C1631" s="6" t="s">
        <v>11010</v>
      </c>
      <c r="D1631" s="6" t="s">
        <v>11011</v>
      </c>
      <c r="E1631" s="6" t="s">
        <v>11012</v>
      </c>
      <c r="F1631" s="6">
        <v>14.7516444436189</v>
      </c>
      <c r="G1631" s="6" t="s">
        <v>6254</v>
      </c>
      <c r="H1631" s="6" t="s">
        <v>6254</v>
      </c>
      <c r="I1631" s="6" t="s">
        <v>6254</v>
      </c>
      <c r="J1631" s="6" t="s">
        <v>6254</v>
      </c>
      <c r="K1631" s="6" t="s">
        <v>6254</v>
      </c>
      <c r="L1631" s="6" t="s">
        <v>6254</v>
      </c>
      <c r="M1631" s="6" t="s">
        <v>6254</v>
      </c>
      <c r="N1631" s="6">
        <v>14.204420487928701</v>
      </c>
      <c r="O1631" s="6" t="s">
        <v>6254</v>
      </c>
      <c r="P1631" s="6" t="s">
        <v>6254</v>
      </c>
      <c r="Q1631" s="6" t="s">
        <v>6254</v>
      </c>
    </row>
    <row r="1632" spans="1:17">
      <c r="A1632" s="6" t="s">
        <v>4279</v>
      </c>
      <c r="B1632" s="6" t="s">
        <v>4279</v>
      </c>
      <c r="C1632" s="6" t="s">
        <v>11013</v>
      </c>
      <c r="D1632" s="6" t="s">
        <v>11014</v>
      </c>
      <c r="E1632" s="6" t="s">
        <v>11014</v>
      </c>
      <c r="F1632" s="6">
        <v>14.3450323555466</v>
      </c>
      <c r="G1632" s="6" t="s">
        <v>6254</v>
      </c>
      <c r="H1632" s="6" t="s">
        <v>6254</v>
      </c>
      <c r="I1632" s="6">
        <v>14.305670659418601</v>
      </c>
      <c r="J1632" s="6" t="s">
        <v>6254</v>
      </c>
      <c r="K1632" s="6" t="s">
        <v>6254</v>
      </c>
      <c r="L1632" s="6">
        <v>13.345614241251599</v>
      </c>
      <c r="M1632" s="6" t="s">
        <v>6254</v>
      </c>
      <c r="N1632" s="6">
        <v>13.0599753802025</v>
      </c>
      <c r="O1632" s="6">
        <v>14.100784104653901</v>
      </c>
      <c r="P1632" s="6">
        <v>13.449645432633099</v>
      </c>
      <c r="Q1632" s="6" t="s">
        <v>6254</v>
      </c>
    </row>
    <row r="1633" spans="1:17">
      <c r="A1633" s="6" t="s">
        <v>11015</v>
      </c>
      <c r="B1633" s="6" t="s">
        <v>11016</v>
      </c>
      <c r="C1633" s="6" t="s">
        <v>11017</v>
      </c>
      <c r="D1633" s="6" t="s">
        <v>11018</v>
      </c>
      <c r="E1633" s="6" t="s">
        <v>11019</v>
      </c>
      <c r="F1633" s="6">
        <v>14.116111631884801</v>
      </c>
      <c r="G1633" s="6">
        <v>12.8329785752651</v>
      </c>
      <c r="H1633" s="6">
        <v>14.0042579656913</v>
      </c>
      <c r="I1633" s="6">
        <v>14.2600257104686</v>
      </c>
      <c r="J1633" s="6">
        <v>12.6765626752847</v>
      </c>
      <c r="K1633" s="6">
        <v>13.1821970789175</v>
      </c>
      <c r="L1633" s="6">
        <v>14.011507873322</v>
      </c>
      <c r="M1633" s="6">
        <v>12.6123969471591</v>
      </c>
      <c r="N1633" s="6">
        <v>13.9737089562893</v>
      </c>
      <c r="O1633" s="6">
        <v>14.264569953039899</v>
      </c>
      <c r="P1633" s="6">
        <v>13.852152124730599</v>
      </c>
      <c r="Q1633" s="6" t="s">
        <v>6254</v>
      </c>
    </row>
    <row r="1634" spans="1:17">
      <c r="A1634" s="6" t="s">
        <v>5153</v>
      </c>
      <c r="B1634" s="6" t="s">
        <v>5153</v>
      </c>
      <c r="C1634" s="6" t="s">
        <v>11020</v>
      </c>
      <c r="D1634" s="6" t="s">
        <v>11021</v>
      </c>
      <c r="E1634" s="6" t="s">
        <v>11021</v>
      </c>
      <c r="F1634" s="6">
        <v>12.694499826072001</v>
      </c>
      <c r="G1634" s="6">
        <v>13.199672493546201</v>
      </c>
      <c r="H1634" s="6">
        <v>14.2652022012965</v>
      </c>
      <c r="I1634" s="6">
        <v>14.1385156974826</v>
      </c>
      <c r="J1634" s="6">
        <v>12.824176323173299</v>
      </c>
      <c r="K1634" s="6">
        <v>13.4667378697403</v>
      </c>
      <c r="L1634" s="6">
        <v>14.476571874315001</v>
      </c>
      <c r="M1634" s="6" t="s">
        <v>6254</v>
      </c>
      <c r="N1634" s="6">
        <v>13.1635683917179</v>
      </c>
      <c r="O1634" s="6">
        <v>14.3127177347078</v>
      </c>
      <c r="P1634" s="6">
        <v>14.316869734692901</v>
      </c>
      <c r="Q1634" s="6">
        <v>12.211376500086301</v>
      </c>
    </row>
    <row r="1635" spans="1:17">
      <c r="A1635" s="6" t="s">
        <v>11022</v>
      </c>
      <c r="B1635" s="6" t="s">
        <v>11023</v>
      </c>
      <c r="C1635" s="6" t="s">
        <v>11024</v>
      </c>
      <c r="D1635" s="6" t="s">
        <v>11025</v>
      </c>
      <c r="E1635" s="6" t="s">
        <v>11026</v>
      </c>
      <c r="F1635" s="6">
        <v>14.1535380615981</v>
      </c>
      <c r="G1635" s="6">
        <v>13.4621412406813</v>
      </c>
      <c r="H1635" s="6" t="s">
        <v>6254</v>
      </c>
      <c r="I1635" s="6" t="s">
        <v>6254</v>
      </c>
      <c r="J1635" s="6" t="s">
        <v>6254</v>
      </c>
      <c r="K1635" s="6" t="s">
        <v>6254</v>
      </c>
      <c r="L1635" s="6">
        <v>13.3352512362064</v>
      </c>
      <c r="M1635" s="6" t="s">
        <v>6254</v>
      </c>
      <c r="N1635" s="6">
        <v>14.2296614521333</v>
      </c>
      <c r="O1635" s="6" t="s">
        <v>6254</v>
      </c>
      <c r="P1635" s="6" t="s">
        <v>6254</v>
      </c>
      <c r="Q1635" s="6" t="s">
        <v>6254</v>
      </c>
    </row>
    <row r="1636" spans="1:17">
      <c r="A1636" s="6" t="s">
        <v>11027</v>
      </c>
      <c r="B1636" s="6" t="s">
        <v>11028</v>
      </c>
      <c r="C1636" s="6" t="s">
        <v>11029</v>
      </c>
      <c r="D1636" s="6" t="s">
        <v>11030</v>
      </c>
      <c r="E1636" s="6" t="s">
        <v>11031</v>
      </c>
      <c r="F1636" s="6" t="s">
        <v>6254</v>
      </c>
      <c r="G1636" s="6" t="s">
        <v>6254</v>
      </c>
      <c r="H1636" s="6" t="s">
        <v>6254</v>
      </c>
      <c r="I1636" s="6" t="s">
        <v>6254</v>
      </c>
      <c r="J1636" s="6" t="s">
        <v>6254</v>
      </c>
      <c r="K1636" s="6" t="s">
        <v>6254</v>
      </c>
      <c r="L1636" s="6">
        <v>14.9635227771012</v>
      </c>
      <c r="M1636" s="6" t="s">
        <v>6254</v>
      </c>
      <c r="N1636" s="6" t="s">
        <v>6254</v>
      </c>
      <c r="O1636" s="6" t="s">
        <v>6254</v>
      </c>
      <c r="P1636" s="6" t="s">
        <v>6254</v>
      </c>
      <c r="Q1636" s="6" t="s">
        <v>6254</v>
      </c>
    </row>
    <row r="1637" spans="1:17">
      <c r="A1637" s="6" t="s">
        <v>11032</v>
      </c>
      <c r="B1637" s="6" t="s">
        <v>11033</v>
      </c>
      <c r="C1637" s="6" t="s">
        <v>11034</v>
      </c>
      <c r="D1637" s="6" t="s">
        <v>11035</v>
      </c>
      <c r="E1637" s="6" t="s">
        <v>11036</v>
      </c>
      <c r="F1637" s="6">
        <v>13.283923168814001</v>
      </c>
      <c r="G1637" s="6">
        <v>13.529293635193399</v>
      </c>
      <c r="H1637" s="6">
        <v>13.7247889069137</v>
      </c>
      <c r="I1637" s="6">
        <v>14.3312964287857</v>
      </c>
      <c r="J1637" s="6" t="s">
        <v>6254</v>
      </c>
      <c r="K1637" s="6" t="s">
        <v>6254</v>
      </c>
      <c r="L1637" s="6">
        <v>14.045985609015201</v>
      </c>
      <c r="M1637" s="6" t="s">
        <v>6254</v>
      </c>
      <c r="N1637" s="6" t="s">
        <v>6254</v>
      </c>
      <c r="O1637" s="6">
        <v>13.889595726640099</v>
      </c>
      <c r="P1637" s="6">
        <v>13.7837824413012</v>
      </c>
      <c r="Q1637" s="6" t="s">
        <v>6254</v>
      </c>
    </row>
    <row r="1638" spans="1:17">
      <c r="A1638" s="6" t="s">
        <v>11037</v>
      </c>
      <c r="B1638" s="6" t="s">
        <v>11038</v>
      </c>
      <c r="C1638" s="6" t="s">
        <v>11039</v>
      </c>
      <c r="D1638" s="6" t="s">
        <v>11040</v>
      </c>
      <c r="E1638" s="6" t="s">
        <v>11041</v>
      </c>
      <c r="F1638" s="6">
        <v>14.4208836979794</v>
      </c>
      <c r="G1638" s="6">
        <v>13.9777608450482</v>
      </c>
      <c r="H1638" s="6">
        <v>14.068176493340401</v>
      </c>
      <c r="I1638" s="6">
        <v>14.794192897388401</v>
      </c>
      <c r="J1638" s="6">
        <v>13.165089049571799</v>
      </c>
      <c r="K1638" s="6" t="s">
        <v>6254</v>
      </c>
      <c r="L1638" s="6">
        <v>13.959554076606301</v>
      </c>
      <c r="M1638" s="6">
        <v>13.3495407098342</v>
      </c>
      <c r="N1638" s="6">
        <v>14.087402800457401</v>
      </c>
      <c r="O1638" s="6">
        <v>14.218942551022399</v>
      </c>
      <c r="P1638" s="6">
        <v>13.7476247952139</v>
      </c>
      <c r="Q1638" s="6">
        <v>12.352464686961</v>
      </c>
    </row>
    <row r="1639" spans="1:17">
      <c r="A1639" s="6" t="s">
        <v>5000</v>
      </c>
      <c r="B1639" s="6" t="s">
        <v>5000</v>
      </c>
      <c r="C1639" s="6" t="s">
        <v>11042</v>
      </c>
      <c r="D1639" s="6" t="s">
        <v>11043</v>
      </c>
      <c r="E1639" s="6" t="s">
        <v>11043</v>
      </c>
      <c r="F1639" s="6" t="s">
        <v>6254</v>
      </c>
      <c r="G1639" s="6">
        <v>13.266075029556401</v>
      </c>
      <c r="H1639" s="6">
        <v>13.5810653040172</v>
      </c>
      <c r="I1639" s="6">
        <v>14.3572635530165</v>
      </c>
      <c r="J1639" s="6" t="s">
        <v>6254</v>
      </c>
      <c r="K1639" s="6">
        <v>13.8668646672827</v>
      </c>
      <c r="L1639" s="6">
        <v>13.974088263910801</v>
      </c>
      <c r="M1639" s="6" t="s">
        <v>6254</v>
      </c>
      <c r="N1639" s="6" t="s">
        <v>6254</v>
      </c>
      <c r="O1639" s="6">
        <v>13.4277571609031</v>
      </c>
      <c r="P1639" s="6">
        <v>14.2183131106865</v>
      </c>
      <c r="Q1639" s="6" t="s">
        <v>6254</v>
      </c>
    </row>
    <row r="1640" spans="1:17">
      <c r="A1640" s="6" t="s">
        <v>1490</v>
      </c>
      <c r="B1640" s="6" t="s">
        <v>1490</v>
      </c>
      <c r="C1640" s="6" t="s">
        <v>11044</v>
      </c>
      <c r="D1640" s="6" t="s">
        <v>11045</v>
      </c>
      <c r="E1640" s="6" t="s">
        <v>11045</v>
      </c>
      <c r="F1640" s="6">
        <v>13.352427119108199</v>
      </c>
      <c r="G1640" s="6">
        <v>14.3980609063921</v>
      </c>
      <c r="H1640" s="6">
        <v>12.052417769094999</v>
      </c>
      <c r="I1640" s="6">
        <v>15.7645989135727</v>
      </c>
      <c r="J1640" s="6">
        <v>12.6682498938161</v>
      </c>
      <c r="K1640" s="6">
        <v>13.432255748395701</v>
      </c>
      <c r="L1640" s="6">
        <v>13.830345445674901</v>
      </c>
      <c r="M1640" s="6">
        <v>14.4159941205124</v>
      </c>
      <c r="N1640" s="6">
        <v>12.8731703779569</v>
      </c>
      <c r="O1640" s="6">
        <v>13.9415610300917</v>
      </c>
      <c r="P1640" s="6">
        <v>14.741889906073199</v>
      </c>
      <c r="Q1640" s="6">
        <v>11.4958903558715</v>
      </c>
    </row>
    <row r="1641" spans="1:17">
      <c r="A1641" s="6" t="s">
        <v>4906</v>
      </c>
      <c r="B1641" s="6" t="s">
        <v>4906</v>
      </c>
      <c r="C1641" s="6" t="s">
        <v>11046</v>
      </c>
      <c r="D1641" s="6" t="s">
        <v>11047</v>
      </c>
      <c r="E1641" s="6" t="s">
        <v>11047</v>
      </c>
      <c r="F1641" s="6" t="s">
        <v>6254</v>
      </c>
      <c r="G1641" s="6">
        <v>15.020677214647099</v>
      </c>
      <c r="H1641" s="6" t="s">
        <v>6254</v>
      </c>
      <c r="I1641" s="6">
        <v>15.090116566739701</v>
      </c>
      <c r="J1641" s="6" t="s">
        <v>6254</v>
      </c>
      <c r="K1641" s="6" t="s">
        <v>6254</v>
      </c>
      <c r="L1641" s="6" t="s">
        <v>6254</v>
      </c>
      <c r="M1641" s="6" t="s">
        <v>6254</v>
      </c>
      <c r="N1641" s="6" t="s">
        <v>6254</v>
      </c>
      <c r="O1641" s="6">
        <v>12.734393004575001</v>
      </c>
      <c r="P1641" s="6" t="s">
        <v>6254</v>
      </c>
      <c r="Q1641" s="6">
        <v>11.7597878703655</v>
      </c>
    </row>
    <row r="1642" spans="1:17">
      <c r="A1642" s="6" t="s">
        <v>11048</v>
      </c>
      <c r="B1642" s="6" t="s">
        <v>11049</v>
      </c>
      <c r="C1642" s="6" t="s">
        <v>11050</v>
      </c>
      <c r="D1642" s="6" t="s">
        <v>11051</v>
      </c>
      <c r="E1642" s="6" t="s">
        <v>11052</v>
      </c>
      <c r="F1642" s="6" t="s">
        <v>6254</v>
      </c>
      <c r="G1642" s="6" t="s">
        <v>6254</v>
      </c>
      <c r="H1642" s="6" t="s">
        <v>6254</v>
      </c>
      <c r="I1642" s="6" t="s">
        <v>6254</v>
      </c>
      <c r="J1642" s="6" t="s">
        <v>6254</v>
      </c>
      <c r="K1642" s="6" t="s">
        <v>6254</v>
      </c>
      <c r="L1642" s="6" t="s">
        <v>6254</v>
      </c>
      <c r="M1642" s="6" t="s">
        <v>6254</v>
      </c>
      <c r="N1642" s="6" t="s">
        <v>6254</v>
      </c>
      <c r="O1642" s="6" t="s">
        <v>6254</v>
      </c>
      <c r="P1642" s="6" t="s">
        <v>6254</v>
      </c>
      <c r="Q1642" s="6" t="s">
        <v>6254</v>
      </c>
    </row>
    <row r="1643" spans="1:17">
      <c r="A1643" s="6" t="s">
        <v>11053</v>
      </c>
      <c r="B1643" s="6" t="s">
        <v>11054</v>
      </c>
      <c r="C1643" s="6" t="s">
        <v>11055</v>
      </c>
      <c r="D1643" s="6" t="s">
        <v>11056</v>
      </c>
      <c r="E1643" s="6" t="s">
        <v>11057</v>
      </c>
      <c r="F1643" s="6">
        <v>14.3733486831758</v>
      </c>
      <c r="G1643" s="6">
        <v>13.5318735590999</v>
      </c>
      <c r="H1643" s="6">
        <v>13.8745998320864</v>
      </c>
      <c r="I1643" s="6">
        <v>14.0783753957065</v>
      </c>
      <c r="J1643" s="6" t="s">
        <v>6254</v>
      </c>
      <c r="K1643" s="6">
        <v>13.065614366436</v>
      </c>
      <c r="L1643" s="6">
        <v>13.9223569248954</v>
      </c>
      <c r="M1643" s="6">
        <v>12.639945724076201</v>
      </c>
      <c r="N1643" s="6">
        <v>13.222671443645501</v>
      </c>
      <c r="O1643" s="6">
        <v>13.705067103719699</v>
      </c>
      <c r="P1643" s="6">
        <v>13.878242593227601</v>
      </c>
      <c r="Q1643" s="6">
        <v>12.540213485011099</v>
      </c>
    </row>
    <row r="1644" spans="1:17">
      <c r="A1644" s="6" t="s">
        <v>4667</v>
      </c>
      <c r="B1644" s="6" t="s">
        <v>4667</v>
      </c>
      <c r="C1644" s="6" t="s">
        <v>11058</v>
      </c>
      <c r="D1644" s="6" t="s">
        <v>11059</v>
      </c>
      <c r="E1644" s="6" t="s">
        <v>11059</v>
      </c>
      <c r="F1644" s="6">
        <v>13.973538898661699</v>
      </c>
      <c r="G1644" s="6">
        <v>13.4572501463877</v>
      </c>
      <c r="H1644" s="6">
        <v>13.5399040304063</v>
      </c>
      <c r="I1644" s="6">
        <v>14.340833860673801</v>
      </c>
      <c r="J1644" s="6">
        <v>12.5376435668003</v>
      </c>
      <c r="K1644" s="6">
        <v>13.4350340190597</v>
      </c>
      <c r="L1644" s="6">
        <v>14.4468593153392</v>
      </c>
      <c r="M1644" s="6">
        <v>12.216849765351499</v>
      </c>
      <c r="N1644" s="6">
        <v>14.085797368723799</v>
      </c>
      <c r="O1644" s="6">
        <v>13.543378440560501</v>
      </c>
      <c r="P1644" s="6">
        <v>13.317217740485001</v>
      </c>
      <c r="Q1644" s="6">
        <v>12.5074417040583</v>
      </c>
    </row>
    <row r="1645" spans="1:17">
      <c r="A1645" s="6" t="s">
        <v>4152</v>
      </c>
      <c r="B1645" s="6" t="s">
        <v>4152</v>
      </c>
      <c r="C1645" s="6" t="s">
        <v>11060</v>
      </c>
      <c r="D1645" s="6" t="s">
        <v>11061</v>
      </c>
      <c r="E1645" s="6" t="s">
        <v>11061</v>
      </c>
      <c r="F1645" s="6">
        <v>14.442518703390499</v>
      </c>
      <c r="G1645" s="6">
        <v>13.5918147904194</v>
      </c>
      <c r="H1645" s="6">
        <v>13.8670733765062</v>
      </c>
      <c r="I1645" s="6">
        <v>14.480146348120799</v>
      </c>
      <c r="J1645" s="6">
        <v>12.873833566562499</v>
      </c>
      <c r="K1645" s="6">
        <v>13.5396914764166</v>
      </c>
      <c r="L1645" s="6">
        <v>13.909661886588699</v>
      </c>
      <c r="M1645" s="6">
        <v>12.401197786616001</v>
      </c>
      <c r="N1645" s="6">
        <v>13.981734807184001</v>
      </c>
      <c r="O1645" s="6">
        <v>14.4981518485846</v>
      </c>
      <c r="P1645" s="6">
        <v>13.173198398895799</v>
      </c>
      <c r="Q1645" s="6">
        <v>12.6968280538469</v>
      </c>
    </row>
    <row r="1646" spans="1:17">
      <c r="A1646" s="6" t="s">
        <v>2811</v>
      </c>
      <c r="B1646" s="6" t="s">
        <v>2811</v>
      </c>
      <c r="C1646" s="6" t="s">
        <v>11062</v>
      </c>
      <c r="D1646" s="6" t="s">
        <v>11063</v>
      </c>
      <c r="E1646" s="6" t="s">
        <v>11063</v>
      </c>
      <c r="F1646" s="6" t="s">
        <v>6254</v>
      </c>
      <c r="G1646" s="6">
        <v>11.9162203868379</v>
      </c>
      <c r="H1646" s="6">
        <v>13.9528850723466</v>
      </c>
      <c r="I1646" s="6">
        <v>15.065500675760701</v>
      </c>
      <c r="J1646" s="6">
        <v>13.174475889299799</v>
      </c>
      <c r="K1646" s="6">
        <v>13.6267516490392</v>
      </c>
      <c r="L1646" s="6">
        <v>15.2700823396912</v>
      </c>
      <c r="M1646" s="6">
        <v>13.1131368535549</v>
      </c>
      <c r="N1646" s="6">
        <v>14.103843907997</v>
      </c>
      <c r="O1646" s="6">
        <v>12.567814887938701</v>
      </c>
      <c r="P1646" s="6">
        <v>12.509446239111</v>
      </c>
      <c r="Q1646" s="6">
        <v>11.8511409347749</v>
      </c>
    </row>
    <row r="1647" spans="1:17">
      <c r="A1647" s="6" t="s">
        <v>1727</v>
      </c>
      <c r="B1647" s="6" t="s">
        <v>1727</v>
      </c>
      <c r="C1647" s="6" t="s">
        <v>11064</v>
      </c>
      <c r="D1647" s="6" t="s">
        <v>11065</v>
      </c>
      <c r="E1647" s="6" t="s">
        <v>11065</v>
      </c>
      <c r="F1647" s="6">
        <v>13.9433474952426</v>
      </c>
      <c r="G1647" s="6">
        <v>13.536446222852399</v>
      </c>
      <c r="H1647" s="6">
        <v>13.7368308732269</v>
      </c>
      <c r="I1647" s="6">
        <v>14.145513695663301</v>
      </c>
      <c r="J1647" s="6">
        <v>12.7967127588796</v>
      </c>
      <c r="K1647" s="6">
        <v>13.2554854517008</v>
      </c>
      <c r="L1647" s="6">
        <v>14.187207195134199</v>
      </c>
      <c r="M1647" s="6">
        <v>12.9738468102558</v>
      </c>
      <c r="N1647" s="6">
        <v>13.9201178911476</v>
      </c>
      <c r="O1647" s="6">
        <v>13.963200227640501</v>
      </c>
      <c r="P1647" s="6">
        <v>13.910741976471099</v>
      </c>
      <c r="Q1647" s="6">
        <v>12.2484939736258</v>
      </c>
    </row>
    <row r="1648" spans="1:17">
      <c r="A1648" s="6" t="s">
        <v>11066</v>
      </c>
      <c r="B1648" s="6" t="s">
        <v>11067</v>
      </c>
      <c r="C1648" s="6" t="s">
        <v>11068</v>
      </c>
      <c r="D1648" s="6" t="s">
        <v>11069</v>
      </c>
      <c r="E1648" s="6" t="s">
        <v>11070</v>
      </c>
      <c r="F1648" s="6">
        <v>14.4827220820479</v>
      </c>
      <c r="G1648" s="6">
        <v>13.914128501673</v>
      </c>
      <c r="H1648" s="6">
        <v>13.438025014630901</v>
      </c>
      <c r="I1648" s="6">
        <v>14.2569980745709</v>
      </c>
      <c r="J1648" s="6">
        <v>13.2756552793397</v>
      </c>
      <c r="K1648" s="6">
        <v>13.880794226885101</v>
      </c>
      <c r="L1648" s="6">
        <v>14.378738179820299</v>
      </c>
      <c r="M1648" s="6">
        <v>12.689067398934601</v>
      </c>
      <c r="N1648" s="6">
        <v>13.3872027603213</v>
      </c>
      <c r="O1648" s="6">
        <v>12.999119370487101</v>
      </c>
      <c r="P1648" s="6">
        <v>12.5727508663874</v>
      </c>
      <c r="Q1648" s="6" t="s">
        <v>6254</v>
      </c>
    </row>
    <row r="1649" spans="1:17">
      <c r="A1649" s="6" t="s">
        <v>3914</v>
      </c>
      <c r="B1649" s="6" t="s">
        <v>3914</v>
      </c>
      <c r="C1649" s="6" t="s">
        <v>11071</v>
      </c>
      <c r="D1649" s="6" t="s">
        <v>11072</v>
      </c>
      <c r="E1649" s="6" t="s">
        <v>11072</v>
      </c>
      <c r="F1649" s="6">
        <v>12.551890830447901</v>
      </c>
      <c r="G1649" s="6">
        <v>12.940631858718801</v>
      </c>
      <c r="H1649" s="6">
        <v>13.739171614253101</v>
      </c>
      <c r="I1649" s="6">
        <v>14.778648635326601</v>
      </c>
      <c r="J1649" s="6" t="s">
        <v>6254</v>
      </c>
      <c r="K1649" s="6">
        <v>14.1450700587061</v>
      </c>
      <c r="L1649" s="6">
        <v>15.193770132117001</v>
      </c>
      <c r="M1649" s="6" t="s">
        <v>6254</v>
      </c>
      <c r="N1649" s="6" t="s">
        <v>6254</v>
      </c>
      <c r="O1649" s="6">
        <v>12.847197970800099</v>
      </c>
      <c r="P1649" s="6">
        <v>13.457785233323399</v>
      </c>
      <c r="Q1649" s="6" t="s">
        <v>6254</v>
      </c>
    </row>
    <row r="1650" spans="1:17">
      <c r="A1650" s="6" t="s">
        <v>2061</v>
      </c>
      <c r="B1650" s="6" t="s">
        <v>2061</v>
      </c>
      <c r="C1650" s="6" t="s">
        <v>11073</v>
      </c>
      <c r="D1650" s="6" t="s">
        <v>11074</v>
      </c>
      <c r="E1650" s="6" t="s">
        <v>11074</v>
      </c>
      <c r="F1650" s="6">
        <v>13.9812541769398</v>
      </c>
      <c r="G1650" s="6">
        <v>13.7530711397084</v>
      </c>
      <c r="H1650" s="6">
        <v>13.8009662691851</v>
      </c>
      <c r="I1650" s="6">
        <v>14.438364114831099</v>
      </c>
      <c r="J1650" s="6">
        <v>12.610677440943601</v>
      </c>
      <c r="K1650" s="6">
        <v>13.713060279319</v>
      </c>
      <c r="L1650" s="6">
        <v>14.264921374688701</v>
      </c>
      <c r="M1650" s="6">
        <v>12.304217774816999</v>
      </c>
      <c r="N1650" s="6">
        <v>13.224093348844001</v>
      </c>
      <c r="O1650" s="6">
        <v>14.1346404411557</v>
      </c>
      <c r="P1650" s="6">
        <v>13.627851709454101</v>
      </c>
      <c r="Q1650" s="6">
        <v>12.436512071615301</v>
      </c>
    </row>
    <row r="1651" spans="1:17">
      <c r="A1651" s="6" t="s">
        <v>5116</v>
      </c>
      <c r="B1651" s="6" t="s">
        <v>5116</v>
      </c>
      <c r="C1651" s="6" t="s">
        <v>11075</v>
      </c>
      <c r="D1651" s="6" t="s">
        <v>11076</v>
      </c>
      <c r="E1651" s="6" t="s">
        <v>11076</v>
      </c>
      <c r="F1651" s="6">
        <v>14.136748401360901</v>
      </c>
      <c r="G1651" s="6">
        <v>14.0027034215111</v>
      </c>
      <c r="H1651" s="6">
        <v>13.065594897038601</v>
      </c>
      <c r="I1651" s="6">
        <v>14.266763888615101</v>
      </c>
      <c r="J1651" s="6">
        <v>13.547125841120801</v>
      </c>
      <c r="K1651" s="6">
        <v>13.5950063047407</v>
      </c>
      <c r="L1651" s="6">
        <v>13.783538565437199</v>
      </c>
      <c r="M1651" s="6">
        <v>12.419831310423699</v>
      </c>
      <c r="N1651" s="6">
        <v>13.3311359796161</v>
      </c>
      <c r="O1651" s="6">
        <v>13.728837862307699</v>
      </c>
      <c r="P1651" s="6">
        <v>13.829831434795</v>
      </c>
      <c r="Q1651" s="6">
        <v>12.6827402411301</v>
      </c>
    </row>
    <row r="1652" spans="1:17">
      <c r="A1652" s="6" t="s">
        <v>4639</v>
      </c>
      <c r="B1652" s="6" t="s">
        <v>4639</v>
      </c>
      <c r="C1652" s="6" t="s">
        <v>11077</v>
      </c>
      <c r="D1652" s="6" t="s">
        <v>11078</v>
      </c>
      <c r="E1652" s="6" t="s">
        <v>11078</v>
      </c>
      <c r="F1652" s="6">
        <v>13.322036469894501</v>
      </c>
      <c r="G1652" s="6">
        <v>13.5368921198412</v>
      </c>
      <c r="H1652" s="6">
        <v>13.8482071161999</v>
      </c>
      <c r="I1652" s="6">
        <v>13.647907121697701</v>
      </c>
      <c r="J1652" s="6" t="s">
        <v>6254</v>
      </c>
      <c r="K1652" s="6">
        <v>13.5002927542217</v>
      </c>
      <c r="L1652" s="6">
        <v>13.9235206186952</v>
      </c>
      <c r="M1652" s="6" t="s">
        <v>6254</v>
      </c>
      <c r="N1652" s="6">
        <v>12.766835885458001</v>
      </c>
      <c r="O1652" s="6">
        <v>13.4669767909971</v>
      </c>
      <c r="P1652" s="6">
        <v>13.6615421356338</v>
      </c>
      <c r="Q1652" s="6" t="s">
        <v>6254</v>
      </c>
    </row>
    <row r="1653" spans="1:17">
      <c r="A1653" s="6" t="s">
        <v>11079</v>
      </c>
      <c r="B1653" s="6" t="s">
        <v>11080</v>
      </c>
      <c r="C1653" s="6" t="s">
        <v>11081</v>
      </c>
      <c r="D1653" s="6" t="s">
        <v>11082</v>
      </c>
      <c r="E1653" s="6" t="s">
        <v>11083</v>
      </c>
      <c r="F1653" s="6">
        <v>14.2574755200983</v>
      </c>
      <c r="G1653" s="6">
        <v>13.2127729222145</v>
      </c>
      <c r="H1653" s="6">
        <v>13.4680216860377</v>
      </c>
      <c r="I1653" s="6">
        <v>14.5839383584059</v>
      </c>
      <c r="J1653" s="6" t="s">
        <v>6254</v>
      </c>
      <c r="K1653" s="6">
        <v>13.6243571805015</v>
      </c>
      <c r="L1653" s="6">
        <v>13.4039654260762</v>
      </c>
      <c r="M1653" s="6" t="s">
        <v>6254</v>
      </c>
      <c r="N1653" s="6" t="s">
        <v>6254</v>
      </c>
      <c r="O1653" s="6">
        <v>13.5814629093987</v>
      </c>
      <c r="P1653" s="6">
        <v>14.194934799115</v>
      </c>
      <c r="Q1653" s="6" t="s">
        <v>6254</v>
      </c>
    </row>
    <row r="1654" spans="1:17">
      <c r="A1654" s="6" t="s">
        <v>11084</v>
      </c>
      <c r="B1654" s="6" t="s">
        <v>11085</v>
      </c>
      <c r="C1654" s="6" t="s">
        <v>11086</v>
      </c>
      <c r="D1654" s="6" t="s">
        <v>11087</v>
      </c>
      <c r="E1654" s="6" t="s">
        <v>11088</v>
      </c>
      <c r="F1654" s="6">
        <v>13.7291280525275</v>
      </c>
      <c r="G1654" s="6">
        <v>13.6089091011001</v>
      </c>
      <c r="H1654" s="6">
        <v>13.7327417696445</v>
      </c>
      <c r="I1654" s="6">
        <v>13.892701889709199</v>
      </c>
      <c r="J1654" s="6">
        <v>12.2062427663253</v>
      </c>
      <c r="K1654" s="6">
        <v>13.0309824054369</v>
      </c>
      <c r="L1654" s="6">
        <v>14.3548138067931</v>
      </c>
      <c r="M1654" s="6">
        <v>11.731350253538899</v>
      </c>
      <c r="N1654" s="6">
        <v>13.5846654937225</v>
      </c>
      <c r="O1654" s="6">
        <v>14.254587953890001</v>
      </c>
      <c r="P1654" s="6">
        <v>13.631102401465601</v>
      </c>
      <c r="Q1654" s="6">
        <v>12.586034972357901</v>
      </c>
    </row>
    <row r="1655" spans="1:17">
      <c r="A1655" s="6" t="s">
        <v>11089</v>
      </c>
      <c r="B1655" s="6" t="s">
        <v>11090</v>
      </c>
      <c r="C1655" s="6" t="s">
        <v>11091</v>
      </c>
      <c r="D1655" s="6" t="s">
        <v>11092</v>
      </c>
      <c r="E1655" s="6" t="s">
        <v>11093</v>
      </c>
      <c r="F1655" s="6">
        <v>15.2262530942346</v>
      </c>
      <c r="G1655" s="6" t="s">
        <v>6254</v>
      </c>
      <c r="H1655" s="6" t="s">
        <v>6254</v>
      </c>
      <c r="I1655" s="6">
        <v>15.565277426467199</v>
      </c>
      <c r="J1655" s="6" t="s">
        <v>6254</v>
      </c>
      <c r="K1655" s="6" t="s">
        <v>6254</v>
      </c>
      <c r="L1655" s="6" t="s">
        <v>6254</v>
      </c>
      <c r="M1655" s="6" t="s">
        <v>6254</v>
      </c>
      <c r="N1655" s="6" t="s">
        <v>6254</v>
      </c>
      <c r="O1655" s="6" t="s">
        <v>6254</v>
      </c>
      <c r="P1655" s="6" t="s">
        <v>6254</v>
      </c>
      <c r="Q1655" s="6" t="s">
        <v>6254</v>
      </c>
    </row>
    <row r="1656" spans="1:17">
      <c r="A1656" s="6" t="s">
        <v>11094</v>
      </c>
      <c r="B1656" s="6" t="s">
        <v>11094</v>
      </c>
      <c r="C1656" s="6" t="s">
        <v>11095</v>
      </c>
      <c r="D1656" s="6" t="s">
        <v>11096</v>
      </c>
      <c r="E1656" s="6" t="s">
        <v>11096</v>
      </c>
      <c r="F1656" s="6">
        <v>13.895338625778001</v>
      </c>
      <c r="G1656" s="6">
        <v>13.662609672274799</v>
      </c>
      <c r="H1656" s="6">
        <v>13.5846359095358</v>
      </c>
      <c r="I1656" s="6">
        <v>13.738173693527401</v>
      </c>
      <c r="J1656" s="6">
        <v>12.7887662529096</v>
      </c>
      <c r="K1656" s="6">
        <v>13.315508212121699</v>
      </c>
      <c r="L1656" s="6">
        <v>14.196343372306</v>
      </c>
      <c r="M1656" s="6">
        <v>12.5373648680111</v>
      </c>
      <c r="N1656" s="6">
        <v>12.7309983637338</v>
      </c>
      <c r="O1656" s="6">
        <v>13.817281124341401</v>
      </c>
      <c r="P1656" s="6">
        <v>14.0692572717485</v>
      </c>
      <c r="Q1656" s="6">
        <v>12.867433506365501</v>
      </c>
    </row>
    <row r="1657" spans="1:17">
      <c r="A1657" s="6" t="s">
        <v>11097</v>
      </c>
      <c r="B1657" s="6" t="s">
        <v>11098</v>
      </c>
      <c r="C1657" s="6" t="s">
        <v>11099</v>
      </c>
      <c r="D1657" s="6" t="s">
        <v>11100</v>
      </c>
      <c r="E1657" s="6" t="s">
        <v>11101</v>
      </c>
      <c r="F1657" s="6">
        <v>13.8106477617754</v>
      </c>
      <c r="G1657" s="6">
        <v>12.9850799326819</v>
      </c>
      <c r="H1657" s="6">
        <v>13.536971754309899</v>
      </c>
      <c r="I1657" s="6">
        <v>14.0453718073644</v>
      </c>
      <c r="J1657" s="6" t="s">
        <v>6254</v>
      </c>
      <c r="K1657" s="6">
        <v>13.209961691850101</v>
      </c>
      <c r="L1657" s="6">
        <v>14.1011341033746</v>
      </c>
      <c r="M1657" s="6" t="s">
        <v>6254</v>
      </c>
      <c r="N1657" s="6">
        <v>13.0957965487402</v>
      </c>
      <c r="O1657" s="6">
        <v>13.836510247315999</v>
      </c>
      <c r="P1657" s="6" t="s">
        <v>6254</v>
      </c>
      <c r="Q1657" s="6" t="s">
        <v>6254</v>
      </c>
    </row>
    <row r="1658" spans="1:17">
      <c r="A1658" s="6" t="s">
        <v>11102</v>
      </c>
      <c r="B1658" s="6" t="s">
        <v>11103</v>
      </c>
      <c r="C1658" s="6" t="s">
        <v>11104</v>
      </c>
      <c r="D1658" s="6" t="s">
        <v>11105</v>
      </c>
      <c r="E1658" s="6" t="s">
        <v>11106</v>
      </c>
      <c r="F1658" s="6">
        <v>14.186873586107399</v>
      </c>
      <c r="G1658" s="6">
        <v>13.757325715581599</v>
      </c>
      <c r="H1658" s="6">
        <v>13.7171008886208</v>
      </c>
      <c r="I1658" s="6">
        <v>14.560261330254701</v>
      </c>
      <c r="J1658" s="6">
        <v>13.2089990467709</v>
      </c>
      <c r="K1658" s="6">
        <v>13.698547926886</v>
      </c>
      <c r="L1658" s="6">
        <v>14.3966733763998</v>
      </c>
      <c r="M1658" s="6">
        <v>12.505804922190601</v>
      </c>
      <c r="N1658" s="6">
        <v>12.984066638256801</v>
      </c>
      <c r="O1658" s="6">
        <v>13.7915249400295</v>
      </c>
      <c r="P1658" s="6">
        <v>13.4053619888232</v>
      </c>
      <c r="Q1658" s="6">
        <v>12.772915127554</v>
      </c>
    </row>
    <row r="1659" spans="1:17">
      <c r="A1659" s="6" t="s">
        <v>11107</v>
      </c>
      <c r="B1659" s="6" t="s">
        <v>11107</v>
      </c>
      <c r="C1659" s="6" t="s">
        <v>11108</v>
      </c>
      <c r="D1659" s="6" t="s">
        <v>11109</v>
      </c>
      <c r="E1659" s="6" t="s">
        <v>11109</v>
      </c>
      <c r="F1659" s="6">
        <v>13.1336725692044</v>
      </c>
      <c r="G1659" s="6">
        <v>15.562985859561699</v>
      </c>
      <c r="H1659" s="6" t="s">
        <v>6254</v>
      </c>
      <c r="I1659" s="6" t="s">
        <v>6254</v>
      </c>
      <c r="J1659" s="6" t="s">
        <v>6254</v>
      </c>
      <c r="K1659" s="6" t="s">
        <v>6254</v>
      </c>
      <c r="L1659" s="6">
        <v>13.980312547084001</v>
      </c>
      <c r="M1659" s="6" t="s">
        <v>6254</v>
      </c>
      <c r="N1659" s="6" t="s">
        <v>6254</v>
      </c>
      <c r="O1659" s="6">
        <v>12.5589582106146</v>
      </c>
      <c r="P1659" s="6" t="s">
        <v>6254</v>
      </c>
      <c r="Q1659" s="6" t="s">
        <v>6254</v>
      </c>
    </row>
    <row r="1660" spans="1:17">
      <c r="A1660" s="6" t="s">
        <v>4792</v>
      </c>
      <c r="B1660" s="6" t="s">
        <v>4792</v>
      </c>
      <c r="C1660" s="6" t="s">
        <v>11110</v>
      </c>
      <c r="D1660" s="6" t="s">
        <v>11111</v>
      </c>
      <c r="E1660" s="6" t="s">
        <v>11111</v>
      </c>
      <c r="F1660" s="6">
        <v>13.9801445430433</v>
      </c>
      <c r="G1660" s="6">
        <v>13.0972070961099</v>
      </c>
      <c r="H1660" s="6">
        <v>13.466009111059501</v>
      </c>
      <c r="I1660" s="6">
        <v>14.1741891793421</v>
      </c>
      <c r="J1660" s="6" t="s">
        <v>6254</v>
      </c>
      <c r="K1660" s="6">
        <v>12.1198836646582</v>
      </c>
      <c r="L1660" s="6">
        <v>14.221636778332901</v>
      </c>
      <c r="M1660" s="6" t="s">
        <v>6254</v>
      </c>
      <c r="N1660" s="6">
        <v>12.7312642611115</v>
      </c>
      <c r="O1660" s="6">
        <v>13.950322970110699</v>
      </c>
      <c r="P1660" s="6">
        <v>14.2945943485631</v>
      </c>
      <c r="Q1660" s="6" t="s">
        <v>6254</v>
      </c>
    </row>
    <row r="1661" spans="1:17">
      <c r="A1661" s="6" t="s">
        <v>4542</v>
      </c>
      <c r="B1661" s="6" t="s">
        <v>4542</v>
      </c>
      <c r="C1661" s="6" t="s">
        <v>11112</v>
      </c>
      <c r="D1661" s="6" t="s">
        <v>11113</v>
      </c>
      <c r="E1661" s="6" t="s">
        <v>11113</v>
      </c>
      <c r="F1661" s="6">
        <v>14.5388314594117</v>
      </c>
      <c r="G1661" s="6">
        <v>13.1411034965654</v>
      </c>
      <c r="H1661" s="6" t="s">
        <v>6254</v>
      </c>
      <c r="I1661" s="6">
        <v>14.4843181831418</v>
      </c>
      <c r="J1661" s="6" t="s">
        <v>6254</v>
      </c>
      <c r="K1661" s="6">
        <v>13.663532647580199</v>
      </c>
      <c r="L1661" s="6">
        <v>13.471248178492999</v>
      </c>
      <c r="M1661" s="6">
        <v>13.149520223702201</v>
      </c>
      <c r="N1661" s="6">
        <v>12.9671058758324</v>
      </c>
      <c r="O1661" s="6">
        <v>13.9972156133552</v>
      </c>
      <c r="P1661" s="6">
        <v>14.05227896529</v>
      </c>
      <c r="Q1661" s="6">
        <v>12.392828926443901</v>
      </c>
    </row>
    <row r="1662" spans="1:17">
      <c r="A1662" s="6" t="s">
        <v>11114</v>
      </c>
      <c r="B1662" s="6" t="s">
        <v>11115</v>
      </c>
      <c r="C1662" s="6" t="s">
        <v>11116</v>
      </c>
      <c r="D1662" s="6" t="s">
        <v>11117</v>
      </c>
      <c r="E1662" s="6" t="s">
        <v>11118</v>
      </c>
      <c r="F1662" s="6">
        <v>13.569848368372799</v>
      </c>
      <c r="G1662" s="6">
        <v>13.3391509558313</v>
      </c>
      <c r="H1662" s="6">
        <v>13.1137458021688</v>
      </c>
      <c r="I1662" s="6">
        <v>13.7998327843646</v>
      </c>
      <c r="J1662" s="6" t="s">
        <v>6254</v>
      </c>
      <c r="K1662" s="6" t="s">
        <v>6254</v>
      </c>
      <c r="L1662" s="6">
        <v>13.4711778463692</v>
      </c>
      <c r="M1662" s="6" t="s">
        <v>6254</v>
      </c>
      <c r="N1662" s="6">
        <v>13.4077495642691</v>
      </c>
      <c r="O1662" s="6">
        <v>13.173846205404301</v>
      </c>
      <c r="P1662" s="6">
        <v>12.5971210474092</v>
      </c>
      <c r="Q1662" s="6">
        <v>12.5518546829513</v>
      </c>
    </row>
    <row r="1663" spans="1:17">
      <c r="A1663" s="6" t="s">
        <v>11119</v>
      </c>
      <c r="B1663" s="6" t="s">
        <v>11119</v>
      </c>
      <c r="C1663" s="6" t="s">
        <v>11120</v>
      </c>
      <c r="D1663" s="6" t="s">
        <v>11121</v>
      </c>
      <c r="E1663" s="6" t="s">
        <v>11121</v>
      </c>
      <c r="F1663" s="6">
        <v>13.4609873449117</v>
      </c>
      <c r="G1663" s="6">
        <v>13.0277285047998</v>
      </c>
      <c r="H1663" s="6">
        <v>13.6108230954116</v>
      </c>
      <c r="I1663" s="6">
        <v>14.1501046409109</v>
      </c>
      <c r="J1663" s="6" t="s">
        <v>6254</v>
      </c>
      <c r="K1663" s="6">
        <v>12.6710212564802</v>
      </c>
      <c r="L1663" s="6">
        <v>14.5843863491497</v>
      </c>
      <c r="M1663" s="6" t="s">
        <v>6254</v>
      </c>
      <c r="N1663" s="6" t="s">
        <v>6254</v>
      </c>
      <c r="O1663" s="6">
        <v>13.767417356683101</v>
      </c>
      <c r="P1663" s="6">
        <v>13.3137437391464</v>
      </c>
      <c r="Q1663" s="6" t="s">
        <v>6254</v>
      </c>
    </row>
    <row r="1664" spans="1:17">
      <c r="A1664" s="6" t="s">
        <v>3621</v>
      </c>
      <c r="B1664" s="6" t="s">
        <v>3621</v>
      </c>
      <c r="C1664" s="6" t="s">
        <v>11122</v>
      </c>
      <c r="D1664" s="6" t="s">
        <v>11123</v>
      </c>
      <c r="E1664" s="6" t="s">
        <v>11123</v>
      </c>
      <c r="F1664" s="6">
        <v>13.3306645214948</v>
      </c>
      <c r="G1664" s="6">
        <v>13.068441367908999</v>
      </c>
      <c r="H1664" s="6">
        <v>13.498505906174801</v>
      </c>
      <c r="I1664" s="6">
        <v>14.110374167264601</v>
      </c>
      <c r="J1664" s="6" t="s">
        <v>6254</v>
      </c>
      <c r="K1664" s="6">
        <v>13.3144223464514</v>
      </c>
      <c r="L1664" s="6">
        <v>13.952177977100099</v>
      </c>
      <c r="M1664" s="6" t="s">
        <v>6254</v>
      </c>
      <c r="N1664" s="6" t="s">
        <v>6254</v>
      </c>
      <c r="O1664" s="6">
        <v>13.606798880791599</v>
      </c>
      <c r="P1664" s="6">
        <v>13.8169962417864</v>
      </c>
      <c r="Q1664" s="6" t="s">
        <v>6254</v>
      </c>
    </row>
    <row r="1665" spans="1:17">
      <c r="A1665" s="6" t="s">
        <v>1819</v>
      </c>
      <c r="B1665" s="6" t="s">
        <v>1819</v>
      </c>
      <c r="C1665" s="6" t="s">
        <v>11124</v>
      </c>
      <c r="D1665" s="6" t="s">
        <v>11125</v>
      </c>
      <c r="E1665" s="6" t="s">
        <v>11125</v>
      </c>
      <c r="F1665" s="6">
        <v>13.694946632216899</v>
      </c>
      <c r="G1665" s="6">
        <v>13.444715021818499</v>
      </c>
      <c r="H1665" s="6">
        <v>13.4051635032219</v>
      </c>
      <c r="I1665" s="6">
        <v>14.056159198535701</v>
      </c>
      <c r="J1665" s="6">
        <v>12.794389802558699</v>
      </c>
      <c r="K1665" s="6">
        <v>12.7822601176085</v>
      </c>
      <c r="L1665" s="6">
        <v>13.9971880584694</v>
      </c>
      <c r="M1665" s="6">
        <v>12.435468185788899</v>
      </c>
      <c r="N1665" s="6">
        <v>13.706775783889</v>
      </c>
      <c r="O1665" s="6">
        <v>14.1121661253942</v>
      </c>
      <c r="P1665" s="6">
        <v>13.866801618199</v>
      </c>
      <c r="Q1665" s="6">
        <v>12.2645499893154</v>
      </c>
    </row>
    <row r="1666" spans="1:17">
      <c r="A1666" s="6" t="s">
        <v>2286</v>
      </c>
      <c r="B1666" s="6" t="s">
        <v>2286</v>
      </c>
      <c r="C1666" s="6" t="s">
        <v>11126</v>
      </c>
      <c r="D1666" s="6" t="s">
        <v>11127</v>
      </c>
      <c r="E1666" s="6" t="s">
        <v>11127</v>
      </c>
      <c r="F1666" s="6">
        <v>14.2285823178033</v>
      </c>
      <c r="G1666" s="6">
        <v>13.782739956615201</v>
      </c>
      <c r="H1666" s="6">
        <v>13.601889022261499</v>
      </c>
      <c r="I1666" s="6">
        <v>14.2583584514647</v>
      </c>
      <c r="J1666" s="6">
        <v>12.9447906334583</v>
      </c>
      <c r="K1666" s="6">
        <v>13.1999539160601</v>
      </c>
      <c r="L1666" s="6">
        <v>14.206005166359899</v>
      </c>
      <c r="M1666" s="6">
        <v>12.307084513595299</v>
      </c>
      <c r="N1666" s="6">
        <v>13.019794990472301</v>
      </c>
      <c r="O1666" s="6">
        <v>14.0661990797422</v>
      </c>
      <c r="P1666" s="6">
        <v>13.6642528849298</v>
      </c>
      <c r="Q1666" s="6">
        <v>12.301357188670901</v>
      </c>
    </row>
    <row r="1667" spans="1:17">
      <c r="A1667" s="6" t="s">
        <v>11128</v>
      </c>
      <c r="B1667" s="6" t="s">
        <v>11129</v>
      </c>
      <c r="C1667" s="6" t="s">
        <v>11130</v>
      </c>
      <c r="D1667" s="6" t="s">
        <v>11131</v>
      </c>
      <c r="E1667" s="6" t="s">
        <v>11132</v>
      </c>
      <c r="F1667" s="6">
        <v>14.035259619338801</v>
      </c>
      <c r="G1667" s="6">
        <v>13.5198768903154</v>
      </c>
      <c r="H1667" s="6" t="s">
        <v>6254</v>
      </c>
      <c r="I1667" s="6" t="s">
        <v>6254</v>
      </c>
      <c r="J1667" s="6" t="s">
        <v>6254</v>
      </c>
      <c r="K1667" s="6" t="s">
        <v>6254</v>
      </c>
      <c r="L1667" s="6">
        <v>14.0688488015146</v>
      </c>
      <c r="M1667" s="6" t="s">
        <v>6254</v>
      </c>
      <c r="N1667" s="6">
        <v>13.163314569273201</v>
      </c>
      <c r="O1667" s="6">
        <v>13.2263458208364</v>
      </c>
      <c r="P1667" s="6">
        <v>13.2351548586054</v>
      </c>
      <c r="Q1667" s="6" t="s">
        <v>6254</v>
      </c>
    </row>
    <row r="1668" spans="1:17">
      <c r="A1668" s="6" t="s">
        <v>1094</v>
      </c>
      <c r="B1668" s="6" t="s">
        <v>1094</v>
      </c>
      <c r="C1668" s="6" t="s">
        <v>11133</v>
      </c>
      <c r="D1668" s="6" t="s">
        <v>11134</v>
      </c>
      <c r="E1668" s="6" t="s">
        <v>11134</v>
      </c>
      <c r="F1668" s="6">
        <v>14.0382021890619</v>
      </c>
      <c r="G1668" s="6">
        <v>13.390142915618799</v>
      </c>
      <c r="H1668" s="6">
        <v>13.626855290575</v>
      </c>
      <c r="I1668" s="6">
        <v>14.108795898331699</v>
      </c>
      <c r="J1668" s="6">
        <v>12.8459240826484</v>
      </c>
      <c r="K1668" s="6">
        <v>13.233301495968201</v>
      </c>
      <c r="L1668" s="6">
        <v>14.033888328840201</v>
      </c>
      <c r="M1668" s="6">
        <v>12.8287516974237</v>
      </c>
      <c r="N1668" s="6">
        <v>13.902918336278701</v>
      </c>
      <c r="O1668" s="6">
        <v>13.9882601370158</v>
      </c>
      <c r="P1668" s="6">
        <v>13.9418744708637</v>
      </c>
      <c r="Q1668" s="6">
        <v>12.288664611878101</v>
      </c>
    </row>
    <row r="1669" spans="1:17">
      <c r="A1669" s="6" t="s">
        <v>2370</v>
      </c>
      <c r="B1669" s="6" t="s">
        <v>2370</v>
      </c>
      <c r="C1669" s="6" t="s">
        <v>11135</v>
      </c>
      <c r="D1669" s="6" t="s">
        <v>11136</v>
      </c>
      <c r="E1669" s="6" t="s">
        <v>11136</v>
      </c>
      <c r="F1669" s="6">
        <v>14.156473043234501</v>
      </c>
      <c r="G1669" s="6">
        <v>13.393045490489699</v>
      </c>
      <c r="H1669" s="6">
        <v>13.8329715631761</v>
      </c>
      <c r="I1669" s="6">
        <v>14.6704982174631</v>
      </c>
      <c r="J1669" s="6">
        <v>12.5934416852129</v>
      </c>
      <c r="K1669" s="6">
        <v>13.0029311459776</v>
      </c>
      <c r="L1669" s="6">
        <v>14.3305669592072</v>
      </c>
      <c r="M1669" s="6">
        <v>12.7359775972592</v>
      </c>
      <c r="N1669" s="6">
        <v>14.0525838428082</v>
      </c>
      <c r="O1669" s="6">
        <v>14.1822777631762</v>
      </c>
      <c r="P1669" s="6">
        <v>14.3084833036052</v>
      </c>
      <c r="Q1669" s="6">
        <v>12.183153926038599</v>
      </c>
    </row>
    <row r="1670" spans="1:17">
      <c r="A1670" s="6" t="s">
        <v>11137</v>
      </c>
      <c r="B1670" s="6" t="s">
        <v>11138</v>
      </c>
      <c r="C1670" s="6" t="s">
        <v>11139</v>
      </c>
      <c r="D1670" s="6" t="s">
        <v>11140</v>
      </c>
      <c r="E1670" s="6" t="s">
        <v>11141</v>
      </c>
      <c r="F1670" s="6">
        <v>11.7216582282853</v>
      </c>
      <c r="G1670" s="6" t="s">
        <v>6254</v>
      </c>
      <c r="H1670" s="6">
        <v>14.285183368014801</v>
      </c>
      <c r="I1670" s="6" t="s">
        <v>6254</v>
      </c>
      <c r="J1670" s="6" t="s">
        <v>6254</v>
      </c>
      <c r="K1670" s="6" t="s">
        <v>6254</v>
      </c>
      <c r="L1670" s="6">
        <v>12.9995337569715</v>
      </c>
      <c r="M1670" s="6">
        <v>16.118800056684702</v>
      </c>
      <c r="N1670" s="6" t="s">
        <v>6254</v>
      </c>
      <c r="O1670" s="6" t="s">
        <v>6254</v>
      </c>
      <c r="P1670" s="6">
        <v>14.863746079309699</v>
      </c>
      <c r="Q1670" s="6" t="s">
        <v>6254</v>
      </c>
    </row>
    <row r="1671" spans="1:17">
      <c r="A1671" s="6" t="s">
        <v>11142</v>
      </c>
      <c r="B1671" s="6" t="s">
        <v>11143</v>
      </c>
      <c r="C1671" s="6" t="s">
        <v>11144</v>
      </c>
      <c r="D1671" s="6" t="s">
        <v>11145</v>
      </c>
      <c r="E1671" s="6" t="s">
        <v>11146</v>
      </c>
      <c r="F1671" s="6">
        <v>13.907564476692301</v>
      </c>
      <c r="G1671" s="6">
        <v>13.8644342104774</v>
      </c>
      <c r="H1671" s="6">
        <v>13.6323724046444</v>
      </c>
      <c r="I1671" s="6">
        <v>14.1602671541165</v>
      </c>
      <c r="J1671" s="6">
        <v>12.4469368624626</v>
      </c>
      <c r="K1671" s="6">
        <v>13.3376838047657</v>
      </c>
      <c r="L1671" s="6">
        <v>13.9972329889675</v>
      </c>
      <c r="M1671" s="6">
        <v>12.654979701310401</v>
      </c>
      <c r="N1671" s="6">
        <v>14.0988048807832</v>
      </c>
      <c r="O1671" s="6">
        <v>14.410207965896999</v>
      </c>
      <c r="P1671" s="6">
        <v>13.435394005667399</v>
      </c>
      <c r="Q1671" s="6">
        <v>12.299558889632999</v>
      </c>
    </row>
    <row r="1672" spans="1:17">
      <c r="A1672" s="6" t="s">
        <v>11147</v>
      </c>
      <c r="B1672" s="6" t="s">
        <v>11147</v>
      </c>
      <c r="C1672" s="6" t="s">
        <v>11148</v>
      </c>
      <c r="D1672" s="6" t="s">
        <v>11149</v>
      </c>
      <c r="E1672" s="6" t="s">
        <v>11149</v>
      </c>
      <c r="F1672" s="6" t="s">
        <v>6254</v>
      </c>
      <c r="G1672" s="6">
        <v>13.2738711462362</v>
      </c>
      <c r="H1672" s="6">
        <v>14.084325445607799</v>
      </c>
      <c r="I1672" s="6">
        <v>14.1447810324527</v>
      </c>
      <c r="J1672" s="6">
        <v>13.2254240256208</v>
      </c>
      <c r="K1672" s="6">
        <v>13.7664136359164</v>
      </c>
      <c r="L1672" s="6">
        <v>14.226728706938999</v>
      </c>
      <c r="M1672" s="6" t="s">
        <v>6254</v>
      </c>
      <c r="N1672" s="6" t="s">
        <v>6254</v>
      </c>
      <c r="O1672" s="6">
        <v>13.159186250512001</v>
      </c>
      <c r="P1672" s="6">
        <v>12.9885076050903</v>
      </c>
      <c r="Q1672" s="6" t="s">
        <v>6254</v>
      </c>
    </row>
    <row r="1673" spans="1:17">
      <c r="A1673" s="6" t="s">
        <v>11150</v>
      </c>
      <c r="B1673" s="6" t="s">
        <v>11150</v>
      </c>
      <c r="C1673" s="6" t="s">
        <v>11151</v>
      </c>
      <c r="D1673" s="6" t="s">
        <v>11152</v>
      </c>
      <c r="E1673" s="6" t="s">
        <v>11152</v>
      </c>
      <c r="F1673" s="6">
        <v>13.5025026604348</v>
      </c>
      <c r="G1673" s="6">
        <v>12.2768748045776</v>
      </c>
      <c r="H1673" s="6">
        <v>13.5610505777962</v>
      </c>
      <c r="I1673" s="6">
        <v>14.4792044294274</v>
      </c>
      <c r="J1673" s="6" t="s">
        <v>6254</v>
      </c>
      <c r="K1673" s="6">
        <v>14.673095018123201</v>
      </c>
      <c r="L1673" s="6">
        <v>13.8314026789464</v>
      </c>
      <c r="M1673" s="6">
        <v>12.304539726945899</v>
      </c>
      <c r="N1673" s="6">
        <v>12.1859353943571</v>
      </c>
      <c r="O1673" s="6">
        <v>12.9420071209257</v>
      </c>
      <c r="P1673" s="6">
        <v>14.191064904031</v>
      </c>
      <c r="Q1673" s="6" t="s">
        <v>6254</v>
      </c>
    </row>
    <row r="1674" spans="1:17">
      <c r="A1674" s="6" t="s">
        <v>5633</v>
      </c>
      <c r="B1674" s="6" t="s">
        <v>5633</v>
      </c>
      <c r="C1674" s="6" t="s">
        <v>11153</v>
      </c>
      <c r="D1674" s="6" t="s">
        <v>11154</v>
      </c>
      <c r="E1674" s="6" t="s">
        <v>11154</v>
      </c>
      <c r="F1674" s="6" t="s">
        <v>6254</v>
      </c>
      <c r="G1674" s="6" t="s">
        <v>6254</v>
      </c>
      <c r="H1674" s="6" t="s">
        <v>6254</v>
      </c>
      <c r="I1674" s="6">
        <v>13.269295654626699</v>
      </c>
      <c r="J1674" s="6" t="s">
        <v>6254</v>
      </c>
      <c r="K1674" s="6" t="s">
        <v>6254</v>
      </c>
      <c r="L1674" s="6">
        <v>13.769882785125301</v>
      </c>
      <c r="M1674" s="6" t="s">
        <v>6254</v>
      </c>
      <c r="N1674" s="6" t="s">
        <v>6254</v>
      </c>
      <c r="O1674" s="6" t="s">
        <v>6254</v>
      </c>
      <c r="P1674" s="6" t="s">
        <v>6254</v>
      </c>
      <c r="Q1674" s="6">
        <v>12.3332433112495</v>
      </c>
    </row>
    <row r="1675" spans="1:17">
      <c r="A1675" s="6" t="s">
        <v>3941</v>
      </c>
      <c r="B1675" s="6" t="s">
        <v>3941</v>
      </c>
      <c r="C1675" s="6" t="s">
        <v>11155</v>
      </c>
      <c r="D1675" s="6" t="s">
        <v>11156</v>
      </c>
      <c r="E1675" s="6" t="s">
        <v>11156</v>
      </c>
      <c r="F1675" s="6">
        <v>14.160912492084099</v>
      </c>
      <c r="G1675" s="6">
        <v>13.5254642229739</v>
      </c>
      <c r="H1675" s="6">
        <v>13.0564998657064</v>
      </c>
      <c r="I1675" s="6">
        <v>14.4157669327778</v>
      </c>
      <c r="J1675" s="6" t="s">
        <v>6254</v>
      </c>
      <c r="K1675" s="6">
        <v>13.3861581546471</v>
      </c>
      <c r="L1675" s="6">
        <v>14.204339968712601</v>
      </c>
      <c r="M1675" s="6">
        <v>12.545033365335801</v>
      </c>
      <c r="N1675" s="6">
        <v>13.0347809666965</v>
      </c>
      <c r="O1675" s="6">
        <v>13.802611596035399</v>
      </c>
      <c r="P1675" s="6">
        <v>12.9401920250145</v>
      </c>
      <c r="Q1675" s="6" t="s">
        <v>6254</v>
      </c>
    </row>
    <row r="1676" spans="1:17">
      <c r="A1676" s="6" t="s">
        <v>11157</v>
      </c>
      <c r="B1676" s="6" t="s">
        <v>11157</v>
      </c>
      <c r="C1676" s="6" t="s">
        <v>11158</v>
      </c>
      <c r="D1676" s="6" t="s">
        <v>11159</v>
      </c>
      <c r="E1676" s="6" t="s">
        <v>11159</v>
      </c>
      <c r="F1676" s="6">
        <v>13.6093215654438</v>
      </c>
      <c r="G1676" s="6">
        <v>13.250228310495901</v>
      </c>
      <c r="H1676" s="6">
        <v>13.3687111842251</v>
      </c>
      <c r="I1676" s="6">
        <v>14.038766627950899</v>
      </c>
      <c r="J1676" s="6" t="s">
        <v>6254</v>
      </c>
      <c r="K1676" s="6">
        <v>13.0737410726375</v>
      </c>
      <c r="L1676" s="6">
        <v>13.890010648459301</v>
      </c>
      <c r="M1676" s="6" t="s">
        <v>6254</v>
      </c>
      <c r="N1676" s="6">
        <v>13.3702157936694</v>
      </c>
      <c r="O1676" s="6">
        <v>12.9944980911618</v>
      </c>
      <c r="P1676" s="6">
        <v>13.011680427430999</v>
      </c>
      <c r="Q1676" s="6" t="s">
        <v>6254</v>
      </c>
    </row>
    <row r="1677" spans="1:17">
      <c r="A1677" s="6" t="s">
        <v>11160</v>
      </c>
      <c r="B1677" s="6" t="s">
        <v>11161</v>
      </c>
      <c r="C1677" s="6" t="s">
        <v>11162</v>
      </c>
      <c r="D1677" s="6" t="s">
        <v>11163</v>
      </c>
      <c r="E1677" s="6" t="s">
        <v>11164</v>
      </c>
      <c r="F1677" s="6">
        <v>13.956396020180399</v>
      </c>
      <c r="G1677" s="6">
        <v>13.428603938682601</v>
      </c>
      <c r="H1677" s="6">
        <v>13.596311055482101</v>
      </c>
      <c r="I1677" s="6">
        <v>14.287117918704601</v>
      </c>
      <c r="J1677" s="6">
        <v>13.1668582938544</v>
      </c>
      <c r="K1677" s="6">
        <v>13.5693946119342</v>
      </c>
      <c r="L1677" s="6">
        <v>13.9683073448141</v>
      </c>
      <c r="M1677" s="6">
        <v>12.535013470063101</v>
      </c>
      <c r="N1677" s="6">
        <v>13.891015682869799</v>
      </c>
      <c r="O1677" s="6">
        <v>13.872336397641201</v>
      </c>
      <c r="P1677" s="6">
        <v>13.9165811853115</v>
      </c>
      <c r="Q1677" s="6">
        <v>12.665889062424201</v>
      </c>
    </row>
    <row r="1678" spans="1:17">
      <c r="A1678" s="6" t="s">
        <v>4968</v>
      </c>
      <c r="B1678" s="6" t="s">
        <v>4968</v>
      </c>
      <c r="C1678" s="6" t="s">
        <v>11165</v>
      </c>
      <c r="D1678" s="6" t="s">
        <v>11166</v>
      </c>
      <c r="E1678" s="6" t="s">
        <v>11166</v>
      </c>
      <c r="F1678" s="6">
        <v>12.2939001986632</v>
      </c>
      <c r="G1678" s="6" t="s">
        <v>6254</v>
      </c>
      <c r="H1678" s="6" t="s">
        <v>6254</v>
      </c>
      <c r="I1678" s="6">
        <v>13.1547368624943</v>
      </c>
      <c r="J1678" s="6" t="s">
        <v>6254</v>
      </c>
      <c r="K1678" s="6">
        <v>13.372713114242501</v>
      </c>
      <c r="L1678" s="6">
        <v>14.0881900525163</v>
      </c>
      <c r="M1678" s="6">
        <v>13.1755570795121</v>
      </c>
      <c r="N1678" s="6" t="s">
        <v>6254</v>
      </c>
      <c r="O1678" s="6" t="s">
        <v>6254</v>
      </c>
      <c r="P1678" s="6" t="s">
        <v>6254</v>
      </c>
      <c r="Q1678" s="6" t="s">
        <v>6254</v>
      </c>
    </row>
    <row r="1679" spans="1:17">
      <c r="A1679" s="6" t="s">
        <v>4072</v>
      </c>
      <c r="B1679" s="6" t="s">
        <v>4072</v>
      </c>
      <c r="C1679" s="6" t="s">
        <v>11167</v>
      </c>
      <c r="D1679" s="6" t="s">
        <v>11168</v>
      </c>
      <c r="E1679" s="6" t="s">
        <v>11168</v>
      </c>
      <c r="F1679" s="6">
        <v>13.7980117778379</v>
      </c>
      <c r="G1679" s="6">
        <v>13.718042254946001</v>
      </c>
      <c r="H1679" s="6">
        <v>12.7632689343025</v>
      </c>
      <c r="I1679" s="6">
        <v>13.150210607752699</v>
      </c>
      <c r="J1679" s="6">
        <v>13.9323675789029</v>
      </c>
      <c r="K1679" s="6">
        <v>14.4306236310572</v>
      </c>
      <c r="L1679" s="6">
        <v>13.474130258974199</v>
      </c>
      <c r="M1679" s="6" t="s">
        <v>6254</v>
      </c>
      <c r="N1679" s="6">
        <v>13.282601969855</v>
      </c>
      <c r="O1679" s="6">
        <v>13.946462386912399</v>
      </c>
      <c r="P1679" s="6">
        <v>12.6144220362164</v>
      </c>
      <c r="Q1679" s="6">
        <v>13.4355525048892</v>
      </c>
    </row>
    <row r="1680" spans="1:17">
      <c r="A1680" s="6" t="s">
        <v>11169</v>
      </c>
      <c r="B1680" s="6" t="s">
        <v>11169</v>
      </c>
      <c r="C1680" s="6" t="s">
        <v>11170</v>
      </c>
      <c r="D1680" s="6" t="s">
        <v>11171</v>
      </c>
      <c r="E1680" s="6" t="s">
        <v>11171</v>
      </c>
      <c r="F1680" s="6">
        <v>13.512511165821</v>
      </c>
      <c r="G1680" s="6">
        <v>13.010974883038999</v>
      </c>
      <c r="H1680" s="6">
        <v>13.9815218203622</v>
      </c>
      <c r="I1680" s="6">
        <v>14.3917110532783</v>
      </c>
      <c r="J1680" s="6" t="s">
        <v>6254</v>
      </c>
      <c r="K1680" s="6" t="s">
        <v>6254</v>
      </c>
      <c r="L1680" s="6">
        <v>14.165953120496599</v>
      </c>
      <c r="M1680" s="6">
        <v>12.2806183377539</v>
      </c>
      <c r="N1680" s="6">
        <v>12.512629915518101</v>
      </c>
      <c r="O1680" s="6">
        <v>14.2235538786967</v>
      </c>
      <c r="P1680" s="6" t="s">
        <v>6254</v>
      </c>
      <c r="Q1680" s="6" t="s">
        <v>6254</v>
      </c>
    </row>
    <row r="1681" spans="1:17">
      <c r="A1681" s="6" t="s">
        <v>6182</v>
      </c>
      <c r="B1681" s="6" t="s">
        <v>6182</v>
      </c>
      <c r="C1681" s="6" t="s">
        <v>11172</v>
      </c>
      <c r="D1681" s="6" t="s">
        <v>11173</v>
      </c>
      <c r="E1681" s="6" t="s">
        <v>11173</v>
      </c>
      <c r="F1681" s="6">
        <v>13.582575719078999</v>
      </c>
      <c r="G1681" s="6">
        <v>13.7654569784653</v>
      </c>
      <c r="H1681" s="6">
        <v>14.062288838692099</v>
      </c>
      <c r="I1681" s="6">
        <v>14.302628475230801</v>
      </c>
      <c r="J1681" s="6" t="s">
        <v>6254</v>
      </c>
      <c r="K1681" s="6">
        <v>12.892077728387701</v>
      </c>
      <c r="L1681" s="6">
        <v>13.7996967730639</v>
      </c>
      <c r="M1681" s="6">
        <v>13.3296208097617</v>
      </c>
      <c r="N1681" s="6">
        <v>12.819044344209001</v>
      </c>
      <c r="O1681" s="6">
        <v>14.0717769923621</v>
      </c>
      <c r="P1681" s="6">
        <v>13.9846260900432</v>
      </c>
      <c r="Q1681" s="6" t="s">
        <v>6254</v>
      </c>
    </row>
    <row r="1682" spans="1:17">
      <c r="A1682" s="6" t="s">
        <v>2338</v>
      </c>
      <c r="B1682" s="6" t="s">
        <v>2338</v>
      </c>
      <c r="C1682" s="6" t="s">
        <v>11174</v>
      </c>
      <c r="D1682" s="6" t="s">
        <v>11175</v>
      </c>
      <c r="E1682" s="6" t="s">
        <v>11175</v>
      </c>
      <c r="F1682" s="6">
        <v>14.2849271366859</v>
      </c>
      <c r="G1682" s="6">
        <v>13.774087245072099</v>
      </c>
      <c r="H1682" s="6">
        <v>13.714709070002399</v>
      </c>
      <c r="I1682" s="6">
        <v>14.1438357746446</v>
      </c>
      <c r="J1682" s="6">
        <v>12.9095736781084</v>
      </c>
      <c r="K1682" s="6">
        <v>13.3530183547525</v>
      </c>
      <c r="L1682" s="6">
        <v>13.625697565422101</v>
      </c>
      <c r="M1682" s="6">
        <v>11.116036317399599</v>
      </c>
      <c r="N1682" s="6">
        <v>13.3385638608477</v>
      </c>
      <c r="O1682" s="6">
        <v>13.9956945357064</v>
      </c>
      <c r="P1682" s="6">
        <v>13.534313318156601</v>
      </c>
      <c r="Q1682" s="6" t="s">
        <v>6254</v>
      </c>
    </row>
    <row r="1683" spans="1:17">
      <c r="A1683" s="6" t="s">
        <v>11176</v>
      </c>
      <c r="B1683" s="6" t="s">
        <v>11177</v>
      </c>
      <c r="C1683" s="6" t="s">
        <v>11178</v>
      </c>
      <c r="D1683" s="6" t="s">
        <v>11179</v>
      </c>
      <c r="E1683" s="6" t="s">
        <v>11180</v>
      </c>
      <c r="F1683" s="6">
        <v>14.330472734902299</v>
      </c>
      <c r="G1683" s="6">
        <v>13.497843944212899</v>
      </c>
      <c r="H1683" s="6">
        <v>13.766114501332</v>
      </c>
      <c r="I1683" s="6">
        <v>14.177301941342</v>
      </c>
      <c r="J1683" s="6">
        <v>12.998518260183699</v>
      </c>
      <c r="K1683" s="6">
        <v>12.938913204438199</v>
      </c>
      <c r="L1683" s="6">
        <v>14.1631579651945</v>
      </c>
      <c r="M1683" s="6">
        <v>12.4941433328092</v>
      </c>
      <c r="N1683" s="6">
        <v>13.691455670660799</v>
      </c>
      <c r="O1683" s="6">
        <v>13.4551706808173</v>
      </c>
      <c r="P1683" s="6">
        <v>13.383205045708999</v>
      </c>
      <c r="Q1683" s="6">
        <v>12.368479775883101</v>
      </c>
    </row>
    <row r="1684" spans="1:17">
      <c r="A1684" s="6" t="s">
        <v>11181</v>
      </c>
      <c r="B1684" s="6" t="s">
        <v>11182</v>
      </c>
      <c r="C1684" s="6" t="s">
        <v>11183</v>
      </c>
      <c r="D1684" s="6" t="s">
        <v>11184</v>
      </c>
      <c r="E1684" s="6" t="s">
        <v>11185</v>
      </c>
      <c r="F1684" s="6">
        <v>14.2359672621944</v>
      </c>
      <c r="G1684" s="6" t="s">
        <v>6254</v>
      </c>
      <c r="H1684" s="6">
        <v>13.5263031435261</v>
      </c>
      <c r="I1684" s="6">
        <v>14.525729326410801</v>
      </c>
      <c r="J1684" s="6">
        <v>12.6633779151553</v>
      </c>
      <c r="K1684" s="6">
        <v>13.707364105085199</v>
      </c>
      <c r="L1684" s="6">
        <v>13.4845335606579</v>
      </c>
      <c r="M1684" s="6">
        <v>12.8592106266266</v>
      </c>
      <c r="N1684" s="6" t="s">
        <v>6254</v>
      </c>
      <c r="O1684" s="6">
        <v>14.0829889805731</v>
      </c>
      <c r="P1684" s="6">
        <v>13.9874449026211</v>
      </c>
      <c r="Q1684" s="6">
        <v>12.0177769550598</v>
      </c>
    </row>
    <row r="1685" spans="1:17">
      <c r="A1685" s="6" t="s">
        <v>11186</v>
      </c>
      <c r="B1685" s="6" t="s">
        <v>11187</v>
      </c>
      <c r="C1685" s="6" t="s">
        <v>11188</v>
      </c>
      <c r="D1685" s="6" t="s">
        <v>11189</v>
      </c>
      <c r="E1685" s="6" t="s">
        <v>11190</v>
      </c>
      <c r="F1685" s="6">
        <v>14.864801777598499</v>
      </c>
      <c r="G1685" s="6">
        <v>13.697271519374</v>
      </c>
      <c r="H1685" s="6">
        <v>14.2853558353011</v>
      </c>
      <c r="I1685" s="6">
        <v>14.3955514860991</v>
      </c>
      <c r="J1685" s="6" t="s">
        <v>6254</v>
      </c>
      <c r="K1685" s="6">
        <v>14.400960176445601</v>
      </c>
      <c r="L1685" s="6">
        <v>14.2425039621917</v>
      </c>
      <c r="M1685" s="6">
        <v>12.7936167469332</v>
      </c>
      <c r="N1685" s="6">
        <v>13.690741728130501</v>
      </c>
      <c r="O1685" s="6">
        <v>13.0849852986844</v>
      </c>
      <c r="P1685" s="6">
        <v>14.841994002444</v>
      </c>
      <c r="Q1685" s="6">
        <v>11.6756825727952</v>
      </c>
    </row>
    <row r="1686" spans="1:17">
      <c r="A1686" s="6" t="s">
        <v>11191</v>
      </c>
      <c r="B1686" s="6" t="s">
        <v>11191</v>
      </c>
      <c r="C1686" s="6" t="s">
        <v>11192</v>
      </c>
      <c r="D1686" s="6" t="s">
        <v>11193</v>
      </c>
      <c r="E1686" s="6" t="s">
        <v>11193</v>
      </c>
      <c r="F1686" s="6">
        <v>13.4948082141608</v>
      </c>
      <c r="G1686" s="6">
        <v>14.1041193880697</v>
      </c>
      <c r="H1686" s="6">
        <v>13.9187787045605</v>
      </c>
      <c r="I1686" s="6">
        <v>14.2866883477686</v>
      </c>
      <c r="J1686" s="6">
        <v>11.890990303989501</v>
      </c>
      <c r="K1686" s="6">
        <v>13.884810406492599</v>
      </c>
      <c r="L1686" s="6">
        <v>14.4999930828294</v>
      </c>
      <c r="M1686" s="6">
        <v>13.1971238175227</v>
      </c>
      <c r="N1686" s="6">
        <v>12.8744936756848</v>
      </c>
      <c r="O1686" s="6">
        <v>14.012389470211399</v>
      </c>
      <c r="P1686" s="6">
        <v>12.6560250807521</v>
      </c>
      <c r="Q1686" s="6" t="s">
        <v>6254</v>
      </c>
    </row>
    <row r="1687" spans="1:17">
      <c r="A1687" s="6" t="s">
        <v>4084</v>
      </c>
      <c r="B1687" s="6" t="s">
        <v>4084</v>
      </c>
      <c r="C1687" s="6" t="s">
        <v>11194</v>
      </c>
      <c r="D1687" s="6" t="s">
        <v>11195</v>
      </c>
      <c r="E1687" s="6" t="s">
        <v>11195</v>
      </c>
      <c r="F1687" s="6">
        <v>13.804359912116199</v>
      </c>
      <c r="G1687" s="6">
        <v>13.751772753756899</v>
      </c>
      <c r="H1687" s="6">
        <v>13.599906960174399</v>
      </c>
      <c r="I1687" s="6">
        <v>13.661680648755</v>
      </c>
      <c r="J1687" s="6">
        <v>12.781688212678599</v>
      </c>
      <c r="K1687" s="6">
        <v>13.603360284621001</v>
      </c>
      <c r="L1687" s="6">
        <v>14.2609284747333</v>
      </c>
      <c r="M1687" s="6">
        <v>12.837162415547001</v>
      </c>
      <c r="N1687" s="6">
        <v>12.8970598063186</v>
      </c>
      <c r="O1687" s="6">
        <v>13.8520016782221</v>
      </c>
      <c r="P1687" s="6">
        <v>14.008495015879699</v>
      </c>
      <c r="Q1687" s="6">
        <v>12.601675591399101</v>
      </c>
    </row>
    <row r="1688" spans="1:17">
      <c r="A1688" s="6" t="s">
        <v>2789</v>
      </c>
      <c r="B1688" s="6" t="s">
        <v>2789</v>
      </c>
      <c r="C1688" s="6" t="s">
        <v>11196</v>
      </c>
      <c r="D1688" s="6" t="s">
        <v>11197</v>
      </c>
      <c r="E1688" s="6" t="s">
        <v>11197</v>
      </c>
      <c r="F1688" s="6" t="s">
        <v>6254</v>
      </c>
      <c r="G1688" s="6">
        <v>13.3749771695569</v>
      </c>
      <c r="H1688" s="6">
        <v>13.400027592976601</v>
      </c>
      <c r="I1688" s="6">
        <v>13.932327785694101</v>
      </c>
      <c r="J1688" s="6">
        <v>12.7777701414334</v>
      </c>
      <c r="K1688" s="6">
        <v>13.2048468436723</v>
      </c>
      <c r="L1688" s="6">
        <v>13.9339375382126</v>
      </c>
      <c r="M1688" s="6">
        <v>12.5275047344255</v>
      </c>
      <c r="N1688" s="6">
        <v>13.6447107689863</v>
      </c>
      <c r="O1688" s="6">
        <v>13.709091743423301</v>
      </c>
      <c r="P1688" s="6">
        <v>13.3820534138199</v>
      </c>
      <c r="Q1688" s="6">
        <v>11.685516698992</v>
      </c>
    </row>
    <row r="1689" spans="1:17">
      <c r="A1689" s="6" t="s">
        <v>11198</v>
      </c>
      <c r="B1689" s="6" t="s">
        <v>11198</v>
      </c>
      <c r="C1689" s="6" t="s">
        <v>11199</v>
      </c>
      <c r="D1689" s="6" t="s">
        <v>11200</v>
      </c>
      <c r="E1689" s="6" t="s">
        <v>11200</v>
      </c>
      <c r="F1689" s="6">
        <v>13.914535378892101</v>
      </c>
      <c r="G1689" s="6" t="s">
        <v>6254</v>
      </c>
      <c r="H1689" s="6">
        <v>13.0290051515909</v>
      </c>
      <c r="I1689" s="6">
        <v>14.1797737242198</v>
      </c>
      <c r="J1689" s="6">
        <v>13.2289173896592</v>
      </c>
      <c r="K1689" s="6">
        <v>13.5043406910091</v>
      </c>
      <c r="L1689" s="6" t="s">
        <v>6254</v>
      </c>
      <c r="M1689" s="6">
        <v>12.7119151774044</v>
      </c>
      <c r="N1689" s="6">
        <v>13.667917261527901</v>
      </c>
      <c r="O1689" s="6">
        <v>13.224222980046299</v>
      </c>
      <c r="P1689" s="6">
        <v>13.6050701813424</v>
      </c>
      <c r="Q1689" s="6" t="s">
        <v>6254</v>
      </c>
    </row>
    <row r="1690" spans="1:17">
      <c r="A1690" s="6" t="s">
        <v>5603</v>
      </c>
      <c r="B1690" s="6" t="s">
        <v>5603</v>
      </c>
      <c r="C1690" s="6" t="s">
        <v>11201</v>
      </c>
      <c r="D1690" s="6" t="s">
        <v>11202</v>
      </c>
      <c r="E1690" s="6" t="s">
        <v>11202</v>
      </c>
      <c r="F1690" s="6" t="s">
        <v>6254</v>
      </c>
      <c r="G1690" s="6" t="s">
        <v>6254</v>
      </c>
      <c r="H1690" s="6" t="s">
        <v>6254</v>
      </c>
      <c r="I1690" s="6">
        <v>14.048138484368</v>
      </c>
      <c r="J1690" s="6" t="s">
        <v>6254</v>
      </c>
      <c r="K1690" s="6" t="s">
        <v>6254</v>
      </c>
      <c r="L1690" s="6" t="s">
        <v>6254</v>
      </c>
      <c r="M1690" s="6" t="s">
        <v>6254</v>
      </c>
      <c r="N1690" s="6" t="s">
        <v>6254</v>
      </c>
      <c r="O1690" s="6">
        <v>13.158895723779199</v>
      </c>
      <c r="P1690" s="6">
        <v>14.0620310501755</v>
      </c>
      <c r="Q1690" s="6" t="s">
        <v>6254</v>
      </c>
    </row>
    <row r="1691" spans="1:17">
      <c r="A1691" s="6" t="s">
        <v>3443</v>
      </c>
      <c r="B1691" s="6" t="s">
        <v>3445</v>
      </c>
      <c r="C1691" s="6" t="s">
        <v>11203</v>
      </c>
      <c r="D1691" s="6" t="s">
        <v>11204</v>
      </c>
      <c r="E1691" s="6" t="s">
        <v>11205</v>
      </c>
      <c r="F1691" s="6">
        <v>14.089095972734301</v>
      </c>
      <c r="G1691" s="6">
        <v>13.7076531800758</v>
      </c>
      <c r="H1691" s="6">
        <v>13.2589867586499</v>
      </c>
      <c r="I1691" s="6">
        <v>14.186610484402999</v>
      </c>
      <c r="J1691" s="6">
        <v>12.4872220316413</v>
      </c>
      <c r="K1691" s="6" t="s">
        <v>6254</v>
      </c>
      <c r="L1691" s="6">
        <v>13.8807098828051</v>
      </c>
      <c r="M1691" s="6">
        <v>13.0141912727969</v>
      </c>
      <c r="N1691" s="6">
        <v>13.5657505025217</v>
      </c>
      <c r="O1691" s="6">
        <v>14.067553462775001</v>
      </c>
      <c r="P1691" s="6">
        <v>13.582896725063099</v>
      </c>
      <c r="Q1691" s="6">
        <v>12.3007964532967</v>
      </c>
    </row>
    <row r="1692" spans="1:17">
      <c r="A1692" s="6" t="s">
        <v>11206</v>
      </c>
      <c r="B1692" s="6" t="s">
        <v>11207</v>
      </c>
      <c r="C1692" s="6" t="s">
        <v>11208</v>
      </c>
      <c r="D1692" s="6" t="s">
        <v>11209</v>
      </c>
      <c r="E1692" s="6" t="s">
        <v>11210</v>
      </c>
      <c r="F1692" s="6" t="s">
        <v>6254</v>
      </c>
      <c r="G1692" s="6">
        <v>13.440312182077299</v>
      </c>
      <c r="H1692" s="6">
        <v>13.8169986080761</v>
      </c>
      <c r="I1692" s="6" t="s">
        <v>6254</v>
      </c>
      <c r="J1692" s="6" t="s">
        <v>6254</v>
      </c>
      <c r="K1692" s="6" t="s">
        <v>6254</v>
      </c>
      <c r="L1692" s="6">
        <v>13.707770243208699</v>
      </c>
      <c r="M1692" s="6" t="s">
        <v>6254</v>
      </c>
      <c r="N1692" s="6" t="s">
        <v>6254</v>
      </c>
      <c r="O1692" s="6">
        <v>14.1799822459939</v>
      </c>
      <c r="P1692" s="6" t="s">
        <v>6254</v>
      </c>
      <c r="Q1692" s="6">
        <v>11.925345102616101</v>
      </c>
    </row>
    <row r="1693" spans="1:17">
      <c r="A1693" s="6" t="s">
        <v>1785</v>
      </c>
      <c r="B1693" s="6" t="s">
        <v>1787</v>
      </c>
      <c r="C1693" s="6" t="s">
        <v>11211</v>
      </c>
      <c r="D1693" s="6" t="s">
        <v>11212</v>
      </c>
      <c r="E1693" s="6" t="s">
        <v>11213</v>
      </c>
      <c r="F1693" s="6">
        <v>13.497184942504999</v>
      </c>
      <c r="G1693" s="6">
        <v>14.0387264083078</v>
      </c>
      <c r="H1693" s="6">
        <v>13.6428680231841</v>
      </c>
      <c r="I1693" s="6">
        <v>14.1403550354046</v>
      </c>
      <c r="J1693" s="6">
        <v>12.701849224971699</v>
      </c>
      <c r="K1693" s="6">
        <v>13.3757732144724</v>
      </c>
      <c r="L1693" s="6">
        <v>14.160084321349901</v>
      </c>
      <c r="M1693" s="6">
        <v>12.920382870288799</v>
      </c>
      <c r="N1693" s="6">
        <v>13.571279532357</v>
      </c>
      <c r="O1693" s="6">
        <v>13.920954573456401</v>
      </c>
      <c r="P1693" s="6">
        <v>12.9421921993649</v>
      </c>
      <c r="Q1693" s="6">
        <v>11.693916473363201</v>
      </c>
    </row>
    <row r="1694" spans="1:17">
      <c r="A1694" s="6" t="s">
        <v>2895</v>
      </c>
      <c r="B1694" s="6" t="s">
        <v>2895</v>
      </c>
      <c r="C1694" s="6" t="s">
        <v>11214</v>
      </c>
      <c r="D1694" s="6" t="s">
        <v>11215</v>
      </c>
      <c r="E1694" s="6" t="s">
        <v>11215</v>
      </c>
      <c r="F1694" s="6">
        <v>13.641095768122099</v>
      </c>
      <c r="G1694" s="6">
        <v>13.0818999115249</v>
      </c>
      <c r="H1694" s="6">
        <v>13.098751770834401</v>
      </c>
      <c r="I1694" s="6">
        <v>14.3552257867458</v>
      </c>
      <c r="J1694" s="6">
        <v>12.662012220777401</v>
      </c>
      <c r="K1694" s="6">
        <v>13.622289497212201</v>
      </c>
      <c r="L1694" s="6">
        <v>14.143869416191199</v>
      </c>
      <c r="M1694" s="6" t="s">
        <v>6254</v>
      </c>
      <c r="N1694" s="6">
        <v>12.6566724293106</v>
      </c>
      <c r="O1694" s="6">
        <v>13.9089069922756</v>
      </c>
      <c r="P1694" s="6">
        <v>13.5604103826422</v>
      </c>
      <c r="Q1694" s="6">
        <v>12.953552202087799</v>
      </c>
    </row>
    <row r="1695" spans="1:17">
      <c r="A1695" s="6" t="s">
        <v>11216</v>
      </c>
      <c r="B1695" s="6" t="s">
        <v>11217</v>
      </c>
      <c r="C1695" s="6" t="s">
        <v>11218</v>
      </c>
      <c r="D1695" s="6" t="s">
        <v>11219</v>
      </c>
      <c r="E1695" s="6" t="s">
        <v>11220</v>
      </c>
      <c r="F1695" s="6">
        <v>12.4434453330685</v>
      </c>
      <c r="G1695" s="6" t="s">
        <v>6254</v>
      </c>
      <c r="H1695" s="6" t="s">
        <v>6254</v>
      </c>
      <c r="I1695" s="6">
        <v>14.192775916263299</v>
      </c>
      <c r="J1695" s="6" t="s">
        <v>6254</v>
      </c>
      <c r="K1695" s="6">
        <v>13.6266350328788</v>
      </c>
      <c r="L1695" s="6">
        <v>14.0482706837868</v>
      </c>
      <c r="M1695" s="6" t="s">
        <v>6254</v>
      </c>
      <c r="N1695" s="6" t="s">
        <v>6254</v>
      </c>
      <c r="O1695" s="6" t="s">
        <v>6254</v>
      </c>
      <c r="P1695" s="6">
        <v>13.5980766735173</v>
      </c>
      <c r="Q1695" s="6" t="s">
        <v>6254</v>
      </c>
    </row>
    <row r="1696" spans="1:17">
      <c r="A1696" s="6" t="s">
        <v>11221</v>
      </c>
      <c r="B1696" s="6" t="s">
        <v>11222</v>
      </c>
      <c r="C1696" s="6" t="s">
        <v>11223</v>
      </c>
      <c r="D1696" s="6" t="s">
        <v>11224</v>
      </c>
      <c r="E1696" s="6" t="s">
        <v>11225</v>
      </c>
      <c r="F1696" s="6">
        <v>14.0626380711959</v>
      </c>
      <c r="G1696" s="6">
        <v>13.486086095257599</v>
      </c>
      <c r="H1696" s="6">
        <v>13.001752968144199</v>
      </c>
      <c r="I1696" s="6">
        <v>14.310538479211001</v>
      </c>
      <c r="J1696" s="6" t="s">
        <v>6254</v>
      </c>
      <c r="K1696" s="6">
        <v>13.507706520680401</v>
      </c>
      <c r="L1696" s="6">
        <v>13.9301842231799</v>
      </c>
      <c r="M1696" s="6">
        <v>12.5700296035845</v>
      </c>
      <c r="N1696" s="6">
        <v>12.6897058717294</v>
      </c>
      <c r="O1696" s="6">
        <v>13.8116426659276</v>
      </c>
      <c r="P1696" s="6">
        <v>13.588863469263799</v>
      </c>
      <c r="Q1696" s="6" t="s">
        <v>6254</v>
      </c>
    </row>
    <row r="1697" spans="1:17">
      <c r="A1697" s="6" t="s">
        <v>4829</v>
      </c>
      <c r="B1697" s="6" t="s">
        <v>4829</v>
      </c>
      <c r="C1697" s="6" t="s">
        <v>11226</v>
      </c>
      <c r="D1697" s="6" t="s">
        <v>11227</v>
      </c>
      <c r="E1697" s="6" t="s">
        <v>11227</v>
      </c>
      <c r="F1697" s="6">
        <v>13.8238355488899</v>
      </c>
      <c r="G1697" s="6">
        <v>13.455262843258399</v>
      </c>
      <c r="H1697" s="6">
        <v>13.5273766196838</v>
      </c>
      <c r="I1697" s="6">
        <v>14.356047460774599</v>
      </c>
      <c r="J1697" s="6">
        <v>12.721797244629199</v>
      </c>
      <c r="K1697" s="6">
        <v>13.3298096884955</v>
      </c>
      <c r="L1697" s="6">
        <v>13.8220596566333</v>
      </c>
      <c r="M1697" s="6" t="s">
        <v>6254</v>
      </c>
      <c r="N1697" s="6">
        <v>13.1448880897888</v>
      </c>
      <c r="O1697" s="6">
        <v>12.717383613412</v>
      </c>
      <c r="P1697" s="6">
        <v>13.474677923420099</v>
      </c>
      <c r="Q1697" s="6">
        <v>12.5326953937273</v>
      </c>
    </row>
    <row r="1698" spans="1:17">
      <c r="A1698" s="6" t="s">
        <v>4174</v>
      </c>
      <c r="B1698" s="6" t="s">
        <v>4174</v>
      </c>
      <c r="C1698" s="6" t="s">
        <v>11228</v>
      </c>
      <c r="D1698" s="6" t="s">
        <v>11229</v>
      </c>
      <c r="E1698" s="6" t="s">
        <v>11229</v>
      </c>
      <c r="F1698" s="6">
        <v>13.8217778920912</v>
      </c>
      <c r="G1698" s="6">
        <v>13.8294960487717</v>
      </c>
      <c r="H1698" s="6">
        <v>13.813752244506899</v>
      </c>
      <c r="I1698" s="6">
        <v>14.270395807972299</v>
      </c>
      <c r="J1698" s="6">
        <v>12.4504488101877</v>
      </c>
      <c r="K1698" s="6">
        <v>13.365520043124899</v>
      </c>
      <c r="L1698" s="6">
        <v>14.195936370573699</v>
      </c>
      <c r="M1698" s="6">
        <v>12.8000582592871</v>
      </c>
      <c r="N1698" s="6">
        <v>12.5637577513283</v>
      </c>
      <c r="O1698" s="6">
        <v>13.8164691528826</v>
      </c>
      <c r="P1698" s="6">
        <v>13.7614582551008</v>
      </c>
      <c r="Q1698" s="6">
        <v>12.089407617123401</v>
      </c>
    </row>
    <row r="1699" spans="1:17">
      <c r="A1699" s="6" t="s">
        <v>11230</v>
      </c>
      <c r="B1699" s="6" t="s">
        <v>11230</v>
      </c>
      <c r="C1699" s="6" t="s">
        <v>11231</v>
      </c>
      <c r="D1699" s="6" t="s">
        <v>11232</v>
      </c>
      <c r="E1699" s="6" t="s">
        <v>11232</v>
      </c>
      <c r="F1699" s="6">
        <v>13.414466290588701</v>
      </c>
      <c r="G1699" s="6">
        <v>13.563685619238001</v>
      </c>
      <c r="H1699" s="6">
        <v>13.2562099520133</v>
      </c>
      <c r="I1699" s="6">
        <v>14.2526966655715</v>
      </c>
      <c r="J1699" s="6" t="s">
        <v>6254</v>
      </c>
      <c r="K1699" s="6">
        <v>13.7316208187532</v>
      </c>
      <c r="L1699" s="6">
        <v>13.6979580978625</v>
      </c>
      <c r="M1699" s="6">
        <v>12.4932179014565</v>
      </c>
      <c r="N1699" s="6">
        <v>13.107522399358</v>
      </c>
      <c r="O1699" s="6">
        <v>13.5319550232583</v>
      </c>
      <c r="P1699" s="6">
        <v>13.1787851831587</v>
      </c>
      <c r="Q1699" s="6" t="s">
        <v>6254</v>
      </c>
    </row>
    <row r="1700" spans="1:17">
      <c r="A1700" s="6" t="s">
        <v>11233</v>
      </c>
      <c r="B1700" s="6" t="s">
        <v>11234</v>
      </c>
      <c r="C1700" s="6" t="s">
        <v>11235</v>
      </c>
      <c r="D1700" s="6" t="s">
        <v>11236</v>
      </c>
      <c r="E1700" s="6" t="s">
        <v>11237</v>
      </c>
      <c r="F1700" s="6">
        <v>13.6907614728069</v>
      </c>
      <c r="G1700" s="6">
        <v>12.1485505478064</v>
      </c>
      <c r="H1700" s="6">
        <v>13.255335809023199</v>
      </c>
      <c r="I1700" s="6">
        <v>14.031172410893699</v>
      </c>
      <c r="J1700" s="6">
        <v>12.4404196333792</v>
      </c>
      <c r="K1700" s="6">
        <v>13.940753788028699</v>
      </c>
      <c r="L1700" s="6">
        <v>13.6454491643068</v>
      </c>
      <c r="M1700" s="6" t="s">
        <v>6254</v>
      </c>
      <c r="N1700" s="6">
        <v>14.011646585492199</v>
      </c>
      <c r="O1700" s="6">
        <v>13.5041872840611</v>
      </c>
      <c r="P1700" s="6">
        <v>13.5349872114507</v>
      </c>
      <c r="Q1700" s="6" t="s">
        <v>6254</v>
      </c>
    </row>
    <row r="1701" spans="1:17">
      <c r="A1701" s="6" t="s">
        <v>11238</v>
      </c>
      <c r="B1701" s="6" t="s">
        <v>11238</v>
      </c>
      <c r="C1701" s="6" t="s">
        <v>11239</v>
      </c>
      <c r="D1701" s="6" t="s">
        <v>11240</v>
      </c>
      <c r="E1701" s="6" t="s">
        <v>11240</v>
      </c>
      <c r="F1701" s="6">
        <v>13.619480583815999</v>
      </c>
      <c r="G1701" s="6">
        <v>13.6000919296637</v>
      </c>
      <c r="H1701" s="6">
        <v>13.462003079767999</v>
      </c>
      <c r="I1701" s="6">
        <v>14.406418913032599</v>
      </c>
      <c r="J1701" s="6">
        <v>12.6748108380233</v>
      </c>
      <c r="K1701" s="6">
        <v>13.7365986907226</v>
      </c>
      <c r="L1701" s="6">
        <v>13.973371130966999</v>
      </c>
      <c r="M1701" s="6">
        <v>12.841445040059099</v>
      </c>
      <c r="N1701" s="6">
        <v>13.017769730232001</v>
      </c>
      <c r="O1701" s="6">
        <v>13.6471115521082</v>
      </c>
      <c r="P1701" s="6">
        <v>13.6000296106434</v>
      </c>
      <c r="Q1701" s="6" t="s">
        <v>6254</v>
      </c>
    </row>
    <row r="1702" spans="1:17">
      <c r="A1702" s="6" t="s">
        <v>11241</v>
      </c>
      <c r="B1702" s="6" t="s">
        <v>11242</v>
      </c>
      <c r="C1702" s="6" t="s">
        <v>11243</v>
      </c>
      <c r="D1702" s="6" t="s">
        <v>11244</v>
      </c>
      <c r="E1702" s="6" t="s">
        <v>11245</v>
      </c>
      <c r="F1702" s="6">
        <v>14.0007610798353</v>
      </c>
      <c r="G1702" s="6">
        <v>13.688604416637199</v>
      </c>
      <c r="H1702" s="6">
        <v>13.442359438042301</v>
      </c>
      <c r="I1702" s="6">
        <v>14.3325807822218</v>
      </c>
      <c r="J1702" s="6">
        <v>12.5970334066039</v>
      </c>
      <c r="K1702" s="6">
        <v>13.760758269719799</v>
      </c>
      <c r="L1702" s="6">
        <v>14.319935437263499</v>
      </c>
      <c r="M1702" s="6">
        <v>12.336235395251601</v>
      </c>
      <c r="N1702" s="6">
        <v>12.750730012239901</v>
      </c>
      <c r="O1702" s="6">
        <v>13.5745453621298</v>
      </c>
      <c r="P1702" s="6">
        <v>13.7016991194821</v>
      </c>
      <c r="Q1702" s="6" t="s">
        <v>6254</v>
      </c>
    </row>
    <row r="1703" spans="1:17">
      <c r="A1703" s="6" t="s">
        <v>2503</v>
      </c>
      <c r="B1703" s="6" t="s">
        <v>2503</v>
      </c>
      <c r="C1703" s="6" t="s">
        <v>11246</v>
      </c>
      <c r="D1703" s="6" t="s">
        <v>11247</v>
      </c>
      <c r="E1703" s="6" t="s">
        <v>11247</v>
      </c>
      <c r="F1703" s="6">
        <v>13.7627475486095</v>
      </c>
      <c r="G1703" s="6">
        <v>13.1072250594294</v>
      </c>
      <c r="H1703" s="6">
        <v>13.6013501610242</v>
      </c>
      <c r="I1703" s="6">
        <v>14.1764133150823</v>
      </c>
      <c r="J1703" s="6">
        <v>12.5050024018706</v>
      </c>
      <c r="K1703" s="6">
        <v>13.054967533667901</v>
      </c>
      <c r="L1703" s="6">
        <v>14.311977532913</v>
      </c>
      <c r="M1703" s="6">
        <v>12.2072693525782</v>
      </c>
      <c r="N1703" s="6">
        <v>14.068459214764401</v>
      </c>
      <c r="O1703" s="6">
        <v>13.7823115564827</v>
      </c>
      <c r="P1703" s="6">
        <v>13.657727954209401</v>
      </c>
      <c r="Q1703" s="6">
        <v>11.93789099224</v>
      </c>
    </row>
    <row r="1704" spans="1:17">
      <c r="A1704" s="6" t="s">
        <v>11248</v>
      </c>
      <c r="B1704" s="6" t="s">
        <v>11249</v>
      </c>
      <c r="C1704" s="6" t="s">
        <v>11250</v>
      </c>
      <c r="D1704" s="6" t="s">
        <v>11251</v>
      </c>
      <c r="E1704" s="6" t="s">
        <v>11252</v>
      </c>
      <c r="F1704" s="6">
        <v>13.9225336270179</v>
      </c>
      <c r="G1704" s="6" t="s">
        <v>6254</v>
      </c>
      <c r="H1704" s="6">
        <v>13.090408337086901</v>
      </c>
      <c r="I1704" s="6">
        <v>13.8017141076927</v>
      </c>
      <c r="J1704" s="6">
        <v>12.2985946995279</v>
      </c>
      <c r="K1704" s="6">
        <v>13.4928837684456</v>
      </c>
      <c r="L1704" s="6">
        <v>13.8483612351404</v>
      </c>
      <c r="M1704" s="6" t="s">
        <v>6254</v>
      </c>
      <c r="N1704" s="6">
        <v>12.8653333980709</v>
      </c>
      <c r="O1704" s="6">
        <v>13.541345905604601</v>
      </c>
      <c r="P1704" s="6" t="s">
        <v>6254</v>
      </c>
      <c r="Q1704" s="6" t="s">
        <v>6254</v>
      </c>
    </row>
    <row r="1705" spans="1:17">
      <c r="A1705" s="6" t="s">
        <v>11253</v>
      </c>
      <c r="B1705" s="6" t="s">
        <v>11253</v>
      </c>
      <c r="C1705" s="6" t="s">
        <v>11254</v>
      </c>
      <c r="D1705" s="6" t="s">
        <v>11255</v>
      </c>
      <c r="E1705" s="6" t="s">
        <v>11255</v>
      </c>
      <c r="F1705" s="6">
        <v>13.8322505769244</v>
      </c>
      <c r="G1705" s="6">
        <v>13.733583485301599</v>
      </c>
      <c r="H1705" s="6">
        <v>13.1520742576628</v>
      </c>
      <c r="I1705" s="6">
        <v>14.1342854717522</v>
      </c>
      <c r="J1705" s="6">
        <v>13.462907201312699</v>
      </c>
      <c r="K1705" s="6">
        <v>13.348014769453799</v>
      </c>
      <c r="L1705" s="6">
        <v>14.0233944126071</v>
      </c>
      <c r="M1705" s="6" t="s">
        <v>6254</v>
      </c>
      <c r="N1705" s="6">
        <v>12.7628753491338</v>
      </c>
      <c r="O1705" s="6">
        <v>13.477575927696799</v>
      </c>
      <c r="P1705" s="6">
        <v>13.7030558100712</v>
      </c>
      <c r="Q1705" s="6" t="s">
        <v>6254</v>
      </c>
    </row>
    <row r="1706" spans="1:17">
      <c r="A1706" s="6" t="s">
        <v>11256</v>
      </c>
      <c r="B1706" s="6" t="s">
        <v>2863</v>
      </c>
      <c r="C1706" s="6" t="s">
        <v>11257</v>
      </c>
      <c r="D1706" s="6" t="s">
        <v>11258</v>
      </c>
      <c r="E1706" s="6" t="s">
        <v>11259</v>
      </c>
      <c r="F1706" s="6">
        <v>13.032691759130101</v>
      </c>
      <c r="G1706" s="6">
        <v>14.161533290851599</v>
      </c>
      <c r="H1706" s="6">
        <v>13.206967640465701</v>
      </c>
      <c r="I1706" s="6">
        <v>13.8337478387534</v>
      </c>
      <c r="J1706" s="6" t="s">
        <v>6254</v>
      </c>
      <c r="K1706" s="6" t="s">
        <v>6254</v>
      </c>
      <c r="L1706" s="6">
        <v>13.5165126693246</v>
      </c>
      <c r="M1706" s="6">
        <v>12.5992154451374</v>
      </c>
      <c r="N1706" s="6" t="s">
        <v>6254</v>
      </c>
      <c r="O1706" s="6">
        <v>13.7704215028661</v>
      </c>
      <c r="P1706" s="6">
        <v>13.890812181891601</v>
      </c>
      <c r="Q1706" s="6">
        <v>12.7639511520259</v>
      </c>
    </row>
    <row r="1707" spans="1:17">
      <c r="A1707" s="6" t="s">
        <v>11260</v>
      </c>
      <c r="B1707" s="6" t="s">
        <v>11261</v>
      </c>
      <c r="C1707" s="6" t="s">
        <v>11262</v>
      </c>
      <c r="D1707" s="6" t="s">
        <v>11263</v>
      </c>
      <c r="E1707" s="6" t="s">
        <v>11264</v>
      </c>
      <c r="F1707" s="6" t="s">
        <v>6254</v>
      </c>
      <c r="G1707" s="6">
        <v>13.4226102371553</v>
      </c>
      <c r="H1707" s="6" t="s">
        <v>6254</v>
      </c>
      <c r="I1707" s="6">
        <v>14.5749704087658</v>
      </c>
      <c r="J1707" s="6" t="s">
        <v>6254</v>
      </c>
      <c r="K1707" s="6" t="s">
        <v>6254</v>
      </c>
      <c r="L1707" s="6">
        <v>14.1607158197912</v>
      </c>
      <c r="M1707" s="6" t="s">
        <v>6254</v>
      </c>
      <c r="N1707" s="6">
        <v>12.7148698775624</v>
      </c>
      <c r="O1707" s="6" t="s">
        <v>6254</v>
      </c>
      <c r="P1707" s="6" t="s">
        <v>6254</v>
      </c>
      <c r="Q1707" s="6">
        <v>12.339268176712</v>
      </c>
    </row>
    <row r="1708" spans="1:17">
      <c r="A1708" s="6" t="s">
        <v>2784</v>
      </c>
      <c r="B1708" s="6" t="s">
        <v>2786</v>
      </c>
      <c r="C1708" s="6" t="s">
        <v>11265</v>
      </c>
      <c r="D1708" s="6" t="s">
        <v>11266</v>
      </c>
      <c r="E1708" s="6" t="s">
        <v>11267</v>
      </c>
      <c r="F1708" s="6">
        <v>14.433951502755599</v>
      </c>
      <c r="G1708" s="6" t="s">
        <v>6254</v>
      </c>
      <c r="H1708" s="6">
        <v>12.553566900772701</v>
      </c>
      <c r="I1708" s="6">
        <v>13.9538485289702</v>
      </c>
      <c r="J1708" s="6">
        <v>13.179322156346601</v>
      </c>
      <c r="K1708" s="6">
        <v>13.2490464874575</v>
      </c>
      <c r="L1708" s="6">
        <v>13.213925524620601</v>
      </c>
      <c r="M1708" s="6" t="s">
        <v>6254</v>
      </c>
      <c r="N1708" s="6">
        <v>14.3423920976788</v>
      </c>
      <c r="O1708" s="6">
        <v>13.681691336662601</v>
      </c>
      <c r="P1708" s="6">
        <v>13.7889861465416</v>
      </c>
      <c r="Q1708" s="6" t="s">
        <v>6254</v>
      </c>
    </row>
    <row r="1709" spans="1:17">
      <c r="A1709" s="6" t="s">
        <v>11268</v>
      </c>
      <c r="B1709" s="6" t="s">
        <v>11268</v>
      </c>
      <c r="C1709" s="6" t="s">
        <v>11269</v>
      </c>
      <c r="D1709" s="6" t="s">
        <v>11270</v>
      </c>
      <c r="E1709" s="6" t="s">
        <v>11270</v>
      </c>
      <c r="F1709" s="6">
        <v>13.909400577744901</v>
      </c>
      <c r="G1709" s="6">
        <v>13.3627273709871</v>
      </c>
      <c r="H1709" s="6">
        <v>13.246083275805599</v>
      </c>
      <c r="I1709" s="6">
        <v>14.054135056030301</v>
      </c>
      <c r="J1709" s="6">
        <v>12.5315053641626</v>
      </c>
      <c r="K1709" s="6">
        <v>13.411057395491801</v>
      </c>
      <c r="L1709" s="6">
        <v>14.286277188625</v>
      </c>
      <c r="M1709" s="6">
        <v>12.234594665225799</v>
      </c>
      <c r="N1709" s="6">
        <v>12.627178241805399</v>
      </c>
      <c r="O1709" s="6">
        <v>13.616814400963699</v>
      </c>
      <c r="P1709" s="6">
        <v>14.0802694919433</v>
      </c>
      <c r="Q1709" s="6" t="s">
        <v>6254</v>
      </c>
    </row>
    <row r="1710" spans="1:17">
      <c r="A1710" s="6" t="s">
        <v>11271</v>
      </c>
      <c r="B1710" s="6" t="s">
        <v>11271</v>
      </c>
      <c r="C1710" s="6" t="s">
        <v>11272</v>
      </c>
      <c r="D1710" s="6" t="s">
        <v>11273</v>
      </c>
      <c r="E1710" s="6" t="s">
        <v>11273</v>
      </c>
      <c r="F1710" s="6">
        <v>14.032188736044301</v>
      </c>
      <c r="G1710" s="6">
        <v>13.244954904413101</v>
      </c>
      <c r="H1710" s="6">
        <v>13.525794876136899</v>
      </c>
      <c r="I1710" s="6">
        <v>14.1527184425515</v>
      </c>
      <c r="J1710" s="6">
        <v>12.301071833879</v>
      </c>
      <c r="K1710" s="6">
        <v>13.497604953843901</v>
      </c>
      <c r="L1710" s="6">
        <v>13.873799766258699</v>
      </c>
      <c r="M1710" s="6">
        <v>12.5681531538194</v>
      </c>
      <c r="N1710" s="6">
        <v>12.9767227591762</v>
      </c>
      <c r="O1710" s="6">
        <v>13.497588647778</v>
      </c>
      <c r="P1710" s="6">
        <v>13.7932794795645</v>
      </c>
      <c r="Q1710" s="6" t="s">
        <v>6254</v>
      </c>
    </row>
    <row r="1711" spans="1:17">
      <c r="A1711" s="6" t="s">
        <v>11274</v>
      </c>
      <c r="B1711" s="6" t="s">
        <v>11275</v>
      </c>
      <c r="C1711" s="6" t="s">
        <v>11276</v>
      </c>
      <c r="D1711" s="6" t="s">
        <v>11277</v>
      </c>
      <c r="E1711" s="6" t="s">
        <v>11278</v>
      </c>
      <c r="F1711" s="6">
        <v>13.9485059169299</v>
      </c>
      <c r="G1711" s="6">
        <v>13.3658657697836</v>
      </c>
      <c r="H1711" s="6">
        <v>13.208708898901801</v>
      </c>
      <c r="I1711" s="6">
        <v>13.754556763177799</v>
      </c>
      <c r="J1711" s="6" t="s">
        <v>6254</v>
      </c>
      <c r="K1711" s="6">
        <v>13.3070816313723</v>
      </c>
      <c r="L1711" s="6">
        <v>13.7702042913747</v>
      </c>
      <c r="M1711" s="6" t="s">
        <v>6254</v>
      </c>
      <c r="N1711" s="6" t="s">
        <v>6254</v>
      </c>
      <c r="O1711" s="6">
        <v>13.7045509235046</v>
      </c>
      <c r="P1711" s="6">
        <v>13.680387461174901</v>
      </c>
      <c r="Q1711" s="6" t="s">
        <v>6254</v>
      </c>
    </row>
    <row r="1712" spans="1:17">
      <c r="A1712" s="6" t="s">
        <v>11279</v>
      </c>
      <c r="B1712" s="6" t="s">
        <v>11280</v>
      </c>
      <c r="C1712" s="6" t="s">
        <v>11281</v>
      </c>
      <c r="D1712" s="6" t="s">
        <v>11282</v>
      </c>
      <c r="E1712" s="6" t="s">
        <v>11283</v>
      </c>
      <c r="F1712" s="6">
        <v>14.033331055398801</v>
      </c>
      <c r="G1712" s="6">
        <v>13.373082260719301</v>
      </c>
      <c r="H1712" s="6">
        <v>12.6687735872649</v>
      </c>
      <c r="I1712" s="6">
        <v>13.343915658793399</v>
      </c>
      <c r="J1712" s="6" t="s">
        <v>6254</v>
      </c>
      <c r="K1712" s="6">
        <v>12.503204771860601</v>
      </c>
      <c r="L1712" s="6">
        <v>14.511601988071099</v>
      </c>
      <c r="M1712" s="6">
        <v>12.612248865804901</v>
      </c>
      <c r="N1712" s="6">
        <v>14.353068435382401</v>
      </c>
      <c r="O1712" s="6">
        <v>13.9491558841946</v>
      </c>
      <c r="P1712" s="6">
        <v>13.7849021496302</v>
      </c>
      <c r="Q1712" s="6" t="s">
        <v>6254</v>
      </c>
    </row>
    <row r="1713" spans="1:17">
      <c r="A1713" s="6" t="s">
        <v>11284</v>
      </c>
      <c r="B1713" s="6" t="s">
        <v>11284</v>
      </c>
      <c r="C1713" s="6" t="s">
        <v>11285</v>
      </c>
      <c r="D1713" s="6" t="s">
        <v>11285</v>
      </c>
      <c r="E1713" s="6" t="s">
        <v>11285</v>
      </c>
      <c r="F1713" s="6">
        <v>12.3881398013924</v>
      </c>
      <c r="G1713" s="6">
        <v>12.6048092697082</v>
      </c>
      <c r="H1713" s="6">
        <v>13.823395531706399</v>
      </c>
      <c r="I1713" s="6">
        <v>14.510258161392599</v>
      </c>
      <c r="J1713" s="6">
        <v>13.763311011206</v>
      </c>
      <c r="K1713" s="6">
        <v>14.3331344547542</v>
      </c>
      <c r="L1713" s="6">
        <v>14.3359096637574</v>
      </c>
      <c r="M1713" s="6" t="s">
        <v>6254</v>
      </c>
      <c r="N1713" s="6">
        <v>12.559996102923</v>
      </c>
      <c r="O1713" s="6">
        <v>13.9018921150954</v>
      </c>
      <c r="P1713" s="6">
        <v>13.492375926766099</v>
      </c>
      <c r="Q1713" s="6">
        <v>11.656544333928901</v>
      </c>
    </row>
    <row r="1714" spans="1:17">
      <c r="A1714" s="6" t="s">
        <v>3304</v>
      </c>
      <c r="B1714" s="6" t="s">
        <v>3304</v>
      </c>
      <c r="C1714" s="6" t="s">
        <v>11286</v>
      </c>
      <c r="D1714" s="6" t="s">
        <v>11287</v>
      </c>
      <c r="E1714" s="6" t="s">
        <v>11287</v>
      </c>
      <c r="F1714" s="6">
        <v>14.631743000325701</v>
      </c>
      <c r="G1714" s="6">
        <v>12.906715691136499</v>
      </c>
      <c r="H1714" s="6">
        <v>13.4345472068239</v>
      </c>
      <c r="I1714" s="6">
        <v>14.724471007453801</v>
      </c>
      <c r="J1714" s="6">
        <v>12.198486387899401</v>
      </c>
      <c r="K1714" s="6">
        <v>13.8696466542027</v>
      </c>
      <c r="L1714" s="6">
        <v>14.3742250057653</v>
      </c>
      <c r="M1714" s="6">
        <v>12.0637778951609</v>
      </c>
      <c r="N1714" s="6">
        <v>13.666238581130401</v>
      </c>
      <c r="O1714" s="6">
        <v>13.5733923276265</v>
      </c>
      <c r="P1714" s="6">
        <v>14.2687941031483</v>
      </c>
      <c r="Q1714" s="6">
        <v>11.7005486795239</v>
      </c>
    </row>
    <row r="1715" spans="1:17">
      <c r="A1715" s="6" t="s">
        <v>5538</v>
      </c>
      <c r="B1715" s="6" t="s">
        <v>5538</v>
      </c>
      <c r="C1715" s="6" t="s">
        <v>11288</v>
      </c>
      <c r="D1715" s="6" t="s">
        <v>11289</v>
      </c>
      <c r="E1715" s="6" t="s">
        <v>11289</v>
      </c>
      <c r="F1715" s="6">
        <v>13.5464681407794</v>
      </c>
      <c r="G1715" s="6">
        <v>13.1712205076125</v>
      </c>
      <c r="H1715" s="6" t="s">
        <v>6254</v>
      </c>
      <c r="I1715" s="6">
        <v>14.3745876486373</v>
      </c>
      <c r="J1715" s="6" t="s">
        <v>6254</v>
      </c>
      <c r="K1715" s="6">
        <v>13.6285613300746</v>
      </c>
      <c r="L1715" s="6">
        <v>14.1321410484981</v>
      </c>
      <c r="M1715" s="6" t="s">
        <v>6254</v>
      </c>
      <c r="N1715" s="6">
        <v>12.236559987564601</v>
      </c>
      <c r="O1715" s="6">
        <v>13.2769046396573</v>
      </c>
      <c r="P1715" s="6">
        <v>12.9092078935017</v>
      </c>
      <c r="Q1715" s="6" t="s">
        <v>6254</v>
      </c>
    </row>
    <row r="1716" spans="1:17">
      <c r="A1716" s="6" t="s">
        <v>5639</v>
      </c>
      <c r="B1716" s="6" t="s">
        <v>5639</v>
      </c>
      <c r="C1716" s="6" t="s">
        <v>11290</v>
      </c>
      <c r="D1716" s="6" t="s">
        <v>11291</v>
      </c>
      <c r="E1716" s="6" t="s">
        <v>11291</v>
      </c>
      <c r="F1716" s="6" t="s">
        <v>6254</v>
      </c>
      <c r="G1716" s="6" t="s">
        <v>6254</v>
      </c>
      <c r="H1716" s="6" t="s">
        <v>6254</v>
      </c>
      <c r="I1716" s="6">
        <v>14.000371076999301</v>
      </c>
      <c r="J1716" s="6">
        <v>13.1601750520023</v>
      </c>
      <c r="K1716" s="6">
        <v>12.639052393681601</v>
      </c>
      <c r="L1716" s="6">
        <v>14.951135585534001</v>
      </c>
      <c r="M1716" s="6" t="s">
        <v>6254</v>
      </c>
      <c r="N1716" s="6" t="s">
        <v>6254</v>
      </c>
      <c r="O1716" s="6" t="s">
        <v>6254</v>
      </c>
      <c r="P1716" s="6" t="s">
        <v>6254</v>
      </c>
      <c r="Q1716" s="6" t="s">
        <v>6254</v>
      </c>
    </row>
    <row r="1717" spans="1:17">
      <c r="A1717" s="6" t="s">
        <v>11292</v>
      </c>
      <c r="B1717" s="6" t="s">
        <v>11293</v>
      </c>
      <c r="C1717" s="6" t="s">
        <v>11294</v>
      </c>
      <c r="D1717" s="6" t="s">
        <v>11295</v>
      </c>
      <c r="E1717" s="6" t="s">
        <v>11296</v>
      </c>
      <c r="F1717" s="6">
        <v>13.917675112817401</v>
      </c>
      <c r="G1717" s="6">
        <v>13.439566316572099</v>
      </c>
      <c r="H1717" s="6">
        <v>13.116170065631399</v>
      </c>
      <c r="I1717" s="6">
        <v>14.0088475552789</v>
      </c>
      <c r="J1717" s="6" t="s">
        <v>6254</v>
      </c>
      <c r="K1717" s="6">
        <v>13.289820227064601</v>
      </c>
      <c r="L1717" s="6">
        <v>13.3658361730038</v>
      </c>
      <c r="M1717" s="6" t="s">
        <v>6254</v>
      </c>
      <c r="N1717" s="6">
        <v>12.4969844414953</v>
      </c>
      <c r="O1717" s="6">
        <v>13.917048474714999</v>
      </c>
      <c r="P1717" s="6">
        <v>13.6175793541895</v>
      </c>
      <c r="Q1717" s="6" t="s">
        <v>6254</v>
      </c>
    </row>
    <row r="1718" spans="1:17">
      <c r="A1718" s="6" t="s">
        <v>2701</v>
      </c>
      <c r="B1718" s="6" t="s">
        <v>2701</v>
      </c>
      <c r="C1718" s="6" t="s">
        <v>11297</v>
      </c>
      <c r="D1718" s="6" t="s">
        <v>11298</v>
      </c>
      <c r="E1718" s="6" t="s">
        <v>11298</v>
      </c>
      <c r="F1718" s="6">
        <v>13.8039295652819</v>
      </c>
      <c r="G1718" s="6">
        <v>13.599239204924199</v>
      </c>
      <c r="H1718" s="6">
        <v>13.36146225393</v>
      </c>
      <c r="I1718" s="6">
        <v>14.208922736070599</v>
      </c>
      <c r="J1718" s="6">
        <v>12.9869875112083</v>
      </c>
      <c r="K1718" s="6">
        <v>13.3424540133359</v>
      </c>
      <c r="L1718" s="6">
        <v>14.050809060402001</v>
      </c>
      <c r="M1718" s="6">
        <v>12.8403870978829</v>
      </c>
      <c r="N1718" s="6">
        <v>12.9161495512353</v>
      </c>
      <c r="O1718" s="6">
        <v>14.0323962672864</v>
      </c>
      <c r="P1718" s="6">
        <v>13.9858838050793</v>
      </c>
      <c r="Q1718" s="6">
        <v>12.3784139085114</v>
      </c>
    </row>
    <row r="1719" spans="1:17">
      <c r="A1719" s="6" t="s">
        <v>3885</v>
      </c>
      <c r="B1719" s="6" t="s">
        <v>3885</v>
      </c>
      <c r="C1719" s="6" t="s">
        <v>11299</v>
      </c>
      <c r="D1719" s="6" t="s">
        <v>11300</v>
      </c>
      <c r="E1719" s="6" t="s">
        <v>11300</v>
      </c>
      <c r="F1719" s="6">
        <v>13.780546280546</v>
      </c>
      <c r="G1719" s="6">
        <v>13.4430764669104</v>
      </c>
      <c r="H1719" s="6">
        <v>13.678763130357</v>
      </c>
      <c r="I1719" s="6">
        <v>14.6662660510592</v>
      </c>
      <c r="J1719" s="6" t="s">
        <v>6254</v>
      </c>
      <c r="K1719" s="6">
        <v>13.8832437299299</v>
      </c>
      <c r="L1719" s="6">
        <v>14.327216591960701</v>
      </c>
      <c r="M1719" s="6">
        <v>12.6827012068758</v>
      </c>
      <c r="N1719" s="6" t="s">
        <v>6254</v>
      </c>
      <c r="O1719" s="6">
        <v>13.689389581573501</v>
      </c>
      <c r="P1719" s="6">
        <v>13.8952255017109</v>
      </c>
      <c r="Q1719" s="6">
        <v>12.051203750250099</v>
      </c>
    </row>
    <row r="1720" spans="1:17">
      <c r="A1720" s="6" t="s">
        <v>5021</v>
      </c>
      <c r="B1720" s="6" t="s">
        <v>5021</v>
      </c>
      <c r="C1720" s="6" t="s">
        <v>11301</v>
      </c>
      <c r="D1720" s="6" t="s">
        <v>11302</v>
      </c>
      <c r="E1720" s="6" t="s">
        <v>11302</v>
      </c>
      <c r="F1720" s="6">
        <v>12.5837104705481</v>
      </c>
      <c r="G1720" s="6">
        <v>13.4569722402253</v>
      </c>
      <c r="H1720" s="6" t="s">
        <v>6254</v>
      </c>
      <c r="I1720" s="6">
        <v>14.029675026415299</v>
      </c>
      <c r="J1720" s="6" t="s">
        <v>6254</v>
      </c>
      <c r="K1720" s="6" t="s">
        <v>6254</v>
      </c>
      <c r="L1720" s="6" t="s">
        <v>6254</v>
      </c>
      <c r="M1720" s="6" t="s">
        <v>6254</v>
      </c>
      <c r="N1720" s="6" t="s">
        <v>6254</v>
      </c>
      <c r="O1720" s="6">
        <v>13.801561586626701</v>
      </c>
      <c r="P1720" s="6">
        <v>13.5747685684148</v>
      </c>
      <c r="Q1720" s="6" t="s">
        <v>6254</v>
      </c>
    </row>
    <row r="1721" spans="1:17">
      <c r="A1721" s="6" t="s">
        <v>11303</v>
      </c>
      <c r="B1721" s="6" t="s">
        <v>11303</v>
      </c>
      <c r="C1721" s="6" t="s">
        <v>11304</v>
      </c>
      <c r="D1721" s="6" t="s">
        <v>11305</v>
      </c>
      <c r="E1721" s="6" t="s">
        <v>11305</v>
      </c>
      <c r="F1721" s="6">
        <v>14.3683271512988</v>
      </c>
      <c r="G1721" s="6">
        <v>13.262636572980099</v>
      </c>
      <c r="H1721" s="6">
        <v>13.9119260199257</v>
      </c>
      <c r="I1721" s="6">
        <v>14.662541830094399</v>
      </c>
      <c r="J1721" s="6">
        <v>12.628868305147201</v>
      </c>
      <c r="K1721" s="6">
        <v>13.612784161494901</v>
      </c>
      <c r="L1721" s="6" t="s">
        <v>6254</v>
      </c>
      <c r="M1721" s="6">
        <v>12.103428688176001</v>
      </c>
      <c r="N1721" s="6">
        <v>13.078942955912799</v>
      </c>
      <c r="O1721" s="6">
        <v>14.091042010659599</v>
      </c>
      <c r="P1721" s="6">
        <v>13.477456911706099</v>
      </c>
      <c r="Q1721" s="6">
        <v>12.165678366207199</v>
      </c>
    </row>
    <row r="1722" spans="1:17">
      <c r="A1722" s="6" t="s">
        <v>4863</v>
      </c>
      <c r="B1722" s="6" t="s">
        <v>4863</v>
      </c>
      <c r="C1722" s="6" t="s">
        <v>11306</v>
      </c>
      <c r="D1722" s="6" t="s">
        <v>11307</v>
      </c>
      <c r="E1722" s="6" t="s">
        <v>11307</v>
      </c>
      <c r="F1722" s="6">
        <v>14.1846787446653</v>
      </c>
      <c r="G1722" s="6" t="s">
        <v>6254</v>
      </c>
      <c r="H1722" s="6" t="s">
        <v>6254</v>
      </c>
      <c r="I1722" s="6">
        <v>14.2684143926859</v>
      </c>
      <c r="J1722" s="6">
        <v>14.1722940520053</v>
      </c>
      <c r="K1722" s="6" t="s">
        <v>6254</v>
      </c>
      <c r="L1722" s="6">
        <v>12.9855455644324</v>
      </c>
      <c r="M1722" s="6" t="s">
        <v>6254</v>
      </c>
      <c r="N1722" s="6" t="s">
        <v>6254</v>
      </c>
      <c r="O1722" s="6">
        <v>14.1655774919546</v>
      </c>
      <c r="P1722" s="6">
        <v>13.635731774167599</v>
      </c>
      <c r="Q1722" s="6" t="s">
        <v>6254</v>
      </c>
    </row>
    <row r="1723" spans="1:17">
      <c r="A1723" s="6" t="s">
        <v>11308</v>
      </c>
      <c r="B1723" s="6" t="s">
        <v>11308</v>
      </c>
      <c r="C1723" s="6" t="s">
        <v>11309</v>
      </c>
      <c r="D1723" s="6" t="s">
        <v>11310</v>
      </c>
      <c r="E1723" s="6" t="s">
        <v>11310</v>
      </c>
      <c r="F1723" s="6">
        <v>12.492199481770299</v>
      </c>
      <c r="G1723" s="6">
        <v>13.5581983891046</v>
      </c>
      <c r="H1723" s="6" t="s">
        <v>6254</v>
      </c>
      <c r="I1723" s="6">
        <v>13.4829199436548</v>
      </c>
      <c r="J1723" s="6">
        <v>13.188806323127499</v>
      </c>
      <c r="K1723" s="6">
        <v>13.010946129786801</v>
      </c>
      <c r="L1723" s="6">
        <v>14.312337984277001</v>
      </c>
      <c r="M1723" s="6">
        <v>12.8163522408729</v>
      </c>
      <c r="N1723" s="6">
        <v>13.748525455567</v>
      </c>
      <c r="O1723" s="6">
        <v>13.742667911348599</v>
      </c>
      <c r="P1723" s="6">
        <v>13.6201046545781</v>
      </c>
      <c r="Q1723" s="6">
        <v>12.4467834312705</v>
      </c>
    </row>
    <row r="1724" spans="1:17">
      <c r="A1724" s="6" t="s">
        <v>11311</v>
      </c>
      <c r="B1724" s="6" t="s">
        <v>11312</v>
      </c>
      <c r="C1724" s="6" t="s">
        <v>11313</v>
      </c>
      <c r="D1724" s="6" t="s">
        <v>11314</v>
      </c>
      <c r="E1724" s="6" t="s">
        <v>11315</v>
      </c>
      <c r="F1724" s="6">
        <v>13.904805947903601</v>
      </c>
      <c r="G1724" s="6">
        <v>13.429014616849001</v>
      </c>
      <c r="H1724" s="6">
        <v>13.4765589868046</v>
      </c>
      <c r="I1724" s="6">
        <v>14.1309973091488</v>
      </c>
      <c r="J1724" s="6">
        <v>12.503001468495199</v>
      </c>
      <c r="K1724" s="6">
        <v>13.2303436961191</v>
      </c>
      <c r="L1724" s="6">
        <v>13.870437156994701</v>
      </c>
      <c r="M1724" s="6">
        <v>12.812616658432299</v>
      </c>
      <c r="N1724" s="6">
        <v>13.314197660666499</v>
      </c>
      <c r="O1724" s="6">
        <v>13.8588552106556</v>
      </c>
      <c r="P1724" s="6">
        <v>13.8287102841908</v>
      </c>
      <c r="Q1724" s="6">
        <v>11.964224914090799</v>
      </c>
    </row>
    <row r="1725" spans="1:17">
      <c r="A1725" s="6" t="s">
        <v>11316</v>
      </c>
      <c r="B1725" s="6" t="s">
        <v>11317</v>
      </c>
      <c r="C1725" s="6" t="s">
        <v>11318</v>
      </c>
      <c r="D1725" s="6" t="s">
        <v>11319</v>
      </c>
      <c r="E1725" s="6" t="s">
        <v>11320</v>
      </c>
      <c r="F1725" s="6">
        <v>14.0424352131592</v>
      </c>
      <c r="G1725" s="6">
        <v>13.571403632106801</v>
      </c>
      <c r="H1725" s="6">
        <v>13.626697035348601</v>
      </c>
      <c r="I1725" s="6">
        <v>14.492545577686601</v>
      </c>
      <c r="J1725" s="6">
        <v>13.0012256903584</v>
      </c>
      <c r="K1725" s="6">
        <v>13.665259333873401</v>
      </c>
      <c r="L1725" s="6">
        <v>14.0141688910154</v>
      </c>
      <c r="M1725" s="6">
        <v>12.781540715738601</v>
      </c>
      <c r="N1725" s="6">
        <v>13.0552417531147</v>
      </c>
      <c r="O1725" s="6">
        <v>13.4758189223369</v>
      </c>
      <c r="P1725" s="6">
        <v>13.9739146829749</v>
      </c>
      <c r="Q1725" s="6">
        <v>12.569193002327999</v>
      </c>
    </row>
    <row r="1726" spans="1:17">
      <c r="A1726" s="6" t="s">
        <v>11321</v>
      </c>
      <c r="B1726" s="6" t="s">
        <v>11322</v>
      </c>
      <c r="C1726" s="6" t="s">
        <v>11323</v>
      </c>
      <c r="D1726" s="6" t="s">
        <v>11324</v>
      </c>
      <c r="E1726" s="6" t="s">
        <v>11325</v>
      </c>
      <c r="F1726" s="6">
        <v>13.9094388644791</v>
      </c>
      <c r="G1726" s="6">
        <v>12.735900838802699</v>
      </c>
      <c r="H1726" s="6" t="s">
        <v>6254</v>
      </c>
      <c r="I1726" s="6">
        <v>14.0810081174569</v>
      </c>
      <c r="J1726" s="6" t="s">
        <v>6254</v>
      </c>
      <c r="K1726" s="6">
        <v>13.548338794017299</v>
      </c>
      <c r="L1726" s="6">
        <v>14.4160369058234</v>
      </c>
      <c r="M1726" s="6" t="s">
        <v>6254</v>
      </c>
      <c r="N1726" s="6" t="s">
        <v>6254</v>
      </c>
      <c r="O1726" s="6">
        <v>14.0874394923531</v>
      </c>
      <c r="P1726" s="6">
        <v>13.5312304660966</v>
      </c>
      <c r="Q1726" s="6" t="s">
        <v>6254</v>
      </c>
    </row>
    <row r="1727" spans="1:17">
      <c r="A1727" s="6" t="s">
        <v>11326</v>
      </c>
      <c r="B1727" s="6" t="s">
        <v>11327</v>
      </c>
      <c r="C1727" s="6" t="s">
        <v>11328</v>
      </c>
      <c r="D1727" s="6" t="s">
        <v>11329</v>
      </c>
      <c r="E1727" s="6" t="s">
        <v>11330</v>
      </c>
      <c r="F1727" s="6">
        <v>13.9765412215589</v>
      </c>
      <c r="G1727" s="6">
        <v>12.7962929190134</v>
      </c>
      <c r="H1727" s="6">
        <v>13.6700225594765</v>
      </c>
      <c r="I1727" s="6">
        <v>14.0591695300542</v>
      </c>
      <c r="J1727" s="6" t="s">
        <v>6254</v>
      </c>
      <c r="K1727" s="6">
        <v>12.8881933712319</v>
      </c>
      <c r="L1727" s="6">
        <v>13.9331814157261</v>
      </c>
      <c r="M1727" s="6">
        <v>12.9449446721437</v>
      </c>
      <c r="N1727" s="6">
        <v>13.286281934685</v>
      </c>
      <c r="O1727" s="6">
        <v>14.1143350206459</v>
      </c>
      <c r="P1727" s="6">
        <v>13.6611629278365</v>
      </c>
      <c r="Q1727" s="6" t="s">
        <v>6254</v>
      </c>
    </row>
    <row r="1728" spans="1:17">
      <c r="A1728" s="6" t="s">
        <v>4022</v>
      </c>
      <c r="B1728" s="6" t="s">
        <v>4022</v>
      </c>
      <c r="C1728" s="6" t="s">
        <v>11331</v>
      </c>
      <c r="D1728" s="6" t="s">
        <v>11332</v>
      </c>
      <c r="E1728" s="6" t="s">
        <v>11332</v>
      </c>
      <c r="F1728" s="6">
        <v>14.0181531585492</v>
      </c>
      <c r="G1728" s="6">
        <v>13.5004234559577</v>
      </c>
      <c r="H1728" s="6">
        <v>13.0256313502914</v>
      </c>
      <c r="I1728" s="6">
        <v>13.938020936452499</v>
      </c>
      <c r="J1728" s="6" t="s">
        <v>6254</v>
      </c>
      <c r="K1728" s="6">
        <v>13.205097038738501</v>
      </c>
      <c r="L1728" s="6">
        <v>13.6721711609912</v>
      </c>
      <c r="M1728" s="6" t="s">
        <v>6254</v>
      </c>
      <c r="N1728" s="6">
        <v>12.4183613791719</v>
      </c>
      <c r="O1728" s="6">
        <v>13.8284311746052</v>
      </c>
      <c r="P1728" s="6">
        <v>13.6864396898651</v>
      </c>
      <c r="Q1728" s="6" t="s">
        <v>6254</v>
      </c>
    </row>
    <row r="1729" spans="1:17">
      <c r="A1729" s="6" t="s">
        <v>2230</v>
      </c>
      <c r="B1729" s="6" t="s">
        <v>2230</v>
      </c>
      <c r="C1729" s="6" t="s">
        <v>11333</v>
      </c>
      <c r="D1729" s="6" t="s">
        <v>11334</v>
      </c>
      <c r="E1729" s="6" t="s">
        <v>11334</v>
      </c>
      <c r="F1729" s="6">
        <v>14.582747874032</v>
      </c>
      <c r="G1729" s="6">
        <v>13.0349593107932</v>
      </c>
      <c r="H1729" s="6">
        <v>13.447980841705199</v>
      </c>
      <c r="I1729" s="6">
        <v>14.2602885259576</v>
      </c>
      <c r="J1729" s="6">
        <v>12.4494215231959</v>
      </c>
      <c r="K1729" s="6">
        <v>13.2290294300717</v>
      </c>
      <c r="L1729" s="6">
        <v>13.8498614650292</v>
      </c>
      <c r="M1729" s="6" t="s">
        <v>6254</v>
      </c>
      <c r="N1729" s="6">
        <v>14.4243558244056</v>
      </c>
      <c r="O1729" s="6">
        <v>13.721934558746799</v>
      </c>
      <c r="P1729" s="6">
        <v>13.928305503408801</v>
      </c>
      <c r="Q1729" s="6">
        <v>12.7629829888103</v>
      </c>
    </row>
    <row r="1730" spans="1:17">
      <c r="A1730" s="6" t="s">
        <v>3369</v>
      </c>
      <c r="B1730" s="6" t="s">
        <v>3369</v>
      </c>
      <c r="C1730" s="6" t="s">
        <v>11335</v>
      </c>
      <c r="D1730" s="6" t="s">
        <v>11336</v>
      </c>
      <c r="E1730" s="6" t="s">
        <v>11336</v>
      </c>
      <c r="F1730" s="6" t="s">
        <v>6254</v>
      </c>
      <c r="G1730" s="6" t="s">
        <v>6254</v>
      </c>
      <c r="H1730" s="6" t="s">
        <v>6254</v>
      </c>
      <c r="I1730" s="6">
        <v>14.2709708745138</v>
      </c>
      <c r="J1730" s="6">
        <v>13.176565684613101</v>
      </c>
      <c r="K1730" s="6">
        <v>13.5437361787067</v>
      </c>
      <c r="L1730" s="6">
        <v>14.1115919512681</v>
      </c>
      <c r="M1730" s="6">
        <v>12.9741760942913</v>
      </c>
      <c r="N1730" s="6">
        <v>13.0040291724408</v>
      </c>
      <c r="O1730" s="6" t="s">
        <v>6254</v>
      </c>
      <c r="P1730" s="6" t="s">
        <v>6254</v>
      </c>
      <c r="Q1730" s="6" t="s">
        <v>6254</v>
      </c>
    </row>
    <row r="1731" spans="1:17">
      <c r="A1731" s="6" t="s">
        <v>11337</v>
      </c>
      <c r="B1731" s="6" t="s">
        <v>11338</v>
      </c>
      <c r="C1731" s="6" t="s">
        <v>11339</v>
      </c>
      <c r="D1731" s="6" t="s">
        <v>11340</v>
      </c>
      <c r="E1731" s="6" t="s">
        <v>11341</v>
      </c>
      <c r="F1731" s="6">
        <v>14.318946873039501</v>
      </c>
      <c r="G1731" s="6">
        <v>11.946648536854401</v>
      </c>
      <c r="H1731" s="6">
        <v>13.476398514841501</v>
      </c>
      <c r="I1731" s="6">
        <v>14.1699571175321</v>
      </c>
      <c r="J1731" s="6" t="s">
        <v>6254</v>
      </c>
      <c r="K1731" s="6">
        <v>13.3495978670481</v>
      </c>
      <c r="L1731" s="6">
        <v>13.809710472380401</v>
      </c>
      <c r="M1731" s="6" t="s">
        <v>6254</v>
      </c>
      <c r="N1731" s="6">
        <v>13.026390551546299</v>
      </c>
      <c r="O1731" s="6">
        <v>14.3025479027387</v>
      </c>
      <c r="P1731" s="6">
        <v>14.030736628605499</v>
      </c>
      <c r="Q1731" s="6">
        <v>11.055018748055501</v>
      </c>
    </row>
    <row r="1732" spans="1:17">
      <c r="A1732" s="6" t="s">
        <v>11342</v>
      </c>
      <c r="B1732" s="6" t="s">
        <v>11343</v>
      </c>
      <c r="C1732" s="6" t="s">
        <v>11344</v>
      </c>
      <c r="D1732" s="6" t="s">
        <v>11345</v>
      </c>
      <c r="E1732" s="6" t="s">
        <v>11346</v>
      </c>
      <c r="F1732" s="6">
        <v>14.6684807724096</v>
      </c>
      <c r="G1732" s="6">
        <v>12.4093090866103</v>
      </c>
      <c r="H1732" s="6">
        <v>13.6315254300682</v>
      </c>
      <c r="I1732" s="6">
        <v>13.7036599281791</v>
      </c>
      <c r="J1732" s="6">
        <v>14.3525100619171</v>
      </c>
      <c r="K1732" s="6" t="s">
        <v>6254</v>
      </c>
      <c r="L1732" s="6">
        <v>13.3848307129256</v>
      </c>
      <c r="M1732" s="6">
        <v>12.8067328529213</v>
      </c>
      <c r="N1732" s="6">
        <v>12.956865875306899</v>
      </c>
      <c r="O1732" s="6">
        <v>12.427200692330601</v>
      </c>
      <c r="P1732" s="6">
        <v>12.7987567087435</v>
      </c>
      <c r="Q1732" s="6" t="s">
        <v>6254</v>
      </c>
    </row>
    <row r="1733" spans="1:17">
      <c r="A1733" s="6" t="s">
        <v>11347</v>
      </c>
      <c r="B1733" s="6" t="s">
        <v>11348</v>
      </c>
      <c r="C1733" s="6" t="s">
        <v>11349</v>
      </c>
      <c r="D1733" s="6" t="s">
        <v>11350</v>
      </c>
      <c r="E1733" s="6" t="s">
        <v>11351</v>
      </c>
      <c r="F1733" s="6">
        <v>14.097549707385401</v>
      </c>
      <c r="G1733" s="6">
        <v>12.088878682522401</v>
      </c>
      <c r="H1733" s="6" t="s">
        <v>6254</v>
      </c>
      <c r="I1733" s="6">
        <v>14.1630405242681</v>
      </c>
      <c r="J1733" s="6">
        <v>14.320184877694</v>
      </c>
      <c r="K1733" s="6" t="s">
        <v>6254</v>
      </c>
      <c r="L1733" s="6">
        <v>13.5414550523858</v>
      </c>
      <c r="M1733" s="6">
        <v>14.805809299794699</v>
      </c>
      <c r="N1733" s="6">
        <v>13.080140303851399</v>
      </c>
      <c r="O1733" s="6" t="s">
        <v>6254</v>
      </c>
      <c r="P1733" s="6">
        <v>13.453985898565801</v>
      </c>
      <c r="Q1733" s="6" t="s">
        <v>6254</v>
      </c>
    </row>
    <row r="1734" spans="1:17">
      <c r="A1734" s="6" t="s">
        <v>11352</v>
      </c>
      <c r="B1734" s="6" t="s">
        <v>11353</v>
      </c>
      <c r="C1734" s="6" t="s">
        <v>11354</v>
      </c>
      <c r="D1734" s="6" t="s">
        <v>11355</v>
      </c>
      <c r="E1734" s="6" t="s">
        <v>11356</v>
      </c>
      <c r="F1734" s="6">
        <v>13.976929362184199</v>
      </c>
      <c r="G1734" s="6" t="s">
        <v>6254</v>
      </c>
      <c r="H1734" s="6" t="s">
        <v>6254</v>
      </c>
      <c r="I1734" s="6">
        <v>13.6000709899931</v>
      </c>
      <c r="J1734" s="6" t="s">
        <v>6254</v>
      </c>
      <c r="K1734" s="6" t="s">
        <v>6254</v>
      </c>
      <c r="L1734" s="6" t="s">
        <v>6254</v>
      </c>
      <c r="M1734" s="6" t="s">
        <v>6254</v>
      </c>
      <c r="N1734" s="6" t="s">
        <v>6254</v>
      </c>
      <c r="O1734" s="6" t="s">
        <v>6254</v>
      </c>
      <c r="P1734" s="6" t="s">
        <v>6254</v>
      </c>
      <c r="Q1734" s="6" t="s">
        <v>6254</v>
      </c>
    </row>
    <row r="1735" spans="1:17">
      <c r="A1735" s="6" t="s">
        <v>3072</v>
      </c>
      <c r="B1735" s="6" t="s">
        <v>3072</v>
      </c>
      <c r="C1735" s="6" t="s">
        <v>11357</v>
      </c>
      <c r="D1735" s="6" t="s">
        <v>11358</v>
      </c>
      <c r="E1735" s="6" t="s">
        <v>11358</v>
      </c>
      <c r="F1735" s="6">
        <v>13.6667983379406</v>
      </c>
      <c r="G1735" s="6">
        <v>13.942606295363699</v>
      </c>
      <c r="H1735" s="6">
        <v>13.9490893257839</v>
      </c>
      <c r="I1735" s="6">
        <v>15.0266784275912</v>
      </c>
      <c r="J1735" s="6">
        <v>12.282607373960801</v>
      </c>
      <c r="K1735" s="6">
        <v>14.495094868140001</v>
      </c>
      <c r="L1735" s="6">
        <v>15.578172698388199</v>
      </c>
      <c r="M1735" s="6">
        <v>13.3485190827598</v>
      </c>
      <c r="N1735" s="6">
        <v>12.757930449097801</v>
      </c>
      <c r="O1735" s="6">
        <v>12.983501927389399</v>
      </c>
      <c r="P1735" s="6">
        <v>13.088623477259601</v>
      </c>
      <c r="Q1735" s="6">
        <v>12.206483845098999</v>
      </c>
    </row>
    <row r="1736" spans="1:17">
      <c r="A1736" s="6" t="s">
        <v>11359</v>
      </c>
      <c r="B1736" s="6" t="s">
        <v>11360</v>
      </c>
      <c r="C1736" s="6" t="s">
        <v>11361</v>
      </c>
      <c r="D1736" s="6" t="s">
        <v>11362</v>
      </c>
      <c r="E1736" s="6" t="s">
        <v>11363</v>
      </c>
      <c r="F1736" s="6">
        <v>13.799308517991999</v>
      </c>
      <c r="G1736" s="6">
        <v>13.4746428153452</v>
      </c>
      <c r="H1736" s="6">
        <v>13.385483846133599</v>
      </c>
      <c r="I1736" s="6">
        <v>14.1339754788126</v>
      </c>
      <c r="J1736" s="6">
        <v>13.311610775332399</v>
      </c>
      <c r="K1736" s="6">
        <v>13.6715600571557</v>
      </c>
      <c r="L1736" s="6">
        <v>13.8323353712517</v>
      </c>
      <c r="M1736" s="6">
        <v>12.745213859200099</v>
      </c>
      <c r="N1736" s="6">
        <v>12.5296171231884</v>
      </c>
      <c r="O1736" s="6">
        <v>13.5288494496584</v>
      </c>
      <c r="P1736" s="6">
        <v>13.565389041989301</v>
      </c>
      <c r="Q1736" s="6" t="s">
        <v>6254</v>
      </c>
    </row>
    <row r="1737" spans="1:17">
      <c r="A1737" s="6" t="s">
        <v>11364</v>
      </c>
      <c r="B1737" s="6" t="s">
        <v>11364</v>
      </c>
      <c r="C1737" s="6" t="s">
        <v>11365</v>
      </c>
      <c r="D1737" s="6" t="s">
        <v>11366</v>
      </c>
      <c r="E1737" s="6" t="s">
        <v>11366</v>
      </c>
      <c r="F1737" s="6">
        <v>14.2549578274803</v>
      </c>
      <c r="G1737" s="6">
        <v>13.584828643190701</v>
      </c>
      <c r="H1737" s="6">
        <v>13.1520753387271</v>
      </c>
      <c r="I1737" s="6">
        <v>14.209964286939799</v>
      </c>
      <c r="J1737" s="6">
        <v>12.640478847305699</v>
      </c>
      <c r="K1737" s="6">
        <v>13.7536474432292</v>
      </c>
      <c r="L1737" s="6">
        <v>13.8528269651502</v>
      </c>
      <c r="M1737" s="6">
        <v>12.6047713309909</v>
      </c>
      <c r="N1737" s="6">
        <v>12.4552710193209</v>
      </c>
      <c r="O1737" s="6">
        <v>13.685194587081099</v>
      </c>
      <c r="P1737" s="6">
        <v>13.950670638130701</v>
      </c>
      <c r="Q1737" s="6">
        <v>11.8722155226053</v>
      </c>
    </row>
    <row r="1738" spans="1:17">
      <c r="A1738" s="6" t="s">
        <v>2360</v>
      </c>
      <c r="B1738" s="6" t="s">
        <v>2360</v>
      </c>
      <c r="C1738" s="6" t="s">
        <v>11367</v>
      </c>
      <c r="D1738" s="6" t="s">
        <v>11368</v>
      </c>
      <c r="E1738" s="6" t="s">
        <v>11368</v>
      </c>
      <c r="F1738" s="6">
        <v>13.8125754525161</v>
      </c>
      <c r="G1738" s="6">
        <v>12.4995606192248</v>
      </c>
      <c r="H1738" s="6">
        <v>13.0562386760666</v>
      </c>
      <c r="I1738" s="6">
        <v>14.0128375965021</v>
      </c>
      <c r="J1738" s="6" t="s">
        <v>6254</v>
      </c>
      <c r="K1738" s="6">
        <v>13.4529838228865</v>
      </c>
      <c r="L1738" s="6">
        <v>14.1250336585657</v>
      </c>
      <c r="M1738" s="6" t="s">
        <v>6254</v>
      </c>
      <c r="N1738" s="6">
        <v>13.390436529790501</v>
      </c>
      <c r="O1738" s="6">
        <v>13.863044993422299</v>
      </c>
      <c r="P1738" s="6">
        <v>13.7488636021702</v>
      </c>
      <c r="Q1738" s="6">
        <v>12.2386839930756</v>
      </c>
    </row>
    <row r="1739" spans="1:17">
      <c r="A1739" s="6" t="s">
        <v>11369</v>
      </c>
      <c r="B1739" s="6" t="s">
        <v>11370</v>
      </c>
      <c r="C1739" s="6" t="s">
        <v>11371</v>
      </c>
      <c r="D1739" s="6" t="s">
        <v>11372</v>
      </c>
      <c r="E1739" s="6" t="s">
        <v>11373</v>
      </c>
      <c r="F1739" s="6" t="s">
        <v>6254</v>
      </c>
      <c r="G1739" s="6" t="s">
        <v>6254</v>
      </c>
      <c r="H1739" s="6">
        <v>14.0271432444925</v>
      </c>
      <c r="I1739" s="6">
        <v>13.807498489585299</v>
      </c>
      <c r="J1739" s="6" t="s">
        <v>6254</v>
      </c>
      <c r="K1739" s="6">
        <v>13.416807212751401</v>
      </c>
      <c r="L1739" s="6">
        <v>14.5544771236526</v>
      </c>
      <c r="M1739" s="6" t="s">
        <v>6254</v>
      </c>
      <c r="N1739" s="6">
        <v>13.911006768815399</v>
      </c>
      <c r="O1739" s="6">
        <v>13.848753275465199</v>
      </c>
      <c r="P1739" s="6">
        <v>13.848509221679899</v>
      </c>
      <c r="Q1739" s="6" t="s">
        <v>6254</v>
      </c>
    </row>
    <row r="1740" spans="1:17">
      <c r="A1740" s="6" t="s">
        <v>11374</v>
      </c>
      <c r="B1740" s="6" t="s">
        <v>11374</v>
      </c>
      <c r="C1740" s="6" t="s">
        <v>11375</v>
      </c>
      <c r="D1740" s="6" t="s">
        <v>11376</v>
      </c>
      <c r="E1740" s="6" t="s">
        <v>11376</v>
      </c>
      <c r="F1740" s="6">
        <v>12.9456513520784</v>
      </c>
      <c r="G1740" s="6">
        <v>12.1628309826534</v>
      </c>
      <c r="H1740" s="6" t="s">
        <v>6254</v>
      </c>
      <c r="I1740" s="6">
        <v>14.063658493674801</v>
      </c>
      <c r="J1740" s="6" t="s">
        <v>6254</v>
      </c>
      <c r="K1740" s="6" t="s">
        <v>6254</v>
      </c>
      <c r="L1740" s="6" t="s">
        <v>6254</v>
      </c>
      <c r="M1740" s="6" t="s">
        <v>6254</v>
      </c>
      <c r="N1740" s="6">
        <v>10.9075484312624</v>
      </c>
      <c r="O1740" s="6">
        <v>14.850968630466401</v>
      </c>
      <c r="P1740" s="6">
        <v>14.364836216887101</v>
      </c>
      <c r="Q1740" s="6" t="s">
        <v>6254</v>
      </c>
    </row>
    <row r="1741" spans="1:17">
      <c r="A1741" s="6" t="s">
        <v>11377</v>
      </c>
      <c r="B1741" s="6" t="s">
        <v>11378</v>
      </c>
      <c r="C1741" s="6" t="s">
        <v>11379</v>
      </c>
      <c r="D1741" s="6" t="s">
        <v>11380</v>
      </c>
      <c r="E1741" s="6" t="s">
        <v>11381</v>
      </c>
      <c r="F1741" s="6">
        <v>13.607653619702701</v>
      </c>
      <c r="G1741" s="6" t="s">
        <v>6254</v>
      </c>
      <c r="H1741" s="6" t="s">
        <v>6254</v>
      </c>
      <c r="I1741" s="6">
        <v>14.230376088870701</v>
      </c>
      <c r="J1741" s="6" t="s">
        <v>6254</v>
      </c>
      <c r="K1741" s="6" t="s">
        <v>6254</v>
      </c>
      <c r="L1741" s="6">
        <v>14.047503837554499</v>
      </c>
      <c r="M1741" s="6" t="s">
        <v>6254</v>
      </c>
      <c r="N1741" s="6">
        <v>13.770521911915701</v>
      </c>
      <c r="O1741" s="6" t="s">
        <v>6254</v>
      </c>
      <c r="P1741" s="6" t="s">
        <v>6254</v>
      </c>
      <c r="Q1741" s="6" t="s">
        <v>6254</v>
      </c>
    </row>
    <row r="1742" spans="1:17">
      <c r="A1742" s="6" t="s">
        <v>5618</v>
      </c>
      <c r="B1742" s="6" t="s">
        <v>5618</v>
      </c>
      <c r="C1742" s="6" t="s">
        <v>11382</v>
      </c>
      <c r="D1742" s="6" t="s">
        <v>11383</v>
      </c>
      <c r="E1742" s="6" t="s">
        <v>11383</v>
      </c>
      <c r="F1742" s="6" t="s">
        <v>6254</v>
      </c>
      <c r="G1742" s="6" t="s">
        <v>6254</v>
      </c>
      <c r="H1742" s="6" t="s">
        <v>6254</v>
      </c>
      <c r="I1742" s="6" t="s">
        <v>6254</v>
      </c>
      <c r="J1742" s="6" t="s">
        <v>6254</v>
      </c>
      <c r="K1742" s="6" t="s">
        <v>6254</v>
      </c>
      <c r="L1742" s="6">
        <v>11.8558792941704</v>
      </c>
      <c r="M1742" s="6" t="s">
        <v>6254</v>
      </c>
      <c r="N1742" s="6" t="s">
        <v>6254</v>
      </c>
      <c r="O1742" s="6" t="s">
        <v>6254</v>
      </c>
      <c r="P1742" s="6" t="s">
        <v>6254</v>
      </c>
      <c r="Q1742" s="6" t="s">
        <v>6254</v>
      </c>
    </row>
    <row r="1743" spans="1:17">
      <c r="A1743" s="6" t="s">
        <v>11384</v>
      </c>
      <c r="B1743" s="6" t="s">
        <v>11384</v>
      </c>
      <c r="C1743" s="6" t="s">
        <v>11385</v>
      </c>
      <c r="D1743" s="6" t="s">
        <v>11386</v>
      </c>
      <c r="E1743" s="6" t="s">
        <v>11386</v>
      </c>
      <c r="F1743" s="6">
        <v>13.7564944489624</v>
      </c>
      <c r="G1743" s="6">
        <v>13.3344763224516</v>
      </c>
      <c r="H1743" s="6">
        <v>13.583073475528399</v>
      </c>
      <c r="I1743" s="6">
        <v>14.245391728192301</v>
      </c>
      <c r="J1743" s="6">
        <v>12.282997260382199</v>
      </c>
      <c r="K1743" s="6">
        <v>13.445439324024401</v>
      </c>
      <c r="L1743" s="6">
        <v>14.108595222011401</v>
      </c>
      <c r="M1743" s="6">
        <v>12.490151199225799</v>
      </c>
      <c r="N1743" s="6">
        <v>13.5969379519935</v>
      </c>
      <c r="O1743" s="6">
        <v>13.7376144783104</v>
      </c>
      <c r="P1743" s="6">
        <v>13.7206517390313</v>
      </c>
      <c r="Q1743" s="6">
        <v>12.353681108124899</v>
      </c>
    </row>
    <row r="1744" spans="1:17">
      <c r="A1744" s="6" t="s">
        <v>11387</v>
      </c>
      <c r="B1744" s="6" t="s">
        <v>11387</v>
      </c>
      <c r="C1744" s="6" t="s">
        <v>11388</v>
      </c>
      <c r="D1744" s="6" t="s">
        <v>11389</v>
      </c>
      <c r="E1744" s="6" t="s">
        <v>11389</v>
      </c>
      <c r="F1744" s="6">
        <v>13.5270780783002</v>
      </c>
      <c r="G1744" s="6">
        <v>15.816389137443</v>
      </c>
      <c r="H1744" s="6">
        <v>12.872434963046301</v>
      </c>
      <c r="I1744" s="6">
        <v>15.2541662087423</v>
      </c>
      <c r="J1744" s="6">
        <v>11.1358777875536</v>
      </c>
      <c r="K1744" s="6">
        <v>12.383378240638001</v>
      </c>
      <c r="L1744" s="6">
        <v>13.7268606629356</v>
      </c>
      <c r="M1744" s="6">
        <v>15.666108311023301</v>
      </c>
      <c r="N1744" s="6">
        <v>12.142775912463</v>
      </c>
      <c r="O1744" s="6">
        <v>12.834235256886799</v>
      </c>
      <c r="P1744" s="6">
        <v>12.030665378599799</v>
      </c>
      <c r="Q1744" s="6" t="s">
        <v>6254</v>
      </c>
    </row>
    <row r="1745" spans="1:17">
      <c r="A1745" s="6" t="s">
        <v>11390</v>
      </c>
      <c r="B1745" s="6" t="s">
        <v>11390</v>
      </c>
      <c r="C1745" s="6" t="s">
        <v>11391</v>
      </c>
      <c r="D1745" s="6" t="s">
        <v>11392</v>
      </c>
      <c r="E1745" s="6" t="s">
        <v>11392</v>
      </c>
      <c r="F1745" s="6">
        <v>11.685853591029799</v>
      </c>
      <c r="G1745" s="6">
        <v>11.659050183917399</v>
      </c>
      <c r="H1745" s="6">
        <v>14.3306909762097</v>
      </c>
      <c r="I1745" s="6">
        <v>14.912154992779</v>
      </c>
      <c r="J1745" s="6">
        <v>13.621965319020701</v>
      </c>
      <c r="K1745" s="6">
        <v>14.1678970057642</v>
      </c>
      <c r="L1745" s="6">
        <v>14.5851117918571</v>
      </c>
      <c r="M1745" s="6">
        <v>13.3219718758106</v>
      </c>
      <c r="N1745" s="6">
        <v>13.5926956916656</v>
      </c>
      <c r="O1745" s="6">
        <v>13.1275648665231</v>
      </c>
      <c r="P1745" s="6">
        <v>12.9279976539401</v>
      </c>
      <c r="Q1745" s="6">
        <v>12.6449234838169</v>
      </c>
    </row>
    <row r="1746" spans="1:17">
      <c r="A1746" s="6" t="s">
        <v>1677</v>
      </c>
      <c r="B1746" s="6" t="s">
        <v>1677</v>
      </c>
      <c r="C1746" s="6" t="s">
        <v>11393</v>
      </c>
      <c r="D1746" s="6" t="s">
        <v>11394</v>
      </c>
      <c r="E1746" s="6" t="s">
        <v>11394</v>
      </c>
      <c r="F1746" s="6">
        <v>13.888637056726701</v>
      </c>
      <c r="G1746" s="6">
        <v>13.240908815192</v>
      </c>
      <c r="H1746" s="6">
        <v>13.3794850200405</v>
      </c>
      <c r="I1746" s="6">
        <v>14.2272094998317</v>
      </c>
      <c r="J1746" s="6">
        <v>12.943537749127801</v>
      </c>
      <c r="K1746" s="6">
        <v>13.621826262933199</v>
      </c>
      <c r="L1746" s="6">
        <v>13.845971581769</v>
      </c>
      <c r="M1746" s="6">
        <v>12.381418324065701</v>
      </c>
      <c r="N1746" s="6">
        <v>12.886581487640299</v>
      </c>
      <c r="O1746" s="6">
        <v>13.8542511805137</v>
      </c>
      <c r="P1746" s="6">
        <v>13.247335846981199</v>
      </c>
      <c r="Q1746" s="6">
        <v>12.3507014416621</v>
      </c>
    </row>
    <row r="1747" spans="1:17">
      <c r="A1747" s="6" t="s">
        <v>2320</v>
      </c>
      <c r="B1747" s="6" t="s">
        <v>2320</v>
      </c>
      <c r="C1747" s="6" t="s">
        <v>11395</v>
      </c>
      <c r="D1747" s="6" t="s">
        <v>11396</v>
      </c>
      <c r="E1747" s="6" t="s">
        <v>11396</v>
      </c>
      <c r="F1747" s="6">
        <v>14.068994802187399</v>
      </c>
      <c r="G1747" s="6">
        <v>13.491893048186499</v>
      </c>
      <c r="H1747" s="6">
        <v>13.2662747081476</v>
      </c>
      <c r="I1747" s="6">
        <v>14.1020799706625</v>
      </c>
      <c r="J1747" s="6">
        <v>12.668248777527999</v>
      </c>
      <c r="K1747" s="6">
        <v>13.4571003295497</v>
      </c>
      <c r="L1747" s="6">
        <v>13.982260536472801</v>
      </c>
      <c r="M1747" s="6">
        <v>12.7768561771035</v>
      </c>
      <c r="N1747" s="6">
        <v>12.948601674622701</v>
      </c>
      <c r="O1747" s="6">
        <v>13.7255063545112</v>
      </c>
      <c r="P1747" s="6">
        <v>13.119091744662001</v>
      </c>
      <c r="Q1747" s="6">
        <v>12.076752020411799</v>
      </c>
    </row>
    <row r="1748" spans="1:17">
      <c r="A1748" s="6" t="s">
        <v>11397</v>
      </c>
      <c r="B1748" s="6" t="s">
        <v>11398</v>
      </c>
      <c r="C1748" s="6" t="s">
        <v>11399</v>
      </c>
      <c r="D1748" s="6" t="s">
        <v>11400</v>
      </c>
      <c r="E1748" s="6" t="s">
        <v>11401</v>
      </c>
      <c r="F1748" s="6">
        <v>14.553694705205199</v>
      </c>
      <c r="G1748" s="6">
        <v>13.6050216499559</v>
      </c>
      <c r="H1748" s="6">
        <v>13.64367674476</v>
      </c>
      <c r="I1748" s="6">
        <v>14.0088566924133</v>
      </c>
      <c r="J1748" s="6">
        <v>12.9365657415287</v>
      </c>
      <c r="K1748" s="6">
        <v>12.6506641246034</v>
      </c>
      <c r="L1748" s="6">
        <v>13.6359666083665</v>
      </c>
      <c r="M1748" s="6">
        <v>13.169750913106</v>
      </c>
      <c r="N1748" s="6">
        <v>14.7650708221698</v>
      </c>
      <c r="O1748" s="6">
        <v>13.797305297256999</v>
      </c>
      <c r="P1748" s="6">
        <v>13.967633946244201</v>
      </c>
      <c r="Q1748" s="6">
        <v>12.0438185497833</v>
      </c>
    </row>
    <row r="1749" spans="1:17">
      <c r="A1749" s="6" t="s">
        <v>2395</v>
      </c>
      <c r="B1749" s="6" t="s">
        <v>2395</v>
      </c>
      <c r="C1749" s="6" t="s">
        <v>11402</v>
      </c>
      <c r="D1749" s="6" t="s">
        <v>11403</v>
      </c>
      <c r="E1749" s="6" t="s">
        <v>11403</v>
      </c>
      <c r="F1749" s="6">
        <v>13.9073184196626</v>
      </c>
      <c r="G1749" s="6">
        <v>12.9274072871969</v>
      </c>
      <c r="H1749" s="6">
        <v>13.6147096017372</v>
      </c>
      <c r="I1749" s="6">
        <v>14.2308670832548</v>
      </c>
      <c r="J1749" s="6">
        <v>12.499422268080799</v>
      </c>
      <c r="K1749" s="6">
        <v>13.213381441253</v>
      </c>
      <c r="L1749" s="6">
        <v>14.3016140030273</v>
      </c>
      <c r="M1749" s="6">
        <v>12.4662909969904</v>
      </c>
      <c r="N1749" s="6">
        <v>13.3693987865515</v>
      </c>
      <c r="O1749" s="6">
        <v>13.9591976989214</v>
      </c>
      <c r="P1749" s="6">
        <v>13.647879492623201</v>
      </c>
      <c r="Q1749" s="6">
        <v>12.2866082363073</v>
      </c>
    </row>
    <row r="1750" spans="1:17">
      <c r="A1750" s="6" t="s">
        <v>11404</v>
      </c>
      <c r="B1750" s="6" t="s">
        <v>11405</v>
      </c>
      <c r="C1750" s="6" t="s">
        <v>11406</v>
      </c>
      <c r="D1750" s="6" t="s">
        <v>11407</v>
      </c>
      <c r="E1750" s="6" t="s">
        <v>11408</v>
      </c>
      <c r="F1750" s="6">
        <v>13.806881558476</v>
      </c>
      <c r="G1750" s="6">
        <v>13.697438447056999</v>
      </c>
      <c r="H1750" s="6">
        <v>13.219978270185001</v>
      </c>
      <c r="I1750" s="6">
        <v>14.000123992920599</v>
      </c>
      <c r="J1750" s="6">
        <v>12.6677014194719</v>
      </c>
      <c r="K1750" s="6">
        <v>13.4444559746167</v>
      </c>
      <c r="L1750" s="6">
        <v>13.9756223984317</v>
      </c>
      <c r="M1750" s="6">
        <v>12.219244066647001</v>
      </c>
      <c r="N1750" s="6">
        <v>13.0865188201503</v>
      </c>
      <c r="O1750" s="6">
        <v>13.341643826131</v>
      </c>
      <c r="P1750" s="6">
        <v>13.756268166643499</v>
      </c>
      <c r="Q1750" s="6">
        <v>11.7163902284945</v>
      </c>
    </row>
    <row r="1751" spans="1:17">
      <c r="A1751" s="6" t="s">
        <v>11409</v>
      </c>
      <c r="B1751" s="6" t="s">
        <v>11410</v>
      </c>
      <c r="C1751" s="6" t="s">
        <v>11411</v>
      </c>
      <c r="D1751" s="6" t="s">
        <v>11412</v>
      </c>
      <c r="E1751" s="6" t="s">
        <v>11413</v>
      </c>
      <c r="F1751" s="6">
        <v>14.0291672299075</v>
      </c>
      <c r="G1751" s="6">
        <v>13.0401680361799</v>
      </c>
      <c r="H1751" s="6">
        <v>13.400434992192199</v>
      </c>
      <c r="I1751" s="6">
        <v>14.203364720940501</v>
      </c>
      <c r="J1751" s="6" t="s">
        <v>6254</v>
      </c>
      <c r="K1751" s="6">
        <v>13.5947474768791</v>
      </c>
      <c r="L1751" s="6" t="s">
        <v>6254</v>
      </c>
      <c r="M1751" s="6">
        <v>12.5442580524743</v>
      </c>
      <c r="N1751" s="6" t="s">
        <v>6254</v>
      </c>
      <c r="O1751" s="6">
        <v>13.7483445373416</v>
      </c>
      <c r="P1751" s="6">
        <v>12.9238333847193</v>
      </c>
      <c r="Q1751" s="6" t="s">
        <v>6254</v>
      </c>
    </row>
    <row r="1752" spans="1:17">
      <c r="A1752" s="6" t="s">
        <v>11414</v>
      </c>
      <c r="B1752" s="6" t="s">
        <v>11415</v>
      </c>
      <c r="C1752" s="6" t="s">
        <v>11416</v>
      </c>
      <c r="D1752" s="6" t="s">
        <v>11417</v>
      </c>
      <c r="E1752" s="6" t="s">
        <v>11418</v>
      </c>
      <c r="F1752" s="6">
        <v>14.3112621517429</v>
      </c>
      <c r="G1752" s="6">
        <v>12.9938566757481</v>
      </c>
      <c r="H1752" s="6">
        <v>13.5691605606793</v>
      </c>
      <c r="I1752" s="6">
        <v>13.7443760121586</v>
      </c>
      <c r="J1752" s="6">
        <v>12.7689065726039</v>
      </c>
      <c r="K1752" s="6">
        <v>13.2417593338941</v>
      </c>
      <c r="L1752" s="6">
        <v>14.062220385157501</v>
      </c>
      <c r="M1752" s="6">
        <v>12.7636955742495</v>
      </c>
      <c r="N1752" s="6">
        <v>13.2010822563093</v>
      </c>
      <c r="O1752" s="6">
        <v>13.851518336428599</v>
      </c>
      <c r="P1752" s="6">
        <v>13.138381549072401</v>
      </c>
      <c r="Q1752" s="6">
        <v>12.0593900350989</v>
      </c>
    </row>
    <row r="1753" spans="1:17">
      <c r="A1753" s="6" t="s">
        <v>1790</v>
      </c>
      <c r="B1753" s="6" t="s">
        <v>1790</v>
      </c>
      <c r="C1753" s="6" t="s">
        <v>11419</v>
      </c>
      <c r="D1753" s="6" t="s">
        <v>11420</v>
      </c>
      <c r="E1753" s="6" t="s">
        <v>11420</v>
      </c>
      <c r="F1753" s="6" t="s">
        <v>6254</v>
      </c>
      <c r="G1753" s="6">
        <v>12.540296019037999</v>
      </c>
      <c r="H1753" s="6">
        <v>13.567839374231699</v>
      </c>
      <c r="I1753" s="6" t="s">
        <v>6254</v>
      </c>
      <c r="J1753" s="6">
        <v>13.536056910662801</v>
      </c>
      <c r="K1753" s="6" t="s">
        <v>6254</v>
      </c>
      <c r="L1753" s="6" t="s">
        <v>6254</v>
      </c>
      <c r="M1753" s="6" t="s">
        <v>6254</v>
      </c>
      <c r="N1753" s="6">
        <v>14.7237966067202</v>
      </c>
      <c r="O1753" s="6">
        <v>11.1920079569941</v>
      </c>
      <c r="P1753" s="6" t="s">
        <v>6254</v>
      </c>
      <c r="Q1753" s="6">
        <v>13.4492037100994</v>
      </c>
    </row>
    <row r="1754" spans="1:17">
      <c r="A1754" s="6" t="s">
        <v>11421</v>
      </c>
      <c r="B1754" s="6" t="s">
        <v>11421</v>
      </c>
      <c r="C1754" s="6" t="s">
        <v>11422</v>
      </c>
      <c r="D1754" s="6" t="s">
        <v>11423</v>
      </c>
      <c r="E1754" s="6" t="s">
        <v>11423</v>
      </c>
      <c r="F1754" s="6">
        <v>14.555497846918399</v>
      </c>
      <c r="G1754" s="6">
        <v>13.8487243846554</v>
      </c>
      <c r="H1754" s="6">
        <v>13.146928743164599</v>
      </c>
      <c r="I1754" s="6">
        <v>13.987559036575499</v>
      </c>
      <c r="J1754" s="6">
        <v>12.6236843765742</v>
      </c>
      <c r="K1754" s="6" t="s">
        <v>6254</v>
      </c>
      <c r="L1754" s="6">
        <v>13.992766825943299</v>
      </c>
      <c r="M1754" s="6">
        <v>11.865311007028</v>
      </c>
      <c r="N1754" s="6">
        <v>12.4267565868726</v>
      </c>
      <c r="O1754" s="6">
        <v>13.798942371252201</v>
      </c>
      <c r="P1754" s="6">
        <v>13.369067595388399</v>
      </c>
      <c r="Q1754" s="6" t="s">
        <v>6254</v>
      </c>
    </row>
    <row r="1755" spans="1:17">
      <c r="A1755" s="6" t="s">
        <v>11424</v>
      </c>
      <c r="B1755" s="6" t="s">
        <v>11425</v>
      </c>
      <c r="C1755" s="6" t="s">
        <v>11426</v>
      </c>
      <c r="D1755" s="6" t="s">
        <v>11427</v>
      </c>
      <c r="E1755" s="6" t="s">
        <v>11428</v>
      </c>
      <c r="F1755" s="6">
        <v>13.437908336816999</v>
      </c>
      <c r="G1755" s="6">
        <v>13.543357010570899</v>
      </c>
      <c r="H1755" s="6">
        <v>13.5559882500058</v>
      </c>
      <c r="I1755" s="6">
        <v>14.041413698582099</v>
      </c>
      <c r="J1755" s="6" t="s">
        <v>6254</v>
      </c>
      <c r="K1755" s="6" t="s">
        <v>6254</v>
      </c>
      <c r="L1755" s="6">
        <v>13.777099503369399</v>
      </c>
      <c r="M1755" s="6" t="s">
        <v>6254</v>
      </c>
      <c r="N1755" s="6">
        <v>13.322085979750799</v>
      </c>
      <c r="O1755" s="6">
        <v>13.549184535637499</v>
      </c>
      <c r="P1755" s="6">
        <v>13.872879056221599</v>
      </c>
      <c r="Q1755" s="6" t="s">
        <v>6254</v>
      </c>
    </row>
    <row r="1756" spans="1:17">
      <c r="A1756" s="6" t="s">
        <v>11429</v>
      </c>
      <c r="B1756" s="6" t="s">
        <v>11429</v>
      </c>
      <c r="C1756" s="6" t="s">
        <v>11430</v>
      </c>
      <c r="D1756" s="6" t="s">
        <v>11431</v>
      </c>
      <c r="E1756" s="6" t="s">
        <v>11431</v>
      </c>
      <c r="F1756" s="6">
        <v>13.5706567649476</v>
      </c>
      <c r="G1756" s="6">
        <v>13.143166450406</v>
      </c>
      <c r="H1756" s="6">
        <v>12.887997751170101</v>
      </c>
      <c r="I1756" s="6">
        <v>13.971031515005301</v>
      </c>
      <c r="J1756" s="6" t="s">
        <v>6254</v>
      </c>
      <c r="K1756" s="6" t="s">
        <v>6254</v>
      </c>
      <c r="L1756" s="6">
        <v>13.808907085324099</v>
      </c>
      <c r="M1756" s="6" t="s">
        <v>6254</v>
      </c>
      <c r="N1756" s="6">
        <v>13.0198157079287</v>
      </c>
      <c r="O1756" s="6">
        <v>13.629186103990801</v>
      </c>
      <c r="P1756" s="6" t="s">
        <v>6254</v>
      </c>
      <c r="Q1756" s="6" t="s">
        <v>6254</v>
      </c>
    </row>
    <row r="1757" spans="1:17">
      <c r="A1757" s="6" t="s">
        <v>3866</v>
      </c>
      <c r="B1757" s="6" t="s">
        <v>3866</v>
      </c>
      <c r="C1757" s="6" t="s">
        <v>11432</v>
      </c>
      <c r="D1757" s="6" t="s">
        <v>11433</v>
      </c>
      <c r="E1757" s="6" t="s">
        <v>11433</v>
      </c>
      <c r="F1757" s="6">
        <v>14.678389076468999</v>
      </c>
      <c r="G1757" s="6">
        <v>13.1100164075989</v>
      </c>
      <c r="H1757" s="6">
        <v>13.7954811550357</v>
      </c>
      <c r="I1757" s="6">
        <v>14.008598250081</v>
      </c>
      <c r="J1757" s="6">
        <v>12.8165307999724</v>
      </c>
      <c r="K1757" s="6">
        <v>14.0671437549316</v>
      </c>
      <c r="L1757" s="6">
        <v>14.0556381945203</v>
      </c>
      <c r="M1757" s="6">
        <v>13.1919143591313</v>
      </c>
      <c r="N1757" s="6">
        <v>13.6332338710946</v>
      </c>
      <c r="O1757" s="6">
        <v>13.9720448244595</v>
      </c>
      <c r="P1757" s="6">
        <v>13.9771790308723</v>
      </c>
      <c r="Q1757" s="6" t="s">
        <v>6254</v>
      </c>
    </row>
    <row r="1758" spans="1:17">
      <c r="A1758" s="6" t="s">
        <v>11434</v>
      </c>
      <c r="B1758" s="6" t="s">
        <v>11435</v>
      </c>
      <c r="C1758" s="6" t="s">
        <v>11436</v>
      </c>
      <c r="D1758" s="6" t="s">
        <v>11437</v>
      </c>
      <c r="E1758" s="6" t="s">
        <v>11438</v>
      </c>
      <c r="F1758" s="6">
        <v>14.0796014878294</v>
      </c>
      <c r="G1758" s="6">
        <v>13.626078130901901</v>
      </c>
      <c r="H1758" s="6">
        <v>12.922639982169899</v>
      </c>
      <c r="I1758" s="6">
        <v>14.3084000422161</v>
      </c>
      <c r="J1758" s="6">
        <v>13.095831503634299</v>
      </c>
      <c r="K1758" s="6" t="s">
        <v>6254</v>
      </c>
      <c r="L1758" s="6">
        <v>13.562789114905</v>
      </c>
      <c r="M1758" s="6">
        <v>12.211367802647001</v>
      </c>
      <c r="N1758" s="6">
        <v>12.814245528654199</v>
      </c>
      <c r="O1758" s="6">
        <v>13.8574122147722</v>
      </c>
      <c r="P1758" s="6">
        <v>13.784282290174501</v>
      </c>
      <c r="Q1758" s="6">
        <v>12.321439615116599</v>
      </c>
    </row>
    <row r="1759" spans="1:17">
      <c r="A1759" s="6" t="s">
        <v>11439</v>
      </c>
      <c r="B1759" s="6" t="s">
        <v>11439</v>
      </c>
      <c r="C1759" s="6" t="s">
        <v>11440</v>
      </c>
      <c r="D1759" s="6" t="s">
        <v>11441</v>
      </c>
      <c r="E1759" s="6" t="s">
        <v>11441</v>
      </c>
      <c r="F1759" s="6">
        <v>13.8191498728736</v>
      </c>
      <c r="G1759" s="6">
        <v>13.2649470716804</v>
      </c>
      <c r="H1759" s="6">
        <v>13.106284591894401</v>
      </c>
      <c r="I1759" s="6">
        <v>14.4852613894562</v>
      </c>
      <c r="J1759" s="6">
        <v>12.495764987077999</v>
      </c>
      <c r="K1759" s="6">
        <v>13.576957687340901</v>
      </c>
      <c r="L1759" s="6">
        <v>14.3156256481477</v>
      </c>
      <c r="M1759" s="6">
        <v>12.2738707403155</v>
      </c>
      <c r="N1759" s="6">
        <v>12.5202997281463</v>
      </c>
      <c r="O1759" s="6">
        <v>13.5158879687127</v>
      </c>
      <c r="P1759" s="6">
        <v>14.323032096562001</v>
      </c>
      <c r="Q1759" s="6">
        <v>12.023992707011701</v>
      </c>
    </row>
    <row r="1760" spans="1:17">
      <c r="A1760" s="6" t="s">
        <v>2147</v>
      </c>
      <c r="B1760" s="6" t="s">
        <v>2147</v>
      </c>
      <c r="C1760" s="6" t="s">
        <v>11442</v>
      </c>
      <c r="D1760" s="6" t="s">
        <v>11443</v>
      </c>
      <c r="E1760" s="6" t="s">
        <v>11443</v>
      </c>
      <c r="F1760" s="6">
        <v>11.787564117002599</v>
      </c>
      <c r="G1760" s="6">
        <v>11.2375784461825</v>
      </c>
      <c r="H1760" s="6">
        <v>14.0494262362937</v>
      </c>
      <c r="I1760" s="6">
        <v>14.889546510218899</v>
      </c>
      <c r="J1760" s="6">
        <v>13.4258095665048</v>
      </c>
      <c r="K1760" s="6">
        <v>13.663152395056899</v>
      </c>
      <c r="L1760" s="6">
        <v>14.7076380263124</v>
      </c>
      <c r="M1760" s="6">
        <v>12.929743592685</v>
      </c>
      <c r="N1760" s="6">
        <v>13.62650301133</v>
      </c>
      <c r="O1760" s="6">
        <v>13.3776416818949</v>
      </c>
      <c r="P1760" s="6">
        <v>12.8004723666744</v>
      </c>
      <c r="Q1760" s="6" t="s">
        <v>6254</v>
      </c>
    </row>
    <row r="1761" spans="1:17">
      <c r="A1761" s="6" t="s">
        <v>11444</v>
      </c>
      <c r="B1761" s="6" t="s">
        <v>11444</v>
      </c>
      <c r="C1761" s="6" t="s">
        <v>11445</v>
      </c>
      <c r="D1761" s="6" t="s">
        <v>11446</v>
      </c>
      <c r="E1761" s="6" t="s">
        <v>11446</v>
      </c>
      <c r="F1761" s="6">
        <v>13.9275802046515</v>
      </c>
      <c r="G1761" s="6">
        <v>13.7806697778071</v>
      </c>
      <c r="H1761" s="6" t="s">
        <v>6254</v>
      </c>
      <c r="I1761" s="6" t="s">
        <v>6254</v>
      </c>
      <c r="J1761" s="6" t="s">
        <v>6254</v>
      </c>
      <c r="K1761" s="6" t="s">
        <v>6254</v>
      </c>
      <c r="L1761" s="6" t="s">
        <v>6254</v>
      </c>
      <c r="M1761" s="6" t="s">
        <v>6254</v>
      </c>
      <c r="N1761" s="6" t="s">
        <v>6254</v>
      </c>
      <c r="O1761" s="6" t="s">
        <v>6254</v>
      </c>
      <c r="P1761" s="6">
        <v>12.2621993396292</v>
      </c>
      <c r="Q1761" s="6" t="s">
        <v>6254</v>
      </c>
    </row>
    <row r="1762" spans="1:17">
      <c r="A1762" s="6" t="s">
        <v>11447</v>
      </c>
      <c r="B1762" s="6" t="s">
        <v>11448</v>
      </c>
      <c r="C1762" s="6" t="s">
        <v>11449</v>
      </c>
      <c r="D1762" s="6" t="s">
        <v>11450</v>
      </c>
      <c r="E1762" s="6" t="s">
        <v>11451</v>
      </c>
      <c r="F1762" s="6">
        <v>14.0614876479234</v>
      </c>
      <c r="G1762" s="6">
        <v>13.237852703181799</v>
      </c>
      <c r="H1762" s="6">
        <v>13.488277628210501</v>
      </c>
      <c r="I1762" s="6">
        <v>14.160921840156499</v>
      </c>
      <c r="J1762" s="6">
        <v>12.369754965545299</v>
      </c>
      <c r="K1762" s="6">
        <v>13.520788748720699</v>
      </c>
      <c r="L1762" s="6">
        <v>13.943647310505201</v>
      </c>
      <c r="M1762" s="6">
        <v>11.6135978281769</v>
      </c>
      <c r="N1762" s="6">
        <v>13.2370662009252</v>
      </c>
      <c r="O1762" s="6">
        <v>13.4857520078554</v>
      </c>
      <c r="P1762" s="6">
        <v>13.133412383826601</v>
      </c>
      <c r="Q1762" s="6" t="s">
        <v>6254</v>
      </c>
    </row>
    <row r="1763" spans="1:17">
      <c r="A1763" s="6" t="s">
        <v>11452</v>
      </c>
      <c r="B1763" s="6" t="s">
        <v>11452</v>
      </c>
      <c r="C1763" s="6" t="s">
        <v>11453</v>
      </c>
      <c r="D1763" s="6" t="s">
        <v>11454</v>
      </c>
      <c r="E1763" s="6" t="s">
        <v>11454</v>
      </c>
      <c r="F1763" s="6">
        <v>12.6558804600597</v>
      </c>
      <c r="G1763" s="6">
        <v>13.100152126771199</v>
      </c>
      <c r="H1763" s="6">
        <v>12.6134962821658</v>
      </c>
      <c r="I1763" s="6">
        <v>14.996099435947</v>
      </c>
      <c r="J1763" s="6" t="s">
        <v>6254</v>
      </c>
      <c r="K1763" s="6">
        <v>13.5974660362807</v>
      </c>
      <c r="L1763" s="6">
        <v>16.1861741608415</v>
      </c>
      <c r="M1763" s="6" t="s">
        <v>6254</v>
      </c>
      <c r="N1763" s="6">
        <v>11.14638111437</v>
      </c>
      <c r="O1763" s="6">
        <v>11.104148784671199</v>
      </c>
      <c r="P1763" s="6" t="s">
        <v>6254</v>
      </c>
      <c r="Q1763" s="6" t="s">
        <v>6254</v>
      </c>
    </row>
    <row r="1764" spans="1:17">
      <c r="A1764" s="6" t="s">
        <v>2548</v>
      </c>
      <c r="B1764" s="6" t="s">
        <v>2548</v>
      </c>
      <c r="C1764" s="6" t="s">
        <v>11455</v>
      </c>
      <c r="D1764" s="6" t="s">
        <v>11456</v>
      </c>
      <c r="E1764" s="6" t="s">
        <v>11456</v>
      </c>
      <c r="F1764" s="6">
        <v>14.1583798748623</v>
      </c>
      <c r="G1764" s="6">
        <v>13.2712956050574</v>
      </c>
      <c r="H1764" s="6">
        <v>13.459858399145499</v>
      </c>
      <c r="I1764" s="6">
        <v>14.1356077292705</v>
      </c>
      <c r="J1764" s="6">
        <v>12.224475154065299</v>
      </c>
      <c r="K1764" s="6">
        <v>13.636722878451</v>
      </c>
      <c r="L1764" s="6">
        <v>13.9466788167665</v>
      </c>
      <c r="M1764" s="6">
        <v>12.6183387970528</v>
      </c>
      <c r="N1764" s="6">
        <v>13.449983288058601</v>
      </c>
      <c r="O1764" s="6">
        <v>13.8862686758784</v>
      </c>
      <c r="P1764" s="6">
        <v>13.930663385238599</v>
      </c>
      <c r="Q1764" s="6" t="s">
        <v>6254</v>
      </c>
    </row>
    <row r="1765" spans="1:17">
      <c r="A1765" s="6" t="s">
        <v>11457</v>
      </c>
      <c r="B1765" s="6" t="s">
        <v>11458</v>
      </c>
      <c r="C1765" s="6" t="s">
        <v>11459</v>
      </c>
      <c r="D1765" s="6" t="s">
        <v>11460</v>
      </c>
      <c r="E1765" s="6" t="s">
        <v>11461</v>
      </c>
      <c r="F1765" s="6">
        <v>13.8012831908586</v>
      </c>
      <c r="G1765" s="6">
        <v>13.325206366954401</v>
      </c>
      <c r="H1765" s="6">
        <v>13.016196901425999</v>
      </c>
      <c r="I1765" s="6">
        <v>13.7446697603026</v>
      </c>
      <c r="J1765" s="6" t="s">
        <v>6254</v>
      </c>
      <c r="K1765" s="6">
        <v>13.0811791058361</v>
      </c>
      <c r="L1765" s="6">
        <v>13.8242627116141</v>
      </c>
      <c r="M1765" s="6" t="s">
        <v>6254</v>
      </c>
      <c r="N1765" s="6">
        <v>12.6266381767956</v>
      </c>
      <c r="O1765" s="6">
        <v>13.679305772556701</v>
      </c>
      <c r="P1765" s="6">
        <v>13.4316734360099</v>
      </c>
      <c r="Q1765" s="6">
        <v>12.4112077054673</v>
      </c>
    </row>
    <row r="1766" spans="1:17">
      <c r="A1766" s="6" t="s">
        <v>11462</v>
      </c>
      <c r="B1766" s="6" t="s">
        <v>11463</v>
      </c>
      <c r="C1766" s="6" t="s">
        <v>11464</v>
      </c>
      <c r="D1766" s="6" t="s">
        <v>11465</v>
      </c>
      <c r="E1766" s="6" t="s">
        <v>11466</v>
      </c>
      <c r="F1766" s="6" t="s">
        <v>6254</v>
      </c>
      <c r="G1766" s="6" t="s">
        <v>6254</v>
      </c>
      <c r="H1766" s="6" t="s">
        <v>6254</v>
      </c>
      <c r="I1766" s="6" t="s">
        <v>6254</v>
      </c>
      <c r="J1766" s="6" t="s">
        <v>6254</v>
      </c>
      <c r="K1766" s="6" t="s">
        <v>6254</v>
      </c>
      <c r="L1766" s="6" t="s">
        <v>6254</v>
      </c>
      <c r="M1766" s="6" t="s">
        <v>6254</v>
      </c>
      <c r="N1766" s="6" t="s">
        <v>6254</v>
      </c>
      <c r="O1766" s="6">
        <v>12.916080725534799</v>
      </c>
      <c r="P1766" s="6">
        <v>13.8105149804275</v>
      </c>
      <c r="Q1766" s="6" t="s">
        <v>6254</v>
      </c>
    </row>
    <row r="1767" spans="1:17">
      <c r="A1767" s="6" t="s">
        <v>11467</v>
      </c>
      <c r="B1767" s="6" t="s">
        <v>11468</v>
      </c>
      <c r="C1767" s="6" t="s">
        <v>11469</v>
      </c>
      <c r="D1767" s="6" t="s">
        <v>11470</v>
      </c>
      <c r="E1767" s="6" t="s">
        <v>11471</v>
      </c>
      <c r="F1767" s="6">
        <v>13.0513164440663</v>
      </c>
      <c r="G1767" s="6">
        <v>13.3541930390509</v>
      </c>
      <c r="H1767" s="6">
        <v>13.128636742682099</v>
      </c>
      <c r="I1767" s="6">
        <v>13.8272672732292</v>
      </c>
      <c r="J1767" s="6" t="s">
        <v>6254</v>
      </c>
      <c r="K1767" s="6">
        <v>12.930607831493999</v>
      </c>
      <c r="L1767" s="6">
        <v>13.997328982318599</v>
      </c>
      <c r="M1767" s="6" t="s">
        <v>6254</v>
      </c>
      <c r="N1767" s="6">
        <v>13.5362347575574</v>
      </c>
      <c r="O1767" s="6">
        <v>13.8272035287325</v>
      </c>
      <c r="P1767" s="6">
        <v>13.6219289115461</v>
      </c>
      <c r="Q1767" s="6">
        <v>11.5694303905433</v>
      </c>
    </row>
    <row r="1768" spans="1:17">
      <c r="A1768" s="6" t="s">
        <v>11472</v>
      </c>
      <c r="B1768" s="6" t="s">
        <v>11473</v>
      </c>
      <c r="C1768" s="6" t="s">
        <v>11474</v>
      </c>
      <c r="D1768" s="6" t="s">
        <v>11475</v>
      </c>
      <c r="E1768" s="6" t="s">
        <v>11476</v>
      </c>
      <c r="F1768" s="6">
        <v>13.8659228002549</v>
      </c>
      <c r="G1768" s="6">
        <v>13.534819367693199</v>
      </c>
      <c r="H1768" s="6">
        <v>13.2095685169557</v>
      </c>
      <c r="I1768" s="6" t="s">
        <v>6254</v>
      </c>
      <c r="J1768" s="6">
        <v>12.5911217557932</v>
      </c>
      <c r="K1768" s="6" t="s">
        <v>6254</v>
      </c>
      <c r="L1768" s="6" t="s">
        <v>6254</v>
      </c>
      <c r="M1768" s="6">
        <v>11.305969905866901</v>
      </c>
      <c r="N1768" s="6">
        <v>13.6404406706913</v>
      </c>
      <c r="O1768" s="6">
        <v>13.83968772329</v>
      </c>
      <c r="P1768" s="6" t="s">
        <v>6254</v>
      </c>
      <c r="Q1768" s="6" t="s">
        <v>6254</v>
      </c>
    </row>
    <row r="1769" spans="1:17">
      <c r="A1769" s="6" t="s">
        <v>11477</v>
      </c>
      <c r="B1769" s="6" t="s">
        <v>11477</v>
      </c>
      <c r="C1769" s="6" t="s">
        <v>11478</v>
      </c>
      <c r="D1769" s="6" t="s">
        <v>11479</v>
      </c>
      <c r="E1769" s="6" t="s">
        <v>11479</v>
      </c>
      <c r="F1769" s="6">
        <v>14.1050252654685</v>
      </c>
      <c r="G1769" s="6" t="s">
        <v>6254</v>
      </c>
      <c r="H1769" s="6">
        <v>13.7087254862605</v>
      </c>
      <c r="I1769" s="6">
        <v>14.3074957957006</v>
      </c>
      <c r="J1769" s="6">
        <v>12.2716750503452</v>
      </c>
      <c r="K1769" s="6" t="s">
        <v>6254</v>
      </c>
      <c r="L1769" s="6">
        <v>13.210645401107101</v>
      </c>
      <c r="M1769" s="6" t="s">
        <v>6254</v>
      </c>
      <c r="N1769" s="6">
        <v>13.370152450224801</v>
      </c>
      <c r="O1769" s="6" t="s">
        <v>6254</v>
      </c>
      <c r="P1769" s="6" t="s">
        <v>6254</v>
      </c>
      <c r="Q1769" s="6" t="s">
        <v>6254</v>
      </c>
    </row>
    <row r="1770" spans="1:17">
      <c r="A1770" s="6" t="s">
        <v>11480</v>
      </c>
      <c r="B1770" s="6" t="s">
        <v>11481</v>
      </c>
      <c r="C1770" s="6" t="s">
        <v>11482</v>
      </c>
      <c r="D1770" s="6" t="s">
        <v>11483</v>
      </c>
      <c r="E1770" s="6" t="s">
        <v>11484</v>
      </c>
      <c r="F1770" s="6">
        <v>13.812895744281199</v>
      </c>
      <c r="G1770" s="6">
        <v>13.655504097814701</v>
      </c>
      <c r="H1770" s="6">
        <v>13.4521269732061</v>
      </c>
      <c r="I1770" s="6">
        <v>14.3209657946877</v>
      </c>
      <c r="J1770" s="6">
        <v>12.570377074752599</v>
      </c>
      <c r="K1770" s="6">
        <v>13.459637308866199</v>
      </c>
      <c r="L1770" s="6">
        <v>14.0722920256354</v>
      </c>
      <c r="M1770" s="6">
        <v>11.9203951479253</v>
      </c>
      <c r="N1770" s="6">
        <v>12.2148072877274</v>
      </c>
      <c r="O1770" s="6">
        <v>13.435585360848499</v>
      </c>
      <c r="P1770" s="6">
        <v>14.0536260759889</v>
      </c>
      <c r="Q1770" s="6">
        <v>12.528622414901699</v>
      </c>
    </row>
    <row r="1771" spans="1:17">
      <c r="A1771" s="6" t="s">
        <v>11485</v>
      </c>
      <c r="B1771" s="6" t="s">
        <v>11486</v>
      </c>
      <c r="C1771" s="6" t="s">
        <v>11487</v>
      </c>
      <c r="D1771" s="6" t="s">
        <v>11488</v>
      </c>
      <c r="E1771" s="6" t="s">
        <v>11489</v>
      </c>
      <c r="F1771" s="6">
        <v>13.6963199134172</v>
      </c>
      <c r="G1771" s="6" t="s">
        <v>6254</v>
      </c>
      <c r="H1771" s="6" t="s">
        <v>6254</v>
      </c>
      <c r="I1771" s="6">
        <v>14.253883118761999</v>
      </c>
      <c r="J1771" s="6" t="s">
        <v>6254</v>
      </c>
      <c r="K1771" s="6">
        <v>13.591470657568101</v>
      </c>
      <c r="L1771" s="6">
        <v>13.942184409626201</v>
      </c>
      <c r="M1771" s="6" t="s">
        <v>6254</v>
      </c>
      <c r="N1771" s="6" t="s">
        <v>6254</v>
      </c>
      <c r="O1771" s="6">
        <v>12.584883274578001</v>
      </c>
      <c r="P1771" s="6">
        <v>13.631144016260601</v>
      </c>
      <c r="Q1771" s="6">
        <v>12.266220537204701</v>
      </c>
    </row>
    <row r="1772" spans="1:17">
      <c r="A1772" s="6" t="s">
        <v>11490</v>
      </c>
      <c r="B1772" s="6" t="s">
        <v>11491</v>
      </c>
      <c r="C1772" s="6" t="s">
        <v>11492</v>
      </c>
      <c r="D1772" s="6" t="s">
        <v>11493</v>
      </c>
      <c r="E1772" s="6" t="s">
        <v>11494</v>
      </c>
      <c r="F1772" s="6" t="s">
        <v>6254</v>
      </c>
      <c r="G1772" s="6" t="s">
        <v>6254</v>
      </c>
      <c r="H1772" s="6" t="s">
        <v>6254</v>
      </c>
      <c r="I1772" s="6" t="s">
        <v>6254</v>
      </c>
      <c r="J1772" s="6" t="s">
        <v>6254</v>
      </c>
      <c r="K1772" s="6" t="s">
        <v>6254</v>
      </c>
      <c r="L1772" s="6">
        <v>14.167557163516999</v>
      </c>
      <c r="M1772" s="6" t="s">
        <v>6254</v>
      </c>
      <c r="N1772" s="6" t="s">
        <v>6254</v>
      </c>
      <c r="O1772" s="6" t="s">
        <v>6254</v>
      </c>
      <c r="P1772" s="6" t="s">
        <v>6254</v>
      </c>
      <c r="Q1772" s="6" t="s">
        <v>6254</v>
      </c>
    </row>
    <row r="1773" spans="1:17">
      <c r="A1773" s="6" t="s">
        <v>11495</v>
      </c>
      <c r="B1773" s="6" t="s">
        <v>11495</v>
      </c>
      <c r="C1773" s="6" t="s">
        <v>11496</v>
      </c>
      <c r="D1773" s="6" t="s">
        <v>11497</v>
      </c>
      <c r="E1773" s="6" t="s">
        <v>11497</v>
      </c>
      <c r="F1773" s="6">
        <v>13.730595532589</v>
      </c>
      <c r="G1773" s="6">
        <v>13.6649768884594</v>
      </c>
      <c r="H1773" s="6">
        <v>13.4342779152036</v>
      </c>
      <c r="I1773" s="6">
        <v>13.908802601623799</v>
      </c>
      <c r="J1773" s="6" t="s">
        <v>6254</v>
      </c>
      <c r="K1773" s="6">
        <v>13.597876201813399</v>
      </c>
      <c r="L1773" s="6">
        <v>13.9659506364729</v>
      </c>
      <c r="M1773" s="6">
        <v>12.6441111515903</v>
      </c>
      <c r="N1773" s="6">
        <v>11.9736174683052</v>
      </c>
      <c r="O1773" s="6">
        <v>13.726774151806399</v>
      </c>
      <c r="P1773" s="6">
        <v>13.285550411480299</v>
      </c>
      <c r="Q1773" s="6">
        <v>12.0084814368227</v>
      </c>
    </row>
    <row r="1774" spans="1:17">
      <c r="A1774" s="6" t="s">
        <v>11498</v>
      </c>
      <c r="B1774" s="6" t="s">
        <v>11499</v>
      </c>
      <c r="C1774" s="6" t="s">
        <v>11500</v>
      </c>
      <c r="D1774" s="6" t="s">
        <v>11501</v>
      </c>
      <c r="E1774" s="6" t="s">
        <v>11502</v>
      </c>
      <c r="F1774" s="6">
        <v>13.6374159609434</v>
      </c>
      <c r="G1774" s="6" t="s">
        <v>6254</v>
      </c>
      <c r="H1774" s="6" t="s">
        <v>6254</v>
      </c>
      <c r="I1774" s="6" t="s">
        <v>6254</v>
      </c>
      <c r="J1774" s="6" t="s">
        <v>6254</v>
      </c>
      <c r="K1774" s="6" t="s">
        <v>6254</v>
      </c>
      <c r="L1774" s="6">
        <v>12.5480902451782</v>
      </c>
      <c r="M1774" s="6" t="s">
        <v>6254</v>
      </c>
      <c r="N1774" s="6" t="s">
        <v>6254</v>
      </c>
      <c r="O1774" s="6">
        <v>13.5316446983687</v>
      </c>
      <c r="P1774" s="6" t="s">
        <v>6254</v>
      </c>
      <c r="Q1774" s="6" t="s">
        <v>6254</v>
      </c>
    </row>
    <row r="1775" spans="1:17">
      <c r="A1775" s="6" t="s">
        <v>5655</v>
      </c>
      <c r="B1775" s="6" t="s">
        <v>5655</v>
      </c>
      <c r="C1775" s="6" t="s">
        <v>11503</v>
      </c>
      <c r="D1775" s="6" t="s">
        <v>6604</v>
      </c>
      <c r="E1775" s="6" t="s">
        <v>6604</v>
      </c>
      <c r="F1775" s="6" t="s">
        <v>6254</v>
      </c>
      <c r="G1775" s="6" t="s">
        <v>6254</v>
      </c>
      <c r="H1775" s="6" t="s">
        <v>6254</v>
      </c>
      <c r="I1775" s="6" t="s">
        <v>6254</v>
      </c>
      <c r="J1775" s="6" t="s">
        <v>6254</v>
      </c>
      <c r="K1775" s="6" t="s">
        <v>6254</v>
      </c>
      <c r="L1775" s="6" t="s">
        <v>6254</v>
      </c>
      <c r="M1775" s="6" t="s">
        <v>6254</v>
      </c>
      <c r="N1775" s="6" t="s">
        <v>6254</v>
      </c>
      <c r="O1775" s="6" t="s">
        <v>6254</v>
      </c>
      <c r="P1775" s="6" t="s">
        <v>6254</v>
      </c>
      <c r="Q1775" s="6" t="s">
        <v>6254</v>
      </c>
    </row>
    <row r="1776" spans="1:17">
      <c r="A1776" s="6" t="s">
        <v>11504</v>
      </c>
      <c r="B1776" s="6" t="s">
        <v>11505</v>
      </c>
      <c r="C1776" s="6" t="s">
        <v>11506</v>
      </c>
      <c r="D1776" s="6" t="s">
        <v>11507</v>
      </c>
      <c r="E1776" s="6" t="s">
        <v>11508</v>
      </c>
      <c r="F1776" s="6">
        <v>13.391508083016101</v>
      </c>
      <c r="G1776" s="6">
        <v>13.1840768378747</v>
      </c>
      <c r="H1776" s="6">
        <v>13.5750531156141</v>
      </c>
      <c r="I1776" s="6">
        <v>13.629963616867901</v>
      </c>
      <c r="J1776" s="6">
        <v>12.1684022998065</v>
      </c>
      <c r="K1776" s="6">
        <v>13.6388934320959</v>
      </c>
      <c r="L1776" s="6">
        <v>13.690771898639801</v>
      </c>
      <c r="M1776" s="6">
        <v>13.0629884806878</v>
      </c>
      <c r="N1776" s="6">
        <v>13.200672884117299</v>
      </c>
      <c r="O1776" s="6">
        <v>13.469740085661201</v>
      </c>
      <c r="P1776" s="6">
        <v>14.0455935083834</v>
      </c>
      <c r="Q1776" s="6">
        <v>12.087386322469801</v>
      </c>
    </row>
    <row r="1777" spans="1:17">
      <c r="A1777" s="6" t="s">
        <v>11509</v>
      </c>
      <c r="B1777" s="6" t="s">
        <v>11510</v>
      </c>
      <c r="C1777" s="6" t="s">
        <v>11511</v>
      </c>
      <c r="D1777" s="6" t="s">
        <v>11512</v>
      </c>
      <c r="E1777" s="6" t="s">
        <v>11513</v>
      </c>
      <c r="F1777" s="6">
        <v>13.687917518692</v>
      </c>
      <c r="G1777" s="6" t="s">
        <v>6254</v>
      </c>
      <c r="H1777" s="6" t="s">
        <v>6254</v>
      </c>
      <c r="I1777" s="6">
        <v>14.1112613754216</v>
      </c>
      <c r="J1777" s="6" t="s">
        <v>6254</v>
      </c>
      <c r="K1777" s="6">
        <v>13.7748160318661</v>
      </c>
      <c r="L1777" s="6">
        <v>13.654752603986701</v>
      </c>
      <c r="M1777" s="6" t="s">
        <v>6254</v>
      </c>
      <c r="N1777" s="6">
        <v>12.836113695891701</v>
      </c>
      <c r="O1777" s="6">
        <v>12.8464165708018</v>
      </c>
      <c r="P1777" s="6">
        <v>12.7660083761645</v>
      </c>
      <c r="Q1777" s="6" t="s">
        <v>6254</v>
      </c>
    </row>
    <row r="1778" spans="1:17">
      <c r="A1778" s="6" t="s">
        <v>3555</v>
      </c>
      <c r="B1778" s="6" t="s">
        <v>3555</v>
      </c>
      <c r="C1778" s="6" t="s">
        <v>11514</v>
      </c>
      <c r="D1778" s="6" t="s">
        <v>11515</v>
      </c>
      <c r="E1778" s="6" t="s">
        <v>11515</v>
      </c>
      <c r="F1778" s="6">
        <v>12.790503936419199</v>
      </c>
      <c r="G1778" s="6">
        <v>13.106629156218199</v>
      </c>
      <c r="H1778" s="6">
        <v>13.030378676360099</v>
      </c>
      <c r="I1778" s="6">
        <v>13.925727525731601</v>
      </c>
      <c r="J1778" s="6">
        <v>12.8099197507175</v>
      </c>
      <c r="K1778" s="6">
        <v>12.941170899114301</v>
      </c>
      <c r="L1778" s="6">
        <v>13.786864118744999</v>
      </c>
      <c r="M1778" s="6" t="s">
        <v>6254</v>
      </c>
      <c r="N1778" s="6" t="s">
        <v>6254</v>
      </c>
      <c r="O1778" s="6">
        <v>13.671741717821099</v>
      </c>
      <c r="P1778" s="6">
        <v>13.4450904289692</v>
      </c>
      <c r="Q1778" s="6" t="s">
        <v>6254</v>
      </c>
    </row>
    <row r="1779" spans="1:17">
      <c r="A1779" s="6" t="s">
        <v>11516</v>
      </c>
      <c r="B1779" s="6" t="s">
        <v>11517</v>
      </c>
      <c r="C1779" s="6" t="s">
        <v>11518</v>
      </c>
      <c r="D1779" s="6" t="s">
        <v>11519</v>
      </c>
      <c r="E1779" s="6" t="s">
        <v>11520</v>
      </c>
      <c r="F1779" s="6">
        <v>12.854646361629699</v>
      </c>
      <c r="G1779" s="6" t="s">
        <v>6254</v>
      </c>
      <c r="H1779" s="6" t="s">
        <v>6254</v>
      </c>
      <c r="I1779" s="6">
        <v>13.6891268757161</v>
      </c>
      <c r="J1779" s="6" t="s">
        <v>6254</v>
      </c>
      <c r="K1779" s="6" t="s">
        <v>6254</v>
      </c>
      <c r="L1779" s="6">
        <v>13.836382820469399</v>
      </c>
      <c r="M1779" s="6" t="s">
        <v>6254</v>
      </c>
      <c r="N1779" s="6">
        <v>12.265561485259701</v>
      </c>
      <c r="O1779" s="6" t="s">
        <v>6254</v>
      </c>
      <c r="P1779" s="6">
        <v>13.9378722342133</v>
      </c>
      <c r="Q1779" s="6" t="s">
        <v>6254</v>
      </c>
    </row>
    <row r="1780" spans="1:17">
      <c r="A1780" s="6" t="s">
        <v>3340</v>
      </c>
      <c r="B1780" s="6" t="s">
        <v>3340</v>
      </c>
      <c r="C1780" s="6" t="s">
        <v>11521</v>
      </c>
      <c r="D1780" s="6" t="s">
        <v>11522</v>
      </c>
      <c r="E1780" s="6" t="s">
        <v>11522</v>
      </c>
      <c r="F1780" s="6">
        <v>14.1773768803489</v>
      </c>
      <c r="G1780" s="6">
        <v>13.280904147022399</v>
      </c>
      <c r="H1780" s="6">
        <v>13.243148263855</v>
      </c>
      <c r="I1780" s="6">
        <v>14.5222852116102</v>
      </c>
      <c r="J1780" s="6">
        <v>12.7945258385786</v>
      </c>
      <c r="K1780" s="6">
        <v>13.3195764873921</v>
      </c>
      <c r="L1780" s="6">
        <v>13.591059607452801</v>
      </c>
      <c r="M1780" s="6">
        <v>12.8907621436448</v>
      </c>
      <c r="N1780" s="6">
        <v>13.3141439528476</v>
      </c>
      <c r="O1780" s="6">
        <v>13.5544987884596</v>
      </c>
      <c r="P1780" s="6">
        <v>13.9207290720434</v>
      </c>
      <c r="Q1780" s="6">
        <v>12.130578988820099</v>
      </c>
    </row>
    <row r="1781" spans="1:17">
      <c r="A1781" s="6" t="s">
        <v>11523</v>
      </c>
      <c r="B1781" s="6" t="s">
        <v>11524</v>
      </c>
      <c r="C1781" s="6" t="s">
        <v>11525</v>
      </c>
      <c r="D1781" s="6" t="s">
        <v>11526</v>
      </c>
      <c r="E1781" s="6" t="s">
        <v>11527</v>
      </c>
      <c r="F1781" s="6">
        <v>13.836880508351999</v>
      </c>
      <c r="G1781" s="6" t="s">
        <v>6254</v>
      </c>
      <c r="H1781" s="6">
        <v>12.352273316207601</v>
      </c>
      <c r="I1781" s="6">
        <v>14.2751507750895</v>
      </c>
      <c r="J1781" s="6" t="s">
        <v>6254</v>
      </c>
      <c r="K1781" s="6">
        <v>13.768601702452999</v>
      </c>
      <c r="L1781" s="6">
        <v>13.9056626342215</v>
      </c>
      <c r="M1781" s="6" t="s">
        <v>6254</v>
      </c>
      <c r="N1781" s="6">
        <v>11.926271378251601</v>
      </c>
      <c r="O1781" s="6">
        <v>13.8809538512209</v>
      </c>
      <c r="P1781" s="6">
        <v>13.889196194798201</v>
      </c>
      <c r="Q1781" s="6">
        <v>12.036162709944101</v>
      </c>
    </row>
    <row r="1782" spans="1:17">
      <c r="A1782" s="6" t="s">
        <v>3413</v>
      </c>
      <c r="B1782" s="6" t="s">
        <v>3415</v>
      </c>
      <c r="C1782" s="6" t="s">
        <v>11528</v>
      </c>
      <c r="D1782" s="6" t="s">
        <v>11529</v>
      </c>
      <c r="E1782" s="6" t="s">
        <v>11530</v>
      </c>
      <c r="F1782" s="6">
        <v>13.7596565757947</v>
      </c>
      <c r="G1782" s="6">
        <v>13.262366650474601</v>
      </c>
      <c r="H1782" s="6">
        <v>13.4582272661403</v>
      </c>
      <c r="I1782" s="6">
        <v>13.766421617460701</v>
      </c>
      <c r="J1782" s="6">
        <v>12.608566904491299</v>
      </c>
      <c r="K1782" s="6">
        <v>12.8835648098789</v>
      </c>
      <c r="L1782" s="6">
        <v>13.8619611473923</v>
      </c>
      <c r="M1782" s="6" t="s">
        <v>6254</v>
      </c>
      <c r="N1782" s="6">
        <v>13.471867012314</v>
      </c>
      <c r="O1782" s="6">
        <v>13.5555975606123</v>
      </c>
      <c r="P1782" s="6">
        <v>13.3217416073566</v>
      </c>
      <c r="Q1782" s="6">
        <v>11.806032492993101</v>
      </c>
    </row>
    <row r="1783" spans="1:17">
      <c r="A1783" s="6" t="s">
        <v>5016</v>
      </c>
      <c r="B1783" s="6" t="s">
        <v>5016</v>
      </c>
      <c r="C1783" s="6" t="s">
        <v>11531</v>
      </c>
      <c r="D1783" s="6" t="s">
        <v>11532</v>
      </c>
      <c r="E1783" s="6" t="s">
        <v>11532</v>
      </c>
      <c r="F1783" s="6">
        <v>13.940884117579101</v>
      </c>
      <c r="G1783" s="6" t="s">
        <v>6254</v>
      </c>
      <c r="H1783" s="6">
        <v>13.119916357571499</v>
      </c>
      <c r="I1783" s="6">
        <v>13.917747670715301</v>
      </c>
      <c r="J1783" s="6" t="s">
        <v>6254</v>
      </c>
      <c r="K1783" s="6" t="s">
        <v>6254</v>
      </c>
      <c r="L1783" s="6">
        <v>13.982328968808</v>
      </c>
      <c r="M1783" s="6" t="s">
        <v>6254</v>
      </c>
      <c r="N1783" s="6">
        <v>13.065011476716</v>
      </c>
      <c r="O1783" s="6">
        <v>13.9698843464221</v>
      </c>
      <c r="P1783" s="6">
        <v>13.7542840889408</v>
      </c>
      <c r="Q1783" s="6" t="s">
        <v>6254</v>
      </c>
    </row>
    <row r="1784" spans="1:17">
      <c r="A1784" s="6" t="s">
        <v>11533</v>
      </c>
      <c r="B1784" s="6" t="s">
        <v>11534</v>
      </c>
      <c r="C1784" s="6" t="s">
        <v>11535</v>
      </c>
      <c r="D1784" s="6" t="s">
        <v>11536</v>
      </c>
      <c r="E1784" s="6" t="s">
        <v>11537</v>
      </c>
      <c r="F1784" s="6">
        <v>15.5576136671394</v>
      </c>
      <c r="G1784" s="6" t="s">
        <v>6254</v>
      </c>
      <c r="H1784" s="6" t="s">
        <v>6254</v>
      </c>
      <c r="I1784" s="6">
        <v>12.527435512606599</v>
      </c>
      <c r="J1784" s="6" t="s">
        <v>6254</v>
      </c>
      <c r="K1784" s="6" t="s">
        <v>6254</v>
      </c>
      <c r="L1784" s="6">
        <v>12.251716156574901</v>
      </c>
      <c r="M1784" s="6" t="s">
        <v>6254</v>
      </c>
      <c r="N1784" s="6" t="s">
        <v>6254</v>
      </c>
      <c r="O1784" s="6" t="s">
        <v>6254</v>
      </c>
      <c r="P1784" s="6" t="s">
        <v>6254</v>
      </c>
      <c r="Q1784" s="6" t="s">
        <v>6254</v>
      </c>
    </row>
    <row r="1785" spans="1:17">
      <c r="A1785" s="6" t="s">
        <v>2346</v>
      </c>
      <c r="B1785" s="6" t="s">
        <v>2346</v>
      </c>
      <c r="C1785" s="6" t="s">
        <v>11538</v>
      </c>
      <c r="D1785" s="6" t="s">
        <v>7509</v>
      </c>
      <c r="E1785" s="6" t="s">
        <v>7509</v>
      </c>
      <c r="F1785" s="6">
        <v>13.7037799091291</v>
      </c>
      <c r="G1785" s="6" t="s">
        <v>6254</v>
      </c>
      <c r="H1785" s="6" t="s">
        <v>6254</v>
      </c>
      <c r="I1785" s="6">
        <v>13.7721773355929</v>
      </c>
      <c r="J1785" s="6">
        <v>12.4826032289506</v>
      </c>
      <c r="K1785" s="6">
        <v>11.337830192253699</v>
      </c>
      <c r="L1785" s="6" t="s">
        <v>6254</v>
      </c>
      <c r="M1785" s="6" t="s">
        <v>6254</v>
      </c>
      <c r="N1785" s="6" t="s">
        <v>6254</v>
      </c>
      <c r="O1785" s="6" t="s">
        <v>6254</v>
      </c>
      <c r="P1785" s="6" t="s">
        <v>6254</v>
      </c>
      <c r="Q1785" s="6">
        <v>12.6738294371201</v>
      </c>
    </row>
    <row r="1786" spans="1:17">
      <c r="A1786" s="6" t="s">
        <v>2536</v>
      </c>
      <c r="B1786" s="6" t="s">
        <v>2536</v>
      </c>
      <c r="C1786" s="6" t="s">
        <v>11539</v>
      </c>
      <c r="D1786" s="6" t="s">
        <v>11540</v>
      </c>
      <c r="E1786" s="6" t="s">
        <v>11540</v>
      </c>
      <c r="F1786" s="6">
        <v>13.7850877717839</v>
      </c>
      <c r="G1786" s="6">
        <v>13.4325989968023</v>
      </c>
      <c r="H1786" s="6">
        <v>13.1983954935992</v>
      </c>
      <c r="I1786" s="6">
        <v>14.0003180727896</v>
      </c>
      <c r="J1786" s="6">
        <v>12.8462892032595</v>
      </c>
      <c r="K1786" s="6">
        <v>13.260372367357901</v>
      </c>
      <c r="L1786" s="6">
        <v>13.7902850821061</v>
      </c>
      <c r="M1786" s="6">
        <v>12.328834269766499</v>
      </c>
      <c r="N1786" s="6">
        <v>12.9314261489115</v>
      </c>
      <c r="O1786" s="6">
        <v>13.627264315008301</v>
      </c>
      <c r="P1786" s="6">
        <v>13.6234458475701</v>
      </c>
      <c r="Q1786" s="6">
        <v>12.4317201031352</v>
      </c>
    </row>
    <row r="1787" spans="1:17">
      <c r="A1787" s="6" t="s">
        <v>5419</v>
      </c>
      <c r="B1787" s="6" t="s">
        <v>5419</v>
      </c>
      <c r="C1787" s="6" t="s">
        <v>11541</v>
      </c>
      <c r="D1787" s="6" t="s">
        <v>11542</v>
      </c>
      <c r="E1787" s="6" t="s">
        <v>11542</v>
      </c>
      <c r="F1787" s="6">
        <v>13.2086324071707</v>
      </c>
      <c r="G1787" s="6">
        <v>13.8175843840404</v>
      </c>
      <c r="H1787" s="6">
        <v>13.402522481210999</v>
      </c>
      <c r="I1787" s="6">
        <v>14.7152880981258</v>
      </c>
      <c r="J1787" s="6">
        <v>12.244953953179399</v>
      </c>
      <c r="K1787" s="6">
        <v>13.8549506208292</v>
      </c>
      <c r="L1787" s="6">
        <v>13.8753248548811</v>
      </c>
      <c r="M1787" s="6">
        <v>12.1381849027992</v>
      </c>
      <c r="N1787" s="6" t="s">
        <v>6254</v>
      </c>
      <c r="O1787" s="6">
        <v>13.845148272746499</v>
      </c>
      <c r="P1787" s="6">
        <v>13.578795411019399</v>
      </c>
      <c r="Q1787" s="6">
        <v>11.8313294524119</v>
      </c>
    </row>
    <row r="1788" spans="1:17">
      <c r="A1788" s="6" t="s">
        <v>11543</v>
      </c>
      <c r="B1788" s="6" t="s">
        <v>11543</v>
      </c>
      <c r="C1788" s="6" t="s">
        <v>11544</v>
      </c>
      <c r="D1788" s="6" t="s">
        <v>11545</v>
      </c>
      <c r="E1788" s="6" t="s">
        <v>11545</v>
      </c>
      <c r="F1788" s="6">
        <v>13.975656044974601</v>
      </c>
      <c r="G1788" s="6">
        <v>13.240540214326201</v>
      </c>
      <c r="H1788" s="6">
        <v>13.8380050199499</v>
      </c>
      <c r="I1788" s="6">
        <v>13.903639654568</v>
      </c>
      <c r="J1788" s="6" t="s">
        <v>6254</v>
      </c>
      <c r="K1788" s="6">
        <v>12.9139034149566</v>
      </c>
      <c r="L1788" s="6">
        <v>13.7808460623282</v>
      </c>
      <c r="M1788" s="6">
        <v>12.185294991793</v>
      </c>
      <c r="N1788" s="6">
        <v>12.926672037765</v>
      </c>
      <c r="O1788" s="6">
        <v>13.214692324170199</v>
      </c>
      <c r="P1788" s="6">
        <v>13.460560670988899</v>
      </c>
      <c r="Q1788" s="6" t="s">
        <v>6254</v>
      </c>
    </row>
    <row r="1789" spans="1:17">
      <c r="A1789" s="6" t="s">
        <v>2337</v>
      </c>
      <c r="B1789" s="6" t="s">
        <v>2337</v>
      </c>
      <c r="C1789" s="6" t="s">
        <v>11546</v>
      </c>
      <c r="D1789" s="6" t="s">
        <v>11547</v>
      </c>
      <c r="E1789" s="6" t="s">
        <v>11547</v>
      </c>
      <c r="F1789" s="6">
        <v>13.276508346749599</v>
      </c>
      <c r="G1789" s="6">
        <v>13.6382676982777</v>
      </c>
      <c r="H1789" s="6">
        <v>13.897095667637799</v>
      </c>
      <c r="I1789" s="6">
        <v>14.065594182533999</v>
      </c>
      <c r="J1789" s="6">
        <v>13.816786268484501</v>
      </c>
      <c r="K1789" s="6">
        <v>13.475919021186799</v>
      </c>
      <c r="L1789" s="6">
        <v>13.6869664208764</v>
      </c>
      <c r="M1789" s="6">
        <v>13.5666365854396</v>
      </c>
      <c r="N1789" s="6">
        <v>13.741437798050301</v>
      </c>
      <c r="O1789" s="6">
        <v>13.3031456068857</v>
      </c>
      <c r="P1789" s="6">
        <v>13.4747512484069</v>
      </c>
      <c r="Q1789" s="6">
        <v>12.4355493950602</v>
      </c>
    </row>
    <row r="1790" spans="1:17">
      <c r="A1790" s="6" t="s">
        <v>11548</v>
      </c>
      <c r="B1790" s="6" t="s">
        <v>11549</v>
      </c>
      <c r="C1790" s="6" t="s">
        <v>11550</v>
      </c>
      <c r="D1790" s="6" t="s">
        <v>11551</v>
      </c>
      <c r="E1790" s="6" t="s">
        <v>11552</v>
      </c>
      <c r="F1790" s="6">
        <v>15.7476618533797</v>
      </c>
      <c r="G1790" s="6" t="s">
        <v>6254</v>
      </c>
      <c r="H1790" s="6" t="s">
        <v>6254</v>
      </c>
      <c r="I1790" s="6">
        <v>13.825832576640099</v>
      </c>
      <c r="J1790" s="6" t="s">
        <v>6254</v>
      </c>
      <c r="K1790" s="6">
        <v>12.885823785624099</v>
      </c>
      <c r="L1790" s="6">
        <v>13.490867044544499</v>
      </c>
      <c r="M1790" s="6">
        <v>13.401048501949299</v>
      </c>
      <c r="N1790" s="6" t="s">
        <v>6254</v>
      </c>
      <c r="O1790" s="6" t="s">
        <v>6254</v>
      </c>
      <c r="P1790" s="6">
        <v>12.9728122267054</v>
      </c>
      <c r="Q1790" s="6" t="s">
        <v>6254</v>
      </c>
    </row>
    <row r="1791" spans="1:17">
      <c r="A1791" s="6" t="s">
        <v>11553</v>
      </c>
      <c r="B1791" s="6" t="s">
        <v>11553</v>
      </c>
      <c r="C1791" s="6" t="s">
        <v>11554</v>
      </c>
      <c r="D1791" s="6" t="s">
        <v>11555</v>
      </c>
      <c r="E1791" s="6" t="s">
        <v>11555</v>
      </c>
      <c r="F1791" s="6">
        <v>12.4679036757771</v>
      </c>
      <c r="G1791" s="6">
        <v>14.354027727598201</v>
      </c>
      <c r="H1791" s="6">
        <v>13.8282089934099</v>
      </c>
      <c r="I1791" s="6">
        <v>11.856803816901399</v>
      </c>
      <c r="J1791" s="6">
        <v>13.8070992389186</v>
      </c>
      <c r="K1791" s="6">
        <v>12.3752515093492</v>
      </c>
      <c r="L1791" s="6">
        <v>13.2103349740654</v>
      </c>
      <c r="M1791" s="6">
        <v>14.315160254351801</v>
      </c>
      <c r="N1791" s="6">
        <v>13.1946312385148</v>
      </c>
      <c r="O1791" s="6">
        <v>12.913187865148601</v>
      </c>
      <c r="P1791" s="6">
        <v>12.679861297651399</v>
      </c>
      <c r="Q1791" s="6">
        <v>13.789077354919201</v>
      </c>
    </row>
    <row r="1792" spans="1:17">
      <c r="A1792" s="6" t="s">
        <v>3505</v>
      </c>
      <c r="B1792" s="6" t="s">
        <v>3505</v>
      </c>
      <c r="C1792" s="6" t="s">
        <v>11556</v>
      </c>
      <c r="D1792" s="6" t="s">
        <v>11557</v>
      </c>
      <c r="E1792" s="6" t="s">
        <v>11557</v>
      </c>
      <c r="F1792" s="6">
        <v>13.589784535803</v>
      </c>
      <c r="G1792" s="6" t="s">
        <v>6254</v>
      </c>
      <c r="H1792" s="6">
        <v>13.8141423945425</v>
      </c>
      <c r="I1792" s="6">
        <v>13.8267927272992</v>
      </c>
      <c r="J1792" s="6">
        <v>13.482132465519999</v>
      </c>
      <c r="K1792" s="6" t="s">
        <v>6254</v>
      </c>
      <c r="L1792" s="6">
        <v>13.675441358708801</v>
      </c>
      <c r="M1792" s="6" t="s">
        <v>6254</v>
      </c>
      <c r="N1792" s="6">
        <v>12.716626749249899</v>
      </c>
      <c r="O1792" s="6" t="s">
        <v>6254</v>
      </c>
      <c r="P1792" s="6" t="s">
        <v>6254</v>
      </c>
      <c r="Q1792" s="6" t="s">
        <v>6254</v>
      </c>
    </row>
    <row r="1793" spans="1:17">
      <c r="A1793" s="6" t="s">
        <v>11558</v>
      </c>
      <c r="B1793" s="6" t="s">
        <v>11559</v>
      </c>
      <c r="C1793" s="6" t="s">
        <v>11560</v>
      </c>
      <c r="D1793" s="6" t="s">
        <v>11561</v>
      </c>
      <c r="E1793" s="6" t="s">
        <v>11562</v>
      </c>
      <c r="F1793" s="6">
        <v>12.8270934450802</v>
      </c>
      <c r="G1793" s="6" t="s">
        <v>6254</v>
      </c>
      <c r="H1793" s="6">
        <v>13.061956058398099</v>
      </c>
      <c r="I1793" s="6">
        <v>13.4094634148911</v>
      </c>
      <c r="J1793" s="6" t="s">
        <v>6254</v>
      </c>
      <c r="K1793" s="6">
        <v>12.962074185353799</v>
      </c>
      <c r="L1793" s="6">
        <v>13.600638306472501</v>
      </c>
      <c r="M1793" s="6" t="s">
        <v>6254</v>
      </c>
      <c r="N1793" s="6">
        <v>13.5749654680869</v>
      </c>
      <c r="O1793" s="6">
        <v>12.9921427961321</v>
      </c>
      <c r="P1793" s="6">
        <v>13.4356997277822</v>
      </c>
      <c r="Q1793" s="6" t="s">
        <v>6254</v>
      </c>
    </row>
    <row r="1794" spans="1:17">
      <c r="A1794" s="6" t="s">
        <v>3990</v>
      </c>
      <c r="B1794" s="6" t="s">
        <v>3990</v>
      </c>
      <c r="C1794" s="6" t="s">
        <v>11563</v>
      </c>
      <c r="D1794" s="6" t="s">
        <v>11564</v>
      </c>
      <c r="E1794" s="6" t="s">
        <v>11564</v>
      </c>
      <c r="F1794" s="6">
        <v>13.492919520907</v>
      </c>
      <c r="G1794" s="6" t="s">
        <v>6254</v>
      </c>
      <c r="H1794" s="6">
        <v>12.8670812762343</v>
      </c>
      <c r="I1794" s="6">
        <v>14.202712415265999</v>
      </c>
      <c r="J1794" s="6" t="s">
        <v>6254</v>
      </c>
      <c r="K1794" s="6">
        <v>13.307760558528701</v>
      </c>
      <c r="L1794" s="6">
        <v>13.847326402281199</v>
      </c>
      <c r="M1794" s="6" t="s">
        <v>6254</v>
      </c>
      <c r="N1794" s="6" t="s">
        <v>6254</v>
      </c>
      <c r="O1794" s="6">
        <v>13.137580895884801</v>
      </c>
      <c r="P1794" s="6">
        <v>13.625820988545399</v>
      </c>
      <c r="Q1794" s="6" t="s">
        <v>6254</v>
      </c>
    </row>
    <row r="1795" spans="1:17">
      <c r="A1795" s="6" t="s">
        <v>11565</v>
      </c>
      <c r="B1795" s="6" t="s">
        <v>11565</v>
      </c>
      <c r="C1795" s="6" t="s">
        <v>11566</v>
      </c>
      <c r="D1795" s="6" t="s">
        <v>11567</v>
      </c>
      <c r="E1795" s="6" t="s">
        <v>11567</v>
      </c>
      <c r="F1795" s="6">
        <v>13.815027450028699</v>
      </c>
      <c r="G1795" s="6">
        <v>13.2107280459078</v>
      </c>
      <c r="H1795" s="6">
        <v>13.2493138428206</v>
      </c>
      <c r="I1795" s="6">
        <v>14.1511738700965</v>
      </c>
      <c r="J1795" s="6">
        <v>12.340082584034599</v>
      </c>
      <c r="K1795" s="6">
        <v>12.7192941775489</v>
      </c>
      <c r="L1795" s="6">
        <v>13.587999006277499</v>
      </c>
      <c r="M1795" s="6">
        <v>12.510501098378599</v>
      </c>
      <c r="N1795" s="6">
        <v>13.3643643103901</v>
      </c>
      <c r="O1795" s="6">
        <v>13.793931448914099</v>
      </c>
      <c r="P1795" s="6">
        <v>13.295572199484701</v>
      </c>
      <c r="Q1795" s="6">
        <v>12.1412134534198</v>
      </c>
    </row>
    <row r="1796" spans="1:17">
      <c r="A1796" s="6" t="s">
        <v>11568</v>
      </c>
      <c r="B1796" s="6" t="s">
        <v>11569</v>
      </c>
      <c r="C1796" s="6" t="s">
        <v>11570</v>
      </c>
      <c r="D1796" s="6" t="s">
        <v>11571</v>
      </c>
      <c r="E1796" s="6" t="s">
        <v>11572</v>
      </c>
      <c r="F1796" s="6">
        <v>14.2030870628892</v>
      </c>
      <c r="G1796" s="6">
        <v>13.0951807163763</v>
      </c>
      <c r="H1796" s="6">
        <v>13.141091811594301</v>
      </c>
      <c r="I1796" s="6">
        <v>15.4353527061304</v>
      </c>
      <c r="J1796" s="6" t="s">
        <v>6254</v>
      </c>
      <c r="K1796" s="6" t="s">
        <v>6254</v>
      </c>
      <c r="L1796" s="6">
        <v>14.015723190927201</v>
      </c>
      <c r="M1796" s="6" t="s">
        <v>6254</v>
      </c>
      <c r="N1796" s="6">
        <v>13.870054278902099</v>
      </c>
      <c r="O1796" s="6">
        <v>13.2215243360973</v>
      </c>
      <c r="P1796" s="6">
        <v>12.6433462380379</v>
      </c>
      <c r="Q1796" s="6">
        <v>11.6611008046547</v>
      </c>
    </row>
    <row r="1797" spans="1:17">
      <c r="A1797" s="6" t="s">
        <v>11573</v>
      </c>
      <c r="B1797" s="6" t="s">
        <v>11574</v>
      </c>
      <c r="C1797" s="6" t="s">
        <v>11575</v>
      </c>
      <c r="D1797" s="6" t="s">
        <v>11576</v>
      </c>
      <c r="E1797" s="6" t="s">
        <v>11577</v>
      </c>
      <c r="F1797" s="6">
        <v>13.654474654941099</v>
      </c>
      <c r="G1797" s="6">
        <v>12.787492506642099</v>
      </c>
      <c r="H1797" s="6">
        <v>13.1360745090369</v>
      </c>
      <c r="I1797" s="6">
        <v>14.1970800788862</v>
      </c>
      <c r="J1797" s="6">
        <v>12.3217742183549</v>
      </c>
      <c r="K1797" s="6">
        <v>13.4937584363905</v>
      </c>
      <c r="L1797" s="6">
        <v>13.4765225652071</v>
      </c>
      <c r="M1797" s="6">
        <v>12.269769576928599</v>
      </c>
      <c r="N1797" s="6">
        <v>12.0577528759811</v>
      </c>
      <c r="O1797" s="6">
        <v>12.974936861017399</v>
      </c>
      <c r="P1797" s="6">
        <v>13.149721999312201</v>
      </c>
      <c r="Q1797" s="6" t="s">
        <v>6254</v>
      </c>
    </row>
    <row r="1798" spans="1:17">
      <c r="A1798" s="6" t="s">
        <v>5120</v>
      </c>
      <c r="B1798" s="6" t="s">
        <v>5120</v>
      </c>
      <c r="C1798" s="6" t="s">
        <v>11578</v>
      </c>
      <c r="D1798" s="6" t="s">
        <v>11579</v>
      </c>
      <c r="E1798" s="6" t="s">
        <v>11579</v>
      </c>
      <c r="F1798" s="6">
        <v>13.1301745432405</v>
      </c>
      <c r="G1798" s="6" t="s">
        <v>6254</v>
      </c>
      <c r="H1798" s="6">
        <v>13.324632929263799</v>
      </c>
      <c r="I1798" s="6" t="s">
        <v>6254</v>
      </c>
      <c r="J1798" s="6" t="s">
        <v>6254</v>
      </c>
      <c r="K1798" s="6" t="s">
        <v>6254</v>
      </c>
      <c r="L1798" s="6">
        <v>13.715788156301301</v>
      </c>
      <c r="M1798" s="6">
        <v>13.242372151199</v>
      </c>
      <c r="N1798" s="6">
        <v>13.7452115642773</v>
      </c>
      <c r="O1798" s="6" t="s">
        <v>6254</v>
      </c>
      <c r="P1798" s="6" t="s">
        <v>6254</v>
      </c>
      <c r="Q1798" s="6" t="s">
        <v>6254</v>
      </c>
    </row>
    <row r="1799" spans="1:17">
      <c r="A1799" s="6" t="s">
        <v>11580</v>
      </c>
      <c r="B1799" s="6" t="s">
        <v>11581</v>
      </c>
      <c r="C1799" s="6" t="s">
        <v>11582</v>
      </c>
      <c r="D1799" s="6" t="s">
        <v>11583</v>
      </c>
      <c r="E1799" s="6" t="s">
        <v>11584</v>
      </c>
      <c r="F1799" s="6">
        <v>13.434843611192299</v>
      </c>
      <c r="G1799" s="6">
        <v>12.867669208258601</v>
      </c>
      <c r="H1799" s="6">
        <v>13.354398400981999</v>
      </c>
      <c r="I1799" s="6">
        <v>14.825426401610001</v>
      </c>
      <c r="J1799" s="6">
        <v>12.073271193744301</v>
      </c>
      <c r="K1799" s="6">
        <v>13.9682474810957</v>
      </c>
      <c r="L1799" s="6">
        <v>15.6959907224738</v>
      </c>
      <c r="M1799" s="6">
        <v>12.511776172557701</v>
      </c>
      <c r="N1799" s="6">
        <v>12.3817112136608</v>
      </c>
      <c r="O1799" s="6">
        <v>13.348086039535101</v>
      </c>
      <c r="P1799" s="6">
        <v>13.5099726396158</v>
      </c>
      <c r="Q1799" s="6">
        <v>10.8967874489312</v>
      </c>
    </row>
    <row r="1800" spans="1:17">
      <c r="A1800" s="6" t="s">
        <v>11585</v>
      </c>
      <c r="B1800" s="6" t="s">
        <v>11586</v>
      </c>
      <c r="C1800" s="6" t="s">
        <v>11587</v>
      </c>
      <c r="D1800" s="6" t="s">
        <v>11588</v>
      </c>
      <c r="E1800" s="6" t="s">
        <v>11589</v>
      </c>
      <c r="F1800" s="6">
        <v>13.5172039832143</v>
      </c>
      <c r="G1800" s="6" t="s">
        <v>6254</v>
      </c>
      <c r="H1800" s="6">
        <v>13.150364412152999</v>
      </c>
      <c r="I1800" s="6">
        <v>14.2242175857421</v>
      </c>
      <c r="J1800" s="6" t="s">
        <v>6254</v>
      </c>
      <c r="K1800" s="6">
        <v>12.862173793682899</v>
      </c>
      <c r="L1800" s="6" t="s">
        <v>6254</v>
      </c>
      <c r="M1800" s="6" t="s">
        <v>6254</v>
      </c>
      <c r="N1800" s="6">
        <v>13.5460927868778</v>
      </c>
      <c r="O1800" s="6" t="s">
        <v>6254</v>
      </c>
      <c r="P1800" s="6" t="s">
        <v>6254</v>
      </c>
      <c r="Q1800" s="6" t="s">
        <v>6254</v>
      </c>
    </row>
    <row r="1801" spans="1:17">
      <c r="A1801" s="6" t="s">
        <v>4120</v>
      </c>
      <c r="B1801" s="6" t="s">
        <v>4120</v>
      </c>
      <c r="C1801" s="6" t="s">
        <v>11590</v>
      </c>
      <c r="D1801" s="6" t="s">
        <v>11591</v>
      </c>
      <c r="E1801" s="6" t="s">
        <v>11591</v>
      </c>
      <c r="F1801" s="6">
        <v>13.7090614221037</v>
      </c>
      <c r="G1801" s="6">
        <v>12.933630979818</v>
      </c>
      <c r="H1801" s="6">
        <v>13.2254102174364</v>
      </c>
      <c r="I1801" s="6">
        <v>14.1328013810713</v>
      </c>
      <c r="J1801" s="6">
        <v>12.258151664726199</v>
      </c>
      <c r="K1801" s="6">
        <v>13.511050522542501</v>
      </c>
      <c r="L1801" s="6">
        <v>13.9252518830023</v>
      </c>
      <c r="M1801" s="6">
        <v>12.4248744701167</v>
      </c>
      <c r="N1801" s="6" t="s">
        <v>6254</v>
      </c>
      <c r="O1801" s="6">
        <v>13.433582069046199</v>
      </c>
      <c r="P1801" s="6">
        <v>13.6743571812962</v>
      </c>
      <c r="Q1801" s="6" t="s">
        <v>6254</v>
      </c>
    </row>
    <row r="1802" spans="1:17">
      <c r="A1802" s="6" t="s">
        <v>11592</v>
      </c>
      <c r="B1802" s="6" t="s">
        <v>11593</v>
      </c>
      <c r="C1802" s="6" t="s">
        <v>11594</v>
      </c>
      <c r="D1802" s="6" t="s">
        <v>11595</v>
      </c>
      <c r="E1802" s="6" t="s">
        <v>11596</v>
      </c>
      <c r="F1802" s="6">
        <v>13.6026563235366</v>
      </c>
      <c r="G1802" s="6">
        <v>13.125955475592299</v>
      </c>
      <c r="H1802" s="6">
        <v>13.3201225646786</v>
      </c>
      <c r="I1802" s="6">
        <v>14.333804513305701</v>
      </c>
      <c r="J1802" s="6">
        <v>12.585592109679499</v>
      </c>
      <c r="K1802" s="6">
        <v>13.676557550779201</v>
      </c>
      <c r="L1802" s="6">
        <v>14.466220361882</v>
      </c>
      <c r="M1802" s="6">
        <v>12.225584252120299</v>
      </c>
      <c r="N1802" s="6">
        <v>12.2557825408329</v>
      </c>
      <c r="O1802" s="6">
        <v>13.642385306454999</v>
      </c>
      <c r="P1802" s="6">
        <v>13.5063481248595</v>
      </c>
      <c r="Q1802" s="6">
        <v>11.9055057995827</v>
      </c>
    </row>
    <row r="1803" spans="1:17">
      <c r="A1803" s="6" t="s">
        <v>5149</v>
      </c>
      <c r="B1803" s="6" t="s">
        <v>5149</v>
      </c>
      <c r="C1803" s="6" t="s">
        <v>11597</v>
      </c>
      <c r="D1803" s="6" t="s">
        <v>11598</v>
      </c>
      <c r="E1803" s="6" t="s">
        <v>11598</v>
      </c>
      <c r="F1803" s="6">
        <v>13.7351427397723</v>
      </c>
      <c r="G1803" s="6">
        <v>13.9149356040377</v>
      </c>
      <c r="H1803" s="6">
        <v>12.8296357978566</v>
      </c>
      <c r="I1803" s="6">
        <v>14.4581538264025</v>
      </c>
      <c r="J1803" s="6" t="s">
        <v>6254</v>
      </c>
      <c r="K1803" s="6">
        <v>13.8639497385188</v>
      </c>
      <c r="L1803" s="6">
        <v>13.822002389027601</v>
      </c>
      <c r="M1803" s="6">
        <v>11.8110532124236</v>
      </c>
      <c r="N1803" s="6">
        <v>11.798080045574601</v>
      </c>
      <c r="O1803" s="6">
        <v>13.7729560922337</v>
      </c>
      <c r="P1803" s="6">
        <v>13.7468535586769</v>
      </c>
      <c r="Q1803" s="6">
        <v>12.0353068394472</v>
      </c>
    </row>
    <row r="1804" spans="1:17">
      <c r="A1804" s="6" t="s">
        <v>11599</v>
      </c>
      <c r="B1804" s="6" t="s">
        <v>11600</v>
      </c>
      <c r="C1804" s="6" t="s">
        <v>11601</v>
      </c>
      <c r="D1804" s="6" t="s">
        <v>11602</v>
      </c>
      <c r="E1804" s="6" t="s">
        <v>11603</v>
      </c>
      <c r="F1804" s="6">
        <v>13.1774981419405</v>
      </c>
      <c r="G1804" s="6">
        <v>13.2606496981634</v>
      </c>
      <c r="H1804" s="6">
        <v>12.772744760678799</v>
      </c>
      <c r="I1804" s="6">
        <v>14.1892306764518</v>
      </c>
      <c r="J1804" s="6">
        <v>12.3057475424324</v>
      </c>
      <c r="K1804" s="6">
        <v>13.050165942037101</v>
      </c>
      <c r="L1804" s="6">
        <v>13.790434215421399</v>
      </c>
      <c r="M1804" s="6" t="s">
        <v>6254</v>
      </c>
      <c r="N1804" s="6" t="s">
        <v>6254</v>
      </c>
      <c r="O1804" s="6">
        <v>13.5821397394536</v>
      </c>
      <c r="P1804" s="6">
        <v>13.470248671256099</v>
      </c>
      <c r="Q1804" s="6">
        <v>12.118251549135</v>
      </c>
    </row>
    <row r="1805" spans="1:17">
      <c r="A1805" s="6" t="s">
        <v>3765</v>
      </c>
      <c r="B1805" s="6" t="s">
        <v>3765</v>
      </c>
      <c r="C1805" s="6" t="s">
        <v>11604</v>
      </c>
      <c r="D1805" s="6" t="s">
        <v>11605</v>
      </c>
      <c r="E1805" s="6" t="s">
        <v>11605</v>
      </c>
      <c r="F1805" s="6">
        <v>13.2701236892644</v>
      </c>
      <c r="G1805" s="6" t="s">
        <v>6254</v>
      </c>
      <c r="H1805" s="6">
        <v>14.589871088952901</v>
      </c>
      <c r="I1805" s="6">
        <v>14.546034390765699</v>
      </c>
      <c r="J1805" s="6">
        <v>12.8374231778719</v>
      </c>
      <c r="K1805" s="6">
        <v>12.460990091183101</v>
      </c>
      <c r="L1805" s="6">
        <v>14.8891281144336</v>
      </c>
      <c r="M1805" s="6">
        <v>12.9798416442527</v>
      </c>
      <c r="N1805" s="6">
        <v>15.3872528151021</v>
      </c>
      <c r="O1805" s="6">
        <v>12.075206753745301</v>
      </c>
      <c r="P1805" s="6">
        <v>11.772961404083199</v>
      </c>
      <c r="Q1805" s="6" t="s">
        <v>6254</v>
      </c>
    </row>
    <row r="1806" spans="1:17">
      <c r="A1806" s="6" t="s">
        <v>4988</v>
      </c>
      <c r="B1806" s="6" t="s">
        <v>4988</v>
      </c>
      <c r="C1806" s="6" t="s">
        <v>11606</v>
      </c>
      <c r="D1806" s="6" t="s">
        <v>11607</v>
      </c>
      <c r="E1806" s="6" t="s">
        <v>11607</v>
      </c>
      <c r="F1806" s="6">
        <v>14.629788468044399</v>
      </c>
      <c r="G1806" s="6" t="s">
        <v>6254</v>
      </c>
      <c r="H1806" s="6">
        <v>12.878249089237899</v>
      </c>
      <c r="I1806" s="6">
        <v>14.603986129475199</v>
      </c>
      <c r="J1806" s="6" t="s">
        <v>6254</v>
      </c>
      <c r="K1806" s="6">
        <v>13.8282964517611</v>
      </c>
      <c r="L1806" s="6">
        <v>14.845381344776399</v>
      </c>
      <c r="M1806" s="6" t="s">
        <v>6254</v>
      </c>
      <c r="N1806" s="6">
        <v>13.4254086757543</v>
      </c>
      <c r="O1806" s="6" t="s">
        <v>6254</v>
      </c>
      <c r="P1806" s="6" t="s">
        <v>6254</v>
      </c>
      <c r="Q1806" s="6" t="s">
        <v>6254</v>
      </c>
    </row>
    <row r="1807" spans="1:17">
      <c r="A1807" s="6" t="s">
        <v>11608</v>
      </c>
      <c r="B1807" s="6" t="s">
        <v>11609</v>
      </c>
      <c r="C1807" s="6" t="s">
        <v>11610</v>
      </c>
      <c r="D1807" s="6" t="s">
        <v>11611</v>
      </c>
      <c r="E1807" s="6" t="s">
        <v>11612</v>
      </c>
      <c r="F1807" s="6">
        <v>13.840338775700801</v>
      </c>
      <c r="G1807" s="6">
        <v>13.356476666088</v>
      </c>
      <c r="H1807" s="6">
        <v>13.676685689246201</v>
      </c>
      <c r="I1807" s="6">
        <v>14.015767299428401</v>
      </c>
      <c r="J1807" s="6">
        <v>12.9858381648882</v>
      </c>
      <c r="K1807" s="6">
        <v>13.508248537759901</v>
      </c>
      <c r="L1807" s="6">
        <v>13.9825608093761</v>
      </c>
      <c r="M1807" s="6">
        <v>12.6086502893675</v>
      </c>
      <c r="N1807" s="6">
        <v>12.434780488504501</v>
      </c>
      <c r="O1807" s="6">
        <v>13.2101526836546</v>
      </c>
      <c r="P1807" s="6">
        <v>13.3065359377894</v>
      </c>
      <c r="Q1807" s="6">
        <v>12.148598233130199</v>
      </c>
    </row>
    <row r="1808" spans="1:17">
      <c r="A1808" s="6" t="s">
        <v>11613</v>
      </c>
      <c r="B1808" s="6" t="s">
        <v>11614</v>
      </c>
      <c r="C1808" s="6" t="s">
        <v>11615</v>
      </c>
      <c r="D1808" s="6" t="s">
        <v>11616</v>
      </c>
      <c r="E1808" s="6" t="s">
        <v>11617</v>
      </c>
      <c r="F1808" s="6">
        <v>12.7885835094634</v>
      </c>
      <c r="G1808" s="6">
        <v>12.991692801765</v>
      </c>
      <c r="H1808" s="6">
        <v>13.1204093383112</v>
      </c>
      <c r="I1808" s="6">
        <v>13.487433467513601</v>
      </c>
      <c r="J1808" s="6" t="s">
        <v>6254</v>
      </c>
      <c r="K1808" s="6">
        <v>12.142943526107199</v>
      </c>
      <c r="L1808" s="6">
        <v>13.4403896917967</v>
      </c>
      <c r="M1808" s="6" t="s">
        <v>6254</v>
      </c>
      <c r="N1808" s="6">
        <v>13.264931653605201</v>
      </c>
      <c r="O1808" s="6">
        <v>13.5727579550671</v>
      </c>
      <c r="P1808" s="6">
        <v>12.673519486776801</v>
      </c>
      <c r="Q1808" s="6" t="s">
        <v>6254</v>
      </c>
    </row>
    <row r="1809" spans="1:17">
      <c r="A1809" s="6" t="s">
        <v>11618</v>
      </c>
      <c r="B1809" s="6" t="s">
        <v>11619</v>
      </c>
      <c r="C1809" s="6" t="s">
        <v>11620</v>
      </c>
      <c r="D1809" s="6" t="s">
        <v>11621</v>
      </c>
      <c r="E1809" s="6" t="s">
        <v>11622</v>
      </c>
      <c r="F1809" s="6">
        <v>13.6446999658158</v>
      </c>
      <c r="G1809" s="6">
        <v>13.6052668083854</v>
      </c>
      <c r="H1809" s="6">
        <v>13.2153809004829</v>
      </c>
      <c r="I1809" s="6">
        <v>14.046407581390801</v>
      </c>
      <c r="J1809" s="6">
        <v>12.5061661122585</v>
      </c>
      <c r="K1809" s="6">
        <v>13.0130071729613</v>
      </c>
      <c r="L1809" s="6">
        <v>13.397860180782001</v>
      </c>
      <c r="M1809" s="6">
        <v>12.214690712936299</v>
      </c>
      <c r="N1809" s="6">
        <v>12.4262737394677</v>
      </c>
      <c r="O1809" s="6">
        <v>13.738149209837101</v>
      </c>
      <c r="P1809" s="6">
        <v>13.7796348324728</v>
      </c>
      <c r="Q1809" s="6">
        <v>12.188028654701</v>
      </c>
    </row>
    <row r="1810" spans="1:17">
      <c r="A1810" s="6" t="s">
        <v>11623</v>
      </c>
      <c r="B1810" s="6" t="s">
        <v>11624</v>
      </c>
      <c r="C1810" s="6" t="s">
        <v>11625</v>
      </c>
      <c r="D1810" s="6" t="s">
        <v>11626</v>
      </c>
      <c r="E1810" s="6" t="s">
        <v>11627</v>
      </c>
      <c r="F1810" s="6" t="s">
        <v>6254</v>
      </c>
      <c r="G1810" s="6">
        <v>13.512289328684799</v>
      </c>
      <c r="H1810" s="6">
        <v>13.3419281180915</v>
      </c>
      <c r="I1810" s="6">
        <v>9.8409692851000408</v>
      </c>
      <c r="J1810" s="6" t="s">
        <v>6254</v>
      </c>
      <c r="K1810" s="6" t="s">
        <v>6254</v>
      </c>
      <c r="L1810" s="6">
        <v>13.719466001869399</v>
      </c>
      <c r="M1810" s="6" t="s">
        <v>6254</v>
      </c>
      <c r="N1810" s="6" t="s">
        <v>6254</v>
      </c>
      <c r="O1810" s="6">
        <v>13.489901192701</v>
      </c>
      <c r="P1810" s="6">
        <v>13.8196867069744</v>
      </c>
      <c r="Q1810" s="6" t="s">
        <v>6254</v>
      </c>
    </row>
    <row r="1811" spans="1:17">
      <c r="A1811" s="6" t="s">
        <v>11628</v>
      </c>
      <c r="B1811" s="6" t="s">
        <v>3007</v>
      </c>
      <c r="C1811" s="6" t="s">
        <v>11629</v>
      </c>
      <c r="D1811" s="6" t="s">
        <v>11630</v>
      </c>
      <c r="E1811" s="6" t="s">
        <v>11631</v>
      </c>
      <c r="F1811" s="6">
        <v>13.8026878461151</v>
      </c>
      <c r="G1811" s="6">
        <v>12.847499109862699</v>
      </c>
      <c r="H1811" s="6">
        <v>13.307953618862401</v>
      </c>
      <c r="I1811" s="6">
        <v>14.0155734137686</v>
      </c>
      <c r="J1811" s="6">
        <v>12.7749057985377</v>
      </c>
      <c r="K1811" s="6">
        <v>13.37939939064</v>
      </c>
      <c r="L1811" s="6">
        <v>13.8771768483667</v>
      </c>
      <c r="M1811" s="6">
        <v>12.379340105118199</v>
      </c>
      <c r="N1811" s="6">
        <v>12.6617148017795</v>
      </c>
      <c r="O1811" s="6">
        <v>13.708232753201299</v>
      </c>
      <c r="P1811" s="6">
        <v>13.7462621814846</v>
      </c>
      <c r="Q1811" s="6">
        <v>11.4246525639529</v>
      </c>
    </row>
    <row r="1812" spans="1:17">
      <c r="A1812" s="6" t="s">
        <v>3280</v>
      </c>
      <c r="B1812" s="6" t="s">
        <v>3280</v>
      </c>
      <c r="C1812" s="6" t="s">
        <v>11632</v>
      </c>
      <c r="D1812" s="6" t="s">
        <v>11633</v>
      </c>
      <c r="E1812" s="6" t="s">
        <v>11633</v>
      </c>
      <c r="F1812" s="6">
        <v>13.7503303505838</v>
      </c>
      <c r="G1812" s="6">
        <v>13.0749999791202</v>
      </c>
      <c r="H1812" s="6">
        <v>13.6761302923973</v>
      </c>
      <c r="I1812" s="6">
        <v>14.1312371737943</v>
      </c>
      <c r="J1812" s="6" t="s">
        <v>6254</v>
      </c>
      <c r="K1812" s="6">
        <v>13.106621674155701</v>
      </c>
      <c r="L1812" s="6">
        <v>13.9162786378257</v>
      </c>
      <c r="M1812" s="6">
        <v>12.2427003581306</v>
      </c>
      <c r="N1812" s="6" t="s">
        <v>6254</v>
      </c>
      <c r="O1812" s="6">
        <v>13.602895277818</v>
      </c>
      <c r="P1812" s="6">
        <v>13.735716417809099</v>
      </c>
      <c r="Q1812" s="6">
        <v>11.9642381049446</v>
      </c>
    </row>
    <row r="1813" spans="1:17">
      <c r="A1813" s="6" t="s">
        <v>11634</v>
      </c>
      <c r="B1813" s="6" t="s">
        <v>11635</v>
      </c>
      <c r="C1813" s="6" t="s">
        <v>11636</v>
      </c>
      <c r="D1813" s="6" t="s">
        <v>11637</v>
      </c>
      <c r="E1813" s="6" t="s">
        <v>11638</v>
      </c>
      <c r="F1813" s="6">
        <v>13.8866488372269</v>
      </c>
      <c r="G1813" s="6">
        <v>13.578566769027301</v>
      </c>
      <c r="H1813" s="6">
        <v>13.166264160187801</v>
      </c>
      <c r="I1813" s="6">
        <v>14.164064195989599</v>
      </c>
      <c r="J1813" s="6">
        <v>12.609365599567001</v>
      </c>
      <c r="K1813" s="6">
        <v>13.299759972769699</v>
      </c>
      <c r="L1813" s="6">
        <v>13.4861999468562</v>
      </c>
      <c r="M1813" s="6">
        <v>13.089517191952201</v>
      </c>
      <c r="N1813" s="6">
        <v>12.5957156939215</v>
      </c>
      <c r="O1813" s="6">
        <v>13.7111199780307</v>
      </c>
      <c r="P1813" s="6">
        <v>13.804020880781099</v>
      </c>
      <c r="Q1813" s="6">
        <v>12.1414943317395</v>
      </c>
    </row>
    <row r="1814" spans="1:17">
      <c r="A1814" s="6" t="s">
        <v>4489</v>
      </c>
      <c r="B1814" s="6" t="s">
        <v>4489</v>
      </c>
      <c r="C1814" s="6" t="s">
        <v>11639</v>
      </c>
      <c r="D1814" s="6" t="s">
        <v>11640</v>
      </c>
      <c r="E1814" s="6" t="s">
        <v>11640</v>
      </c>
      <c r="F1814" s="6">
        <v>13.1873760624861</v>
      </c>
      <c r="G1814" s="6" t="s">
        <v>6254</v>
      </c>
      <c r="H1814" s="6">
        <v>13.653039151105</v>
      </c>
      <c r="I1814" s="6">
        <v>13.4911005298218</v>
      </c>
      <c r="J1814" s="6" t="s">
        <v>6254</v>
      </c>
      <c r="K1814" s="6">
        <v>12.667069759040199</v>
      </c>
      <c r="L1814" s="6">
        <v>13.6027107063301</v>
      </c>
      <c r="M1814" s="6" t="s">
        <v>6254</v>
      </c>
      <c r="N1814" s="6" t="s">
        <v>6254</v>
      </c>
      <c r="O1814" s="6">
        <v>13.337598708541099</v>
      </c>
      <c r="P1814" s="6">
        <v>12.9631778150638</v>
      </c>
      <c r="Q1814" s="6" t="s">
        <v>6254</v>
      </c>
    </row>
    <row r="1815" spans="1:17">
      <c r="A1815" s="6" t="s">
        <v>11641</v>
      </c>
      <c r="B1815" s="6" t="s">
        <v>11642</v>
      </c>
      <c r="C1815" s="6" t="s">
        <v>11643</v>
      </c>
      <c r="D1815" s="6" t="s">
        <v>11644</v>
      </c>
      <c r="E1815" s="6" t="s">
        <v>11645</v>
      </c>
      <c r="F1815" s="6">
        <v>13.5907455809557</v>
      </c>
      <c r="G1815" s="6">
        <v>13.091561549360801</v>
      </c>
      <c r="H1815" s="6">
        <v>13.3553776351739</v>
      </c>
      <c r="I1815" s="6">
        <v>14.2594155593709</v>
      </c>
      <c r="J1815" s="6">
        <v>12.4560947372978</v>
      </c>
      <c r="K1815" s="6">
        <v>13.509158710663799</v>
      </c>
      <c r="L1815" s="6">
        <v>13.7728039897084</v>
      </c>
      <c r="M1815" s="6">
        <v>12.3852421344998</v>
      </c>
      <c r="N1815" s="6">
        <v>12.6557142182274</v>
      </c>
      <c r="O1815" s="6">
        <v>13.8232673064111</v>
      </c>
      <c r="P1815" s="6">
        <v>13.762628981068101</v>
      </c>
      <c r="Q1815" s="6">
        <v>12.1045903019523</v>
      </c>
    </row>
    <row r="1816" spans="1:17">
      <c r="A1816" s="6" t="s">
        <v>4026</v>
      </c>
      <c r="B1816" s="6" t="s">
        <v>4026</v>
      </c>
      <c r="C1816" s="6" t="s">
        <v>11646</v>
      </c>
      <c r="D1816" s="6" t="s">
        <v>11647</v>
      </c>
      <c r="E1816" s="6" t="s">
        <v>11647</v>
      </c>
      <c r="F1816" s="6">
        <v>14.322320801617201</v>
      </c>
      <c r="G1816" s="6">
        <v>13.494583040179201</v>
      </c>
      <c r="H1816" s="6">
        <v>12.9371608344431</v>
      </c>
      <c r="I1816" s="6">
        <v>13.7583603355185</v>
      </c>
      <c r="J1816" s="6">
        <v>12.7793206813057</v>
      </c>
      <c r="K1816" s="6">
        <v>13.260106104203899</v>
      </c>
      <c r="L1816" s="6">
        <v>13.2277915825657</v>
      </c>
      <c r="M1816" s="6" t="s">
        <v>6254</v>
      </c>
      <c r="N1816" s="6">
        <v>12.564768689061101</v>
      </c>
      <c r="O1816" s="6">
        <v>13.730814144386001</v>
      </c>
      <c r="P1816" s="6">
        <v>13.031708972215601</v>
      </c>
      <c r="Q1816" s="6">
        <v>12.562795525695201</v>
      </c>
    </row>
    <row r="1817" spans="1:17">
      <c r="A1817" s="6" t="s">
        <v>11648</v>
      </c>
      <c r="B1817" s="6" t="s">
        <v>11649</v>
      </c>
      <c r="C1817" s="6" t="s">
        <v>11650</v>
      </c>
      <c r="D1817" s="6" t="s">
        <v>11651</v>
      </c>
      <c r="E1817" s="6" t="s">
        <v>11652</v>
      </c>
      <c r="F1817" s="6">
        <v>14.155436113822899</v>
      </c>
      <c r="G1817" s="6" t="s">
        <v>6254</v>
      </c>
      <c r="H1817" s="6" t="s">
        <v>6254</v>
      </c>
      <c r="I1817" s="6">
        <v>14.225135312634199</v>
      </c>
      <c r="J1817" s="6" t="s">
        <v>6254</v>
      </c>
      <c r="K1817" s="6">
        <v>13.2481191148379</v>
      </c>
      <c r="L1817" s="6">
        <v>13.610448895562399</v>
      </c>
      <c r="M1817" s="6">
        <v>12.511269769276099</v>
      </c>
      <c r="N1817" s="6">
        <v>12.971666142044199</v>
      </c>
      <c r="O1817" s="6">
        <v>13.6075847538226</v>
      </c>
      <c r="P1817" s="6">
        <v>13.7184165713316</v>
      </c>
      <c r="Q1817" s="6">
        <v>11.684154309982301</v>
      </c>
    </row>
    <row r="1818" spans="1:17">
      <c r="A1818" s="6" t="s">
        <v>11653</v>
      </c>
      <c r="B1818" s="6" t="s">
        <v>11654</v>
      </c>
      <c r="C1818" s="6" t="s">
        <v>11655</v>
      </c>
      <c r="D1818" s="6" t="s">
        <v>11656</v>
      </c>
      <c r="E1818" s="6" t="s">
        <v>11657</v>
      </c>
      <c r="F1818" s="6">
        <v>11.337938963242699</v>
      </c>
      <c r="G1818" s="6" t="s">
        <v>6254</v>
      </c>
      <c r="H1818" s="6">
        <v>13.2999332567904</v>
      </c>
      <c r="I1818" s="6">
        <v>13.781293840886701</v>
      </c>
      <c r="J1818" s="6" t="s">
        <v>6254</v>
      </c>
      <c r="K1818" s="6">
        <v>12.613038887731999</v>
      </c>
      <c r="L1818" s="6">
        <v>13.697132204455899</v>
      </c>
      <c r="M1818" s="6" t="s">
        <v>6254</v>
      </c>
      <c r="N1818" s="6">
        <v>13.425634353572899</v>
      </c>
      <c r="O1818" s="6">
        <v>13.7399764030728</v>
      </c>
      <c r="P1818" s="6">
        <v>13.4069686077508</v>
      </c>
      <c r="Q1818" s="6" t="s">
        <v>6254</v>
      </c>
    </row>
    <row r="1819" spans="1:17">
      <c r="A1819" s="6" t="s">
        <v>4170</v>
      </c>
      <c r="B1819" s="6" t="s">
        <v>4170</v>
      </c>
      <c r="C1819" s="6" t="s">
        <v>11658</v>
      </c>
      <c r="D1819" s="6" t="s">
        <v>11659</v>
      </c>
      <c r="E1819" s="6" t="s">
        <v>11659</v>
      </c>
      <c r="F1819" s="6">
        <v>13.476370969724</v>
      </c>
      <c r="G1819" s="6">
        <v>12.993010039136101</v>
      </c>
      <c r="H1819" s="6" t="s">
        <v>6254</v>
      </c>
      <c r="I1819" s="6">
        <v>13.464847752064699</v>
      </c>
      <c r="J1819" s="6" t="s">
        <v>6254</v>
      </c>
      <c r="K1819" s="6" t="s">
        <v>6254</v>
      </c>
      <c r="L1819" s="6">
        <v>13.7154406388547</v>
      </c>
      <c r="M1819" s="6" t="s">
        <v>6254</v>
      </c>
      <c r="N1819" s="6" t="s">
        <v>6254</v>
      </c>
      <c r="O1819" s="6">
        <v>13.4117492896457</v>
      </c>
      <c r="P1819" s="6">
        <v>13.336474867324</v>
      </c>
      <c r="Q1819" s="6" t="s">
        <v>6254</v>
      </c>
    </row>
    <row r="1820" spans="1:17">
      <c r="A1820" s="6" t="s">
        <v>5360</v>
      </c>
      <c r="B1820" s="6" t="s">
        <v>5360</v>
      </c>
      <c r="C1820" s="6" t="s">
        <v>11660</v>
      </c>
      <c r="D1820" s="6" t="s">
        <v>11661</v>
      </c>
      <c r="E1820" s="6" t="s">
        <v>11661</v>
      </c>
      <c r="F1820" s="6">
        <v>13.6665055013352</v>
      </c>
      <c r="G1820" s="6">
        <v>12.3767971522586</v>
      </c>
      <c r="H1820" s="6">
        <v>13.461425442080101</v>
      </c>
      <c r="I1820" s="6">
        <v>13.8478618291348</v>
      </c>
      <c r="J1820" s="6">
        <v>11.9045336559365</v>
      </c>
      <c r="K1820" s="6">
        <v>12.912280751883699</v>
      </c>
      <c r="L1820" s="6">
        <v>14.2675705085438</v>
      </c>
      <c r="M1820" s="6">
        <v>11.2011584010215</v>
      </c>
      <c r="N1820" s="6">
        <v>13.7941494852648</v>
      </c>
      <c r="O1820" s="6">
        <v>13.660064078409899</v>
      </c>
      <c r="P1820" s="6">
        <v>13.3796933079933</v>
      </c>
      <c r="Q1820" s="6" t="s">
        <v>6254</v>
      </c>
    </row>
    <row r="1821" spans="1:17">
      <c r="A1821" s="6" t="s">
        <v>3582</v>
      </c>
      <c r="B1821" s="6" t="s">
        <v>3582</v>
      </c>
      <c r="C1821" s="6" t="s">
        <v>11662</v>
      </c>
      <c r="D1821" s="6" t="s">
        <v>11663</v>
      </c>
      <c r="E1821" s="6" t="s">
        <v>11663</v>
      </c>
      <c r="F1821" s="6">
        <v>13.663984591405701</v>
      </c>
      <c r="G1821" s="6">
        <v>13.051514733410301</v>
      </c>
      <c r="H1821" s="6">
        <v>13.2633107194982</v>
      </c>
      <c r="I1821" s="6">
        <v>13.7704610947596</v>
      </c>
      <c r="J1821" s="6">
        <v>12.6564797981911</v>
      </c>
      <c r="K1821" s="6">
        <v>12.7439618410367</v>
      </c>
      <c r="L1821" s="6">
        <v>13.825657906706301</v>
      </c>
      <c r="M1821" s="6">
        <v>12.328954616662701</v>
      </c>
      <c r="N1821" s="6">
        <v>13.76458254804</v>
      </c>
      <c r="O1821" s="6">
        <v>13.557004827912101</v>
      </c>
      <c r="P1821" s="6">
        <v>13.510294954918701</v>
      </c>
      <c r="Q1821" s="6">
        <v>12.456550296611701</v>
      </c>
    </row>
    <row r="1822" spans="1:17">
      <c r="A1822" s="6" t="s">
        <v>11664</v>
      </c>
      <c r="B1822" s="6" t="s">
        <v>11665</v>
      </c>
      <c r="C1822" s="6" t="s">
        <v>11666</v>
      </c>
      <c r="D1822" s="6" t="s">
        <v>11667</v>
      </c>
      <c r="E1822" s="6" t="s">
        <v>11668</v>
      </c>
      <c r="F1822" s="6">
        <v>13.7714306252977</v>
      </c>
      <c r="G1822" s="6">
        <v>13.3090158850005</v>
      </c>
      <c r="H1822" s="6">
        <v>13.129062202988999</v>
      </c>
      <c r="I1822" s="6">
        <v>13.8703628923775</v>
      </c>
      <c r="J1822" s="6">
        <v>12.7453221731899</v>
      </c>
      <c r="K1822" s="6">
        <v>13.4141238794777</v>
      </c>
      <c r="L1822" s="6">
        <v>13.707705131507</v>
      </c>
      <c r="M1822" s="6">
        <v>12.2859798513814</v>
      </c>
      <c r="N1822" s="6">
        <v>12.2407066692037</v>
      </c>
      <c r="O1822" s="6">
        <v>13.521981510239399</v>
      </c>
      <c r="P1822" s="6">
        <v>13.7438031640894</v>
      </c>
      <c r="Q1822" s="6">
        <v>11.9892630945335</v>
      </c>
    </row>
    <row r="1823" spans="1:17">
      <c r="A1823" s="6" t="s">
        <v>11669</v>
      </c>
      <c r="B1823" s="6" t="s">
        <v>11669</v>
      </c>
      <c r="C1823" s="6" t="s">
        <v>11670</v>
      </c>
      <c r="D1823" s="6" t="s">
        <v>11671</v>
      </c>
      <c r="E1823" s="6" t="s">
        <v>11671</v>
      </c>
      <c r="F1823" s="6" t="s">
        <v>6254</v>
      </c>
      <c r="G1823" s="6">
        <v>13.3973234674481</v>
      </c>
      <c r="H1823" s="6">
        <v>12.4712177360366</v>
      </c>
      <c r="I1823" s="6">
        <v>13.4195364404597</v>
      </c>
      <c r="J1823" s="6" t="s">
        <v>6254</v>
      </c>
      <c r="K1823" s="6" t="s">
        <v>6254</v>
      </c>
      <c r="L1823" s="6">
        <v>13.201826630894001</v>
      </c>
      <c r="M1823" s="6" t="s">
        <v>6254</v>
      </c>
      <c r="N1823" s="6" t="s">
        <v>6254</v>
      </c>
      <c r="O1823" s="6" t="s">
        <v>6254</v>
      </c>
      <c r="P1823" s="6" t="s">
        <v>6254</v>
      </c>
      <c r="Q1823" s="6" t="s">
        <v>6254</v>
      </c>
    </row>
    <row r="1824" spans="1:17">
      <c r="A1824" s="6" t="s">
        <v>11672</v>
      </c>
      <c r="B1824" s="6" t="s">
        <v>11672</v>
      </c>
      <c r="C1824" s="6" t="s">
        <v>11673</v>
      </c>
      <c r="D1824" s="6" t="s">
        <v>11674</v>
      </c>
      <c r="E1824" s="6" t="s">
        <v>11674</v>
      </c>
      <c r="F1824" s="6" t="s">
        <v>6254</v>
      </c>
      <c r="G1824" s="6" t="s">
        <v>6254</v>
      </c>
      <c r="H1824" s="6" t="s">
        <v>6254</v>
      </c>
      <c r="I1824" s="6">
        <v>10.8330817840232</v>
      </c>
      <c r="J1824" s="6" t="s">
        <v>6254</v>
      </c>
      <c r="K1824" s="6">
        <v>13.3760819399666</v>
      </c>
      <c r="L1824" s="6">
        <v>14.773875890277299</v>
      </c>
      <c r="M1824" s="6" t="s">
        <v>6254</v>
      </c>
      <c r="N1824" s="6" t="s">
        <v>6254</v>
      </c>
      <c r="O1824" s="6" t="s">
        <v>6254</v>
      </c>
      <c r="P1824" s="6">
        <v>12.430271840374401</v>
      </c>
      <c r="Q1824" s="6" t="s">
        <v>6254</v>
      </c>
    </row>
    <row r="1825" spans="1:17">
      <c r="A1825" s="6" t="s">
        <v>3508</v>
      </c>
      <c r="B1825" s="6" t="s">
        <v>3508</v>
      </c>
      <c r="C1825" s="6" t="s">
        <v>11675</v>
      </c>
      <c r="D1825" s="6" t="s">
        <v>11676</v>
      </c>
      <c r="E1825" s="6" t="s">
        <v>11676</v>
      </c>
      <c r="F1825" s="6">
        <v>13.4641667613305</v>
      </c>
      <c r="G1825" s="6">
        <v>13.6020524907278</v>
      </c>
      <c r="H1825" s="6">
        <v>13.390536697881201</v>
      </c>
      <c r="I1825" s="6">
        <v>13.5044567802237</v>
      </c>
      <c r="J1825" s="6" t="s">
        <v>6254</v>
      </c>
      <c r="K1825" s="6">
        <v>12.784518949715499</v>
      </c>
      <c r="L1825" s="6">
        <v>13.662449954090199</v>
      </c>
      <c r="M1825" s="6">
        <v>12.442818181282499</v>
      </c>
      <c r="N1825" s="6">
        <v>13.901379680273999</v>
      </c>
      <c r="O1825" s="6">
        <v>13.5618906770923</v>
      </c>
      <c r="P1825" s="6">
        <v>12.8317610294836</v>
      </c>
      <c r="Q1825" s="6">
        <v>12.232642060877</v>
      </c>
    </row>
    <row r="1826" spans="1:17">
      <c r="A1826" s="6" t="s">
        <v>2520</v>
      </c>
      <c r="B1826" s="6" t="s">
        <v>2520</v>
      </c>
      <c r="C1826" s="6" t="s">
        <v>11677</v>
      </c>
      <c r="D1826" s="6" t="s">
        <v>11678</v>
      </c>
      <c r="E1826" s="6" t="s">
        <v>11678</v>
      </c>
      <c r="F1826" s="6">
        <v>13.558679561134101</v>
      </c>
      <c r="G1826" s="6">
        <v>13.178008215121601</v>
      </c>
      <c r="H1826" s="6">
        <v>13.8559535107348</v>
      </c>
      <c r="I1826" s="6">
        <v>13.942812765706201</v>
      </c>
      <c r="J1826" s="6" t="s">
        <v>6254</v>
      </c>
      <c r="K1826" s="6">
        <v>12.3473451300083</v>
      </c>
      <c r="L1826" s="6">
        <v>13.714612405895499</v>
      </c>
      <c r="M1826" s="6" t="s">
        <v>6254</v>
      </c>
      <c r="N1826" s="6">
        <v>13.5784761923669</v>
      </c>
      <c r="O1826" s="6">
        <v>13.293354599804101</v>
      </c>
      <c r="P1826" s="6">
        <v>13.334262699199099</v>
      </c>
      <c r="Q1826" s="6">
        <v>11.110365274851</v>
      </c>
    </row>
    <row r="1827" spans="1:17">
      <c r="A1827" s="6" t="s">
        <v>11679</v>
      </c>
      <c r="B1827" s="6" t="s">
        <v>11680</v>
      </c>
      <c r="C1827" s="6" t="s">
        <v>11681</v>
      </c>
      <c r="D1827" s="6" t="s">
        <v>11682</v>
      </c>
      <c r="E1827" s="6" t="s">
        <v>11683</v>
      </c>
      <c r="F1827" s="6">
        <v>13.226885958314201</v>
      </c>
      <c r="G1827" s="6">
        <v>12.7658272640234</v>
      </c>
      <c r="H1827" s="6">
        <v>13.4145299231816</v>
      </c>
      <c r="I1827" s="6" t="s">
        <v>6254</v>
      </c>
      <c r="J1827" s="6" t="s">
        <v>6254</v>
      </c>
      <c r="K1827" s="6">
        <v>13.7733601970988</v>
      </c>
      <c r="L1827" s="6">
        <v>14.0073374650087</v>
      </c>
      <c r="M1827" s="6">
        <v>12.229633992040601</v>
      </c>
      <c r="N1827" s="6">
        <v>12.3590041015088</v>
      </c>
      <c r="O1827" s="6">
        <v>13.5325884930651</v>
      </c>
      <c r="P1827" s="6" t="s">
        <v>6254</v>
      </c>
      <c r="Q1827" s="6" t="s">
        <v>6254</v>
      </c>
    </row>
    <row r="1828" spans="1:17">
      <c r="A1828" s="6" t="s">
        <v>11684</v>
      </c>
      <c r="B1828" s="6" t="s">
        <v>11684</v>
      </c>
      <c r="C1828" s="6" t="s">
        <v>11684</v>
      </c>
      <c r="D1828" s="6" t="s">
        <v>11684</v>
      </c>
      <c r="E1828" s="6" t="s">
        <v>11684</v>
      </c>
      <c r="F1828" s="6" t="s">
        <v>6254</v>
      </c>
      <c r="G1828" s="6" t="s">
        <v>6254</v>
      </c>
      <c r="H1828" s="6" t="s">
        <v>6254</v>
      </c>
      <c r="I1828" s="6">
        <v>15.459736482245701</v>
      </c>
      <c r="J1828" s="6">
        <v>13.7341473025261</v>
      </c>
      <c r="K1828" s="6" t="s">
        <v>6254</v>
      </c>
      <c r="L1828" s="6">
        <v>13.758869222653701</v>
      </c>
      <c r="M1828" s="6" t="s">
        <v>6254</v>
      </c>
      <c r="N1828" s="6">
        <v>12.7549735854403</v>
      </c>
      <c r="O1828" s="6" t="s">
        <v>6254</v>
      </c>
      <c r="P1828" s="6" t="s">
        <v>6254</v>
      </c>
      <c r="Q1828" s="6" t="s">
        <v>6254</v>
      </c>
    </row>
    <row r="1829" spans="1:17">
      <c r="A1829" s="6" t="s">
        <v>11685</v>
      </c>
      <c r="B1829" s="6" t="s">
        <v>11686</v>
      </c>
      <c r="C1829" s="6" t="s">
        <v>11687</v>
      </c>
      <c r="D1829" s="6" t="s">
        <v>11688</v>
      </c>
      <c r="E1829" s="6" t="s">
        <v>11689</v>
      </c>
      <c r="F1829" s="6">
        <v>13.102516448776701</v>
      </c>
      <c r="G1829" s="6" t="s">
        <v>6254</v>
      </c>
      <c r="H1829" s="6">
        <v>13.666461277694999</v>
      </c>
      <c r="I1829" s="6">
        <v>14.4177597404673</v>
      </c>
      <c r="J1829" s="6">
        <v>12.5632260136165</v>
      </c>
      <c r="K1829" s="6">
        <v>13.467565700293999</v>
      </c>
      <c r="L1829" s="6">
        <v>13.4519727024524</v>
      </c>
      <c r="M1829" s="6">
        <v>12.258382755299801</v>
      </c>
      <c r="N1829" s="6" t="s">
        <v>6254</v>
      </c>
      <c r="O1829" s="6">
        <v>13.515309080681799</v>
      </c>
      <c r="P1829" s="6">
        <v>14.177454919532799</v>
      </c>
      <c r="Q1829" s="6" t="s">
        <v>6254</v>
      </c>
    </row>
    <row r="1830" spans="1:17">
      <c r="A1830" s="6" t="s">
        <v>3252</v>
      </c>
      <c r="B1830" s="6" t="s">
        <v>3252</v>
      </c>
      <c r="C1830" s="6" t="s">
        <v>11690</v>
      </c>
      <c r="D1830" s="6" t="s">
        <v>11691</v>
      </c>
      <c r="E1830" s="6" t="s">
        <v>11691</v>
      </c>
      <c r="F1830" s="6">
        <v>13.2508093157447</v>
      </c>
      <c r="G1830" s="6">
        <v>13.029452324588</v>
      </c>
      <c r="H1830" s="6">
        <v>13.244402023769601</v>
      </c>
      <c r="I1830" s="6">
        <v>13.5593654926498</v>
      </c>
      <c r="J1830" s="6">
        <v>12.867821481502199</v>
      </c>
      <c r="K1830" s="6">
        <v>13.0731446266291</v>
      </c>
      <c r="L1830" s="6">
        <v>13.7284540781244</v>
      </c>
      <c r="M1830" s="6">
        <v>12.767649248473999</v>
      </c>
      <c r="N1830" s="6">
        <v>13.0804182746535</v>
      </c>
      <c r="O1830" s="6">
        <v>13.276279647092499</v>
      </c>
      <c r="P1830" s="6">
        <v>13.4225466811353</v>
      </c>
      <c r="Q1830" s="6">
        <v>11.6070606873819</v>
      </c>
    </row>
    <row r="1831" spans="1:17">
      <c r="A1831" s="6" t="s">
        <v>4974</v>
      </c>
      <c r="B1831" s="6" t="s">
        <v>4974</v>
      </c>
      <c r="C1831" s="6" t="s">
        <v>11692</v>
      </c>
      <c r="D1831" s="6" t="s">
        <v>11693</v>
      </c>
      <c r="E1831" s="6" t="s">
        <v>11693</v>
      </c>
      <c r="F1831" s="6">
        <v>13.6348153038909</v>
      </c>
      <c r="G1831" s="6">
        <v>13.386320648264199</v>
      </c>
      <c r="H1831" s="6">
        <v>13.322559520357901</v>
      </c>
      <c r="I1831" s="6">
        <v>14.0200338701693</v>
      </c>
      <c r="J1831" s="6">
        <v>12.4808298199207</v>
      </c>
      <c r="K1831" s="6">
        <v>12.228943632409299</v>
      </c>
      <c r="L1831" s="6">
        <v>14.241802702208499</v>
      </c>
      <c r="M1831" s="6" t="s">
        <v>6254</v>
      </c>
      <c r="N1831" s="6">
        <v>13.308882165624601</v>
      </c>
      <c r="O1831" s="6">
        <v>13.787251978693799</v>
      </c>
      <c r="P1831" s="6">
        <v>13.5956025433115</v>
      </c>
      <c r="Q1831" s="6" t="s">
        <v>6254</v>
      </c>
    </row>
    <row r="1832" spans="1:17">
      <c r="A1832" s="6" t="s">
        <v>1925</v>
      </c>
      <c r="B1832" s="6" t="s">
        <v>1925</v>
      </c>
      <c r="C1832" s="6" t="s">
        <v>11694</v>
      </c>
      <c r="D1832" s="6" t="s">
        <v>11695</v>
      </c>
      <c r="E1832" s="6" t="s">
        <v>11695</v>
      </c>
      <c r="F1832" s="6">
        <v>13.505535875255999</v>
      </c>
      <c r="G1832" s="6">
        <v>12.883992157627601</v>
      </c>
      <c r="H1832" s="6">
        <v>12.985597952595899</v>
      </c>
      <c r="I1832" s="6">
        <v>13.891130317589001</v>
      </c>
      <c r="J1832" s="6" t="s">
        <v>6254</v>
      </c>
      <c r="K1832" s="6">
        <v>13.171409044786101</v>
      </c>
      <c r="L1832" s="6">
        <v>13.7373707183735</v>
      </c>
      <c r="M1832" s="6">
        <v>12.498047815529301</v>
      </c>
      <c r="N1832" s="6">
        <v>12.613521109545699</v>
      </c>
      <c r="O1832" s="6">
        <v>13.152913673117901</v>
      </c>
      <c r="P1832" s="6">
        <v>12.7931419809474</v>
      </c>
      <c r="Q1832" s="6" t="s">
        <v>6254</v>
      </c>
    </row>
    <row r="1833" spans="1:17">
      <c r="A1833" s="6" t="s">
        <v>11696</v>
      </c>
      <c r="B1833" s="6" t="s">
        <v>11696</v>
      </c>
      <c r="C1833" s="6" t="s">
        <v>11697</v>
      </c>
      <c r="D1833" s="6" t="s">
        <v>11698</v>
      </c>
      <c r="E1833" s="6" t="s">
        <v>11698</v>
      </c>
      <c r="F1833" s="6">
        <v>13.456842459184299</v>
      </c>
      <c r="G1833" s="6">
        <v>12.8585768567832</v>
      </c>
      <c r="H1833" s="6">
        <v>13.1429688119193</v>
      </c>
      <c r="I1833" s="6">
        <v>14.344850006620399</v>
      </c>
      <c r="J1833" s="6">
        <v>12.3114544421507</v>
      </c>
      <c r="K1833" s="6">
        <v>13.1282010314785</v>
      </c>
      <c r="L1833" s="6">
        <v>14.230664633547001</v>
      </c>
      <c r="M1833" s="6">
        <v>12.0872842450335</v>
      </c>
      <c r="N1833" s="6">
        <v>12.645100619630499</v>
      </c>
      <c r="O1833" s="6">
        <v>13.280846477343401</v>
      </c>
      <c r="P1833" s="6">
        <v>12.994720026139101</v>
      </c>
      <c r="Q1833" s="6" t="s">
        <v>6254</v>
      </c>
    </row>
    <row r="1834" spans="1:17">
      <c r="A1834" s="6" t="s">
        <v>3727</v>
      </c>
      <c r="B1834" s="6" t="s">
        <v>3727</v>
      </c>
      <c r="C1834" s="6" t="s">
        <v>11699</v>
      </c>
      <c r="D1834" s="6" t="s">
        <v>11700</v>
      </c>
      <c r="E1834" s="6" t="s">
        <v>11700</v>
      </c>
      <c r="F1834" s="6">
        <v>13.6913548910694</v>
      </c>
      <c r="G1834" s="6">
        <v>12.7872712560828</v>
      </c>
      <c r="H1834" s="6">
        <v>13.485142245079301</v>
      </c>
      <c r="I1834" s="6">
        <v>14.117539442025199</v>
      </c>
      <c r="J1834" s="6">
        <v>11.723586871435799</v>
      </c>
      <c r="K1834" s="6">
        <v>12.5746499071995</v>
      </c>
      <c r="L1834" s="6">
        <v>14.0253045813566</v>
      </c>
      <c r="M1834" s="6" t="s">
        <v>6254</v>
      </c>
      <c r="N1834" s="6">
        <v>13.9281599971637</v>
      </c>
      <c r="O1834" s="6">
        <v>13.253168493013799</v>
      </c>
      <c r="P1834" s="6">
        <v>13.5568893280868</v>
      </c>
      <c r="Q1834" s="6" t="s">
        <v>6254</v>
      </c>
    </row>
    <row r="1835" spans="1:17">
      <c r="A1835" s="6" t="s">
        <v>11701</v>
      </c>
      <c r="B1835" s="6" t="s">
        <v>11701</v>
      </c>
      <c r="C1835" s="6" t="s">
        <v>11702</v>
      </c>
      <c r="D1835" s="6" t="s">
        <v>11703</v>
      </c>
      <c r="E1835" s="6" t="s">
        <v>11703</v>
      </c>
      <c r="F1835" s="6">
        <v>13.136890850053399</v>
      </c>
      <c r="G1835" s="6" t="s">
        <v>6254</v>
      </c>
      <c r="H1835" s="6">
        <v>12.6821392388681</v>
      </c>
      <c r="I1835" s="6">
        <v>13.7352691941777</v>
      </c>
      <c r="J1835" s="6" t="s">
        <v>6254</v>
      </c>
      <c r="K1835" s="6" t="s">
        <v>6254</v>
      </c>
      <c r="L1835" s="6">
        <v>13.6253465862923</v>
      </c>
      <c r="M1835" s="6" t="s">
        <v>6254</v>
      </c>
      <c r="N1835" s="6">
        <v>13.720437028173199</v>
      </c>
      <c r="O1835" s="6" t="s">
        <v>6254</v>
      </c>
      <c r="P1835" s="6">
        <v>13.626477179284599</v>
      </c>
      <c r="Q1835" s="6" t="s">
        <v>6254</v>
      </c>
    </row>
    <row r="1836" spans="1:17">
      <c r="A1836" s="6" t="s">
        <v>11704</v>
      </c>
      <c r="B1836" s="6" t="s">
        <v>11704</v>
      </c>
      <c r="C1836" s="6" t="s">
        <v>11705</v>
      </c>
      <c r="D1836" s="6" t="s">
        <v>11706</v>
      </c>
      <c r="E1836" s="6" t="s">
        <v>11706</v>
      </c>
      <c r="F1836" s="6">
        <v>13.9866330906291</v>
      </c>
      <c r="G1836" s="6">
        <v>13.269395090834101</v>
      </c>
      <c r="H1836" s="6">
        <v>12.9446757101553</v>
      </c>
      <c r="I1836" s="6">
        <v>13.878634515647899</v>
      </c>
      <c r="J1836" s="6" t="s">
        <v>6254</v>
      </c>
      <c r="K1836" s="6">
        <v>13.616563030798099</v>
      </c>
      <c r="L1836" s="6">
        <v>13.3224809870241</v>
      </c>
      <c r="M1836" s="6" t="s">
        <v>6254</v>
      </c>
      <c r="N1836" s="6">
        <v>12.3579700782551</v>
      </c>
      <c r="O1836" s="6">
        <v>13.487638647338599</v>
      </c>
      <c r="P1836" s="6">
        <v>13.8319136963412</v>
      </c>
      <c r="Q1836" s="6">
        <v>11.3416264600695</v>
      </c>
    </row>
    <row r="1837" spans="1:17">
      <c r="A1837" s="6" t="s">
        <v>11707</v>
      </c>
      <c r="B1837" s="6" t="s">
        <v>11707</v>
      </c>
      <c r="C1837" s="6" t="s">
        <v>11708</v>
      </c>
      <c r="D1837" s="6" t="s">
        <v>11709</v>
      </c>
      <c r="E1837" s="6" t="s">
        <v>11709</v>
      </c>
      <c r="F1837" s="6">
        <v>13.1138237316309</v>
      </c>
      <c r="G1837" s="6">
        <v>13.107155880229501</v>
      </c>
      <c r="H1837" s="6">
        <v>12.8338090412068</v>
      </c>
      <c r="I1837" s="6">
        <v>13.747817399255601</v>
      </c>
      <c r="J1837" s="6" t="s">
        <v>6254</v>
      </c>
      <c r="K1837" s="6">
        <v>14.046994377166399</v>
      </c>
      <c r="L1837" s="6">
        <v>14.026596355224999</v>
      </c>
      <c r="M1837" s="6" t="s">
        <v>6254</v>
      </c>
      <c r="N1837" s="6" t="s">
        <v>6254</v>
      </c>
      <c r="O1837" s="6" t="s">
        <v>6254</v>
      </c>
      <c r="P1837" s="6" t="s">
        <v>6254</v>
      </c>
      <c r="Q1837" s="6" t="s">
        <v>6254</v>
      </c>
    </row>
    <row r="1838" spans="1:17">
      <c r="A1838" s="6" t="s">
        <v>11710</v>
      </c>
      <c r="B1838" s="6" t="s">
        <v>4088</v>
      </c>
      <c r="C1838" s="6" t="s">
        <v>11711</v>
      </c>
      <c r="D1838" s="6" t="s">
        <v>11712</v>
      </c>
      <c r="E1838" s="6" t="s">
        <v>11713</v>
      </c>
      <c r="F1838" s="6">
        <v>13.7624683161813</v>
      </c>
      <c r="G1838" s="6">
        <v>13.4276120978845</v>
      </c>
      <c r="H1838" s="6" t="s">
        <v>6254</v>
      </c>
      <c r="I1838" s="6">
        <v>14.565609221075601</v>
      </c>
      <c r="J1838" s="6" t="s">
        <v>6254</v>
      </c>
      <c r="K1838" s="6">
        <v>12.8018984288074</v>
      </c>
      <c r="L1838" s="6">
        <v>13.0637613632917</v>
      </c>
      <c r="M1838" s="6" t="s">
        <v>6254</v>
      </c>
      <c r="N1838" s="6">
        <v>12.2668120408857</v>
      </c>
      <c r="O1838" s="6">
        <v>13.942977764399799</v>
      </c>
      <c r="P1838" s="6">
        <v>13.4787683955921</v>
      </c>
      <c r="Q1838" s="6" t="s">
        <v>6254</v>
      </c>
    </row>
    <row r="1839" spans="1:17">
      <c r="A1839" s="6" t="s">
        <v>11714</v>
      </c>
      <c r="B1839" s="6" t="s">
        <v>11714</v>
      </c>
      <c r="C1839" s="6" t="s">
        <v>11715</v>
      </c>
      <c r="D1839" s="6" t="s">
        <v>11716</v>
      </c>
      <c r="E1839" s="6" t="s">
        <v>11716</v>
      </c>
      <c r="F1839" s="6">
        <v>10.8930674077414</v>
      </c>
      <c r="G1839" s="6" t="s">
        <v>6254</v>
      </c>
      <c r="H1839" s="6">
        <v>14.0048553010758</v>
      </c>
      <c r="I1839" s="6">
        <v>11.546662267791699</v>
      </c>
      <c r="J1839" s="6" t="s">
        <v>6254</v>
      </c>
      <c r="K1839" s="6">
        <v>13.1476081378065</v>
      </c>
      <c r="L1839" s="6">
        <v>14.3002970650273</v>
      </c>
      <c r="M1839" s="6">
        <v>13.190242844129401</v>
      </c>
      <c r="N1839" s="6">
        <v>14.4843657836026</v>
      </c>
      <c r="O1839" s="6">
        <v>13.9792932479941</v>
      </c>
      <c r="P1839" s="6">
        <v>13.675559977883999</v>
      </c>
      <c r="Q1839" s="6" t="s">
        <v>6254</v>
      </c>
    </row>
    <row r="1840" spans="1:17">
      <c r="A1840" s="6" t="s">
        <v>11717</v>
      </c>
      <c r="B1840" s="6" t="s">
        <v>11718</v>
      </c>
      <c r="C1840" s="6" t="s">
        <v>11719</v>
      </c>
      <c r="D1840" s="6" t="s">
        <v>11720</v>
      </c>
      <c r="E1840" s="6" t="s">
        <v>11721</v>
      </c>
      <c r="F1840" s="6">
        <v>13.9898300690603</v>
      </c>
      <c r="G1840" s="6" t="s">
        <v>6254</v>
      </c>
      <c r="H1840" s="6" t="s">
        <v>6254</v>
      </c>
      <c r="I1840" s="6" t="s">
        <v>6254</v>
      </c>
      <c r="J1840" s="6" t="s">
        <v>6254</v>
      </c>
      <c r="K1840" s="6" t="s">
        <v>6254</v>
      </c>
      <c r="L1840" s="6">
        <v>14.109183588641301</v>
      </c>
      <c r="M1840" s="6" t="s">
        <v>6254</v>
      </c>
      <c r="N1840" s="6">
        <v>13.161963359462201</v>
      </c>
      <c r="O1840" s="6" t="s">
        <v>6254</v>
      </c>
      <c r="P1840" s="6" t="s">
        <v>6254</v>
      </c>
      <c r="Q1840" s="6" t="s">
        <v>6254</v>
      </c>
    </row>
    <row r="1841" spans="1:17">
      <c r="A1841" s="6" t="s">
        <v>11722</v>
      </c>
      <c r="B1841" s="6" t="s">
        <v>11723</v>
      </c>
      <c r="C1841" s="6" t="s">
        <v>11724</v>
      </c>
      <c r="D1841" s="6" t="s">
        <v>11725</v>
      </c>
      <c r="E1841" s="6" t="s">
        <v>11726</v>
      </c>
      <c r="F1841" s="6">
        <v>13.339747114331701</v>
      </c>
      <c r="G1841" s="6" t="s">
        <v>6254</v>
      </c>
      <c r="H1841" s="6">
        <v>12.980409929196901</v>
      </c>
      <c r="I1841" s="6">
        <v>13.9140085998696</v>
      </c>
      <c r="J1841" s="6" t="s">
        <v>6254</v>
      </c>
      <c r="K1841" s="6">
        <v>12.942825538006501</v>
      </c>
      <c r="L1841" s="6">
        <v>13.3679740375529</v>
      </c>
      <c r="M1841" s="6" t="s">
        <v>6254</v>
      </c>
      <c r="N1841" s="6" t="s">
        <v>6254</v>
      </c>
      <c r="O1841" s="6" t="s">
        <v>6254</v>
      </c>
      <c r="P1841" s="6" t="s">
        <v>6254</v>
      </c>
      <c r="Q1841" s="6" t="s">
        <v>6254</v>
      </c>
    </row>
    <row r="1842" spans="1:17">
      <c r="A1842" s="6" t="s">
        <v>11727</v>
      </c>
      <c r="B1842" s="6" t="s">
        <v>11727</v>
      </c>
      <c r="C1842" s="6" t="s">
        <v>11728</v>
      </c>
      <c r="D1842" s="6" t="s">
        <v>11729</v>
      </c>
      <c r="E1842" s="6" t="s">
        <v>11729</v>
      </c>
      <c r="F1842" s="6">
        <v>11.7104407991286</v>
      </c>
      <c r="G1842" s="6">
        <v>13.2488038396208</v>
      </c>
      <c r="H1842" s="6">
        <v>12.934897957114</v>
      </c>
      <c r="I1842" s="6">
        <v>13.764359083481899</v>
      </c>
      <c r="J1842" s="6">
        <v>11.970286672484299</v>
      </c>
      <c r="K1842" s="6" t="s">
        <v>6254</v>
      </c>
      <c r="L1842" s="6">
        <v>13.5871015322749</v>
      </c>
      <c r="M1842" s="6" t="s">
        <v>6254</v>
      </c>
      <c r="N1842" s="6">
        <v>13.879952162201301</v>
      </c>
      <c r="O1842" s="6">
        <v>13.4257377196262</v>
      </c>
      <c r="P1842" s="6" t="s">
        <v>6254</v>
      </c>
      <c r="Q1842" s="6" t="s">
        <v>6254</v>
      </c>
    </row>
    <row r="1843" spans="1:17">
      <c r="A1843" s="6" t="s">
        <v>11730</v>
      </c>
      <c r="B1843" s="6" t="s">
        <v>11731</v>
      </c>
      <c r="C1843" s="6" t="s">
        <v>11732</v>
      </c>
      <c r="D1843" s="6" t="s">
        <v>11733</v>
      </c>
      <c r="E1843" s="6" t="s">
        <v>11734</v>
      </c>
      <c r="F1843" s="6">
        <v>13.436515697348799</v>
      </c>
      <c r="G1843" s="6">
        <v>13.265037196553999</v>
      </c>
      <c r="H1843" s="6">
        <v>13.2430223977055</v>
      </c>
      <c r="I1843" s="6">
        <v>14.3587524502937</v>
      </c>
      <c r="J1843" s="6">
        <v>12.1545211174404</v>
      </c>
      <c r="K1843" s="6">
        <v>12.559283830756501</v>
      </c>
      <c r="L1843" s="6">
        <v>13.8566011974186</v>
      </c>
      <c r="M1843" s="6">
        <v>12.219692454836199</v>
      </c>
      <c r="N1843" s="6">
        <v>12.540190282413199</v>
      </c>
      <c r="O1843" s="6">
        <v>13.3464318024152</v>
      </c>
      <c r="P1843" s="6">
        <v>13.655629896940599</v>
      </c>
      <c r="Q1843" s="6">
        <v>11.635068354520699</v>
      </c>
    </row>
    <row r="1844" spans="1:17">
      <c r="A1844" s="6" t="s">
        <v>11735</v>
      </c>
      <c r="B1844" s="6" t="s">
        <v>11736</v>
      </c>
      <c r="C1844" s="6" t="s">
        <v>11737</v>
      </c>
      <c r="D1844" s="6" t="s">
        <v>11738</v>
      </c>
      <c r="E1844" s="6" t="s">
        <v>11739</v>
      </c>
      <c r="F1844" s="6">
        <v>14.035437324340499</v>
      </c>
      <c r="G1844" s="6">
        <v>13.9574171748118</v>
      </c>
      <c r="H1844" s="6">
        <v>12.5020999746495</v>
      </c>
      <c r="I1844" s="6">
        <v>13.5584034242383</v>
      </c>
      <c r="J1844" s="6">
        <v>12.5803721404051</v>
      </c>
      <c r="K1844" s="6">
        <v>13.382217986460301</v>
      </c>
      <c r="L1844" s="6">
        <v>14.0210163534254</v>
      </c>
      <c r="M1844" s="6">
        <v>11.805602442293001</v>
      </c>
      <c r="N1844" s="6">
        <v>12.711393034965001</v>
      </c>
      <c r="O1844" s="6">
        <v>12.4934536808519</v>
      </c>
      <c r="P1844" s="6">
        <v>12.703742409819499</v>
      </c>
      <c r="Q1844" s="6" t="s">
        <v>6254</v>
      </c>
    </row>
    <row r="1845" spans="1:17">
      <c r="A1845" s="6" t="s">
        <v>11740</v>
      </c>
      <c r="B1845" s="6" t="s">
        <v>11741</v>
      </c>
      <c r="C1845" s="6" t="s">
        <v>11742</v>
      </c>
      <c r="D1845" s="6" t="s">
        <v>11743</v>
      </c>
      <c r="E1845" s="6" t="s">
        <v>11744</v>
      </c>
      <c r="F1845" s="6">
        <v>12.839373587175301</v>
      </c>
      <c r="G1845" s="6">
        <v>12.618235108432399</v>
      </c>
      <c r="H1845" s="6">
        <v>13.1170578132313</v>
      </c>
      <c r="I1845" s="6">
        <v>13.5607301983996</v>
      </c>
      <c r="J1845" s="6" t="s">
        <v>6254</v>
      </c>
      <c r="K1845" s="6">
        <v>12.5452752811045</v>
      </c>
      <c r="L1845" s="6">
        <v>13.490052320314</v>
      </c>
      <c r="M1845" s="6" t="s">
        <v>6254</v>
      </c>
      <c r="N1845" s="6">
        <v>13.5943054337571</v>
      </c>
      <c r="O1845" s="6">
        <v>13.373717212355199</v>
      </c>
      <c r="P1845" s="6">
        <v>13.0663925979691</v>
      </c>
      <c r="Q1845" s="6" t="s">
        <v>6254</v>
      </c>
    </row>
    <row r="1846" spans="1:17">
      <c r="A1846" s="6" t="s">
        <v>5265</v>
      </c>
      <c r="B1846" s="6" t="s">
        <v>5265</v>
      </c>
      <c r="C1846" s="6" t="s">
        <v>11745</v>
      </c>
      <c r="D1846" s="6" t="s">
        <v>11746</v>
      </c>
      <c r="E1846" s="6" t="s">
        <v>11746</v>
      </c>
      <c r="F1846" s="6">
        <v>12.9124779365018</v>
      </c>
      <c r="G1846" s="6">
        <v>13.4007772182472</v>
      </c>
      <c r="H1846" s="6">
        <v>13.281277610505899</v>
      </c>
      <c r="I1846" s="6">
        <v>13.6114128522063</v>
      </c>
      <c r="J1846" s="6" t="s">
        <v>6254</v>
      </c>
      <c r="K1846" s="6">
        <v>13.119610345922901</v>
      </c>
      <c r="L1846" s="6">
        <v>13.945070486743999</v>
      </c>
      <c r="M1846" s="6">
        <v>12.169702902727799</v>
      </c>
      <c r="N1846" s="6">
        <v>13.2693814385763</v>
      </c>
      <c r="O1846" s="6">
        <v>12.973060659262799</v>
      </c>
      <c r="P1846" s="6">
        <v>12.864850061712501</v>
      </c>
      <c r="Q1846" s="6">
        <v>12.2953974563884</v>
      </c>
    </row>
    <row r="1847" spans="1:17">
      <c r="A1847" s="6" t="s">
        <v>11747</v>
      </c>
      <c r="B1847" s="6" t="s">
        <v>11748</v>
      </c>
      <c r="C1847" s="6" t="s">
        <v>11749</v>
      </c>
      <c r="D1847" s="6" t="s">
        <v>11750</v>
      </c>
      <c r="E1847" s="6" t="s">
        <v>11751</v>
      </c>
      <c r="F1847" s="6">
        <v>13.5090208036689</v>
      </c>
      <c r="G1847" s="6">
        <v>13.318940821124</v>
      </c>
      <c r="H1847" s="6">
        <v>13.2490638722804</v>
      </c>
      <c r="I1847" s="6">
        <v>14.275966525632001</v>
      </c>
      <c r="J1847" s="6">
        <v>13.327677546004701</v>
      </c>
      <c r="K1847" s="6">
        <v>13.234396458102401</v>
      </c>
      <c r="L1847" s="6">
        <v>13.306785271862999</v>
      </c>
      <c r="M1847" s="6">
        <v>12.6309178442909</v>
      </c>
      <c r="N1847" s="6">
        <v>11.6670576499119</v>
      </c>
      <c r="O1847" s="6">
        <v>14.025998265432399</v>
      </c>
      <c r="P1847" s="6">
        <v>13.9532593612863</v>
      </c>
      <c r="Q1847" s="6">
        <v>11.6532419486692</v>
      </c>
    </row>
    <row r="1848" spans="1:17">
      <c r="A1848" s="6" t="s">
        <v>3158</v>
      </c>
      <c r="B1848" s="6" t="s">
        <v>3158</v>
      </c>
      <c r="C1848" s="6" t="s">
        <v>11752</v>
      </c>
      <c r="D1848" s="6" t="s">
        <v>11753</v>
      </c>
      <c r="E1848" s="6" t="s">
        <v>11753</v>
      </c>
      <c r="F1848" s="6">
        <v>13.772810153962</v>
      </c>
      <c r="G1848" s="6" t="s">
        <v>6254</v>
      </c>
      <c r="H1848" s="6" t="s">
        <v>6254</v>
      </c>
      <c r="I1848" s="6">
        <v>13.1065285119469</v>
      </c>
      <c r="J1848" s="6" t="s">
        <v>6254</v>
      </c>
      <c r="K1848" s="6" t="s">
        <v>6254</v>
      </c>
      <c r="L1848" s="6">
        <v>12.4591870466488</v>
      </c>
      <c r="M1848" s="6" t="s">
        <v>6254</v>
      </c>
      <c r="N1848" s="6">
        <v>14.5228613068971</v>
      </c>
      <c r="O1848" s="6">
        <v>13.229906345198</v>
      </c>
      <c r="P1848" s="6" t="s">
        <v>6254</v>
      </c>
      <c r="Q1848" s="6" t="s">
        <v>6254</v>
      </c>
    </row>
    <row r="1849" spans="1:17">
      <c r="A1849" s="6" t="s">
        <v>2308</v>
      </c>
      <c r="B1849" s="6" t="s">
        <v>2308</v>
      </c>
      <c r="C1849" s="6" t="s">
        <v>11754</v>
      </c>
      <c r="D1849" s="6" t="s">
        <v>11755</v>
      </c>
      <c r="E1849" s="6" t="s">
        <v>11755</v>
      </c>
      <c r="F1849" s="6">
        <v>13.8053548798005</v>
      </c>
      <c r="G1849" s="6">
        <v>12.9763739866151</v>
      </c>
      <c r="H1849" s="6">
        <v>13.0925852549243</v>
      </c>
      <c r="I1849" s="6">
        <v>14.194342672678699</v>
      </c>
      <c r="J1849" s="6">
        <v>12.6862109789455</v>
      </c>
      <c r="K1849" s="6">
        <v>13.0090662428179</v>
      </c>
      <c r="L1849" s="6">
        <v>13.6460718299153</v>
      </c>
      <c r="M1849" s="6">
        <v>12.1038834326106</v>
      </c>
      <c r="N1849" s="6">
        <v>12.924524693694501</v>
      </c>
      <c r="O1849" s="6">
        <v>13.5975375564402</v>
      </c>
      <c r="P1849" s="6">
        <v>13.192734178553099</v>
      </c>
      <c r="Q1849" s="6">
        <v>12.0906015215275</v>
      </c>
    </row>
    <row r="1850" spans="1:17">
      <c r="A1850" s="6" t="s">
        <v>2877</v>
      </c>
      <c r="B1850" s="6" t="s">
        <v>2879</v>
      </c>
      <c r="C1850" s="6" t="s">
        <v>11756</v>
      </c>
      <c r="D1850" s="6" t="s">
        <v>11757</v>
      </c>
      <c r="E1850" s="6" t="s">
        <v>11758</v>
      </c>
      <c r="F1850" s="6">
        <v>14.0047076039851</v>
      </c>
      <c r="G1850" s="6">
        <v>12.722905021271099</v>
      </c>
      <c r="H1850" s="6">
        <v>12.5705479861325</v>
      </c>
      <c r="I1850" s="6">
        <v>12.7612538150638</v>
      </c>
      <c r="J1850" s="6" t="s">
        <v>6254</v>
      </c>
      <c r="K1850" s="6" t="s">
        <v>6254</v>
      </c>
      <c r="L1850" s="6">
        <v>12.801222464078</v>
      </c>
      <c r="M1850" s="6" t="s">
        <v>6254</v>
      </c>
      <c r="N1850" s="6">
        <v>12.926514036518199</v>
      </c>
      <c r="O1850" s="6" t="s">
        <v>6254</v>
      </c>
      <c r="P1850" s="6" t="s">
        <v>6254</v>
      </c>
      <c r="Q1850" s="6" t="s">
        <v>6254</v>
      </c>
    </row>
    <row r="1851" spans="1:17">
      <c r="A1851" s="6" t="s">
        <v>1986</v>
      </c>
      <c r="B1851" s="6" t="s">
        <v>1986</v>
      </c>
      <c r="C1851" s="6" t="s">
        <v>11759</v>
      </c>
      <c r="D1851" s="6" t="s">
        <v>11760</v>
      </c>
      <c r="E1851" s="6" t="s">
        <v>11760</v>
      </c>
      <c r="F1851" s="6">
        <v>13.349532735504001</v>
      </c>
      <c r="G1851" s="6">
        <v>12.6298863214371</v>
      </c>
      <c r="H1851" s="6">
        <v>12.7929753822403</v>
      </c>
      <c r="I1851" s="6">
        <v>13.880017175720001</v>
      </c>
      <c r="J1851" s="6">
        <v>11.7944952524462</v>
      </c>
      <c r="K1851" s="6">
        <v>12.8882865962326</v>
      </c>
      <c r="L1851" s="6">
        <v>13.6026479211486</v>
      </c>
      <c r="M1851" s="6">
        <v>11.9743414162868</v>
      </c>
      <c r="N1851" s="6">
        <v>13.867511005321401</v>
      </c>
      <c r="O1851" s="6">
        <v>13.4289625757644</v>
      </c>
      <c r="P1851" s="6">
        <v>13.7376330503744</v>
      </c>
      <c r="Q1851" s="6">
        <v>12.1499467791123</v>
      </c>
    </row>
    <row r="1852" spans="1:17">
      <c r="A1852" s="6" t="s">
        <v>11761</v>
      </c>
      <c r="B1852" s="6" t="s">
        <v>11761</v>
      </c>
      <c r="C1852" s="6" t="s">
        <v>11762</v>
      </c>
      <c r="D1852" s="6" t="s">
        <v>11763</v>
      </c>
      <c r="E1852" s="6" t="s">
        <v>11763</v>
      </c>
      <c r="F1852" s="6" t="s">
        <v>6254</v>
      </c>
      <c r="G1852" s="6" t="s">
        <v>6254</v>
      </c>
      <c r="H1852" s="6" t="s">
        <v>6254</v>
      </c>
      <c r="I1852" s="6" t="s">
        <v>6254</v>
      </c>
      <c r="J1852" s="6" t="s">
        <v>6254</v>
      </c>
      <c r="K1852" s="6" t="s">
        <v>6254</v>
      </c>
      <c r="L1852" s="6">
        <v>14.104816503798601</v>
      </c>
      <c r="M1852" s="6" t="s">
        <v>6254</v>
      </c>
      <c r="N1852" s="6">
        <v>14.835117074359999</v>
      </c>
      <c r="O1852" s="6">
        <v>12.147726758336299</v>
      </c>
      <c r="P1852" s="6" t="s">
        <v>6254</v>
      </c>
      <c r="Q1852" s="6" t="s">
        <v>6254</v>
      </c>
    </row>
    <row r="1853" spans="1:17">
      <c r="A1853" s="6" t="s">
        <v>5087</v>
      </c>
      <c r="B1853" s="6" t="s">
        <v>5087</v>
      </c>
      <c r="C1853" s="6" t="s">
        <v>11764</v>
      </c>
      <c r="D1853" s="6" t="s">
        <v>11765</v>
      </c>
      <c r="E1853" s="6" t="s">
        <v>11765</v>
      </c>
      <c r="F1853" s="6">
        <v>13.435598303144801</v>
      </c>
      <c r="G1853" s="6" t="s">
        <v>6254</v>
      </c>
      <c r="H1853" s="6">
        <v>13.4780696176799</v>
      </c>
      <c r="I1853" s="6">
        <v>13.593708464106999</v>
      </c>
      <c r="J1853" s="6">
        <v>11.6500810530172</v>
      </c>
      <c r="K1853" s="6">
        <v>12.5309709838196</v>
      </c>
      <c r="L1853" s="6">
        <v>13.845389915754099</v>
      </c>
      <c r="M1853" s="6">
        <v>12.0150487105397</v>
      </c>
      <c r="N1853" s="6">
        <v>13.1981778373259</v>
      </c>
      <c r="O1853" s="6">
        <v>13.7166103612428</v>
      </c>
      <c r="P1853" s="6">
        <v>12.8295853171372</v>
      </c>
      <c r="Q1853" s="6" t="s">
        <v>6254</v>
      </c>
    </row>
    <row r="1854" spans="1:17">
      <c r="A1854" s="6" t="s">
        <v>11766</v>
      </c>
      <c r="B1854" s="6" t="s">
        <v>11766</v>
      </c>
      <c r="C1854" s="6" t="s">
        <v>11767</v>
      </c>
      <c r="D1854" s="6" t="s">
        <v>11768</v>
      </c>
      <c r="E1854" s="6" t="s">
        <v>11768</v>
      </c>
      <c r="F1854" s="6">
        <v>13.3240898578672</v>
      </c>
      <c r="G1854" s="6" t="s">
        <v>6254</v>
      </c>
      <c r="H1854" s="6" t="s">
        <v>6254</v>
      </c>
      <c r="I1854" s="6">
        <v>13.787924304300001</v>
      </c>
      <c r="J1854" s="6" t="s">
        <v>6254</v>
      </c>
      <c r="K1854" s="6">
        <v>13.342471846346401</v>
      </c>
      <c r="L1854" s="6">
        <v>13.8034330482771</v>
      </c>
      <c r="M1854" s="6" t="s">
        <v>6254</v>
      </c>
      <c r="N1854" s="6" t="s">
        <v>6254</v>
      </c>
      <c r="O1854" s="6">
        <v>13.503994963492501</v>
      </c>
      <c r="P1854" s="6" t="s">
        <v>6254</v>
      </c>
      <c r="Q1854" s="6">
        <v>12.143424169732199</v>
      </c>
    </row>
    <row r="1855" spans="1:17">
      <c r="A1855" s="6" t="s">
        <v>11769</v>
      </c>
      <c r="B1855" s="6" t="s">
        <v>11770</v>
      </c>
      <c r="C1855" s="6" t="s">
        <v>11771</v>
      </c>
      <c r="D1855" s="6" t="s">
        <v>11772</v>
      </c>
      <c r="E1855" s="6" t="s">
        <v>11773</v>
      </c>
      <c r="F1855" s="6" t="s">
        <v>6254</v>
      </c>
      <c r="G1855" s="6" t="s">
        <v>6254</v>
      </c>
      <c r="H1855" s="6">
        <v>13.1270111801478</v>
      </c>
      <c r="I1855" s="6">
        <v>14.4142315673834</v>
      </c>
      <c r="J1855" s="6">
        <v>12.640514090875699</v>
      </c>
      <c r="K1855" s="6">
        <v>13.284979431630299</v>
      </c>
      <c r="L1855" s="6">
        <v>13.688331640063099</v>
      </c>
      <c r="M1855" s="6">
        <v>12.2194243494591</v>
      </c>
      <c r="N1855" s="6">
        <v>13.325028017826201</v>
      </c>
      <c r="O1855" s="6" t="s">
        <v>6254</v>
      </c>
      <c r="P1855" s="6" t="s">
        <v>6254</v>
      </c>
      <c r="Q1855" s="6" t="s">
        <v>6254</v>
      </c>
    </row>
    <row r="1856" spans="1:17">
      <c r="A1856" s="6" t="s">
        <v>5112</v>
      </c>
      <c r="B1856" s="6" t="s">
        <v>5112</v>
      </c>
      <c r="C1856" s="6" t="s">
        <v>11774</v>
      </c>
      <c r="D1856" s="6" t="s">
        <v>11775</v>
      </c>
      <c r="E1856" s="6" t="s">
        <v>11775</v>
      </c>
      <c r="F1856" s="6">
        <v>13.529664254965899</v>
      </c>
      <c r="G1856" s="6" t="s">
        <v>6254</v>
      </c>
      <c r="H1856" s="6">
        <v>13.4734167580192</v>
      </c>
      <c r="I1856" s="6">
        <v>13.886802272509399</v>
      </c>
      <c r="J1856" s="6" t="s">
        <v>6254</v>
      </c>
      <c r="K1856" s="6">
        <v>12.1776147506885</v>
      </c>
      <c r="L1856" s="6">
        <v>13.2907882465003</v>
      </c>
      <c r="M1856" s="6" t="s">
        <v>6254</v>
      </c>
      <c r="N1856" s="6">
        <v>12.531504281935099</v>
      </c>
      <c r="O1856" s="6">
        <v>13.628697615593399</v>
      </c>
      <c r="P1856" s="6">
        <v>13.7997038674209</v>
      </c>
      <c r="Q1856" s="6" t="s">
        <v>6254</v>
      </c>
    </row>
    <row r="1857" spans="1:17">
      <c r="A1857" s="6" t="s">
        <v>11776</v>
      </c>
      <c r="B1857" s="6" t="s">
        <v>11777</v>
      </c>
      <c r="C1857" s="6" t="s">
        <v>11778</v>
      </c>
      <c r="D1857" s="6" t="s">
        <v>11779</v>
      </c>
      <c r="E1857" s="6" t="s">
        <v>11780</v>
      </c>
      <c r="F1857" s="6">
        <v>13.753454429255701</v>
      </c>
      <c r="G1857" s="6">
        <v>10.873736282002</v>
      </c>
      <c r="H1857" s="6">
        <v>13.621400730274701</v>
      </c>
      <c r="I1857" s="6">
        <v>14.257732687530799</v>
      </c>
      <c r="J1857" s="6" t="s">
        <v>6254</v>
      </c>
      <c r="K1857" s="6">
        <v>13.553367629337499</v>
      </c>
      <c r="L1857" s="6" t="s">
        <v>6254</v>
      </c>
      <c r="M1857" s="6" t="s">
        <v>6254</v>
      </c>
      <c r="N1857" s="6">
        <v>12.017765614286301</v>
      </c>
      <c r="O1857" s="6">
        <v>13.623010636250299</v>
      </c>
      <c r="P1857" s="6">
        <v>13.542477300691401</v>
      </c>
      <c r="Q1857" s="6" t="s">
        <v>6254</v>
      </c>
    </row>
    <row r="1858" spans="1:17">
      <c r="A1858" s="6" t="s">
        <v>11781</v>
      </c>
      <c r="B1858" s="6" t="s">
        <v>11782</v>
      </c>
      <c r="C1858" s="6" t="s">
        <v>11783</v>
      </c>
      <c r="D1858" s="6" t="s">
        <v>11784</v>
      </c>
      <c r="E1858" s="6" t="s">
        <v>11785</v>
      </c>
      <c r="F1858" s="6">
        <v>13.667110373314101</v>
      </c>
      <c r="G1858" s="6" t="s">
        <v>6254</v>
      </c>
      <c r="H1858" s="6">
        <v>13.2517508420393</v>
      </c>
      <c r="I1858" s="6">
        <v>13.473167274664901</v>
      </c>
      <c r="J1858" s="6" t="s">
        <v>6254</v>
      </c>
      <c r="K1858" s="6">
        <v>12.541959123955699</v>
      </c>
      <c r="L1858" s="6">
        <v>13.1152166527208</v>
      </c>
      <c r="M1858" s="6">
        <v>13.192582324844</v>
      </c>
      <c r="N1858" s="6" t="s">
        <v>6254</v>
      </c>
      <c r="O1858" s="6">
        <v>13.622186063694301</v>
      </c>
      <c r="P1858" s="6">
        <v>13.538793223914301</v>
      </c>
      <c r="Q1858" s="6" t="s">
        <v>6254</v>
      </c>
    </row>
    <row r="1859" spans="1:17">
      <c r="A1859" s="6" t="s">
        <v>4888</v>
      </c>
      <c r="B1859" s="6" t="s">
        <v>4888</v>
      </c>
      <c r="C1859" s="6" t="s">
        <v>11786</v>
      </c>
      <c r="D1859" s="6" t="s">
        <v>11787</v>
      </c>
      <c r="E1859" s="6" t="s">
        <v>11787</v>
      </c>
      <c r="F1859" s="6">
        <v>12.870950166192801</v>
      </c>
      <c r="G1859" s="6">
        <v>13.0153591045796</v>
      </c>
      <c r="H1859" s="6" t="s">
        <v>6254</v>
      </c>
      <c r="I1859" s="6">
        <v>13.8824460366745</v>
      </c>
      <c r="J1859" s="6">
        <v>12.226269484055999</v>
      </c>
      <c r="K1859" s="6" t="s">
        <v>6254</v>
      </c>
      <c r="L1859" s="6">
        <v>14.3628659185222</v>
      </c>
      <c r="M1859" s="6" t="s">
        <v>6254</v>
      </c>
      <c r="N1859" s="6">
        <v>13.065574607121601</v>
      </c>
      <c r="O1859" s="6">
        <v>13.5254830914373</v>
      </c>
      <c r="P1859" s="6">
        <v>13.2771173327012</v>
      </c>
      <c r="Q1859" s="6" t="s">
        <v>6254</v>
      </c>
    </row>
    <row r="1860" spans="1:17">
      <c r="A1860" s="6" t="s">
        <v>4781</v>
      </c>
      <c r="B1860" s="6" t="s">
        <v>4781</v>
      </c>
      <c r="C1860" s="6" t="s">
        <v>11788</v>
      </c>
      <c r="D1860" s="6" t="s">
        <v>11789</v>
      </c>
      <c r="E1860" s="6" t="s">
        <v>11789</v>
      </c>
      <c r="F1860" s="6">
        <v>13.6019882173811</v>
      </c>
      <c r="G1860" s="6">
        <v>11.5552283846145</v>
      </c>
      <c r="H1860" s="6" t="s">
        <v>6254</v>
      </c>
      <c r="I1860" s="6">
        <v>13.8373078284108</v>
      </c>
      <c r="J1860" s="6" t="s">
        <v>6254</v>
      </c>
      <c r="K1860" s="6" t="s">
        <v>6254</v>
      </c>
      <c r="L1860" s="6">
        <v>13.875401515623199</v>
      </c>
      <c r="M1860" s="6" t="s">
        <v>6254</v>
      </c>
      <c r="N1860" s="6">
        <v>13.294793474733799</v>
      </c>
      <c r="O1860" s="6">
        <v>13.939720843534401</v>
      </c>
      <c r="P1860" s="6">
        <v>12.6797981211257</v>
      </c>
      <c r="Q1860" s="6" t="s">
        <v>6254</v>
      </c>
    </row>
    <row r="1861" spans="1:17">
      <c r="A1861" s="6" t="s">
        <v>11790</v>
      </c>
      <c r="B1861" s="6" t="s">
        <v>11790</v>
      </c>
      <c r="C1861" s="6" t="s">
        <v>11791</v>
      </c>
      <c r="D1861" s="6" t="s">
        <v>11792</v>
      </c>
      <c r="E1861" s="6" t="s">
        <v>11792</v>
      </c>
      <c r="F1861" s="6">
        <v>13.705334041385001</v>
      </c>
      <c r="G1861" s="6">
        <v>12.5121706086129</v>
      </c>
      <c r="H1861" s="6">
        <v>13.2359673735707</v>
      </c>
      <c r="I1861" s="6">
        <v>13.8245175571152</v>
      </c>
      <c r="J1861" s="6">
        <v>12.62098656641</v>
      </c>
      <c r="K1861" s="6">
        <v>12.425471864435901</v>
      </c>
      <c r="L1861" s="6">
        <v>13.8644704063988</v>
      </c>
      <c r="M1861" s="6">
        <v>11.887350400103299</v>
      </c>
      <c r="N1861" s="6">
        <v>13.2342567325452</v>
      </c>
      <c r="O1861" s="6">
        <v>13.398157720290101</v>
      </c>
      <c r="P1861" s="6">
        <v>13.452521823198399</v>
      </c>
      <c r="Q1861" s="6" t="s">
        <v>6254</v>
      </c>
    </row>
    <row r="1862" spans="1:17">
      <c r="A1862" s="6" t="s">
        <v>11793</v>
      </c>
      <c r="B1862" s="6" t="s">
        <v>11794</v>
      </c>
      <c r="C1862" s="6" t="s">
        <v>11795</v>
      </c>
      <c r="D1862" s="6" t="s">
        <v>11796</v>
      </c>
      <c r="E1862" s="6" t="s">
        <v>11797</v>
      </c>
      <c r="F1862" s="6">
        <v>13.519656001633701</v>
      </c>
      <c r="G1862" s="6">
        <v>13.302841453680401</v>
      </c>
      <c r="H1862" s="6">
        <v>13.286165012760501</v>
      </c>
      <c r="I1862" s="6">
        <v>13.595453858200401</v>
      </c>
      <c r="J1862" s="6">
        <v>12.176564206008001</v>
      </c>
      <c r="K1862" s="6">
        <v>12.8087628038568</v>
      </c>
      <c r="L1862" s="6">
        <v>13.932444668757499</v>
      </c>
      <c r="M1862" s="6">
        <v>12.4013444270358</v>
      </c>
      <c r="N1862" s="6">
        <v>13.298528458559799</v>
      </c>
      <c r="O1862" s="6">
        <v>13.1449614966425</v>
      </c>
      <c r="P1862" s="6">
        <v>13.032502720501601</v>
      </c>
      <c r="Q1862" s="6" t="s">
        <v>6254</v>
      </c>
    </row>
    <row r="1863" spans="1:17">
      <c r="A1863" s="6" t="s">
        <v>11798</v>
      </c>
      <c r="B1863" s="6" t="s">
        <v>11799</v>
      </c>
      <c r="C1863" s="6" t="s">
        <v>11800</v>
      </c>
      <c r="D1863" s="6" t="s">
        <v>11801</v>
      </c>
      <c r="E1863" s="6" t="s">
        <v>11802</v>
      </c>
      <c r="F1863" s="6" t="s">
        <v>6254</v>
      </c>
      <c r="G1863" s="6" t="s">
        <v>6254</v>
      </c>
      <c r="H1863" s="6" t="s">
        <v>6254</v>
      </c>
      <c r="I1863" s="6" t="s">
        <v>6254</v>
      </c>
      <c r="J1863" s="6" t="s">
        <v>6254</v>
      </c>
      <c r="K1863" s="6" t="s">
        <v>6254</v>
      </c>
      <c r="L1863" s="6">
        <v>13.206621611199299</v>
      </c>
      <c r="M1863" s="6" t="s">
        <v>6254</v>
      </c>
      <c r="N1863" s="6" t="s">
        <v>6254</v>
      </c>
      <c r="O1863" s="6" t="s">
        <v>6254</v>
      </c>
      <c r="P1863" s="6" t="s">
        <v>6254</v>
      </c>
      <c r="Q1863" s="6" t="s">
        <v>6254</v>
      </c>
    </row>
    <row r="1864" spans="1:17">
      <c r="A1864" s="6" t="s">
        <v>11803</v>
      </c>
      <c r="B1864" s="6" t="s">
        <v>11804</v>
      </c>
      <c r="C1864" s="6" t="s">
        <v>11805</v>
      </c>
      <c r="D1864" s="6" t="s">
        <v>11806</v>
      </c>
      <c r="E1864" s="6" t="s">
        <v>11807</v>
      </c>
      <c r="F1864" s="6">
        <v>13.185773164357499</v>
      </c>
      <c r="G1864" s="6">
        <v>12.7147648400021</v>
      </c>
      <c r="H1864" s="6">
        <v>12.6109690982163</v>
      </c>
      <c r="I1864" s="6">
        <v>14.091040656443999</v>
      </c>
      <c r="J1864" s="6" t="s">
        <v>6254</v>
      </c>
      <c r="K1864" s="6">
        <v>13.3728990990145</v>
      </c>
      <c r="L1864" s="6">
        <v>13.658487364744801</v>
      </c>
      <c r="M1864" s="6" t="s">
        <v>6254</v>
      </c>
      <c r="N1864" s="6" t="s">
        <v>6254</v>
      </c>
      <c r="O1864" s="6">
        <v>13.5813019097537</v>
      </c>
      <c r="P1864" s="6">
        <v>13.545195336239701</v>
      </c>
      <c r="Q1864" s="6" t="s">
        <v>6254</v>
      </c>
    </row>
    <row r="1865" spans="1:17">
      <c r="A1865" s="6" t="s">
        <v>11808</v>
      </c>
      <c r="B1865" s="6" t="s">
        <v>11808</v>
      </c>
      <c r="C1865" s="6" t="s">
        <v>11809</v>
      </c>
      <c r="D1865" s="6" t="s">
        <v>11810</v>
      </c>
      <c r="E1865" s="6" t="s">
        <v>11810</v>
      </c>
      <c r="F1865" s="6" t="s">
        <v>6254</v>
      </c>
      <c r="G1865" s="6" t="s">
        <v>6254</v>
      </c>
      <c r="H1865" s="6" t="s">
        <v>6254</v>
      </c>
      <c r="I1865" s="6">
        <v>13.7740464115805</v>
      </c>
      <c r="J1865" s="6" t="s">
        <v>6254</v>
      </c>
      <c r="K1865" s="6" t="s">
        <v>6254</v>
      </c>
      <c r="L1865" s="6" t="s">
        <v>6254</v>
      </c>
      <c r="M1865" s="6" t="s">
        <v>6254</v>
      </c>
      <c r="N1865" s="6" t="s">
        <v>6254</v>
      </c>
      <c r="O1865" s="6" t="s">
        <v>6254</v>
      </c>
      <c r="P1865" s="6">
        <v>14.1660776866612</v>
      </c>
      <c r="Q1865" s="6" t="s">
        <v>6254</v>
      </c>
    </row>
    <row r="1866" spans="1:17">
      <c r="A1866" s="6" t="s">
        <v>11811</v>
      </c>
      <c r="B1866" s="6" t="s">
        <v>11811</v>
      </c>
      <c r="C1866" s="6" t="s">
        <v>11812</v>
      </c>
      <c r="D1866" s="6" t="s">
        <v>11813</v>
      </c>
      <c r="E1866" s="6" t="s">
        <v>11813</v>
      </c>
      <c r="F1866" s="6">
        <v>14.373327997001301</v>
      </c>
      <c r="G1866" s="6">
        <v>12.6908003233633</v>
      </c>
      <c r="H1866" s="6">
        <v>12.728077689548799</v>
      </c>
      <c r="I1866" s="6">
        <v>13.6957072726211</v>
      </c>
      <c r="J1866" s="6">
        <v>12.3272961788425</v>
      </c>
      <c r="K1866" s="6">
        <v>13.067404904104</v>
      </c>
      <c r="L1866" s="6">
        <v>13.4321560446802</v>
      </c>
      <c r="M1866" s="6">
        <v>12.0974339085426</v>
      </c>
      <c r="N1866" s="6">
        <v>15.265837630652699</v>
      </c>
      <c r="O1866" s="6">
        <v>13.076266962417099</v>
      </c>
      <c r="P1866" s="6">
        <v>13.005729498793899</v>
      </c>
      <c r="Q1866" s="6">
        <v>11.5035614529613</v>
      </c>
    </row>
    <row r="1867" spans="1:17">
      <c r="A1867" s="6" t="s">
        <v>4070</v>
      </c>
      <c r="B1867" s="6" t="s">
        <v>4070</v>
      </c>
      <c r="C1867" s="6" t="s">
        <v>11814</v>
      </c>
      <c r="D1867" s="6" t="s">
        <v>11815</v>
      </c>
      <c r="E1867" s="6" t="s">
        <v>11815</v>
      </c>
      <c r="F1867" s="6">
        <v>13.443777994288</v>
      </c>
      <c r="G1867" s="6">
        <v>12.5908746575351</v>
      </c>
      <c r="H1867" s="6">
        <v>12.606480562093999</v>
      </c>
      <c r="I1867" s="6">
        <v>13.5891343945476</v>
      </c>
      <c r="J1867" s="6" t="s">
        <v>6254</v>
      </c>
      <c r="K1867" s="6">
        <v>12.934119698362901</v>
      </c>
      <c r="L1867" s="6">
        <v>13.652675863293</v>
      </c>
      <c r="M1867" s="6" t="s">
        <v>6254</v>
      </c>
      <c r="N1867" s="6">
        <v>13.329339260019999</v>
      </c>
      <c r="O1867" s="6">
        <v>13.533426241453601</v>
      </c>
      <c r="P1867" s="6">
        <v>13.397218125436201</v>
      </c>
      <c r="Q1867" s="6" t="s">
        <v>6254</v>
      </c>
    </row>
    <row r="1868" spans="1:17">
      <c r="A1868" s="6" t="s">
        <v>11816</v>
      </c>
      <c r="B1868" s="6" t="s">
        <v>11817</v>
      </c>
      <c r="C1868" s="6" t="s">
        <v>11818</v>
      </c>
      <c r="D1868" s="6" t="s">
        <v>11819</v>
      </c>
      <c r="E1868" s="6" t="s">
        <v>11820</v>
      </c>
      <c r="F1868" s="6" t="s">
        <v>6254</v>
      </c>
      <c r="G1868" s="6">
        <v>13.1055943090408</v>
      </c>
      <c r="H1868" s="6" t="s">
        <v>6254</v>
      </c>
      <c r="I1868" s="6">
        <v>14.9237368281002</v>
      </c>
      <c r="J1868" s="6">
        <v>13.476277145692499</v>
      </c>
      <c r="K1868" s="6">
        <v>9.4466152706650792</v>
      </c>
      <c r="L1868" s="6" t="s">
        <v>6254</v>
      </c>
      <c r="M1868" s="6">
        <v>13.2790468718391</v>
      </c>
      <c r="N1868" s="6">
        <v>13.904720145233</v>
      </c>
      <c r="O1868" s="6" t="s">
        <v>6254</v>
      </c>
      <c r="P1868" s="6">
        <v>14.165311863647</v>
      </c>
      <c r="Q1868" s="6" t="s">
        <v>6254</v>
      </c>
    </row>
    <row r="1869" spans="1:17">
      <c r="A1869" s="6" t="s">
        <v>11821</v>
      </c>
      <c r="B1869" s="6" t="s">
        <v>11822</v>
      </c>
      <c r="C1869" s="6" t="s">
        <v>11823</v>
      </c>
      <c r="D1869" s="6" t="s">
        <v>11824</v>
      </c>
      <c r="E1869" s="6" t="s">
        <v>11825</v>
      </c>
      <c r="F1869" s="6">
        <v>13.156727663615399</v>
      </c>
      <c r="G1869" s="6">
        <v>13.441570602675901</v>
      </c>
      <c r="H1869" s="6">
        <v>13.2464154441227</v>
      </c>
      <c r="I1869" s="6">
        <v>13.378699297325801</v>
      </c>
      <c r="J1869" s="6">
        <v>12.3145463992557</v>
      </c>
      <c r="K1869" s="6">
        <v>13.3735143156081</v>
      </c>
      <c r="L1869" s="6">
        <v>13.852201283782399</v>
      </c>
      <c r="M1869" s="6">
        <v>11.9313585256776</v>
      </c>
      <c r="N1869" s="6" t="s">
        <v>6254</v>
      </c>
      <c r="O1869" s="6">
        <v>13.2192862052612</v>
      </c>
      <c r="P1869" s="6">
        <v>13.4346361369854</v>
      </c>
      <c r="Q1869" s="6" t="s">
        <v>6254</v>
      </c>
    </row>
    <row r="1870" spans="1:17">
      <c r="A1870" s="6" t="s">
        <v>11826</v>
      </c>
      <c r="B1870" s="6" t="s">
        <v>11827</v>
      </c>
      <c r="C1870" s="6" t="s">
        <v>11828</v>
      </c>
      <c r="D1870" s="6" t="s">
        <v>11829</v>
      </c>
      <c r="E1870" s="6" t="s">
        <v>11830</v>
      </c>
      <c r="F1870" s="6">
        <v>13.3460308222664</v>
      </c>
      <c r="G1870" s="6">
        <v>12.580734124337701</v>
      </c>
      <c r="H1870" s="6">
        <v>13.265539300540199</v>
      </c>
      <c r="I1870" s="6">
        <v>13.8478342050243</v>
      </c>
      <c r="J1870" s="6">
        <v>12.0536004938515</v>
      </c>
      <c r="K1870" s="6">
        <v>12.8799493715204</v>
      </c>
      <c r="L1870" s="6">
        <v>13.7023173758092</v>
      </c>
      <c r="M1870" s="6">
        <v>12.383043018111501</v>
      </c>
      <c r="N1870" s="6">
        <v>13.1510283655054</v>
      </c>
      <c r="O1870" s="6">
        <v>13.475751950806</v>
      </c>
      <c r="P1870" s="6">
        <v>13.6187395913883</v>
      </c>
      <c r="Q1870" s="6">
        <v>11.3268082574281</v>
      </c>
    </row>
    <row r="1871" spans="1:17">
      <c r="A1871" s="6" t="s">
        <v>5567</v>
      </c>
      <c r="B1871" s="6" t="s">
        <v>5567</v>
      </c>
      <c r="C1871" s="6" t="s">
        <v>11831</v>
      </c>
      <c r="D1871" s="6" t="s">
        <v>11832</v>
      </c>
      <c r="E1871" s="6" t="s">
        <v>11832</v>
      </c>
      <c r="F1871" s="6">
        <v>13.4093229512688</v>
      </c>
      <c r="G1871" s="6">
        <v>13.2228419944172</v>
      </c>
      <c r="H1871" s="6">
        <v>13.2261769779112</v>
      </c>
      <c r="I1871" s="6">
        <v>13.9801753970089</v>
      </c>
      <c r="J1871" s="6">
        <v>12.2752834573317</v>
      </c>
      <c r="K1871" s="6">
        <v>13.1363639726095</v>
      </c>
      <c r="L1871" s="6">
        <v>13.4505145139735</v>
      </c>
      <c r="M1871" s="6">
        <v>11.7223933170997</v>
      </c>
      <c r="N1871" s="6">
        <v>11.715486674315301</v>
      </c>
      <c r="O1871" s="6">
        <v>13.1662339081065</v>
      </c>
      <c r="P1871" s="6">
        <v>13.5300229730788</v>
      </c>
      <c r="Q1871" s="6">
        <v>11.944985731343801</v>
      </c>
    </row>
    <row r="1872" spans="1:17">
      <c r="A1872" s="6" t="s">
        <v>11833</v>
      </c>
      <c r="B1872" s="6" t="s">
        <v>11834</v>
      </c>
      <c r="C1872" s="6" t="s">
        <v>11835</v>
      </c>
      <c r="D1872" s="6" t="s">
        <v>11836</v>
      </c>
      <c r="E1872" s="6" t="s">
        <v>11837</v>
      </c>
      <c r="F1872" s="6">
        <v>13.513824181816201</v>
      </c>
      <c r="G1872" s="6" t="s">
        <v>6254</v>
      </c>
      <c r="H1872" s="6">
        <v>13.124677510238399</v>
      </c>
      <c r="I1872" s="6">
        <v>14.0800079793643</v>
      </c>
      <c r="J1872" s="6" t="s">
        <v>6254</v>
      </c>
      <c r="K1872" s="6">
        <v>12.78118458788</v>
      </c>
      <c r="L1872" s="6">
        <v>13.452970365260301</v>
      </c>
      <c r="M1872" s="6">
        <v>12.4137941133756</v>
      </c>
      <c r="N1872" s="6" t="s">
        <v>6254</v>
      </c>
      <c r="O1872" s="6">
        <v>13.3667795647519</v>
      </c>
      <c r="P1872" s="6">
        <v>13.312452611110199</v>
      </c>
      <c r="Q1872" s="6" t="s">
        <v>6254</v>
      </c>
    </row>
    <row r="1873" spans="1:17">
      <c r="A1873" s="6" t="s">
        <v>11838</v>
      </c>
      <c r="B1873" s="6" t="s">
        <v>11838</v>
      </c>
      <c r="C1873" s="6" t="s">
        <v>11839</v>
      </c>
      <c r="D1873" s="6" t="s">
        <v>11840</v>
      </c>
      <c r="E1873" s="6" t="s">
        <v>11840</v>
      </c>
      <c r="F1873" s="6" t="s">
        <v>6254</v>
      </c>
      <c r="G1873" s="6">
        <v>12.8364061374344</v>
      </c>
      <c r="H1873" s="6" t="s">
        <v>6254</v>
      </c>
      <c r="I1873" s="6">
        <v>13.278766222286</v>
      </c>
      <c r="J1873" s="6">
        <v>12.4339197345668</v>
      </c>
      <c r="K1873" s="6" t="s">
        <v>6254</v>
      </c>
      <c r="L1873" s="6">
        <v>13.391106588252899</v>
      </c>
      <c r="M1873" s="6" t="s">
        <v>6254</v>
      </c>
      <c r="N1873" s="6" t="s">
        <v>6254</v>
      </c>
      <c r="O1873" s="6" t="s">
        <v>6254</v>
      </c>
      <c r="P1873" s="6">
        <v>12.7611571915204</v>
      </c>
      <c r="Q1873" s="6" t="s">
        <v>6254</v>
      </c>
    </row>
    <row r="1874" spans="1:17">
      <c r="A1874" s="6" t="s">
        <v>11841</v>
      </c>
      <c r="B1874" s="6" t="s">
        <v>11841</v>
      </c>
      <c r="C1874" s="6" t="s">
        <v>11841</v>
      </c>
      <c r="D1874" s="6" t="s">
        <v>11841</v>
      </c>
      <c r="E1874" s="6" t="s">
        <v>11841</v>
      </c>
      <c r="F1874" s="6">
        <v>14.2413050887472</v>
      </c>
      <c r="G1874" s="6">
        <v>13.2726873735435</v>
      </c>
      <c r="H1874" s="6" t="s">
        <v>6254</v>
      </c>
      <c r="I1874" s="6">
        <v>12.8135370419735</v>
      </c>
      <c r="J1874" s="6">
        <v>13.6259645058408</v>
      </c>
      <c r="K1874" s="6" t="s">
        <v>6254</v>
      </c>
      <c r="L1874" s="6">
        <v>13.8302918978095</v>
      </c>
      <c r="M1874" s="6" t="s">
        <v>6254</v>
      </c>
      <c r="N1874" s="6" t="s">
        <v>6254</v>
      </c>
      <c r="O1874" s="6" t="s">
        <v>6254</v>
      </c>
      <c r="P1874" s="6" t="s">
        <v>6254</v>
      </c>
      <c r="Q1874" s="6">
        <v>10.9023395505747</v>
      </c>
    </row>
    <row r="1875" spans="1:17">
      <c r="A1875" s="6" t="s">
        <v>11842</v>
      </c>
      <c r="B1875" s="6" t="s">
        <v>11842</v>
      </c>
      <c r="C1875" s="6" t="s">
        <v>11843</v>
      </c>
      <c r="D1875" s="6" t="s">
        <v>11844</v>
      </c>
      <c r="E1875" s="6" t="s">
        <v>11844</v>
      </c>
      <c r="F1875" s="6">
        <v>14.144027015706699</v>
      </c>
      <c r="G1875" s="6">
        <v>13.4699416675255</v>
      </c>
      <c r="H1875" s="6">
        <v>12.622586250340801</v>
      </c>
      <c r="I1875" s="6">
        <v>13.6591030435177</v>
      </c>
      <c r="J1875" s="6">
        <v>12.336880213735199</v>
      </c>
      <c r="K1875" s="6">
        <v>12.612857825107101</v>
      </c>
      <c r="L1875" s="6">
        <v>13.700181004724399</v>
      </c>
      <c r="M1875" s="6">
        <v>12.739253320448499</v>
      </c>
      <c r="N1875" s="6">
        <v>13.0754091754707</v>
      </c>
      <c r="O1875" s="6">
        <v>13.7562393292846</v>
      </c>
      <c r="P1875" s="6">
        <v>13.1864558780499</v>
      </c>
      <c r="Q1875" s="6">
        <v>11.257013546329899</v>
      </c>
    </row>
    <row r="1876" spans="1:17">
      <c r="A1876" s="6" t="s">
        <v>11845</v>
      </c>
      <c r="B1876" s="6" t="s">
        <v>11845</v>
      </c>
      <c r="C1876" s="6" t="s">
        <v>11846</v>
      </c>
      <c r="D1876" s="6" t="s">
        <v>11847</v>
      </c>
      <c r="E1876" s="6" t="s">
        <v>11847</v>
      </c>
      <c r="F1876" s="6">
        <v>13.4740276491722</v>
      </c>
      <c r="G1876" s="6">
        <v>13.2429137548065</v>
      </c>
      <c r="H1876" s="6">
        <v>13.4725323951942</v>
      </c>
      <c r="I1876" s="6">
        <v>13.5568873623893</v>
      </c>
      <c r="J1876" s="6">
        <v>12.226206823858501</v>
      </c>
      <c r="K1876" s="6">
        <v>12.576513883958899</v>
      </c>
      <c r="L1876" s="6">
        <v>14.1337203090608</v>
      </c>
      <c r="M1876" s="6">
        <v>12.578291348301301</v>
      </c>
      <c r="N1876" s="6">
        <v>13.2153809769452</v>
      </c>
      <c r="O1876" s="6">
        <v>13.179791227287399</v>
      </c>
      <c r="P1876" s="6">
        <v>12.4037727997337</v>
      </c>
      <c r="Q1876" s="6" t="s">
        <v>6254</v>
      </c>
    </row>
    <row r="1877" spans="1:17">
      <c r="A1877" s="6" t="s">
        <v>2902</v>
      </c>
      <c r="B1877" s="6" t="s">
        <v>2902</v>
      </c>
      <c r="C1877" s="6" t="s">
        <v>11848</v>
      </c>
      <c r="D1877" s="6" t="s">
        <v>11849</v>
      </c>
      <c r="E1877" s="6" t="s">
        <v>11849</v>
      </c>
      <c r="F1877" s="6">
        <v>13.957629038368999</v>
      </c>
      <c r="G1877" s="6">
        <v>12.960768756571399</v>
      </c>
      <c r="H1877" s="6">
        <v>12.928900499058599</v>
      </c>
      <c r="I1877" s="6">
        <v>14.0643267411244</v>
      </c>
      <c r="J1877" s="6">
        <v>12.298851520301</v>
      </c>
      <c r="K1877" s="6">
        <v>12.9734505832074</v>
      </c>
      <c r="L1877" s="6">
        <v>13.545201570279399</v>
      </c>
      <c r="M1877" s="6">
        <v>12.216979115622401</v>
      </c>
      <c r="N1877" s="6">
        <v>12.520418513071601</v>
      </c>
      <c r="O1877" s="6">
        <v>13.5861881207652</v>
      </c>
      <c r="P1877" s="6">
        <v>13.7548771000355</v>
      </c>
      <c r="Q1877" s="6">
        <v>11.7748507976287</v>
      </c>
    </row>
    <row r="1878" spans="1:17">
      <c r="A1878" s="6" t="s">
        <v>6191</v>
      </c>
      <c r="B1878" s="6" t="s">
        <v>6191</v>
      </c>
      <c r="C1878" s="6" t="s">
        <v>11850</v>
      </c>
      <c r="D1878" s="6" t="s">
        <v>11851</v>
      </c>
      <c r="E1878" s="6" t="s">
        <v>11851</v>
      </c>
      <c r="F1878" s="6" t="s">
        <v>6254</v>
      </c>
      <c r="G1878" s="6">
        <v>12.892970395744401</v>
      </c>
      <c r="H1878" s="6">
        <v>12.7936028272575</v>
      </c>
      <c r="I1878" s="6">
        <v>13.093372417802099</v>
      </c>
      <c r="J1878" s="6" t="s">
        <v>6254</v>
      </c>
      <c r="K1878" s="6" t="s">
        <v>6254</v>
      </c>
      <c r="L1878" s="6">
        <v>13.5000035185769</v>
      </c>
      <c r="M1878" s="6" t="s">
        <v>6254</v>
      </c>
      <c r="N1878" s="6">
        <v>13.1109181693423</v>
      </c>
      <c r="O1878" s="6">
        <v>13.2778688077246</v>
      </c>
      <c r="P1878" s="6" t="s">
        <v>6254</v>
      </c>
      <c r="Q1878" s="6" t="s">
        <v>6254</v>
      </c>
    </row>
    <row r="1879" spans="1:17">
      <c r="A1879" s="6" t="s">
        <v>11852</v>
      </c>
      <c r="B1879" s="6" t="s">
        <v>11853</v>
      </c>
      <c r="C1879" s="6" t="s">
        <v>11854</v>
      </c>
      <c r="D1879" s="6" t="s">
        <v>11855</v>
      </c>
      <c r="E1879" s="6" t="s">
        <v>11856</v>
      </c>
      <c r="F1879" s="6">
        <v>12.8265240427067</v>
      </c>
      <c r="G1879" s="6">
        <v>12.5815819853104</v>
      </c>
      <c r="H1879" s="6" t="s">
        <v>6254</v>
      </c>
      <c r="I1879" s="6">
        <v>13.301032652672101</v>
      </c>
      <c r="J1879" s="6" t="s">
        <v>6254</v>
      </c>
      <c r="K1879" s="6" t="s">
        <v>6254</v>
      </c>
      <c r="L1879" s="6">
        <v>13.136765369687099</v>
      </c>
      <c r="M1879" s="6" t="s">
        <v>6254</v>
      </c>
      <c r="N1879" s="6" t="s">
        <v>6254</v>
      </c>
      <c r="O1879" s="6">
        <v>13.6190306674734</v>
      </c>
      <c r="P1879" s="6">
        <v>13.599121834123</v>
      </c>
      <c r="Q1879" s="6" t="s">
        <v>6254</v>
      </c>
    </row>
    <row r="1880" spans="1:17">
      <c r="A1880" s="6" t="s">
        <v>11857</v>
      </c>
      <c r="B1880" s="6" t="s">
        <v>11858</v>
      </c>
      <c r="C1880" s="6" t="s">
        <v>11859</v>
      </c>
      <c r="D1880" s="6" t="s">
        <v>11860</v>
      </c>
      <c r="E1880" s="6" t="s">
        <v>11861</v>
      </c>
      <c r="F1880" s="6">
        <v>13.939449302648599</v>
      </c>
      <c r="G1880" s="6">
        <v>12.8524026429413</v>
      </c>
      <c r="H1880" s="6">
        <v>13.1071317101053</v>
      </c>
      <c r="I1880" s="6">
        <v>13.7547630250032</v>
      </c>
      <c r="J1880" s="6">
        <v>12.717357259940901</v>
      </c>
      <c r="K1880" s="6">
        <v>12.9555351162664</v>
      </c>
      <c r="L1880" s="6">
        <v>13.5258143085959</v>
      </c>
      <c r="M1880" s="6" t="s">
        <v>6254</v>
      </c>
      <c r="N1880" s="6">
        <v>13.241467539517</v>
      </c>
      <c r="O1880" s="6">
        <v>13.2001727717752</v>
      </c>
      <c r="P1880" s="6">
        <v>13.4943501781698</v>
      </c>
      <c r="Q1880" s="6">
        <v>10.7343997880612</v>
      </c>
    </row>
    <row r="1881" spans="1:17">
      <c r="A1881" s="6" t="s">
        <v>11862</v>
      </c>
      <c r="B1881" s="6" t="s">
        <v>3630</v>
      </c>
      <c r="C1881" s="6" t="s">
        <v>11863</v>
      </c>
      <c r="D1881" s="6" t="s">
        <v>11864</v>
      </c>
      <c r="E1881" s="6" t="s">
        <v>11865</v>
      </c>
      <c r="F1881" s="6">
        <v>13.333313040717901</v>
      </c>
      <c r="G1881" s="6">
        <v>12.9823254288406</v>
      </c>
      <c r="H1881" s="6">
        <v>13.216489247242199</v>
      </c>
      <c r="I1881" s="6">
        <v>13.2980383595067</v>
      </c>
      <c r="J1881" s="6">
        <v>11.9663316036895</v>
      </c>
      <c r="K1881" s="6">
        <v>12.7944214887636</v>
      </c>
      <c r="L1881" s="6">
        <v>13.9863979785786</v>
      </c>
      <c r="M1881" s="6">
        <v>11.5631556862248</v>
      </c>
      <c r="N1881" s="6">
        <v>13.2590434575465</v>
      </c>
      <c r="O1881" s="6">
        <v>13.8320700165037</v>
      </c>
      <c r="P1881" s="6">
        <v>13.523050845626599</v>
      </c>
      <c r="Q1881" s="6">
        <v>12.1643958191779</v>
      </c>
    </row>
    <row r="1882" spans="1:17">
      <c r="A1882" s="6" t="s">
        <v>11866</v>
      </c>
      <c r="B1882" s="6" t="s">
        <v>11866</v>
      </c>
      <c r="C1882" s="6" t="s">
        <v>11867</v>
      </c>
      <c r="D1882" s="6" t="s">
        <v>11868</v>
      </c>
      <c r="E1882" s="6" t="s">
        <v>11868</v>
      </c>
      <c r="F1882" s="6">
        <v>12.6605104601473</v>
      </c>
      <c r="G1882" s="6" t="s">
        <v>6254</v>
      </c>
      <c r="H1882" s="6" t="s">
        <v>6254</v>
      </c>
      <c r="I1882" s="6">
        <v>11.9732961706626</v>
      </c>
      <c r="J1882" s="6" t="s">
        <v>6254</v>
      </c>
      <c r="K1882" s="6" t="s">
        <v>6254</v>
      </c>
      <c r="L1882" s="6">
        <v>13.151863822639999</v>
      </c>
      <c r="M1882" s="6" t="s">
        <v>6254</v>
      </c>
      <c r="N1882" s="6">
        <v>12.380973229739901</v>
      </c>
      <c r="O1882" s="6" t="s">
        <v>6254</v>
      </c>
      <c r="P1882" s="6">
        <v>12.188785495345</v>
      </c>
      <c r="Q1882" s="6" t="s">
        <v>6254</v>
      </c>
    </row>
    <row r="1883" spans="1:17">
      <c r="A1883" s="6" t="s">
        <v>4281</v>
      </c>
      <c r="B1883" s="6" t="s">
        <v>4281</v>
      </c>
      <c r="C1883" s="6" t="s">
        <v>11869</v>
      </c>
      <c r="D1883" s="6" t="s">
        <v>11870</v>
      </c>
      <c r="E1883" s="6" t="s">
        <v>11870</v>
      </c>
      <c r="F1883" s="6">
        <v>12.9794138948082</v>
      </c>
      <c r="G1883" s="6" t="s">
        <v>6254</v>
      </c>
      <c r="H1883" s="6">
        <v>12.4162052358162</v>
      </c>
      <c r="I1883" s="6">
        <v>13.9956274427813</v>
      </c>
      <c r="J1883" s="6">
        <v>12.2308051446402</v>
      </c>
      <c r="K1883" s="6" t="s">
        <v>6254</v>
      </c>
      <c r="L1883" s="6">
        <v>13.6680888381744</v>
      </c>
      <c r="M1883" s="6">
        <v>12.024734977873999</v>
      </c>
      <c r="N1883" s="6" t="s">
        <v>6254</v>
      </c>
      <c r="O1883" s="6">
        <v>13.904502078879499</v>
      </c>
      <c r="P1883" s="6">
        <v>13.279499844856099</v>
      </c>
      <c r="Q1883" s="6" t="s">
        <v>6254</v>
      </c>
    </row>
    <row r="1884" spans="1:17">
      <c r="A1884" s="6" t="s">
        <v>4014</v>
      </c>
      <c r="B1884" s="6" t="s">
        <v>4014</v>
      </c>
      <c r="C1884" s="6" t="s">
        <v>11871</v>
      </c>
      <c r="D1884" s="6" t="s">
        <v>11872</v>
      </c>
      <c r="E1884" s="6" t="s">
        <v>11872</v>
      </c>
      <c r="F1884" s="6">
        <v>13.8671012936646</v>
      </c>
      <c r="G1884" s="6">
        <v>13.1655499661025</v>
      </c>
      <c r="H1884" s="6">
        <v>13.0489565785614</v>
      </c>
      <c r="I1884" s="6">
        <v>13.671605164290799</v>
      </c>
      <c r="J1884" s="6" t="s">
        <v>6254</v>
      </c>
      <c r="K1884" s="6">
        <v>13.185451414363399</v>
      </c>
      <c r="L1884" s="6">
        <v>13.6193768799238</v>
      </c>
      <c r="M1884" s="6">
        <v>12.122836865832401</v>
      </c>
      <c r="N1884" s="6">
        <v>13.5867262104624</v>
      </c>
      <c r="O1884" s="6">
        <v>12.9467128088527</v>
      </c>
      <c r="P1884" s="6">
        <v>13.264764293183299</v>
      </c>
      <c r="Q1884" s="6">
        <v>10.956220755221</v>
      </c>
    </row>
    <row r="1885" spans="1:17">
      <c r="A1885" s="6" t="s">
        <v>11873</v>
      </c>
      <c r="B1885" s="6" t="s">
        <v>11873</v>
      </c>
      <c r="C1885" s="6" t="s">
        <v>11874</v>
      </c>
      <c r="D1885" s="6" t="s">
        <v>11875</v>
      </c>
      <c r="E1885" s="6" t="s">
        <v>11875</v>
      </c>
      <c r="F1885" s="6">
        <v>12.919456870029901</v>
      </c>
      <c r="G1885" s="6">
        <v>12.7507418905178</v>
      </c>
      <c r="H1885" s="6">
        <v>13.132237180757301</v>
      </c>
      <c r="I1885" s="6">
        <v>13.4572730061796</v>
      </c>
      <c r="J1885" s="6" t="s">
        <v>6254</v>
      </c>
      <c r="K1885" s="6">
        <v>12.8182830815353</v>
      </c>
      <c r="L1885" s="6">
        <v>13.6936128374854</v>
      </c>
      <c r="M1885" s="6">
        <v>12.3744513778013</v>
      </c>
      <c r="N1885" s="6">
        <v>12.8518677532252</v>
      </c>
      <c r="O1885" s="6">
        <v>13.1183003721665</v>
      </c>
      <c r="P1885" s="6">
        <v>12.786500328099599</v>
      </c>
      <c r="Q1885" s="6" t="s">
        <v>6254</v>
      </c>
    </row>
    <row r="1886" spans="1:17">
      <c r="A1886" s="6" t="s">
        <v>3570</v>
      </c>
      <c r="B1886" s="6" t="s">
        <v>3570</v>
      </c>
      <c r="C1886" s="6" t="s">
        <v>11876</v>
      </c>
      <c r="D1886" s="6" t="s">
        <v>11877</v>
      </c>
      <c r="E1886" s="6" t="s">
        <v>11877</v>
      </c>
      <c r="F1886" s="6">
        <v>13.139528624888399</v>
      </c>
      <c r="G1886" s="6">
        <v>13.0459065409472</v>
      </c>
      <c r="H1886" s="6">
        <v>13.185668716725001</v>
      </c>
      <c r="I1886" s="6">
        <v>13.5251175014042</v>
      </c>
      <c r="J1886" s="6">
        <v>11.715783012933301</v>
      </c>
      <c r="K1886" s="6">
        <v>12.68546206143</v>
      </c>
      <c r="L1886" s="6">
        <v>13.811798103518599</v>
      </c>
      <c r="M1886" s="6">
        <v>12.219950696772999</v>
      </c>
      <c r="N1886" s="6">
        <v>13.231933971647701</v>
      </c>
      <c r="O1886" s="6">
        <v>13.2665533940984</v>
      </c>
      <c r="P1886" s="6">
        <v>12.69993519354</v>
      </c>
      <c r="Q1886" s="6">
        <v>11.652853164983799</v>
      </c>
    </row>
    <row r="1887" spans="1:17">
      <c r="A1887" s="6" t="s">
        <v>11878</v>
      </c>
      <c r="B1887" s="6" t="s">
        <v>11879</v>
      </c>
      <c r="C1887" s="6" t="s">
        <v>11880</v>
      </c>
      <c r="D1887" s="6" t="s">
        <v>11881</v>
      </c>
      <c r="E1887" s="6" t="s">
        <v>11882</v>
      </c>
      <c r="F1887" s="6">
        <v>13.6859451902484</v>
      </c>
      <c r="G1887" s="6">
        <v>13.588046682797</v>
      </c>
      <c r="H1887" s="6">
        <v>12.4082901289982</v>
      </c>
      <c r="I1887" s="6">
        <v>14.339675748373701</v>
      </c>
      <c r="J1887" s="6">
        <v>12.1969268147616</v>
      </c>
      <c r="K1887" s="6">
        <v>13.7075273418459</v>
      </c>
      <c r="L1887" s="6">
        <v>12.4637507139135</v>
      </c>
      <c r="M1887" s="6">
        <v>11.9035262420664</v>
      </c>
      <c r="N1887" s="6">
        <v>12.799450882912099</v>
      </c>
      <c r="O1887" s="6">
        <v>13.739203344221</v>
      </c>
      <c r="P1887" s="6">
        <v>13.7953241404559</v>
      </c>
      <c r="Q1887" s="6">
        <v>12.016132432424801</v>
      </c>
    </row>
    <row r="1888" spans="1:17">
      <c r="A1888" s="6" t="s">
        <v>11883</v>
      </c>
      <c r="B1888" s="6" t="s">
        <v>11884</v>
      </c>
      <c r="C1888" s="6" t="s">
        <v>11885</v>
      </c>
      <c r="D1888" s="6" t="s">
        <v>11886</v>
      </c>
      <c r="E1888" s="6" t="s">
        <v>11887</v>
      </c>
      <c r="F1888" s="6" t="s">
        <v>6254</v>
      </c>
      <c r="G1888" s="6" t="s">
        <v>6254</v>
      </c>
      <c r="H1888" s="6" t="s">
        <v>6254</v>
      </c>
      <c r="I1888" s="6">
        <v>14.446248429676499</v>
      </c>
      <c r="J1888" s="6" t="s">
        <v>6254</v>
      </c>
      <c r="K1888" s="6" t="s">
        <v>6254</v>
      </c>
      <c r="L1888" s="6">
        <v>11.6128727282025</v>
      </c>
      <c r="M1888" s="6" t="s">
        <v>6254</v>
      </c>
      <c r="N1888" s="6" t="s">
        <v>6254</v>
      </c>
      <c r="O1888" s="6" t="s">
        <v>6254</v>
      </c>
      <c r="P1888" s="6" t="s">
        <v>6254</v>
      </c>
      <c r="Q1888" s="6" t="s">
        <v>6254</v>
      </c>
    </row>
    <row r="1889" spans="1:17">
      <c r="A1889" s="6" t="s">
        <v>4122</v>
      </c>
      <c r="B1889" s="6" t="s">
        <v>4122</v>
      </c>
      <c r="C1889" s="6" t="s">
        <v>11888</v>
      </c>
      <c r="D1889" s="6" t="s">
        <v>11889</v>
      </c>
      <c r="E1889" s="6" t="s">
        <v>11889</v>
      </c>
      <c r="F1889" s="6">
        <v>13.4506051207191</v>
      </c>
      <c r="G1889" s="6">
        <v>12.925365029197399</v>
      </c>
      <c r="H1889" s="6">
        <v>13.2930553319043</v>
      </c>
      <c r="I1889" s="6">
        <v>14.1344601254841</v>
      </c>
      <c r="J1889" s="6">
        <v>12.455997111554099</v>
      </c>
      <c r="K1889" s="6">
        <v>13.379073511817399</v>
      </c>
      <c r="L1889" s="6">
        <v>13.87315435903</v>
      </c>
      <c r="M1889" s="6">
        <v>12.217416291767099</v>
      </c>
      <c r="N1889" s="6">
        <v>12.098937073058201</v>
      </c>
      <c r="O1889" s="6">
        <v>13.5442290452203</v>
      </c>
      <c r="P1889" s="6">
        <v>13.494047178868801</v>
      </c>
      <c r="Q1889" s="6">
        <v>11.7934494090433</v>
      </c>
    </row>
    <row r="1890" spans="1:17">
      <c r="A1890" s="6" t="s">
        <v>11890</v>
      </c>
      <c r="B1890" s="6" t="s">
        <v>1881</v>
      </c>
      <c r="C1890" s="6" t="s">
        <v>11891</v>
      </c>
      <c r="D1890" s="6" t="s">
        <v>11892</v>
      </c>
      <c r="E1890" s="6" t="s">
        <v>11893</v>
      </c>
      <c r="F1890" s="6">
        <v>13.6501131564819</v>
      </c>
      <c r="G1890" s="6">
        <v>13.2214808074927</v>
      </c>
      <c r="H1890" s="6">
        <v>13.289384704793999</v>
      </c>
      <c r="I1890" s="6">
        <v>13.6516100786364</v>
      </c>
      <c r="J1890" s="6">
        <v>12.134846347841499</v>
      </c>
      <c r="K1890" s="6">
        <v>12.4360391862259</v>
      </c>
      <c r="L1890" s="6">
        <v>13.6078107349429</v>
      </c>
      <c r="M1890" s="6">
        <v>11.8588631154861</v>
      </c>
      <c r="N1890" s="6">
        <v>13.5287646053551</v>
      </c>
      <c r="O1890" s="6">
        <v>13.728164794940501</v>
      </c>
      <c r="P1890" s="6">
        <v>13.531183647281599</v>
      </c>
      <c r="Q1890" s="6">
        <v>11.240727615876301</v>
      </c>
    </row>
    <row r="1891" spans="1:17">
      <c r="A1891" s="6" t="s">
        <v>11894</v>
      </c>
      <c r="B1891" s="6" t="s">
        <v>11895</v>
      </c>
      <c r="C1891" s="6" t="s">
        <v>11896</v>
      </c>
      <c r="D1891" s="6" t="s">
        <v>11897</v>
      </c>
      <c r="E1891" s="6" t="s">
        <v>11898</v>
      </c>
      <c r="F1891" s="6">
        <v>12.697955045913</v>
      </c>
      <c r="G1891" s="6" t="s">
        <v>6254</v>
      </c>
      <c r="H1891" s="6" t="s">
        <v>6254</v>
      </c>
      <c r="I1891" s="6">
        <v>13.1425476172467</v>
      </c>
      <c r="J1891" s="6" t="s">
        <v>6254</v>
      </c>
      <c r="K1891" s="6">
        <v>13.089554153749701</v>
      </c>
      <c r="L1891" s="6">
        <v>13.7875060973871</v>
      </c>
      <c r="M1891" s="6" t="s">
        <v>6254</v>
      </c>
      <c r="N1891" s="6">
        <v>12.199437684824799</v>
      </c>
      <c r="O1891" s="6">
        <v>13.040253682944099</v>
      </c>
      <c r="P1891" s="6">
        <v>13.068863215441599</v>
      </c>
      <c r="Q1891" s="6" t="s">
        <v>6254</v>
      </c>
    </row>
    <row r="1892" spans="1:17">
      <c r="A1892" s="6" t="s">
        <v>11899</v>
      </c>
      <c r="B1892" s="6" t="s">
        <v>11899</v>
      </c>
      <c r="C1892" s="6" t="s">
        <v>11900</v>
      </c>
      <c r="D1892" s="6" t="s">
        <v>11901</v>
      </c>
      <c r="E1892" s="6" t="s">
        <v>11901</v>
      </c>
      <c r="F1892" s="6" t="s">
        <v>6254</v>
      </c>
      <c r="G1892" s="6">
        <v>12.7757804445483</v>
      </c>
      <c r="H1892" s="6">
        <v>12.599405161454801</v>
      </c>
      <c r="I1892" s="6">
        <v>13.709283107656701</v>
      </c>
      <c r="J1892" s="6" t="s">
        <v>6254</v>
      </c>
      <c r="K1892" s="6">
        <v>13.1506792422561</v>
      </c>
      <c r="L1892" s="6" t="s">
        <v>6254</v>
      </c>
      <c r="M1892" s="6" t="s">
        <v>6254</v>
      </c>
      <c r="N1892" s="6">
        <v>12.2243698439277</v>
      </c>
      <c r="O1892" s="6">
        <v>13.354679648019101</v>
      </c>
      <c r="P1892" s="6">
        <v>13.6162384924653</v>
      </c>
      <c r="Q1892" s="6" t="s">
        <v>6254</v>
      </c>
    </row>
    <row r="1893" spans="1:17">
      <c r="A1893" s="6" t="s">
        <v>4919</v>
      </c>
      <c r="B1893" s="6" t="s">
        <v>4919</v>
      </c>
      <c r="C1893" s="6" t="s">
        <v>11902</v>
      </c>
      <c r="D1893" s="6" t="s">
        <v>11903</v>
      </c>
      <c r="E1893" s="6" t="s">
        <v>11903</v>
      </c>
      <c r="F1893" s="6">
        <v>13.104405482392</v>
      </c>
      <c r="G1893" s="6">
        <v>13.4768838807435</v>
      </c>
      <c r="H1893" s="6">
        <v>12.5341749914249</v>
      </c>
      <c r="I1893" s="6">
        <v>13.206398864872</v>
      </c>
      <c r="J1893" s="6">
        <v>12.227748620595801</v>
      </c>
      <c r="K1893" s="6">
        <v>12.8965058049543</v>
      </c>
      <c r="L1893" s="6">
        <v>13.3903748410189</v>
      </c>
      <c r="M1893" s="6" t="s">
        <v>6254</v>
      </c>
      <c r="N1893" s="6" t="s">
        <v>6254</v>
      </c>
      <c r="O1893" s="6">
        <v>13.306376911185099</v>
      </c>
      <c r="P1893" s="6">
        <v>13.857850993819</v>
      </c>
      <c r="Q1893" s="6" t="s">
        <v>6254</v>
      </c>
    </row>
    <row r="1894" spans="1:17">
      <c r="A1894" s="6" t="s">
        <v>11904</v>
      </c>
      <c r="B1894" s="6" t="s">
        <v>11905</v>
      </c>
      <c r="C1894" s="6" t="s">
        <v>11906</v>
      </c>
      <c r="D1894" s="6" t="s">
        <v>11907</v>
      </c>
      <c r="E1894" s="6" t="s">
        <v>11908</v>
      </c>
      <c r="F1894" s="6">
        <v>13.151869517118</v>
      </c>
      <c r="G1894" s="6">
        <v>12.6158321762206</v>
      </c>
      <c r="H1894" s="6">
        <v>12.773773999829601</v>
      </c>
      <c r="I1894" s="6">
        <v>13.2318514741011</v>
      </c>
      <c r="J1894" s="6">
        <v>12.2237483717608</v>
      </c>
      <c r="K1894" s="6">
        <v>12.666924663772001</v>
      </c>
      <c r="L1894" s="6">
        <v>13.421655515009199</v>
      </c>
      <c r="M1894" s="6">
        <v>12.350329352531601</v>
      </c>
      <c r="N1894" s="6">
        <v>13.828842932200599</v>
      </c>
      <c r="O1894" s="6">
        <v>13.328100848674101</v>
      </c>
      <c r="P1894" s="6">
        <v>13.3244834913251</v>
      </c>
      <c r="Q1894" s="6" t="s">
        <v>6254</v>
      </c>
    </row>
    <row r="1895" spans="1:17">
      <c r="A1895" s="6" t="s">
        <v>2652</v>
      </c>
      <c r="B1895" s="6" t="s">
        <v>2652</v>
      </c>
      <c r="C1895" s="6" t="s">
        <v>11909</v>
      </c>
      <c r="D1895" s="6" t="s">
        <v>11910</v>
      </c>
      <c r="E1895" s="6" t="s">
        <v>11910</v>
      </c>
      <c r="F1895" s="6">
        <v>13.7026647960385</v>
      </c>
      <c r="G1895" s="6">
        <v>13.0885561218353</v>
      </c>
      <c r="H1895" s="6">
        <v>13.077269302212599</v>
      </c>
      <c r="I1895" s="6">
        <v>13.8615096048465</v>
      </c>
      <c r="J1895" s="6">
        <v>12.3737680658078</v>
      </c>
      <c r="K1895" s="6">
        <v>13.392331287346099</v>
      </c>
      <c r="L1895" s="6">
        <v>13.496800819029399</v>
      </c>
      <c r="M1895" s="6">
        <v>12.1453276339324</v>
      </c>
      <c r="N1895" s="6">
        <v>11.950951774067001</v>
      </c>
      <c r="O1895" s="6">
        <v>13.5510693389463</v>
      </c>
      <c r="P1895" s="6">
        <v>13.7180544540197</v>
      </c>
      <c r="Q1895" s="6">
        <v>11.8946988434174</v>
      </c>
    </row>
    <row r="1896" spans="1:17">
      <c r="A1896" s="6" t="s">
        <v>11911</v>
      </c>
      <c r="B1896" s="6" t="s">
        <v>11911</v>
      </c>
      <c r="C1896" s="6" t="s">
        <v>11912</v>
      </c>
      <c r="D1896" s="6" t="s">
        <v>11913</v>
      </c>
      <c r="E1896" s="6" t="s">
        <v>11913</v>
      </c>
      <c r="F1896" s="6">
        <v>13.5918621457682</v>
      </c>
      <c r="G1896" s="6">
        <v>12.981847655986799</v>
      </c>
      <c r="H1896" s="6">
        <v>13.031977959365401</v>
      </c>
      <c r="I1896" s="6">
        <v>13.811569626295899</v>
      </c>
      <c r="J1896" s="6">
        <v>12.350971928303901</v>
      </c>
      <c r="K1896" s="6">
        <v>13.5513534256814</v>
      </c>
      <c r="L1896" s="6">
        <v>13.774249921285101</v>
      </c>
      <c r="M1896" s="6">
        <v>11.912711754698901</v>
      </c>
      <c r="N1896" s="6">
        <v>12.3540840270348</v>
      </c>
      <c r="O1896" s="6">
        <v>13.215028877294399</v>
      </c>
      <c r="P1896" s="6">
        <v>13.606695974435</v>
      </c>
      <c r="Q1896" s="6">
        <v>12.1037840194565</v>
      </c>
    </row>
    <row r="1897" spans="1:17">
      <c r="A1897" s="6" t="s">
        <v>11914</v>
      </c>
      <c r="B1897" s="6" t="s">
        <v>11915</v>
      </c>
      <c r="C1897" s="6" t="s">
        <v>11916</v>
      </c>
      <c r="D1897" s="6" t="s">
        <v>11917</v>
      </c>
      <c r="E1897" s="6" t="s">
        <v>11918</v>
      </c>
      <c r="F1897" s="6">
        <v>13.6319791973464</v>
      </c>
      <c r="G1897" s="6">
        <v>13.0735850416199</v>
      </c>
      <c r="H1897" s="6">
        <v>13.4510865887344</v>
      </c>
      <c r="I1897" s="6">
        <v>13.8806144589218</v>
      </c>
      <c r="J1897" s="6">
        <v>12.366272131804299</v>
      </c>
      <c r="K1897" s="6">
        <v>12.935010141301801</v>
      </c>
      <c r="L1897" s="6">
        <v>13.781829177257301</v>
      </c>
      <c r="M1897" s="6">
        <v>11.5568812559584</v>
      </c>
      <c r="N1897" s="6" t="s">
        <v>6254</v>
      </c>
      <c r="O1897" s="6">
        <v>13.476725375325501</v>
      </c>
      <c r="P1897" s="6">
        <v>13.144876285829399</v>
      </c>
      <c r="Q1897" s="6" t="s">
        <v>6254</v>
      </c>
    </row>
    <row r="1898" spans="1:17">
      <c r="A1898" s="6" t="s">
        <v>4100</v>
      </c>
      <c r="B1898" s="6" t="s">
        <v>4100</v>
      </c>
      <c r="C1898" s="6" t="s">
        <v>11919</v>
      </c>
      <c r="D1898" s="6" t="s">
        <v>11920</v>
      </c>
      <c r="E1898" s="6" t="s">
        <v>11920</v>
      </c>
      <c r="F1898" s="6">
        <v>13.1385988114722</v>
      </c>
      <c r="G1898" s="6">
        <v>13.0159042273423</v>
      </c>
      <c r="H1898" s="6">
        <v>13.2698766208379</v>
      </c>
      <c r="I1898" s="6">
        <v>13.6405253677167</v>
      </c>
      <c r="J1898" s="6">
        <v>13.0424919827559</v>
      </c>
      <c r="K1898" s="6">
        <v>13.187359331763</v>
      </c>
      <c r="L1898" s="6">
        <v>13.138916433127999</v>
      </c>
      <c r="M1898" s="6">
        <v>11.6408116570598</v>
      </c>
      <c r="N1898" s="6">
        <v>11.859655177069801</v>
      </c>
      <c r="O1898" s="6">
        <v>13.8385258038284</v>
      </c>
      <c r="P1898" s="6">
        <v>13.8777080337494</v>
      </c>
      <c r="Q1898" s="6">
        <v>12.032418299445901</v>
      </c>
    </row>
    <row r="1899" spans="1:17">
      <c r="A1899" s="6" t="s">
        <v>4929</v>
      </c>
      <c r="B1899" s="6" t="s">
        <v>4929</v>
      </c>
      <c r="C1899" s="6" t="s">
        <v>11921</v>
      </c>
      <c r="D1899" s="6" t="s">
        <v>11922</v>
      </c>
      <c r="E1899" s="6" t="s">
        <v>11922</v>
      </c>
      <c r="F1899" s="6">
        <v>12.9938346689121</v>
      </c>
      <c r="G1899" s="6">
        <v>12.993953311190401</v>
      </c>
      <c r="H1899" s="6">
        <v>13.332956909468701</v>
      </c>
      <c r="I1899" s="6">
        <v>13.7509420598345</v>
      </c>
      <c r="J1899" s="6">
        <v>12.0034480468978</v>
      </c>
      <c r="K1899" s="6">
        <v>12.6349978807651</v>
      </c>
      <c r="L1899" s="6">
        <v>13.657221901424901</v>
      </c>
      <c r="M1899" s="6">
        <v>11.400693715659999</v>
      </c>
      <c r="N1899" s="6">
        <v>13.7257766706373</v>
      </c>
      <c r="O1899" s="6">
        <v>13.5837698478802</v>
      </c>
      <c r="P1899" s="6">
        <v>13.2946555435653</v>
      </c>
      <c r="Q1899" s="6">
        <v>11.182529070612601</v>
      </c>
    </row>
    <row r="1900" spans="1:17">
      <c r="A1900" s="6" t="s">
        <v>11923</v>
      </c>
      <c r="B1900" s="6" t="s">
        <v>11923</v>
      </c>
      <c r="C1900" s="6" t="s">
        <v>11924</v>
      </c>
      <c r="D1900" s="6" t="s">
        <v>11925</v>
      </c>
      <c r="E1900" s="6" t="s">
        <v>11925</v>
      </c>
      <c r="F1900" s="6" t="s">
        <v>6254</v>
      </c>
      <c r="G1900" s="6" t="s">
        <v>6254</v>
      </c>
      <c r="H1900" s="6" t="s">
        <v>6254</v>
      </c>
      <c r="I1900" s="6" t="s">
        <v>6254</v>
      </c>
      <c r="J1900" s="6" t="s">
        <v>6254</v>
      </c>
      <c r="K1900" s="6" t="s">
        <v>6254</v>
      </c>
      <c r="L1900" s="6">
        <v>13.0547255894015</v>
      </c>
      <c r="M1900" s="6" t="s">
        <v>6254</v>
      </c>
      <c r="N1900" s="6" t="s">
        <v>6254</v>
      </c>
      <c r="O1900" s="6" t="s">
        <v>6254</v>
      </c>
      <c r="P1900" s="6" t="s">
        <v>6254</v>
      </c>
      <c r="Q1900" s="6" t="s">
        <v>6254</v>
      </c>
    </row>
    <row r="1901" spans="1:17">
      <c r="A1901" s="6" t="s">
        <v>11926</v>
      </c>
      <c r="B1901" s="6" t="s">
        <v>11926</v>
      </c>
      <c r="C1901" s="6" t="s">
        <v>11927</v>
      </c>
      <c r="D1901" s="6" t="s">
        <v>11928</v>
      </c>
      <c r="E1901" s="6" t="s">
        <v>11928</v>
      </c>
      <c r="F1901" s="6">
        <v>13.5757849358681</v>
      </c>
      <c r="G1901" s="6">
        <v>12.4706770891224</v>
      </c>
      <c r="H1901" s="6">
        <v>12.8748170809712</v>
      </c>
      <c r="I1901" s="6">
        <v>13.5690812178267</v>
      </c>
      <c r="J1901" s="6" t="s">
        <v>6254</v>
      </c>
      <c r="K1901" s="6" t="s">
        <v>6254</v>
      </c>
      <c r="L1901" s="6">
        <v>12.9214630545159</v>
      </c>
      <c r="M1901" s="6" t="s">
        <v>6254</v>
      </c>
      <c r="N1901" s="6">
        <v>12.430957614994901</v>
      </c>
      <c r="O1901" s="6">
        <v>13.658020023364699</v>
      </c>
      <c r="P1901" s="6">
        <v>12.855755834520799</v>
      </c>
      <c r="Q1901" s="6" t="s">
        <v>6254</v>
      </c>
    </row>
    <row r="1902" spans="1:17">
      <c r="A1902" s="6" t="s">
        <v>11929</v>
      </c>
      <c r="B1902" s="6" t="s">
        <v>4113</v>
      </c>
      <c r="C1902" s="6" t="s">
        <v>11930</v>
      </c>
      <c r="D1902" s="6" t="s">
        <v>11931</v>
      </c>
      <c r="E1902" s="6" t="s">
        <v>11932</v>
      </c>
      <c r="F1902" s="6">
        <v>13.1816691376281</v>
      </c>
      <c r="G1902" s="6">
        <v>12.7011686406743</v>
      </c>
      <c r="H1902" s="6">
        <v>12.8466358125944</v>
      </c>
      <c r="I1902" s="6">
        <v>13.910525490445201</v>
      </c>
      <c r="J1902" s="6" t="s">
        <v>6254</v>
      </c>
      <c r="K1902" s="6">
        <v>12.582319722857999</v>
      </c>
      <c r="L1902" s="6">
        <v>13.948934381046399</v>
      </c>
      <c r="M1902" s="6" t="s">
        <v>6254</v>
      </c>
      <c r="N1902" s="6">
        <v>13.0736495376397</v>
      </c>
      <c r="O1902" s="6">
        <v>13.334109582337099</v>
      </c>
      <c r="P1902" s="6">
        <v>13.354118072810101</v>
      </c>
      <c r="Q1902" s="6" t="s">
        <v>6254</v>
      </c>
    </row>
    <row r="1903" spans="1:17">
      <c r="A1903" s="6" t="s">
        <v>3244</v>
      </c>
      <c r="B1903" s="6" t="s">
        <v>3244</v>
      </c>
      <c r="C1903" s="6" t="s">
        <v>11933</v>
      </c>
      <c r="D1903" s="6" t="s">
        <v>11934</v>
      </c>
      <c r="E1903" s="6" t="s">
        <v>11934</v>
      </c>
      <c r="F1903" s="6">
        <v>12.9736563338986</v>
      </c>
      <c r="G1903" s="6" t="s">
        <v>6254</v>
      </c>
      <c r="H1903" s="6">
        <v>12.9860565296019</v>
      </c>
      <c r="I1903" s="6">
        <v>13.3606615749343</v>
      </c>
      <c r="J1903" s="6" t="s">
        <v>6254</v>
      </c>
      <c r="K1903" s="6">
        <v>12.826940515565401</v>
      </c>
      <c r="L1903" s="6">
        <v>13.2255254945457</v>
      </c>
      <c r="M1903" s="6" t="s">
        <v>6254</v>
      </c>
      <c r="N1903" s="6">
        <v>13.644420837996201</v>
      </c>
      <c r="O1903" s="6">
        <v>12.7324505920286</v>
      </c>
      <c r="P1903" s="6">
        <v>13.015349771129699</v>
      </c>
      <c r="Q1903" s="6" t="s">
        <v>6254</v>
      </c>
    </row>
    <row r="1904" spans="1:17">
      <c r="A1904" s="6" t="s">
        <v>11935</v>
      </c>
      <c r="B1904" s="6" t="s">
        <v>11936</v>
      </c>
      <c r="C1904" s="6" t="s">
        <v>11937</v>
      </c>
      <c r="D1904" s="6" t="s">
        <v>11938</v>
      </c>
      <c r="E1904" s="6" t="s">
        <v>11939</v>
      </c>
      <c r="F1904" s="6">
        <v>13.2562403534968</v>
      </c>
      <c r="G1904" s="6">
        <v>13.2631627867459</v>
      </c>
      <c r="H1904" s="6">
        <v>12.843370348268801</v>
      </c>
      <c r="I1904" s="6">
        <v>13.5890915954283</v>
      </c>
      <c r="J1904" s="6" t="s">
        <v>6254</v>
      </c>
      <c r="K1904" s="6">
        <v>12.4944916431708</v>
      </c>
      <c r="L1904" s="6">
        <v>13.5626493298083</v>
      </c>
      <c r="M1904" s="6">
        <v>12.7750124910889</v>
      </c>
      <c r="N1904" s="6">
        <v>11.9529556517138</v>
      </c>
      <c r="O1904" s="6">
        <v>13.0609798452671</v>
      </c>
      <c r="P1904" s="6">
        <v>13.211648505223</v>
      </c>
      <c r="Q1904" s="6" t="s">
        <v>6254</v>
      </c>
    </row>
    <row r="1905" spans="1:17">
      <c r="A1905" s="6" t="s">
        <v>5205</v>
      </c>
      <c r="B1905" s="6" t="s">
        <v>5205</v>
      </c>
      <c r="C1905" s="6" t="s">
        <v>11940</v>
      </c>
      <c r="D1905" s="6" t="s">
        <v>11941</v>
      </c>
      <c r="E1905" s="6" t="s">
        <v>11941</v>
      </c>
      <c r="F1905" s="6">
        <v>13.202083440001299</v>
      </c>
      <c r="G1905" s="6">
        <v>12.954611826341401</v>
      </c>
      <c r="H1905" s="6">
        <v>13.220556164985799</v>
      </c>
      <c r="I1905" s="6">
        <v>13.629931798705</v>
      </c>
      <c r="J1905" s="6">
        <v>12.565525819959801</v>
      </c>
      <c r="K1905" s="6">
        <v>12.580324273458301</v>
      </c>
      <c r="L1905" s="6">
        <v>12.830712986842601</v>
      </c>
      <c r="M1905" s="6">
        <v>12.6073842606569</v>
      </c>
      <c r="N1905" s="6">
        <v>14.3298543649057</v>
      </c>
      <c r="O1905" s="6">
        <v>13.445014671345399</v>
      </c>
      <c r="P1905" s="6">
        <v>13.258690160409399</v>
      </c>
      <c r="Q1905" s="6" t="s">
        <v>6254</v>
      </c>
    </row>
    <row r="1906" spans="1:17">
      <c r="A1906" s="6" t="s">
        <v>4269</v>
      </c>
      <c r="B1906" s="6" t="s">
        <v>4269</v>
      </c>
      <c r="C1906" s="6" t="s">
        <v>11942</v>
      </c>
      <c r="D1906" s="6" t="s">
        <v>11943</v>
      </c>
      <c r="E1906" s="6" t="s">
        <v>11943</v>
      </c>
      <c r="F1906" s="6">
        <v>13.1602299813096</v>
      </c>
      <c r="G1906" s="6">
        <v>12.3522959308167</v>
      </c>
      <c r="H1906" s="6" t="s">
        <v>6254</v>
      </c>
      <c r="I1906" s="6">
        <v>14.016607340514801</v>
      </c>
      <c r="J1906" s="6" t="s">
        <v>6254</v>
      </c>
      <c r="K1906" s="6" t="s">
        <v>6254</v>
      </c>
      <c r="L1906" s="6">
        <v>13.684568370029901</v>
      </c>
      <c r="M1906" s="6" t="s">
        <v>6254</v>
      </c>
      <c r="N1906" s="6" t="s">
        <v>6254</v>
      </c>
      <c r="O1906" s="6">
        <v>13.300907742053599</v>
      </c>
      <c r="P1906" s="6" t="s">
        <v>6254</v>
      </c>
      <c r="Q1906" s="6">
        <v>12.0609713961354</v>
      </c>
    </row>
    <row r="1907" spans="1:17">
      <c r="A1907" s="6" t="s">
        <v>11944</v>
      </c>
      <c r="B1907" s="6" t="s">
        <v>3089</v>
      </c>
      <c r="C1907" s="6" t="s">
        <v>11945</v>
      </c>
      <c r="D1907" s="6" t="s">
        <v>11946</v>
      </c>
      <c r="E1907" s="6" t="s">
        <v>11947</v>
      </c>
      <c r="F1907" s="6">
        <v>13.307700773172</v>
      </c>
      <c r="G1907" s="6">
        <v>12.9643735210031</v>
      </c>
      <c r="H1907" s="6">
        <v>12.910908845199399</v>
      </c>
      <c r="I1907" s="6">
        <v>13.925544797354901</v>
      </c>
      <c r="J1907" s="6">
        <v>12.5845917451052</v>
      </c>
      <c r="K1907" s="6">
        <v>13.0965157900382</v>
      </c>
      <c r="L1907" s="6">
        <v>13.4727860006042</v>
      </c>
      <c r="M1907" s="6">
        <v>12.731753498164201</v>
      </c>
      <c r="N1907" s="6">
        <v>12.701537855146199</v>
      </c>
      <c r="O1907" s="6">
        <v>13.318113014717101</v>
      </c>
      <c r="P1907" s="6">
        <v>13.621523934026101</v>
      </c>
      <c r="Q1907" s="6">
        <v>9.9729124421679494</v>
      </c>
    </row>
    <row r="1908" spans="1:17">
      <c r="A1908" s="6" t="s">
        <v>11948</v>
      </c>
      <c r="B1908" s="6" t="s">
        <v>11948</v>
      </c>
      <c r="C1908" s="6" t="s">
        <v>11949</v>
      </c>
      <c r="D1908" s="6" t="s">
        <v>11950</v>
      </c>
      <c r="E1908" s="6" t="s">
        <v>11950</v>
      </c>
      <c r="F1908" s="6">
        <v>13.6904384707322</v>
      </c>
      <c r="G1908" s="6">
        <v>13.5794838373667</v>
      </c>
      <c r="H1908" s="6" t="s">
        <v>6254</v>
      </c>
      <c r="I1908" s="6">
        <v>13.657530720239899</v>
      </c>
      <c r="J1908" s="6">
        <v>11.971185164287901</v>
      </c>
      <c r="K1908" s="6">
        <v>13.5455603218719</v>
      </c>
      <c r="L1908" s="6">
        <v>13.3749530704872</v>
      </c>
      <c r="M1908" s="6">
        <v>12.5032893127575</v>
      </c>
      <c r="N1908" s="6" t="s">
        <v>6254</v>
      </c>
      <c r="O1908" s="6">
        <v>13.672439805007301</v>
      </c>
      <c r="P1908" s="6">
        <v>12.8534188772049</v>
      </c>
      <c r="Q1908" s="6" t="s">
        <v>6254</v>
      </c>
    </row>
    <row r="1909" spans="1:17">
      <c r="A1909" s="6" t="s">
        <v>11951</v>
      </c>
      <c r="B1909" s="6" t="s">
        <v>11951</v>
      </c>
      <c r="C1909" s="6" t="s">
        <v>11952</v>
      </c>
      <c r="D1909" s="6" t="s">
        <v>11953</v>
      </c>
      <c r="E1909" s="6" t="s">
        <v>11953</v>
      </c>
      <c r="F1909" s="6">
        <v>13.496818464709801</v>
      </c>
      <c r="G1909" s="6">
        <v>13.346957146604399</v>
      </c>
      <c r="H1909" s="6">
        <v>12.8716049602964</v>
      </c>
      <c r="I1909" s="6">
        <v>13.6072911386469</v>
      </c>
      <c r="J1909" s="6">
        <v>12.432509285161901</v>
      </c>
      <c r="K1909" s="6">
        <v>13.2747880982074</v>
      </c>
      <c r="L1909" s="6">
        <v>13.310760374280999</v>
      </c>
      <c r="M1909" s="6">
        <v>12.506995221288999</v>
      </c>
      <c r="N1909" s="6">
        <v>13.4031532309219</v>
      </c>
      <c r="O1909" s="6">
        <v>13.1006950735358</v>
      </c>
      <c r="P1909" s="6">
        <v>12.759846018392899</v>
      </c>
      <c r="Q1909" s="6">
        <v>11.884215333969699</v>
      </c>
    </row>
    <row r="1910" spans="1:17">
      <c r="A1910" s="6" t="s">
        <v>2586</v>
      </c>
      <c r="B1910" s="6" t="s">
        <v>2586</v>
      </c>
      <c r="C1910" s="6" t="s">
        <v>11954</v>
      </c>
      <c r="D1910" s="6" t="s">
        <v>11955</v>
      </c>
      <c r="E1910" s="6" t="s">
        <v>11955</v>
      </c>
      <c r="F1910" s="6">
        <v>13.6199848630188</v>
      </c>
      <c r="G1910" s="6">
        <v>12.811245794336401</v>
      </c>
      <c r="H1910" s="6">
        <v>12.6560153368805</v>
      </c>
      <c r="I1910" s="6">
        <v>13.455922653832801</v>
      </c>
      <c r="J1910" s="6" t="s">
        <v>6254</v>
      </c>
      <c r="K1910" s="6">
        <v>12.741736689864799</v>
      </c>
      <c r="L1910" s="6">
        <v>13.317118555096201</v>
      </c>
      <c r="M1910" s="6" t="s">
        <v>6254</v>
      </c>
      <c r="N1910" s="6">
        <v>12.882568629758801</v>
      </c>
      <c r="O1910" s="6">
        <v>13.484963087594</v>
      </c>
      <c r="P1910" s="6">
        <v>12.849558031847801</v>
      </c>
      <c r="Q1910" s="6" t="s">
        <v>6254</v>
      </c>
    </row>
    <row r="1911" spans="1:17">
      <c r="A1911" s="6" t="s">
        <v>3254</v>
      </c>
      <c r="B1911" s="6" t="s">
        <v>3254</v>
      </c>
      <c r="C1911" s="6" t="s">
        <v>11956</v>
      </c>
      <c r="D1911" s="6" t="s">
        <v>11957</v>
      </c>
      <c r="E1911" s="6" t="s">
        <v>11957</v>
      </c>
      <c r="F1911" s="6" t="s">
        <v>6254</v>
      </c>
      <c r="G1911" s="6" t="s">
        <v>6254</v>
      </c>
      <c r="H1911" s="6">
        <v>13.367823316544399</v>
      </c>
      <c r="I1911" s="6" t="s">
        <v>6254</v>
      </c>
      <c r="J1911" s="6" t="s">
        <v>6254</v>
      </c>
      <c r="K1911" s="6" t="s">
        <v>6254</v>
      </c>
      <c r="L1911" s="6">
        <v>14.486686867602501</v>
      </c>
      <c r="M1911" s="6" t="s">
        <v>6254</v>
      </c>
      <c r="N1911" s="6" t="s">
        <v>6254</v>
      </c>
      <c r="O1911" s="6" t="s">
        <v>6254</v>
      </c>
      <c r="P1911" s="6">
        <v>12.9293591845903</v>
      </c>
      <c r="Q1911" s="6" t="s">
        <v>6254</v>
      </c>
    </row>
    <row r="1912" spans="1:17">
      <c r="A1912" s="6" t="s">
        <v>4097</v>
      </c>
      <c r="B1912" s="6" t="s">
        <v>4099</v>
      </c>
      <c r="C1912" s="6" t="s">
        <v>11958</v>
      </c>
      <c r="D1912" s="6" t="s">
        <v>11959</v>
      </c>
      <c r="E1912" s="6" t="s">
        <v>11960</v>
      </c>
      <c r="F1912" s="6">
        <v>12.6445092698407</v>
      </c>
      <c r="G1912" s="6">
        <v>12.6742602831065</v>
      </c>
      <c r="H1912" s="6">
        <v>13.124116480775299</v>
      </c>
      <c r="I1912" s="6">
        <v>13.499676010168599</v>
      </c>
      <c r="J1912" s="6">
        <v>11.950509421049601</v>
      </c>
      <c r="K1912" s="6">
        <v>12.5664550047563</v>
      </c>
      <c r="L1912" s="6">
        <v>13.648123318325601</v>
      </c>
      <c r="M1912" s="6">
        <v>12.164042387841</v>
      </c>
      <c r="N1912" s="6">
        <v>13.8463239682231</v>
      </c>
      <c r="O1912" s="6">
        <v>13.2983938849372</v>
      </c>
      <c r="P1912" s="6">
        <v>12.7798137269798</v>
      </c>
      <c r="Q1912" s="6" t="s">
        <v>6254</v>
      </c>
    </row>
    <row r="1913" spans="1:17">
      <c r="A1913" s="6" t="s">
        <v>5715</v>
      </c>
      <c r="B1913" s="6" t="s">
        <v>5715</v>
      </c>
      <c r="C1913" s="6" t="s">
        <v>11961</v>
      </c>
      <c r="D1913" s="6" t="s">
        <v>11962</v>
      </c>
      <c r="E1913" s="6" t="s">
        <v>11962</v>
      </c>
      <c r="F1913" s="6">
        <v>13.3016598858653</v>
      </c>
      <c r="G1913" s="6">
        <v>12.257228745059299</v>
      </c>
      <c r="H1913" s="6">
        <v>13.2555383920973</v>
      </c>
      <c r="I1913" s="6">
        <v>13.8550948283729</v>
      </c>
      <c r="J1913" s="6" t="s">
        <v>6254</v>
      </c>
      <c r="K1913" s="6">
        <v>12.4072896947942</v>
      </c>
      <c r="L1913" s="6">
        <v>13.8125324038628</v>
      </c>
      <c r="M1913" s="6" t="s">
        <v>6254</v>
      </c>
      <c r="N1913" s="6">
        <v>12.698355049379201</v>
      </c>
      <c r="O1913" s="6">
        <v>13.391950759906999</v>
      </c>
      <c r="P1913" s="6">
        <v>12.975428049788301</v>
      </c>
      <c r="Q1913" s="6" t="s">
        <v>6254</v>
      </c>
    </row>
    <row r="1914" spans="1:17">
      <c r="A1914" s="6" t="s">
        <v>11963</v>
      </c>
      <c r="B1914" s="6" t="s">
        <v>3540</v>
      </c>
      <c r="C1914" s="6" t="s">
        <v>11964</v>
      </c>
      <c r="D1914" s="6" t="s">
        <v>11965</v>
      </c>
      <c r="E1914" s="6" t="s">
        <v>11966</v>
      </c>
      <c r="F1914" s="6">
        <v>13.811753693695</v>
      </c>
      <c r="G1914" s="6">
        <v>11.2153249177071</v>
      </c>
      <c r="H1914" s="6" t="s">
        <v>6254</v>
      </c>
      <c r="I1914" s="6">
        <v>13.0622803033429</v>
      </c>
      <c r="J1914" s="6" t="s">
        <v>6254</v>
      </c>
      <c r="K1914" s="6">
        <v>12.5762640781287</v>
      </c>
      <c r="L1914" s="6" t="s">
        <v>6254</v>
      </c>
      <c r="M1914" s="6">
        <v>11.796263567724999</v>
      </c>
      <c r="N1914" s="6" t="s">
        <v>6254</v>
      </c>
      <c r="O1914" s="6">
        <v>12.470351143398201</v>
      </c>
      <c r="P1914" s="6" t="s">
        <v>6254</v>
      </c>
      <c r="Q1914" s="6">
        <v>11.325413681113501</v>
      </c>
    </row>
    <row r="1915" spans="1:17">
      <c r="A1915" s="6" t="s">
        <v>11967</v>
      </c>
      <c r="B1915" s="6" t="s">
        <v>11968</v>
      </c>
      <c r="C1915" s="6" t="s">
        <v>11969</v>
      </c>
      <c r="D1915" s="6" t="s">
        <v>11970</v>
      </c>
      <c r="E1915" s="6" t="s">
        <v>11971</v>
      </c>
      <c r="F1915" s="6">
        <v>13.4990579006373</v>
      </c>
      <c r="G1915" s="6">
        <v>13.4205398762815</v>
      </c>
      <c r="H1915" s="6">
        <v>12.7311871324398</v>
      </c>
      <c r="I1915" s="6">
        <v>14.0028198095213</v>
      </c>
      <c r="J1915" s="6" t="s">
        <v>6254</v>
      </c>
      <c r="K1915" s="6" t="s">
        <v>6254</v>
      </c>
      <c r="L1915" s="6">
        <v>14.016836750125799</v>
      </c>
      <c r="M1915" s="6" t="s">
        <v>6254</v>
      </c>
      <c r="N1915" s="6" t="s">
        <v>6254</v>
      </c>
      <c r="O1915" s="6">
        <v>13.679983035394599</v>
      </c>
      <c r="P1915" s="6">
        <v>12.9238663879431</v>
      </c>
      <c r="Q1915" s="6" t="s">
        <v>6254</v>
      </c>
    </row>
    <row r="1916" spans="1:17">
      <c r="A1916" s="6" t="s">
        <v>11972</v>
      </c>
      <c r="B1916" s="6" t="s">
        <v>11973</v>
      </c>
      <c r="C1916" s="6" t="s">
        <v>11974</v>
      </c>
      <c r="D1916" s="6" t="s">
        <v>11975</v>
      </c>
      <c r="E1916" s="6" t="s">
        <v>11976</v>
      </c>
      <c r="F1916" s="6">
        <v>13.226875169633599</v>
      </c>
      <c r="G1916" s="6" t="s">
        <v>6254</v>
      </c>
      <c r="H1916" s="6" t="s">
        <v>6254</v>
      </c>
      <c r="I1916" s="6">
        <v>13.2051869658951</v>
      </c>
      <c r="J1916" s="6" t="s">
        <v>6254</v>
      </c>
      <c r="K1916" s="6">
        <v>13.200940768155901</v>
      </c>
      <c r="L1916" s="6">
        <v>14.483255407926</v>
      </c>
      <c r="M1916" s="6" t="s">
        <v>6254</v>
      </c>
      <c r="N1916" s="6">
        <v>11.424135079346099</v>
      </c>
      <c r="O1916" s="6" t="s">
        <v>6254</v>
      </c>
      <c r="P1916" s="6">
        <v>13.698768291094799</v>
      </c>
      <c r="Q1916" s="6" t="s">
        <v>6254</v>
      </c>
    </row>
    <row r="1917" spans="1:17">
      <c r="A1917" s="6" t="s">
        <v>11977</v>
      </c>
      <c r="B1917" s="6" t="s">
        <v>11978</v>
      </c>
      <c r="C1917" s="6" t="s">
        <v>11979</v>
      </c>
      <c r="D1917" s="6" t="s">
        <v>11980</v>
      </c>
      <c r="E1917" s="6" t="s">
        <v>11981</v>
      </c>
      <c r="F1917" s="6">
        <v>13.208609367737401</v>
      </c>
      <c r="G1917" s="6">
        <v>12.622203877317</v>
      </c>
      <c r="H1917" s="6">
        <v>12.773886418629999</v>
      </c>
      <c r="I1917" s="6">
        <v>13.2349491510143</v>
      </c>
      <c r="J1917" s="6">
        <v>12.235434867515201</v>
      </c>
      <c r="K1917" s="6">
        <v>12.6528814880377</v>
      </c>
      <c r="L1917" s="6">
        <v>13.4252772197942</v>
      </c>
      <c r="M1917" s="6">
        <v>12.347975171235801</v>
      </c>
      <c r="N1917" s="6">
        <v>13.8104956067986</v>
      </c>
      <c r="O1917" s="6">
        <v>13.340309891827999</v>
      </c>
      <c r="P1917" s="6">
        <v>13.320782199680901</v>
      </c>
      <c r="Q1917" s="6">
        <v>11.254500323300601</v>
      </c>
    </row>
    <row r="1918" spans="1:17">
      <c r="A1918" s="6" t="s">
        <v>11982</v>
      </c>
      <c r="B1918" s="6" t="s">
        <v>11983</v>
      </c>
      <c r="C1918" s="6" t="s">
        <v>11984</v>
      </c>
      <c r="D1918" s="6" t="s">
        <v>11985</v>
      </c>
      <c r="E1918" s="6" t="s">
        <v>11986</v>
      </c>
      <c r="F1918" s="6">
        <v>12.895196668512799</v>
      </c>
      <c r="G1918" s="6">
        <v>12.8245196415637</v>
      </c>
      <c r="H1918" s="6">
        <v>11.8830212676451</v>
      </c>
      <c r="I1918" s="6">
        <v>13.042476794360899</v>
      </c>
      <c r="J1918" s="6" t="s">
        <v>6254</v>
      </c>
      <c r="K1918" s="6">
        <v>12.966478751061301</v>
      </c>
      <c r="L1918" s="6">
        <v>13.5768491502989</v>
      </c>
      <c r="M1918" s="6">
        <v>13.084325183221999</v>
      </c>
      <c r="N1918" s="6">
        <v>12.5753698226832</v>
      </c>
      <c r="O1918" s="6">
        <v>13.1728865179641</v>
      </c>
      <c r="P1918" s="6">
        <v>12.883125564306701</v>
      </c>
      <c r="Q1918" s="6" t="s">
        <v>6254</v>
      </c>
    </row>
    <row r="1919" spans="1:17">
      <c r="A1919" s="6" t="s">
        <v>11987</v>
      </c>
      <c r="B1919" s="6" t="s">
        <v>11987</v>
      </c>
      <c r="C1919" s="6" t="s">
        <v>11987</v>
      </c>
      <c r="D1919" s="6" t="s">
        <v>11987</v>
      </c>
      <c r="E1919" s="6" t="s">
        <v>11987</v>
      </c>
      <c r="F1919" s="6" t="s">
        <v>6254</v>
      </c>
      <c r="G1919" s="6" t="s">
        <v>6254</v>
      </c>
      <c r="H1919" s="6" t="s">
        <v>6254</v>
      </c>
      <c r="I1919" s="6" t="s">
        <v>6254</v>
      </c>
      <c r="J1919" s="6" t="s">
        <v>6254</v>
      </c>
      <c r="K1919" s="6" t="s">
        <v>6254</v>
      </c>
      <c r="L1919" s="6" t="s">
        <v>6254</v>
      </c>
      <c r="M1919" s="6" t="s">
        <v>6254</v>
      </c>
      <c r="N1919" s="6" t="s">
        <v>6254</v>
      </c>
      <c r="O1919" s="6">
        <v>11.196163991658</v>
      </c>
      <c r="P1919" s="6" t="s">
        <v>6254</v>
      </c>
      <c r="Q1919" s="6" t="s">
        <v>6254</v>
      </c>
    </row>
    <row r="1920" spans="1:17">
      <c r="A1920" s="6" t="s">
        <v>3481</v>
      </c>
      <c r="B1920" s="6" t="s">
        <v>3481</v>
      </c>
      <c r="C1920" s="6" t="s">
        <v>11988</v>
      </c>
      <c r="D1920" s="6" t="s">
        <v>11989</v>
      </c>
      <c r="E1920" s="6" t="s">
        <v>11989</v>
      </c>
      <c r="F1920" s="6">
        <v>13.5332115829275</v>
      </c>
      <c r="G1920" s="6">
        <v>13.343710567488801</v>
      </c>
      <c r="H1920" s="6" t="s">
        <v>6254</v>
      </c>
      <c r="I1920" s="6">
        <v>13.3189251968963</v>
      </c>
      <c r="J1920" s="6" t="s">
        <v>6254</v>
      </c>
      <c r="K1920" s="6">
        <v>12.8262218006575</v>
      </c>
      <c r="L1920" s="6">
        <v>13.689274091110001</v>
      </c>
      <c r="M1920" s="6" t="s">
        <v>6254</v>
      </c>
      <c r="N1920" s="6" t="s">
        <v>6254</v>
      </c>
      <c r="O1920" s="6" t="s">
        <v>6254</v>
      </c>
      <c r="P1920" s="6" t="s">
        <v>6254</v>
      </c>
      <c r="Q1920" s="6" t="s">
        <v>6254</v>
      </c>
    </row>
    <row r="1921" spans="1:17">
      <c r="A1921" s="6" t="s">
        <v>6227</v>
      </c>
      <c r="B1921" s="6" t="s">
        <v>6227</v>
      </c>
      <c r="C1921" s="6" t="s">
        <v>11990</v>
      </c>
      <c r="D1921" s="6" t="s">
        <v>11991</v>
      </c>
      <c r="E1921" s="6" t="s">
        <v>11991</v>
      </c>
      <c r="F1921" s="6">
        <v>13.423983203568399</v>
      </c>
      <c r="G1921" s="6">
        <v>12.7153548766032</v>
      </c>
      <c r="H1921" s="6">
        <v>12.5419698491351</v>
      </c>
      <c r="I1921" s="6">
        <v>13.021559044236399</v>
      </c>
      <c r="J1921" s="6">
        <v>12.1448852165373</v>
      </c>
      <c r="K1921" s="6">
        <v>13.107245137899501</v>
      </c>
      <c r="L1921" s="6">
        <v>13.7717721444742</v>
      </c>
      <c r="M1921" s="6">
        <v>12.2590391606791</v>
      </c>
      <c r="N1921" s="6">
        <v>12.0967977811385</v>
      </c>
      <c r="O1921" s="6">
        <v>13.427266096225299</v>
      </c>
      <c r="P1921" s="6">
        <v>13.6476315316984</v>
      </c>
      <c r="Q1921" s="6">
        <v>12.459601645562</v>
      </c>
    </row>
    <row r="1922" spans="1:17">
      <c r="A1922" s="6" t="s">
        <v>11992</v>
      </c>
      <c r="B1922" s="6" t="s">
        <v>11993</v>
      </c>
      <c r="C1922" s="6" t="s">
        <v>11994</v>
      </c>
      <c r="D1922" s="6" t="s">
        <v>11995</v>
      </c>
      <c r="E1922" s="6" t="s">
        <v>11996</v>
      </c>
      <c r="F1922" s="6" t="s">
        <v>6254</v>
      </c>
      <c r="G1922" s="6">
        <v>12.7015209382847</v>
      </c>
      <c r="H1922" s="6">
        <v>12.6151308224779</v>
      </c>
      <c r="I1922" s="6">
        <v>13.589448702638499</v>
      </c>
      <c r="J1922" s="6" t="s">
        <v>6254</v>
      </c>
      <c r="K1922" s="6" t="s">
        <v>6254</v>
      </c>
      <c r="L1922" s="6">
        <v>13.208317759732401</v>
      </c>
      <c r="M1922" s="6" t="s">
        <v>6254</v>
      </c>
      <c r="N1922" s="6" t="s">
        <v>6254</v>
      </c>
      <c r="O1922" s="6">
        <v>13.028943622700201</v>
      </c>
      <c r="P1922" s="6">
        <v>13.3906492440316</v>
      </c>
      <c r="Q1922" s="6" t="s">
        <v>6254</v>
      </c>
    </row>
    <row r="1923" spans="1:17">
      <c r="A1923" s="6" t="s">
        <v>11997</v>
      </c>
      <c r="B1923" s="6" t="s">
        <v>11998</v>
      </c>
      <c r="C1923" s="6" t="s">
        <v>11999</v>
      </c>
      <c r="D1923" s="6" t="s">
        <v>12000</v>
      </c>
      <c r="E1923" s="6" t="s">
        <v>12001</v>
      </c>
      <c r="F1923" s="6">
        <v>12.5143109947028</v>
      </c>
      <c r="G1923" s="6">
        <v>12.8969237198359</v>
      </c>
      <c r="H1923" s="6">
        <v>13.3405721762628</v>
      </c>
      <c r="I1923" s="6">
        <v>13.212530627491001</v>
      </c>
      <c r="J1923" s="6">
        <v>12.1124014085621</v>
      </c>
      <c r="K1923" s="6">
        <v>13.1290514622149</v>
      </c>
      <c r="L1923" s="6">
        <v>13.6356277972514</v>
      </c>
      <c r="M1923" s="6">
        <v>12.8409938052136</v>
      </c>
      <c r="N1923" s="6">
        <v>12.6569062310975</v>
      </c>
      <c r="O1923" s="6">
        <v>13.315004659682</v>
      </c>
      <c r="P1923" s="6">
        <v>13.2357031937106</v>
      </c>
      <c r="Q1923" s="6">
        <v>12.099651349554099</v>
      </c>
    </row>
    <row r="1924" spans="1:17">
      <c r="A1924" s="6" t="s">
        <v>12002</v>
      </c>
      <c r="B1924" s="6" t="s">
        <v>12002</v>
      </c>
      <c r="C1924" s="6" t="s">
        <v>12003</v>
      </c>
      <c r="D1924" s="6" t="s">
        <v>12004</v>
      </c>
      <c r="E1924" s="6" t="s">
        <v>12004</v>
      </c>
      <c r="F1924" s="6" t="s">
        <v>6254</v>
      </c>
      <c r="G1924" s="6" t="s">
        <v>6254</v>
      </c>
      <c r="H1924" s="6">
        <v>12.9972293494714</v>
      </c>
      <c r="I1924" s="6" t="s">
        <v>6254</v>
      </c>
      <c r="J1924" s="6">
        <v>12.184446733558399</v>
      </c>
      <c r="K1924" s="6">
        <v>11.763880063818499</v>
      </c>
      <c r="L1924" s="6">
        <v>13.886713437083399</v>
      </c>
      <c r="M1924" s="6" t="s">
        <v>6254</v>
      </c>
      <c r="N1924" s="6" t="s">
        <v>6254</v>
      </c>
      <c r="O1924" s="6">
        <v>12.0921824661736</v>
      </c>
      <c r="P1924" s="6" t="s">
        <v>6254</v>
      </c>
      <c r="Q1924" s="6" t="s">
        <v>6254</v>
      </c>
    </row>
    <row r="1925" spans="1:17">
      <c r="A1925" s="6" t="s">
        <v>12005</v>
      </c>
      <c r="B1925" s="6" t="s">
        <v>12006</v>
      </c>
      <c r="C1925" s="6" t="s">
        <v>12007</v>
      </c>
      <c r="D1925" s="6" t="s">
        <v>12008</v>
      </c>
      <c r="E1925" s="6" t="s">
        <v>12009</v>
      </c>
      <c r="F1925" s="6" t="s">
        <v>6254</v>
      </c>
      <c r="G1925" s="6">
        <v>13.8116657464564</v>
      </c>
      <c r="H1925" s="6" t="s">
        <v>6254</v>
      </c>
      <c r="I1925" s="6" t="s">
        <v>6254</v>
      </c>
      <c r="J1925" s="6" t="s">
        <v>6254</v>
      </c>
      <c r="K1925" s="6" t="s">
        <v>6254</v>
      </c>
      <c r="L1925" s="6">
        <v>14.2399574556004</v>
      </c>
      <c r="M1925" s="6" t="s">
        <v>6254</v>
      </c>
      <c r="N1925" s="6" t="s">
        <v>6254</v>
      </c>
      <c r="O1925" s="6" t="s">
        <v>6254</v>
      </c>
      <c r="P1925" s="6" t="s">
        <v>6254</v>
      </c>
      <c r="Q1925" s="6" t="s">
        <v>6254</v>
      </c>
    </row>
    <row r="1926" spans="1:17">
      <c r="A1926" s="6" t="s">
        <v>12010</v>
      </c>
      <c r="B1926" s="6" t="s">
        <v>12010</v>
      </c>
      <c r="C1926" s="6" t="s">
        <v>12011</v>
      </c>
      <c r="D1926" s="6" t="s">
        <v>12012</v>
      </c>
      <c r="E1926" s="6" t="s">
        <v>12012</v>
      </c>
      <c r="F1926" s="6">
        <v>13.7393676059479</v>
      </c>
      <c r="G1926" s="6">
        <v>13.6650826325887</v>
      </c>
      <c r="H1926" s="6">
        <v>13.0824539541508</v>
      </c>
      <c r="I1926" s="6">
        <v>13.542813477225801</v>
      </c>
      <c r="J1926" s="6">
        <v>12.405541672185899</v>
      </c>
      <c r="K1926" s="6">
        <v>13.4122264955547</v>
      </c>
      <c r="L1926" s="6">
        <v>13.2509027980777</v>
      </c>
      <c r="M1926" s="6" t="s">
        <v>6254</v>
      </c>
      <c r="N1926" s="6">
        <v>12.499375681750401</v>
      </c>
      <c r="O1926" s="6">
        <v>12.569565212131</v>
      </c>
      <c r="P1926" s="6">
        <v>14.5491785382688</v>
      </c>
      <c r="Q1926" s="6">
        <v>11.806118779587401</v>
      </c>
    </row>
    <row r="1927" spans="1:17">
      <c r="A1927" s="6" t="s">
        <v>12013</v>
      </c>
      <c r="B1927" s="6" t="s">
        <v>12013</v>
      </c>
      <c r="C1927" s="6" t="s">
        <v>12014</v>
      </c>
      <c r="D1927" s="6" t="s">
        <v>12015</v>
      </c>
      <c r="E1927" s="6" t="s">
        <v>12015</v>
      </c>
      <c r="F1927" s="6" t="s">
        <v>6254</v>
      </c>
      <c r="G1927" s="6" t="s">
        <v>6254</v>
      </c>
      <c r="H1927" s="6">
        <v>15.807099775300699</v>
      </c>
      <c r="I1927" s="6">
        <v>11.4290029315924</v>
      </c>
      <c r="J1927" s="6" t="s">
        <v>6254</v>
      </c>
      <c r="K1927" s="6" t="s">
        <v>6254</v>
      </c>
      <c r="L1927" s="6">
        <v>12.8426824242867</v>
      </c>
      <c r="M1927" s="6">
        <v>14.2355091254861</v>
      </c>
      <c r="N1927" s="6" t="s">
        <v>6254</v>
      </c>
      <c r="O1927" s="6" t="s">
        <v>6254</v>
      </c>
      <c r="P1927" s="6" t="s">
        <v>6254</v>
      </c>
      <c r="Q1927" s="6" t="s">
        <v>6254</v>
      </c>
    </row>
    <row r="1928" spans="1:17">
      <c r="A1928" s="6" t="s">
        <v>12016</v>
      </c>
      <c r="B1928" s="6" t="s">
        <v>12017</v>
      </c>
      <c r="C1928" s="6" t="s">
        <v>12018</v>
      </c>
      <c r="D1928" s="6" t="s">
        <v>12019</v>
      </c>
      <c r="E1928" s="6" t="s">
        <v>12020</v>
      </c>
      <c r="F1928" s="6">
        <v>13.6922010014303</v>
      </c>
      <c r="G1928" s="6" t="s">
        <v>6254</v>
      </c>
      <c r="H1928" s="6">
        <v>13.218665741476901</v>
      </c>
      <c r="I1928" s="6">
        <v>13.7386494805711</v>
      </c>
      <c r="J1928" s="6">
        <v>12.464049373331999</v>
      </c>
      <c r="K1928" s="6">
        <v>12.622453891748201</v>
      </c>
      <c r="L1928" s="6">
        <v>13.575523116098701</v>
      </c>
      <c r="M1928" s="6">
        <v>12.339592006873101</v>
      </c>
      <c r="N1928" s="6" t="s">
        <v>6254</v>
      </c>
      <c r="O1928" s="6">
        <v>13.467461650711099</v>
      </c>
      <c r="P1928" s="6">
        <v>12.874954709047699</v>
      </c>
      <c r="Q1928" s="6" t="s">
        <v>6254</v>
      </c>
    </row>
    <row r="1929" spans="1:17">
      <c r="A1929" s="6" t="s">
        <v>3051</v>
      </c>
      <c r="B1929" s="6" t="s">
        <v>3051</v>
      </c>
      <c r="C1929" s="6" t="s">
        <v>12021</v>
      </c>
      <c r="D1929" s="6" t="s">
        <v>12022</v>
      </c>
      <c r="E1929" s="6" t="s">
        <v>12022</v>
      </c>
      <c r="F1929" s="6">
        <v>12.440183240205901</v>
      </c>
      <c r="G1929" s="6" t="s">
        <v>6254</v>
      </c>
      <c r="H1929" s="6">
        <v>13.4114691587294</v>
      </c>
      <c r="I1929" s="6">
        <v>13.526080737709799</v>
      </c>
      <c r="J1929" s="6">
        <v>12.076315211483401</v>
      </c>
      <c r="K1929" s="6">
        <v>11.982125508542</v>
      </c>
      <c r="L1929" s="6">
        <v>14.2400744300241</v>
      </c>
      <c r="M1929" s="6">
        <v>12.287545231293301</v>
      </c>
      <c r="N1929" s="6">
        <v>14.4188357393144</v>
      </c>
      <c r="O1929" s="6">
        <v>12.754304538350601</v>
      </c>
      <c r="P1929" s="6">
        <v>12.1647309518969</v>
      </c>
      <c r="Q1929" s="6" t="s">
        <v>6254</v>
      </c>
    </row>
    <row r="1930" spans="1:17">
      <c r="A1930" s="6" t="s">
        <v>5447</v>
      </c>
      <c r="B1930" s="6" t="s">
        <v>5447</v>
      </c>
      <c r="C1930" s="6" t="s">
        <v>12023</v>
      </c>
      <c r="D1930" s="6" t="s">
        <v>12024</v>
      </c>
      <c r="E1930" s="6" t="s">
        <v>12024</v>
      </c>
      <c r="F1930" s="6">
        <v>13.474010403138699</v>
      </c>
      <c r="G1930" s="6" t="s">
        <v>6254</v>
      </c>
      <c r="H1930" s="6">
        <v>15.1036515591623</v>
      </c>
      <c r="I1930" s="6">
        <v>12.9568842786407</v>
      </c>
      <c r="J1930" s="6">
        <v>12.166348001479999</v>
      </c>
      <c r="K1930" s="6">
        <v>12.837448473216901</v>
      </c>
      <c r="L1930" s="6">
        <v>13.3244852601745</v>
      </c>
      <c r="M1930" s="6" t="s">
        <v>6254</v>
      </c>
      <c r="N1930" s="6">
        <v>12.3625196523741</v>
      </c>
      <c r="O1930" s="6" t="s">
        <v>6254</v>
      </c>
      <c r="P1930" s="6">
        <v>13.172291958944401</v>
      </c>
      <c r="Q1930" s="6" t="s">
        <v>6254</v>
      </c>
    </row>
    <row r="1931" spans="1:17">
      <c r="A1931" s="6" t="s">
        <v>12025</v>
      </c>
      <c r="B1931" s="6" t="s">
        <v>12026</v>
      </c>
      <c r="C1931" s="6" t="s">
        <v>12027</v>
      </c>
      <c r="D1931" s="6" t="s">
        <v>12028</v>
      </c>
      <c r="E1931" s="6" t="s">
        <v>12029</v>
      </c>
      <c r="F1931" s="6">
        <v>13.3152812131445</v>
      </c>
      <c r="G1931" s="6">
        <v>12.0690691729147</v>
      </c>
      <c r="H1931" s="6">
        <v>12.4751059759441</v>
      </c>
      <c r="I1931" s="6">
        <v>14.132710358557899</v>
      </c>
      <c r="J1931" s="6">
        <v>12.209773849623501</v>
      </c>
      <c r="K1931" s="6">
        <v>12.6120705085624</v>
      </c>
      <c r="L1931" s="6">
        <v>13.456624301995699</v>
      </c>
      <c r="M1931" s="6" t="s">
        <v>6254</v>
      </c>
      <c r="N1931" s="6">
        <v>12.754685590027099</v>
      </c>
      <c r="O1931" s="6">
        <v>12.911944217045001</v>
      </c>
      <c r="P1931" s="6">
        <v>13.216263875423699</v>
      </c>
      <c r="Q1931" s="6" t="s">
        <v>6254</v>
      </c>
    </row>
    <row r="1932" spans="1:17">
      <c r="A1932" s="6" t="s">
        <v>4873</v>
      </c>
      <c r="B1932" s="6" t="s">
        <v>4873</v>
      </c>
      <c r="C1932" s="6" t="s">
        <v>12030</v>
      </c>
      <c r="D1932" s="6" t="s">
        <v>12031</v>
      </c>
      <c r="E1932" s="6" t="s">
        <v>12031</v>
      </c>
      <c r="F1932" s="6">
        <v>12.872685628502801</v>
      </c>
      <c r="G1932" s="6">
        <v>12.8006303983199</v>
      </c>
      <c r="H1932" s="6">
        <v>13.125779941433301</v>
      </c>
      <c r="I1932" s="6">
        <v>13.150304632083399</v>
      </c>
      <c r="J1932" s="6">
        <v>13.150468771510701</v>
      </c>
      <c r="K1932" s="6">
        <v>12.844979707162601</v>
      </c>
      <c r="L1932" s="6">
        <v>13.903426374552501</v>
      </c>
      <c r="M1932" s="6">
        <v>11.6702384575577</v>
      </c>
      <c r="N1932" s="6" t="s">
        <v>6254</v>
      </c>
      <c r="O1932" s="6">
        <v>12.8122255124517</v>
      </c>
      <c r="P1932" s="6">
        <v>13.2346199238627</v>
      </c>
      <c r="Q1932" s="6">
        <v>11.4775987678318</v>
      </c>
    </row>
    <row r="1933" spans="1:17">
      <c r="A1933" s="6" t="s">
        <v>4222</v>
      </c>
      <c r="B1933" s="6" t="s">
        <v>4222</v>
      </c>
      <c r="C1933" s="6" t="s">
        <v>12032</v>
      </c>
      <c r="D1933" s="6" t="s">
        <v>12033</v>
      </c>
      <c r="E1933" s="6" t="s">
        <v>12033</v>
      </c>
      <c r="F1933" s="6">
        <v>13.0520776429987</v>
      </c>
      <c r="G1933" s="6">
        <v>13.353095015015599</v>
      </c>
      <c r="H1933" s="6">
        <v>12.546113115626801</v>
      </c>
      <c r="I1933" s="6">
        <v>13.282810198882901</v>
      </c>
      <c r="J1933" s="6">
        <v>12.912149134824499</v>
      </c>
      <c r="K1933" s="6">
        <v>13.014074809452</v>
      </c>
      <c r="L1933" s="6">
        <v>13.105531089797999</v>
      </c>
      <c r="M1933" s="6">
        <v>11.9941328105833</v>
      </c>
      <c r="N1933" s="6" t="s">
        <v>6254</v>
      </c>
      <c r="O1933" s="6">
        <v>13.264503803322899</v>
      </c>
      <c r="P1933" s="6">
        <v>13.0514645990188</v>
      </c>
      <c r="Q1933" s="6" t="s">
        <v>6254</v>
      </c>
    </row>
    <row r="1934" spans="1:17">
      <c r="A1934" s="6" t="s">
        <v>12034</v>
      </c>
      <c r="B1934" s="6" t="s">
        <v>12034</v>
      </c>
      <c r="C1934" s="6" t="s">
        <v>12035</v>
      </c>
      <c r="D1934" s="6" t="s">
        <v>12036</v>
      </c>
      <c r="E1934" s="6" t="s">
        <v>12036</v>
      </c>
      <c r="F1934" s="6" t="s">
        <v>6254</v>
      </c>
      <c r="G1934" s="6">
        <v>12.605910429719399</v>
      </c>
      <c r="H1934" s="6" t="s">
        <v>6254</v>
      </c>
      <c r="I1934" s="6" t="s">
        <v>6254</v>
      </c>
      <c r="J1934" s="6" t="s">
        <v>6254</v>
      </c>
      <c r="K1934" s="6" t="s">
        <v>6254</v>
      </c>
      <c r="L1934" s="6" t="s">
        <v>6254</v>
      </c>
      <c r="M1934" s="6" t="s">
        <v>6254</v>
      </c>
      <c r="N1934" s="6" t="s">
        <v>6254</v>
      </c>
      <c r="O1934" s="6">
        <v>13.1191889709318</v>
      </c>
      <c r="P1934" s="6" t="s">
        <v>6254</v>
      </c>
      <c r="Q1934" s="6">
        <v>11.271483793342099</v>
      </c>
    </row>
    <row r="1935" spans="1:17">
      <c r="A1935" s="6" t="s">
        <v>12037</v>
      </c>
      <c r="B1935" s="6" t="s">
        <v>12037</v>
      </c>
      <c r="C1935" s="6" t="s">
        <v>12038</v>
      </c>
      <c r="D1935" s="6" t="s">
        <v>12039</v>
      </c>
      <c r="E1935" s="6" t="s">
        <v>12039</v>
      </c>
      <c r="F1935" s="6">
        <v>13.156803492212999</v>
      </c>
      <c r="G1935" s="6">
        <v>12.662468232051999</v>
      </c>
      <c r="H1935" s="6" t="s">
        <v>6254</v>
      </c>
      <c r="I1935" s="6">
        <v>13.3385282761807</v>
      </c>
      <c r="J1935" s="6" t="s">
        <v>6254</v>
      </c>
      <c r="K1935" s="6" t="s">
        <v>6254</v>
      </c>
      <c r="L1935" s="6">
        <v>13.0478081593768</v>
      </c>
      <c r="M1935" s="6" t="s">
        <v>6254</v>
      </c>
      <c r="N1935" s="6" t="s">
        <v>6254</v>
      </c>
      <c r="O1935" s="6">
        <v>12.493104009299399</v>
      </c>
      <c r="P1935" s="6" t="s">
        <v>6254</v>
      </c>
      <c r="Q1935" s="6" t="s">
        <v>6254</v>
      </c>
    </row>
    <row r="1936" spans="1:17">
      <c r="A1936" s="6" t="s">
        <v>12040</v>
      </c>
      <c r="B1936" s="6" t="s">
        <v>12040</v>
      </c>
      <c r="C1936" s="6" t="s">
        <v>12040</v>
      </c>
      <c r="D1936" s="6" t="s">
        <v>12040</v>
      </c>
      <c r="E1936" s="6" t="s">
        <v>12040</v>
      </c>
      <c r="F1936" s="6" t="s">
        <v>6254</v>
      </c>
      <c r="G1936" s="6" t="s">
        <v>6254</v>
      </c>
      <c r="H1936" s="6">
        <v>13.1575848255015</v>
      </c>
      <c r="I1936" s="6">
        <v>13.5947410767733</v>
      </c>
      <c r="J1936" s="6">
        <v>12.445554667453999</v>
      </c>
      <c r="K1936" s="6">
        <v>13.970028651507899</v>
      </c>
      <c r="L1936" s="6">
        <v>15.806601137376999</v>
      </c>
      <c r="M1936" s="6">
        <v>13.026233790928799</v>
      </c>
      <c r="N1936" s="6">
        <v>15.190600857439</v>
      </c>
      <c r="O1936" s="6" t="s">
        <v>6254</v>
      </c>
      <c r="P1936" s="6">
        <v>10.623622341144101</v>
      </c>
      <c r="Q1936" s="6" t="s">
        <v>6254</v>
      </c>
    </row>
    <row r="1937" spans="1:17">
      <c r="A1937" s="6" t="s">
        <v>12041</v>
      </c>
      <c r="B1937" s="6" t="s">
        <v>12042</v>
      </c>
      <c r="C1937" s="6" t="s">
        <v>12043</v>
      </c>
      <c r="D1937" s="6" t="s">
        <v>12044</v>
      </c>
      <c r="E1937" s="6" t="s">
        <v>12045</v>
      </c>
      <c r="F1937" s="6">
        <v>13.2278528193374</v>
      </c>
      <c r="G1937" s="6">
        <v>12.662596509277799</v>
      </c>
      <c r="H1937" s="6">
        <v>13.197206466864101</v>
      </c>
      <c r="I1937" s="6">
        <v>13.9663275409366</v>
      </c>
      <c r="J1937" s="6">
        <v>12.716048428564401</v>
      </c>
      <c r="K1937" s="6">
        <v>13.297981982797101</v>
      </c>
      <c r="L1937" s="6">
        <v>13.8465233414347</v>
      </c>
      <c r="M1937" s="6">
        <v>11.0509478962937</v>
      </c>
      <c r="N1937" s="6">
        <v>14.2779098361662</v>
      </c>
      <c r="O1937" s="6">
        <v>11.4461210553073</v>
      </c>
      <c r="P1937" s="6">
        <v>13.221429507594401</v>
      </c>
      <c r="Q1937" s="6" t="s">
        <v>6254</v>
      </c>
    </row>
    <row r="1938" spans="1:17">
      <c r="A1938" s="6" t="s">
        <v>3270</v>
      </c>
      <c r="B1938" s="6" t="s">
        <v>3270</v>
      </c>
      <c r="C1938" s="6" t="s">
        <v>12046</v>
      </c>
      <c r="D1938" s="6" t="s">
        <v>12047</v>
      </c>
      <c r="E1938" s="6" t="s">
        <v>12047</v>
      </c>
      <c r="F1938" s="6">
        <v>14.025165805464001</v>
      </c>
      <c r="G1938" s="6">
        <v>13.680029646103501</v>
      </c>
      <c r="H1938" s="6">
        <v>11.722549921414499</v>
      </c>
      <c r="I1938" s="6">
        <v>13.8766377995001</v>
      </c>
      <c r="J1938" s="6" t="s">
        <v>6254</v>
      </c>
      <c r="K1938" s="6">
        <v>12.2808386110617</v>
      </c>
      <c r="L1938" s="6">
        <v>13.546932068535799</v>
      </c>
      <c r="M1938" s="6">
        <v>12.3036516490486</v>
      </c>
      <c r="N1938" s="6">
        <v>12.842883498818599</v>
      </c>
      <c r="O1938" s="6">
        <v>13.664917968921401</v>
      </c>
      <c r="P1938" s="6">
        <v>13.2562809577803</v>
      </c>
      <c r="Q1938" s="6" t="s">
        <v>6254</v>
      </c>
    </row>
    <row r="1939" spans="1:17">
      <c r="A1939" s="6" t="s">
        <v>12048</v>
      </c>
      <c r="B1939" s="6" t="s">
        <v>12049</v>
      </c>
      <c r="C1939" s="6" t="s">
        <v>12050</v>
      </c>
      <c r="D1939" s="6" t="s">
        <v>12051</v>
      </c>
      <c r="E1939" s="6" t="s">
        <v>12052</v>
      </c>
      <c r="F1939" s="6">
        <v>12.0403643264893</v>
      </c>
      <c r="G1939" s="6" t="s">
        <v>6254</v>
      </c>
      <c r="H1939" s="6">
        <v>12.828553029510701</v>
      </c>
      <c r="I1939" s="6">
        <v>13.6548540562212</v>
      </c>
      <c r="J1939" s="6">
        <v>8.7812118070132801</v>
      </c>
      <c r="K1939" s="6" t="s">
        <v>6254</v>
      </c>
      <c r="L1939" s="6">
        <v>12.845144957458899</v>
      </c>
      <c r="M1939" s="6" t="s">
        <v>6254</v>
      </c>
      <c r="N1939" s="6" t="s">
        <v>6254</v>
      </c>
      <c r="O1939" s="6">
        <v>13.1051850183659</v>
      </c>
      <c r="P1939" s="6">
        <v>12.8929696238816</v>
      </c>
      <c r="Q1939" s="6" t="s">
        <v>6254</v>
      </c>
    </row>
    <row r="1940" spans="1:17">
      <c r="A1940" s="6" t="s">
        <v>12053</v>
      </c>
      <c r="B1940" s="6" t="s">
        <v>12054</v>
      </c>
      <c r="C1940" s="6" t="s">
        <v>12055</v>
      </c>
      <c r="D1940" s="6" t="s">
        <v>12056</v>
      </c>
      <c r="E1940" s="6" t="s">
        <v>12057</v>
      </c>
      <c r="F1940" s="6">
        <v>13.721593514016501</v>
      </c>
      <c r="G1940" s="6">
        <v>13.7141785316248</v>
      </c>
      <c r="H1940" s="6">
        <v>13.0481548098552</v>
      </c>
      <c r="I1940" s="6">
        <v>13.561408646619601</v>
      </c>
      <c r="J1940" s="6">
        <v>12.283397257216601</v>
      </c>
      <c r="K1940" s="6">
        <v>12.4088596082913</v>
      </c>
      <c r="L1940" s="6">
        <v>13.6262590291488</v>
      </c>
      <c r="M1940" s="6">
        <v>11.652769685010799</v>
      </c>
      <c r="N1940" s="6">
        <v>12.2117453424695</v>
      </c>
      <c r="O1940" s="6">
        <v>13.580067516043201</v>
      </c>
      <c r="P1940" s="6">
        <v>12.728832038361899</v>
      </c>
      <c r="Q1940" s="6">
        <v>11.709498484905801</v>
      </c>
    </row>
    <row r="1941" spans="1:17">
      <c r="A1941" s="6" t="s">
        <v>12058</v>
      </c>
      <c r="B1941" s="6" t="s">
        <v>12059</v>
      </c>
      <c r="C1941" s="6" t="s">
        <v>12060</v>
      </c>
      <c r="D1941" s="6" t="s">
        <v>12061</v>
      </c>
      <c r="E1941" s="6" t="s">
        <v>12062</v>
      </c>
      <c r="F1941" s="6">
        <v>13.665911356292</v>
      </c>
      <c r="G1941" s="6">
        <v>12.4948320944412</v>
      </c>
      <c r="H1941" s="6">
        <v>12.7531545027547</v>
      </c>
      <c r="I1941" s="6">
        <v>14.097297405459001</v>
      </c>
      <c r="J1941" s="6">
        <v>12.4605923588501</v>
      </c>
      <c r="K1941" s="6">
        <v>13.115108264230599</v>
      </c>
      <c r="L1941" s="6">
        <v>13.151048110450899</v>
      </c>
      <c r="M1941" s="6">
        <v>12.0067252069628</v>
      </c>
      <c r="N1941" s="6">
        <v>12.629315267852601</v>
      </c>
      <c r="O1941" s="6">
        <v>13.510657937373599</v>
      </c>
      <c r="P1941" s="6">
        <v>13.576013637965699</v>
      </c>
      <c r="Q1941" s="6">
        <v>11.6719017972827</v>
      </c>
    </row>
    <row r="1942" spans="1:17">
      <c r="A1942" s="6" t="s">
        <v>12063</v>
      </c>
      <c r="B1942" s="6" t="s">
        <v>12063</v>
      </c>
      <c r="C1942" s="6" t="s">
        <v>12064</v>
      </c>
      <c r="D1942" s="6" t="s">
        <v>12065</v>
      </c>
      <c r="E1942" s="6" t="s">
        <v>12065</v>
      </c>
      <c r="F1942" s="6">
        <v>13.1080654062494</v>
      </c>
      <c r="G1942" s="6" t="s">
        <v>6254</v>
      </c>
      <c r="H1942" s="6" t="s">
        <v>6254</v>
      </c>
      <c r="I1942" s="6">
        <v>13.602224264402301</v>
      </c>
      <c r="J1942" s="6" t="s">
        <v>6254</v>
      </c>
      <c r="K1942" s="6">
        <v>12.631294478794</v>
      </c>
      <c r="L1942" s="6">
        <v>12.8679485467154</v>
      </c>
      <c r="M1942" s="6" t="s">
        <v>6254</v>
      </c>
      <c r="N1942" s="6" t="s">
        <v>6254</v>
      </c>
      <c r="O1942" s="6">
        <v>12.6079095610229</v>
      </c>
      <c r="P1942" s="6">
        <v>13.004481953067399</v>
      </c>
      <c r="Q1942" s="6" t="s">
        <v>6254</v>
      </c>
    </row>
    <row r="1943" spans="1:17">
      <c r="A1943" s="6" t="s">
        <v>12066</v>
      </c>
      <c r="B1943" s="6" t="s">
        <v>12067</v>
      </c>
      <c r="C1943" s="6" t="s">
        <v>12068</v>
      </c>
      <c r="D1943" s="6" t="s">
        <v>12069</v>
      </c>
      <c r="E1943" s="6" t="s">
        <v>12070</v>
      </c>
      <c r="F1943" s="6">
        <v>13.745488906</v>
      </c>
      <c r="G1943" s="6">
        <v>12.8133628089266</v>
      </c>
      <c r="H1943" s="6">
        <v>13.3860229116934</v>
      </c>
      <c r="I1943" s="6">
        <v>13.254562758401899</v>
      </c>
      <c r="J1943" s="6">
        <v>12.8604390464098</v>
      </c>
      <c r="K1943" s="6">
        <v>13.006526247110401</v>
      </c>
      <c r="L1943" s="6">
        <v>12.810250469906499</v>
      </c>
      <c r="M1943" s="6">
        <v>12.2817906989909</v>
      </c>
      <c r="N1943" s="6">
        <v>13.791064138904501</v>
      </c>
      <c r="O1943" s="6">
        <v>12.8847808699196</v>
      </c>
      <c r="P1943" s="6">
        <v>13.0586201910718</v>
      </c>
      <c r="Q1943" s="6" t="s">
        <v>6254</v>
      </c>
    </row>
    <row r="1944" spans="1:17">
      <c r="A1944" s="6" t="s">
        <v>12071</v>
      </c>
      <c r="B1944" s="6" t="s">
        <v>12072</v>
      </c>
      <c r="C1944" s="6" t="s">
        <v>12073</v>
      </c>
      <c r="D1944" s="6" t="s">
        <v>12074</v>
      </c>
      <c r="E1944" s="6" t="s">
        <v>12075</v>
      </c>
      <c r="F1944" s="6">
        <v>13.4008327171115</v>
      </c>
      <c r="G1944" s="6">
        <v>12.7424290240294</v>
      </c>
      <c r="H1944" s="6" t="s">
        <v>6254</v>
      </c>
      <c r="I1944" s="6">
        <v>13.5598321954499</v>
      </c>
      <c r="J1944" s="6">
        <v>12.1713749735072</v>
      </c>
      <c r="K1944" s="6" t="s">
        <v>6254</v>
      </c>
      <c r="L1944" s="6">
        <v>13.343560872631899</v>
      </c>
      <c r="M1944" s="6" t="s">
        <v>6254</v>
      </c>
      <c r="N1944" s="6" t="s">
        <v>6254</v>
      </c>
      <c r="O1944" s="6">
        <v>12.994674315394599</v>
      </c>
      <c r="P1944" s="6">
        <v>13.163727596456001</v>
      </c>
      <c r="Q1944" s="6">
        <v>12.2584895767041</v>
      </c>
    </row>
    <row r="1945" spans="1:17">
      <c r="A1945" s="6" t="s">
        <v>12076</v>
      </c>
      <c r="B1945" s="6" t="s">
        <v>12077</v>
      </c>
      <c r="C1945" s="6" t="s">
        <v>12078</v>
      </c>
      <c r="D1945" s="6" t="s">
        <v>12079</v>
      </c>
      <c r="E1945" s="6" t="s">
        <v>12080</v>
      </c>
      <c r="F1945" s="6">
        <v>13.722369810601201</v>
      </c>
      <c r="G1945" s="6" t="s">
        <v>6254</v>
      </c>
      <c r="H1945" s="6" t="s">
        <v>6254</v>
      </c>
      <c r="I1945" s="6">
        <v>13.4703954338642</v>
      </c>
      <c r="J1945" s="6">
        <v>11.3945988770346</v>
      </c>
      <c r="K1945" s="6">
        <v>12.715207379264699</v>
      </c>
      <c r="L1945" s="6" t="s">
        <v>6254</v>
      </c>
      <c r="M1945" s="6" t="s">
        <v>6254</v>
      </c>
      <c r="N1945" s="6">
        <v>12.4962907251885</v>
      </c>
      <c r="O1945" s="6">
        <v>13.875260718068599</v>
      </c>
      <c r="P1945" s="6">
        <v>12.5355862720341</v>
      </c>
      <c r="Q1945" s="6">
        <v>11.9386564917128</v>
      </c>
    </row>
    <row r="1946" spans="1:17">
      <c r="A1946" s="6" t="s">
        <v>4643</v>
      </c>
      <c r="B1946" s="6" t="s">
        <v>4643</v>
      </c>
      <c r="C1946" s="6" t="s">
        <v>12081</v>
      </c>
      <c r="D1946" s="6" t="s">
        <v>12082</v>
      </c>
      <c r="E1946" s="6" t="s">
        <v>12082</v>
      </c>
      <c r="F1946" s="6">
        <v>13.158061093201001</v>
      </c>
      <c r="G1946" s="6">
        <v>11.9844050102141</v>
      </c>
      <c r="H1946" s="6" t="s">
        <v>6254</v>
      </c>
      <c r="I1946" s="6">
        <v>13.381377862568399</v>
      </c>
      <c r="J1946" s="6">
        <v>11.8329415340159</v>
      </c>
      <c r="K1946" s="6">
        <v>12.683010249212201</v>
      </c>
      <c r="L1946" s="6">
        <v>13.4949535996282</v>
      </c>
      <c r="M1946" s="6">
        <v>12.9571382061258</v>
      </c>
      <c r="N1946" s="6">
        <v>13.7253352483943</v>
      </c>
      <c r="O1946" s="6">
        <v>12.826419935305299</v>
      </c>
      <c r="P1946" s="6">
        <v>12.940208365939901</v>
      </c>
      <c r="Q1946" s="6" t="s">
        <v>6254</v>
      </c>
    </row>
    <row r="1947" spans="1:17">
      <c r="A1947" s="6" t="s">
        <v>12083</v>
      </c>
      <c r="B1947" s="6" t="s">
        <v>12083</v>
      </c>
      <c r="C1947" s="6" t="s">
        <v>12084</v>
      </c>
      <c r="D1947" s="6" t="s">
        <v>12085</v>
      </c>
      <c r="E1947" s="6" t="s">
        <v>12085</v>
      </c>
      <c r="F1947" s="6" t="s">
        <v>6254</v>
      </c>
      <c r="G1947" s="6" t="s">
        <v>6254</v>
      </c>
      <c r="H1947" s="6" t="s">
        <v>6254</v>
      </c>
      <c r="I1947" s="6">
        <v>12.864241000043499</v>
      </c>
      <c r="J1947" s="6" t="s">
        <v>6254</v>
      </c>
      <c r="K1947" s="6" t="s">
        <v>6254</v>
      </c>
      <c r="L1947" s="6">
        <v>13.790350722607799</v>
      </c>
      <c r="M1947" s="6" t="s">
        <v>6254</v>
      </c>
      <c r="N1947" s="6" t="s">
        <v>6254</v>
      </c>
      <c r="O1947" s="6" t="s">
        <v>6254</v>
      </c>
      <c r="P1947" s="6" t="s">
        <v>6254</v>
      </c>
      <c r="Q1947" s="6" t="s">
        <v>6254</v>
      </c>
    </row>
    <row r="1948" spans="1:17">
      <c r="A1948" s="6" t="s">
        <v>4194</v>
      </c>
      <c r="B1948" s="6" t="s">
        <v>4194</v>
      </c>
      <c r="C1948" s="6" t="s">
        <v>12086</v>
      </c>
      <c r="D1948" s="6" t="s">
        <v>12087</v>
      </c>
      <c r="E1948" s="6" t="s">
        <v>12087</v>
      </c>
      <c r="F1948" s="6" t="s">
        <v>6254</v>
      </c>
      <c r="G1948" s="6" t="s">
        <v>6254</v>
      </c>
      <c r="H1948" s="6">
        <v>13.0386691568266</v>
      </c>
      <c r="I1948" s="6">
        <v>13.430421642888399</v>
      </c>
      <c r="J1948" s="6" t="s">
        <v>6254</v>
      </c>
      <c r="K1948" s="6">
        <v>12.972766422782099</v>
      </c>
      <c r="L1948" s="6">
        <v>13.2109429656717</v>
      </c>
      <c r="M1948" s="6" t="s">
        <v>6254</v>
      </c>
      <c r="N1948" s="6" t="s">
        <v>6254</v>
      </c>
      <c r="O1948" s="6">
        <v>13.404054415815899</v>
      </c>
      <c r="P1948" s="6">
        <v>13.221850576619399</v>
      </c>
      <c r="Q1948" s="6" t="s">
        <v>6254</v>
      </c>
    </row>
    <row r="1949" spans="1:17">
      <c r="A1949" s="6" t="s">
        <v>12088</v>
      </c>
      <c r="B1949" s="6" t="s">
        <v>12089</v>
      </c>
      <c r="C1949" s="6" t="s">
        <v>12090</v>
      </c>
      <c r="D1949" s="6" t="s">
        <v>12091</v>
      </c>
      <c r="E1949" s="6" t="s">
        <v>12092</v>
      </c>
      <c r="F1949" s="6">
        <v>13.139617146014601</v>
      </c>
      <c r="G1949" s="6">
        <v>12.6023004390666</v>
      </c>
      <c r="H1949" s="6">
        <v>12.585746344638601</v>
      </c>
      <c r="I1949" s="6">
        <v>13.6603273798492</v>
      </c>
      <c r="J1949" s="6" t="s">
        <v>6254</v>
      </c>
      <c r="K1949" s="6" t="s">
        <v>6254</v>
      </c>
      <c r="L1949" s="6">
        <v>13.4684995572975</v>
      </c>
      <c r="M1949" s="6" t="s">
        <v>6254</v>
      </c>
      <c r="N1949" s="6">
        <v>12.8365277126523</v>
      </c>
      <c r="O1949" s="6">
        <v>13.049288449549399</v>
      </c>
      <c r="P1949" s="6">
        <v>12.924662425292199</v>
      </c>
      <c r="Q1949" s="6">
        <v>10.826275009794999</v>
      </c>
    </row>
    <row r="1950" spans="1:17">
      <c r="A1950" s="6" t="s">
        <v>4402</v>
      </c>
      <c r="B1950" s="6" t="s">
        <v>4402</v>
      </c>
      <c r="C1950" s="6" t="s">
        <v>12093</v>
      </c>
      <c r="D1950" s="6" t="s">
        <v>12094</v>
      </c>
      <c r="E1950" s="6" t="s">
        <v>12094</v>
      </c>
      <c r="F1950" s="6">
        <v>13.6573471723475</v>
      </c>
      <c r="G1950" s="6" t="s">
        <v>6254</v>
      </c>
      <c r="H1950" s="6">
        <v>12.8295061880834</v>
      </c>
      <c r="I1950" s="6">
        <v>13.6054625946052</v>
      </c>
      <c r="J1950" s="6">
        <v>12.6695377723895</v>
      </c>
      <c r="K1950" s="6">
        <v>12.5708201491836</v>
      </c>
      <c r="L1950" s="6" t="s">
        <v>6254</v>
      </c>
      <c r="M1950" s="6">
        <v>11.8926692623055</v>
      </c>
      <c r="N1950" s="6">
        <v>13.4226454619747</v>
      </c>
      <c r="O1950" s="6">
        <v>13.252946272570901</v>
      </c>
      <c r="P1950" s="6" t="s">
        <v>6254</v>
      </c>
      <c r="Q1950" s="6" t="s">
        <v>6254</v>
      </c>
    </row>
    <row r="1951" spans="1:17">
      <c r="A1951" s="6" t="s">
        <v>12095</v>
      </c>
      <c r="B1951" s="6" t="s">
        <v>12095</v>
      </c>
      <c r="C1951" s="6" t="s">
        <v>12096</v>
      </c>
      <c r="D1951" s="6" t="s">
        <v>12097</v>
      </c>
      <c r="E1951" s="6" t="s">
        <v>12097</v>
      </c>
      <c r="F1951" s="6">
        <v>14.0105974479011</v>
      </c>
      <c r="G1951" s="6">
        <v>12.5772894955743</v>
      </c>
      <c r="H1951" s="6">
        <v>12.546201872328499</v>
      </c>
      <c r="I1951" s="6">
        <v>13.385056566536299</v>
      </c>
      <c r="J1951" s="6" t="s">
        <v>6254</v>
      </c>
      <c r="K1951" s="6">
        <v>12.3664223697639</v>
      </c>
      <c r="L1951" s="6">
        <v>13.3435302913973</v>
      </c>
      <c r="M1951" s="6" t="s">
        <v>6254</v>
      </c>
      <c r="N1951" s="6" t="s">
        <v>6254</v>
      </c>
      <c r="O1951" s="6">
        <v>13.1571383579558</v>
      </c>
      <c r="P1951" s="6">
        <v>12.3429402066725</v>
      </c>
      <c r="Q1951" s="6" t="s">
        <v>6254</v>
      </c>
    </row>
    <row r="1952" spans="1:17">
      <c r="A1952" s="6" t="s">
        <v>12098</v>
      </c>
      <c r="B1952" s="6" t="s">
        <v>12099</v>
      </c>
      <c r="C1952" s="6" t="s">
        <v>12100</v>
      </c>
      <c r="D1952" s="6" t="s">
        <v>12101</v>
      </c>
      <c r="E1952" s="6" t="s">
        <v>12102</v>
      </c>
      <c r="F1952" s="6">
        <v>12.982608074284</v>
      </c>
      <c r="G1952" s="6">
        <v>12.2135013103665</v>
      </c>
      <c r="H1952" s="6">
        <v>12.5696470519838</v>
      </c>
      <c r="I1952" s="6">
        <v>13.857255533676501</v>
      </c>
      <c r="J1952" s="6">
        <v>11.315621491859201</v>
      </c>
      <c r="K1952" s="6">
        <v>15.8365098901265</v>
      </c>
      <c r="L1952" s="6">
        <v>13.3454199635456</v>
      </c>
      <c r="M1952" s="6" t="s">
        <v>6254</v>
      </c>
      <c r="N1952" s="6" t="s">
        <v>6254</v>
      </c>
      <c r="O1952" s="6">
        <v>12.921203322958901</v>
      </c>
      <c r="P1952" s="6">
        <v>13.021679016274</v>
      </c>
      <c r="Q1952" s="6" t="s">
        <v>6254</v>
      </c>
    </row>
    <row r="1953" spans="1:17">
      <c r="A1953" s="6" t="s">
        <v>12103</v>
      </c>
      <c r="B1953" s="6" t="s">
        <v>12104</v>
      </c>
      <c r="C1953" s="6" t="s">
        <v>12105</v>
      </c>
      <c r="D1953" s="6" t="s">
        <v>12106</v>
      </c>
      <c r="E1953" s="6" t="s">
        <v>12107</v>
      </c>
      <c r="F1953" s="6">
        <v>13.129160748355099</v>
      </c>
      <c r="G1953" s="6">
        <v>12.541615897849001</v>
      </c>
      <c r="H1953" s="6">
        <v>12.581975991809999</v>
      </c>
      <c r="I1953" s="6">
        <v>13.3735813858851</v>
      </c>
      <c r="J1953" s="6">
        <v>12.022867389573401</v>
      </c>
      <c r="K1953" s="6">
        <v>12.612428089690299</v>
      </c>
      <c r="L1953" s="6">
        <v>13.4428905976658</v>
      </c>
      <c r="M1953" s="6">
        <v>12.018633644188199</v>
      </c>
      <c r="N1953" s="6">
        <v>13.476232950924899</v>
      </c>
      <c r="O1953" s="6">
        <v>13.2295342731798</v>
      </c>
      <c r="P1953" s="6">
        <v>13.3353332072268</v>
      </c>
      <c r="Q1953" s="6">
        <v>11.163505937225001</v>
      </c>
    </row>
    <row r="1954" spans="1:17">
      <c r="A1954" s="6" t="s">
        <v>12108</v>
      </c>
      <c r="B1954" s="6" t="s">
        <v>12109</v>
      </c>
      <c r="C1954" s="6" t="s">
        <v>12110</v>
      </c>
      <c r="D1954" s="6" t="s">
        <v>12111</v>
      </c>
      <c r="E1954" s="6" t="s">
        <v>12112</v>
      </c>
      <c r="F1954" s="6">
        <v>13.172776785719099</v>
      </c>
      <c r="G1954" s="6">
        <v>12.882162203819799</v>
      </c>
      <c r="H1954" s="6">
        <v>13.029704337756501</v>
      </c>
      <c r="I1954" s="6">
        <v>13.4442053059591</v>
      </c>
      <c r="J1954" s="6">
        <v>12.4857442849768</v>
      </c>
      <c r="K1954" s="6">
        <v>12.835853662041</v>
      </c>
      <c r="L1954" s="6">
        <v>13.1174780547826</v>
      </c>
      <c r="M1954" s="6">
        <v>12.8554329248188</v>
      </c>
      <c r="N1954" s="6">
        <v>12.6174636620967</v>
      </c>
      <c r="O1954" s="6">
        <v>13.0651772866677</v>
      </c>
      <c r="P1954" s="6">
        <v>13.0069739219621</v>
      </c>
      <c r="Q1954" s="6" t="s">
        <v>6254</v>
      </c>
    </row>
    <row r="1955" spans="1:17">
      <c r="A1955" s="6" t="s">
        <v>12113</v>
      </c>
      <c r="B1955" s="6" t="s">
        <v>12114</v>
      </c>
      <c r="C1955" s="6" t="s">
        <v>12115</v>
      </c>
      <c r="D1955" s="6" t="s">
        <v>12116</v>
      </c>
      <c r="E1955" s="6" t="s">
        <v>12117</v>
      </c>
      <c r="F1955" s="6" t="s">
        <v>6254</v>
      </c>
      <c r="G1955" s="6">
        <v>13.077839553157199</v>
      </c>
      <c r="H1955" s="6">
        <v>12.6085552779287</v>
      </c>
      <c r="I1955" s="6" t="s">
        <v>6254</v>
      </c>
      <c r="J1955" s="6" t="s">
        <v>6254</v>
      </c>
      <c r="K1955" s="6" t="s">
        <v>6254</v>
      </c>
      <c r="L1955" s="6">
        <v>13.1106818503198</v>
      </c>
      <c r="M1955" s="6" t="s">
        <v>6254</v>
      </c>
      <c r="N1955" s="6" t="s">
        <v>6254</v>
      </c>
      <c r="O1955" s="6" t="s">
        <v>6254</v>
      </c>
      <c r="P1955" s="6" t="s">
        <v>6254</v>
      </c>
      <c r="Q1955" s="6" t="s">
        <v>6254</v>
      </c>
    </row>
    <row r="1956" spans="1:17">
      <c r="A1956" s="6" t="s">
        <v>12118</v>
      </c>
      <c r="B1956" s="6" t="s">
        <v>12118</v>
      </c>
      <c r="C1956" s="6" t="s">
        <v>12119</v>
      </c>
      <c r="D1956" s="6" t="s">
        <v>12120</v>
      </c>
      <c r="E1956" s="6" t="s">
        <v>12120</v>
      </c>
      <c r="F1956" s="6">
        <v>13.5717259330953</v>
      </c>
      <c r="G1956" s="6">
        <v>12.730408185805199</v>
      </c>
      <c r="H1956" s="6">
        <v>12.0572263550296</v>
      </c>
      <c r="I1956" s="6">
        <v>13.274141651293901</v>
      </c>
      <c r="J1956" s="6" t="s">
        <v>6254</v>
      </c>
      <c r="K1956" s="6" t="s">
        <v>6254</v>
      </c>
      <c r="L1956" s="6">
        <v>13.7076992319457</v>
      </c>
      <c r="M1956" s="6">
        <v>12.1520795852179</v>
      </c>
      <c r="N1956" s="6">
        <v>13.1336753582627</v>
      </c>
      <c r="O1956" s="6">
        <v>13.0328924533896</v>
      </c>
      <c r="P1956" s="6">
        <v>12.6815868937421</v>
      </c>
      <c r="Q1956" s="6" t="s">
        <v>6254</v>
      </c>
    </row>
    <row r="1957" spans="1:17">
      <c r="A1957" s="6" t="s">
        <v>12121</v>
      </c>
      <c r="B1957" s="6" t="s">
        <v>12121</v>
      </c>
      <c r="C1957" s="6" t="s">
        <v>12122</v>
      </c>
      <c r="D1957" s="6" t="s">
        <v>12123</v>
      </c>
      <c r="E1957" s="6" t="s">
        <v>12123</v>
      </c>
      <c r="F1957" s="6" t="s">
        <v>6254</v>
      </c>
      <c r="G1957" s="6">
        <v>11.7606579859142</v>
      </c>
      <c r="H1957" s="6" t="s">
        <v>6254</v>
      </c>
      <c r="I1957" s="6">
        <v>12.285644250471799</v>
      </c>
      <c r="J1957" s="6">
        <v>12.675892922183801</v>
      </c>
      <c r="K1957" s="6">
        <v>14.0394963773676</v>
      </c>
      <c r="L1957" s="6">
        <v>13.989039217769699</v>
      </c>
      <c r="M1957" s="6">
        <v>12.9310830134509</v>
      </c>
      <c r="N1957" s="6" t="s">
        <v>6254</v>
      </c>
      <c r="O1957" s="6">
        <v>13.5367494675831</v>
      </c>
      <c r="P1957" s="6" t="s">
        <v>6254</v>
      </c>
      <c r="Q1957" s="6" t="s">
        <v>6254</v>
      </c>
    </row>
    <row r="1958" spans="1:17">
      <c r="A1958" s="6" t="s">
        <v>12124</v>
      </c>
      <c r="B1958" s="6" t="s">
        <v>12124</v>
      </c>
      <c r="C1958" s="6" t="s">
        <v>12125</v>
      </c>
      <c r="D1958" s="6" t="s">
        <v>12126</v>
      </c>
      <c r="E1958" s="6" t="s">
        <v>12126</v>
      </c>
      <c r="F1958" s="6">
        <v>12.381870582004501</v>
      </c>
      <c r="G1958" s="6" t="s">
        <v>6254</v>
      </c>
      <c r="H1958" s="6" t="s">
        <v>6254</v>
      </c>
      <c r="I1958" s="6">
        <v>12.593057717502999</v>
      </c>
      <c r="J1958" s="6" t="s">
        <v>6254</v>
      </c>
      <c r="K1958" s="6" t="s">
        <v>6254</v>
      </c>
      <c r="L1958" s="6">
        <v>13.876244823883001</v>
      </c>
      <c r="M1958" s="6" t="s">
        <v>6254</v>
      </c>
      <c r="N1958" s="6" t="s">
        <v>6254</v>
      </c>
      <c r="O1958" s="6">
        <v>13.3572366529975</v>
      </c>
      <c r="P1958" s="6" t="s">
        <v>6254</v>
      </c>
      <c r="Q1958" s="6" t="s">
        <v>6254</v>
      </c>
    </row>
    <row r="1959" spans="1:17">
      <c r="A1959" s="6" t="s">
        <v>12127</v>
      </c>
      <c r="B1959" s="6" t="s">
        <v>12127</v>
      </c>
      <c r="C1959" s="6" t="s">
        <v>12128</v>
      </c>
      <c r="D1959" s="6" t="s">
        <v>12129</v>
      </c>
      <c r="E1959" s="6" t="s">
        <v>12129</v>
      </c>
      <c r="F1959" s="6">
        <v>13.1674082691408</v>
      </c>
      <c r="G1959" s="6">
        <v>12.9631991691896</v>
      </c>
      <c r="H1959" s="6">
        <v>12.9944364820131</v>
      </c>
      <c r="I1959" s="6">
        <v>13.936278050832099</v>
      </c>
      <c r="J1959" s="6">
        <v>12.2778002960001</v>
      </c>
      <c r="K1959" s="6">
        <v>13.0944714254556</v>
      </c>
      <c r="L1959" s="6">
        <v>13.593595507454699</v>
      </c>
      <c r="M1959" s="6">
        <v>12.0255741428984</v>
      </c>
      <c r="N1959" s="6">
        <v>12.265265316762999</v>
      </c>
      <c r="O1959" s="6">
        <v>12.985474213353299</v>
      </c>
      <c r="P1959" s="6">
        <v>12.900956636404601</v>
      </c>
      <c r="Q1959" s="6">
        <v>11.943197605494399</v>
      </c>
    </row>
    <row r="1960" spans="1:17">
      <c r="A1960" s="6" t="s">
        <v>1826</v>
      </c>
      <c r="B1960" s="6" t="s">
        <v>1828</v>
      </c>
      <c r="C1960" s="6" t="s">
        <v>12130</v>
      </c>
      <c r="D1960" s="6" t="s">
        <v>12131</v>
      </c>
      <c r="E1960" s="6" t="s">
        <v>12132</v>
      </c>
      <c r="F1960" s="6">
        <v>12.399120604722301</v>
      </c>
      <c r="G1960" s="6" t="s">
        <v>6254</v>
      </c>
      <c r="H1960" s="6">
        <v>12.423286710582101</v>
      </c>
      <c r="I1960" s="6">
        <v>13.243875059813901</v>
      </c>
      <c r="J1960" s="6" t="s">
        <v>6254</v>
      </c>
      <c r="K1960" s="6">
        <v>12.3594353678192</v>
      </c>
      <c r="L1960" s="6">
        <v>13.7961407346203</v>
      </c>
      <c r="M1960" s="6" t="s">
        <v>6254</v>
      </c>
      <c r="N1960" s="6">
        <v>12.4009041213787</v>
      </c>
      <c r="O1960" s="6">
        <v>12.7251063385939</v>
      </c>
      <c r="P1960" s="6" t="s">
        <v>6254</v>
      </c>
      <c r="Q1960" s="6">
        <v>11.6079497440249</v>
      </c>
    </row>
    <row r="1961" spans="1:17">
      <c r="A1961" s="6" t="s">
        <v>3192</v>
      </c>
      <c r="B1961" s="6" t="s">
        <v>3192</v>
      </c>
      <c r="C1961" s="6" t="s">
        <v>12133</v>
      </c>
      <c r="D1961" s="6" t="s">
        <v>12134</v>
      </c>
      <c r="E1961" s="6" t="s">
        <v>12134</v>
      </c>
      <c r="F1961" s="6">
        <v>13.4761590345722</v>
      </c>
      <c r="G1961" s="6" t="s">
        <v>6254</v>
      </c>
      <c r="H1961" s="6">
        <v>11.8039636507406</v>
      </c>
      <c r="I1961" s="6">
        <v>11.2459025949222</v>
      </c>
      <c r="J1961" s="6">
        <v>10.3852777904186</v>
      </c>
      <c r="K1961" s="6" t="s">
        <v>6254</v>
      </c>
      <c r="L1961" s="6" t="s">
        <v>6254</v>
      </c>
      <c r="M1961" s="6" t="s">
        <v>6254</v>
      </c>
      <c r="N1961" s="6">
        <v>12.839651979520699</v>
      </c>
      <c r="O1961" s="6">
        <v>13.402366709739001</v>
      </c>
      <c r="P1961" s="6">
        <v>13.086798840871699</v>
      </c>
      <c r="Q1961" s="6" t="s">
        <v>6254</v>
      </c>
    </row>
    <row r="1962" spans="1:17">
      <c r="A1962" s="6" t="s">
        <v>12135</v>
      </c>
      <c r="B1962" s="6" t="s">
        <v>12135</v>
      </c>
      <c r="C1962" s="6" t="s">
        <v>12136</v>
      </c>
      <c r="D1962" s="6" t="s">
        <v>12137</v>
      </c>
      <c r="E1962" s="6" t="s">
        <v>12137</v>
      </c>
      <c r="F1962" s="6">
        <v>13.5590160234454</v>
      </c>
      <c r="G1962" s="6">
        <v>12.369785535632399</v>
      </c>
      <c r="H1962" s="6">
        <v>12.0466907572086</v>
      </c>
      <c r="I1962" s="6">
        <v>13.7165059460465</v>
      </c>
      <c r="J1962" s="6" t="s">
        <v>6254</v>
      </c>
      <c r="K1962" s="6">
        <v>12.9391835135172</v>
      </c>
      <c r="L1962" s="6">
        <v>13.694907282597301</v>
      </c>
      <c r="M1962" s="6" t="s">
        <v>6254</v>
      </c>
      <c r="N1962" s="6">
        <v>12.444617568267301</v>
      </c>
      <c r="O1962" s="6">
        <v>11.232443806280401</v>
      </c>
      <c r="P1962" s="6">
        <v>12.990211027817701</v>
      </c>
      <c r="Q1962" s="6">
        <v>12.8933369859325</v>
      </c>
    </row>
    <row r="1963" spans="1:17">
      <c r="A1963" s="6" t="s">
        <v>12138</v>
      </c>
      <c r="B1963" s="6" t="s">
        <v>12139</v>
      </c>
      <c r="C1963" s="6" t="s">
        <v>12140</v>
      </c>
      <c r="D1963" s="6" t="s">
        <v>12141</v>
      </c>
      <c r="E1963" s="6" t="s">
        <v>12142</v>
      </c>
      <c r="F1963" s="6">
        <v>13.117180508780001</v>
      </c>
      <c r="G1963" s="6">
        <v>13.2482241058249</v>
      </c>
      <c r="H1963" s="6" t="s">
        <v>6254</v>
      </c>
      <c r="I1963" s="6">
        <v>12.781135667763801</v>
      </c>
      <c r="J1963" s="6" t="s">
        <v>6254</v>
      </c>
      <c r="K1963" s="6" t="s">
        <v>6254</v>
      </c>
      <c r="L1963" s="6">
        <v>13.2384093858001</v>
      </c>
      <c r="M1963" s="6" t="s">
        <v>6254</v>
      </c>
      <c r="N1963" s="6" t="s">
        <v>6254</v>
      </c>
      <c r="O1963" s="6">
        <v>12.5438644147176</v>
      </c>
      <c r="P1963" s="6" t="s">
        <v>6254</v>
      </c>
      <c r="Q1963" s="6" t="s">
        <v>6254</v>
      </c>
    </row>
    <row r="1964" spans="1:17">
      <c r="A1964" s="6" t="s">
        <v>1613</v>
      </c>
      <c r="B1964" s="6" t="s">
        <v>1613</v>
      </c>
      <c r="C1964" s="6" t="s">
        <v>12143</v>
      </c>
      <c r="D1964" s="6" t="s">
        <v>12144</v>
      </c>
      <c r="E1964" s="6" t="s">
        <v>12144</v>
      </c>
      <c r="F1964" s="6">
        <v>12.898490356765</v>
      </c>
      <c r="G1964" s="6">
        <v>12.7978684141721</v>
      </c>
      <c r="H1964" s="6" t="s">
        <v>6254</v>
      </c>
      <c r="I1964" s="6">
        <v>13.329523467044201</v>
      </c>
      <c r="J1964" s="6" t="s">
        <v>6254</v>
      </c>
      <c r="K1964" s="6" t="s">
        <v>6254</v>
      </c>
      <c r="L1964" s="6">
        <v>12.604275229633901</v>
      </c>
      <c r="M1964" s="6">
        <v>12.401373824394</v>
      </c>
      <c r="N1964" s="6">
        <v>12.0239660959387</v>
      </c>
      <c r="O1964" s="6">
        <v>12.713758093998401</v>
      </c>
      <c r="P1964" s="6">
        <v>13.1853951168377</v>
      </c>
      <c r="Q1964" s="6" t="s">
        <v>6254</v>
      </c>
    </row>
    <row r="1965" spans="1:17">
      <c r="A1965" s="6" t="s">
        <v>3142</v>
      </c>
      <c r="B1965" s="6" t="s">
        <v>3142</v>
      </c>
      <c r="C1965" s="6" t="s">
        <v>12145</v>
      </c>
      <c r="D1965" s="6" t="s">
        <v>6816</v>
      </c>
      <c r="E1965" s="6" t="s">
        <v>6816</v>
      </c>
      <c r="F1965" s="6">
        <v>13.111796243948101</v>
      </c>
      <c r="G1965" s="6">
        <v>12.7307976548694</v>
      </c>
      <c r="H1965" s="6">
        <v>12.230122515376801</v>
      </c>
      <c r="I1965" s="6">
        <v>13.921132832148</v>
      </c>
      <c r="J1965" s="6">
        <v>11.679650504238399</v>
      </c>
      <c r="K1965" s="6">
        <v>12.2931760019323</v>
      </c>
      <c r="L1965" s="6">
        <v>13.3370635766112</v>
      </c>
      <c r="M1965" s="6">
        <v>12.676801454974401</v>
      </c>
      <c r="N1965" s="6">
        <v>13.5408092483269</v>
      </c>
      <c r="O1965" s="6">
        <v>13.0123291556817</v>
      </c>
      <c r="P1965" s="6">
        <v>13.100733284816</v>
      </c>
      <c r="Q1965" s="6">
        <v>10.974940253644901</v>
      </c>
    </row>
    <row r="1966" spans="1:17">
      <c r="A1966" s="6" t="s">
        <v>12146</v>
      </c>
      <c r="B1966" s="6" t="s">
        <v>12147</v>
      </c>
      <c r="C1966" s="6" t="s">
        <v>12148</v>
      </c>
      <c r="D1966" s="6" t="s">
        <v>12149</v>
      </c>
      <c r="E1966" s="6" t="s">
        <v>12150</v>
      </c>
      <c r="F1966" s="6">
        <v>14.8456158140624</v>
      </c>
      <c r="G1966" s="6">
        <v>12.7330866971039</v>
      </c>
      <c r="H1966" s="6">
        <v>12.8578714552064</v>
      </c>
      <c r="I1966" s="6">
        <v>14.0014913184975</v>
      </c>
      <c r="J1966" s="6" t="s">
        <v>6254</v>
      </c>
      <c r="K1966" s="6">
        <v>12.9466075073378</v>
      </c>
      <c r="L1966" s="6">
        <v>12.753232046384401</v>
      </c>
      <c r="M1966" s="6" t="s">
        <v>6254</v>
      </c>
      <c r="N1966" s="6">
        <v>12.271936573867301</v>
      </c>
      <c r="O1966" s="6">
        <v>13.344511268219</v>
      </c>
      <c r="P1966" s="6">
        <v>13.260362169093099</v>
      </c>
      <c r="Q1966" s="6">
        <v>11.443910883867201</v>
      </c>
    </row>
    <row r="1967" spans="1:17">
      <c r="A1967" s="6" t="s">
        <v>4859</v>
      </c>
      <c r="B1967" s="6" t="s">
        <v>4859</v>
      </c>
      <c r="C1967" s="6" t="s">
        <v>12151</v>
      </c>
      <c r="D1967" s="6" t="s">
        <v>12152</v>
      </c>
      <c r="E1967" s="6" t="s">
        <v>12152</v>
      </c>
      <c r="F1967" s="6">
        <v>12.8435533135267</v>
      </c>
      <c r="G1967" s="6" t="s">
        <v>6254</v>
      </c>
      <c r="H1967" s="6">
        <v>10.364322120270501</v>
      </c>
      <c r="I1967" s="6">
        <v>14.1060881045803</v>
      </c>
      <c r="J1967" s="6" t="s">
        <v>6254</v>
      </c>
      <c r="K1967" s="6">
        <v>12.9572036105412</v>
      </c>
      <c r="L1967" s="6">
        <v>15.0118303475291</v>
      </c>
      <c r="M1967" s="6">
        <v>11.288557499474599</v>
      </c>
      <c r="N1967" s="6" t="s">
        <v>6254</v>
      </c>
      <c r="O1967" s="6" t="s">
        <v>6254</v>
      </c>
      <c r="P1967" s="6" t="s">
        <v>6254</v>
      </c>
      <c r="Q1967" s="6" t="s">
        <v>6254</v>
      </c>
    </row>
    <row r="1968" spans="1:17">
      <c r="A1968" s="6" t="s">
        <v>2840</v>
      </c>
      <c r="B1968" s="6" t="s">
        <v>2840</v>
      </c>
      <c r="C1968" s="6" t="s">
        <v>12153</v>
      </c>
      <c r="D1968" s="6" t="s">
        <v>12154</v>
      </c>
      <c r="E1968" s="6" t="s">
        <v>12154</v>
      </c>
      <c r="F1968" s="6">
        <v>13.740455583397299</v>
      </c>
      <c r="G1968" s="6">
        <v>11.847535147565701</v>
      </c>
      <c r="H1968" s="6">
        <v>12.762859034043</v>
      </c>
      <c r="I1968" s="6">
        <v>13.308794134367099</v>
      </c>
      <c r="J1968" s="6">
        <v>11.5316331538247</v>
      </c>
      <c r="K1968" s="6">
        <v>12.4981907033641</v>
      </c>
      <c r="L1968" s="6">
        <v>13.4330389371507</v>
      </c>
      <c r="M1968" s="6">
        <v>11.363858458036599</v>
      </c>
      <c r="N1968" s="6">
        <v>13.127491375701201</v>
      </c>
      <c r="O1968" s="6">
        <v>13.1343860443359</v>
      </c>
      <c r="P1968" s="6">
        <v>12.9940463477656</v>
      </c>
      <c r="Q1968" s="6" t="s">
        <v>6254</v>
      </c>
    </row>
    <row r="1969" spans="1:17">
      <c r="A1969" s="6" t="s">
        <v>3472</v>
      </c>
      <c r="B1969" s="6" t="s">
        <v>3472</v>
      </c>
      <c r="C1969" s="6" t="s">
        <v>12155</v>
      </c>
      <c r="D1969" s="6" t="s">
        <v>12156</v>
      </c>
      <c r="E1969" s="6" t="s">
        <v>12156</v>
      </c>
      <c r="F1969" s="6">
        <v>13.7967952594688</v>
      </c>
      <c r="G1969" s="6">
        <v>12.737993872259</v>
      </c>
      <c r="H1969" s="6" t="s">
        <v>6254</v>
      </c>
      <c r="I1969" s="6">
        <v>13.858809549735399</v>
      </c>
      <c r="J1969" s="6" t="s">
        <v>6254</v>
      </c>
      <c r="K1969" s="6">
        <v>13.266434484025799</v>
      </c>
      <c r="L1969" s="6">
        <v>13.4476892882978</v>
      </c>
      <c r="M1969" s="6">
        <v>11.6721352889583</v>
      </c>
      <c r="N1969" s="6">
        <v>12.048808942070201</v>
      </c>
      <c r="O1969" s="6">
        <v>12.7654602912906</v>
      </c>
      <c r="P1969" s="6">
        <v>13.4420769152928</v>
      </c>
      <c r="Q1969" s="6" t="s">
        <v>6254</v>
      </c>
    </row>
    <row r="1970" spans="1:17">
      <c r="A1970" s="6" t="s">
        <v>12157</v>
      </c>
      <c r="B1970" s="6" t="s">
        <v>12157</v>
      </c>
      <c r="C1970" s="6" t="s">
        <v>12158</v>
      </c>
      <c r="D1970" s="6" t="s">
        <v>12159</v>
      </c>
      <c r="E1970" s="6" t="s">
        <v>12159</v>
      </c>
      <c r="F1970" s="6" t="s">
        <v>6254</v>
      </c>
      <c r="G1970" s="6" t="s">
        <v>6254</v>
      </c>
      <c r="H1970" s="6">
        <v>13.7580111932471</v>
      </c>
      <c r="I1970" s="6" t="s">
        <v>6254</v>
      </c>
      <c r="J1970" s="6" t="s">
        <v>6254</v>
      </c>
      <c r="K1970" s="6" t="s">
        <v>6254</v>
      </c>
      <c r="L1970" s="6">
        <v>14.070783924793</v>
      </c>
      <c r="M1970" s="6" t="s">
        <v>6254</v>
      </c>
      <c r="N1970" s="6" t="s">
        <v>6254</v>
      </c>
      <c r="O1970" s="6">
        <v>13.555379429148401</v>
      </c>
      <c r="P1970" s="6">
        <v>11.6490673976823</v>
      </c>
      <c r="Q1970" s="6" t="s">
        <v>6254</v>
      </c>
    </row>
    <row r="1971" spans="1:17">
      <c r="A1971" s="6" t="s">
        <v>4981</v>
      </c>
      <c r="B1971" s="6" t="s">
        <v>4981</v>
      </c>
      <c r="C1971" s="6" t="s">
        <v>12160</v>
      </c>
      <c r="D1971" s="6" t="s">
        <v>12161</v>
      </c>
      <c r="E1971" s="6" t="s">
        <v>12161</v>
      </c>
      <c r="F1971" s="6">
        <v>13.658061814322499</v>
      </c>
      <c r="G1971" s="6">
        <v>12.708701500104199</v>
      </c>
      <c r="H1971" s="6">
        <v>12.974697155635599</v>
      </c>
      <c r="I1971" s="6">
        <v>13.5298353654882</v>
      </c>
      <c r="J1971" s="6">
        <v>11.6555201492995</v>
      </c>
      <c r="K1971" s="6">
        <v>12.662757750242999</v>
      </c>
      <c r="L1971" s="6">
        <v>13.674357641063899</v>
      </c>
      <c r="M1971" s="6">
        <v>11.9050986099403</v>
      </c>
      <c r="N1971" s="6">
        <v>12.628053823741901</v>
      </c>
      <c r="O1971" s="6">
        <v>12.8682269731523</v>
      </c>
      <c r="P1971" s="6">
        <v>13.083437188788</v>
      </c>
      <c r="Q1971" s="6" t="s">
        <v>6254</v>
      </c>
    </row>
    <row r="1972" spans="1:17">
      <c r="A1972" s="6" t="s">
        <v>4331</v>
      </c>
      <c r="B1972" s="6" t="s">
        <v>4331</v>
      </c>
      <c r="C1972" s="6" t="s">
        <v>12162</v>
      </c>
      <c r="D1972" s="6" t="s">
        <v>12163</v>
      </c>
      <c r="E1972" s="6" t="s">
        <v>12163</v>
      </c>
      <c r="F1972" s="6">
        <v>13.4760059085744</v>
      </c>
      <c r="G1972" s="6">
        <v>12.5663467853844</v>
      </c>
      <c r="H1972" s="6">
        <v>13.066846520332801</v>
      </c>
      <c r="I1972" s="6">
        <v>13.697285722307599</v>
      </c>
      <c r="J1972" s="6">
        <v>12.2074736314191</v>
      </c>
      <c r="K1972" s="6" t="s">
        <v>6254</v>
      </c>
      <c r="L1972" s="6">
        <v>13.728034120826299</v>
      </c>
      <c r="M1972" s="6">
        <v>11.581880087315501</v>
      </c>
      <c r="N1972" s="6">
        <v>12.391456015350901</v>
      </c>
      <c r="O1972" s="6">
        <v>13.3228002303859</v>
      </c>
      <c r="P1972" s="6">
        <v>12.790572961749699</v>
      </c>
      <c r="Q1972" s="6">
        <v>11.553667091761101</v>
      </c>
    </row>
    <row r="1973" spans="1:17">
      <c r="A1973" s="6" t="s">
        <v>12164</v>
      </c>
      <c r="B1973" s="6" t="s">
        <v>12165</v>
      </c>
      <c r="C1973" s="6" t="s">
        <v>12166</v>
      </c>
      <c r="D1973" s="6" t="s">
        <v>12167</v>
      </c>
      <c r="E1973" s="6" t="s">
        <v>12168</v>
      </c>
      <c r="F1973" s="6">
        <v>13.3394095180532</v>
      </c>
      <c r="G1973" s="6">
        <v>12.8981284231121</v>
      </c>
      <c r="H1973" s="6">
        <v>13.118095672935899</v>
      </c>
      <c r="I1973" s="6">
        <v>13.365622634067799</v>
      </c>
      <c r="J1973" s="6">
        <v>12.0249894729115</v>
      </c>
      <c r="K1973" s="6">
        <v>12.686940978599401</v>
      </c>
      <c r="L1973" s="6">
        <v>13.5412726093173</v>
      </c>
      <c r="M1973" s="6">
        <v>11.829759188053</v>
      </c>
      <c r="N1973" s="6">
        <v>11.9163274664662</v>
      </c>
      <c r="O1973" s="6">
        <v>13.2373018953942</v>
      </c>
      <c r="P1973" s="6">
        <v>13.3728001316462</v>
      </c>
      <c r="Q1973" s="6" t="s">
        <v>6254</v>
      </c>
    </row>
    <row r="1974" spans="1:17">
      <c r="A1974" s="6" t="s">
        <v>5670</v>
      </c>
      <c r="B1974" s="6" t="s">
        <v>5670</v>
      </c>
      <c r="C1974" s="6" t="s">
        <v>12169</v>
      </c>
      <c r="D1974" s="6" t="s">
        <v>12170</v>
      </c>
      <c r="E1974" s="6" t="s">
        <v>12170</v>
      </c>
      <c r="F1974" s="6">
        <v>12.590492049694401</v>
      </c>
      <c r="G1974" s="6">
        <v>13.4354062474975</v>
      </c>
      <c r="H1974" s="6">
        <v>12.8688144443553</v>
      </c>
      <c r="I1974" s="6">
        <v>13.065437219279501</v>
      </c>
      <c r="J1974" s="6">
        <v>11.599943865336</v>
      </c>
      <c r="K1974" s="6">
        <v>12.658554908418701</v>
      </c>
      <c r="L1974" s="6">
        <v>13.6093973496447</v>
      </c>
      <c r="M1974" s="6">
        <v>11.7464991107454</v>
      </c>
      <c r="N1974" s="6">
        <v>10.889798659519</v>
      </c>
      <c r="O1974" s="6">
        <v>13.436605866084101</v>
      </c>
      <c r="P1974" s="6">
        <v>12.8675515500766</v>
      </c>
      <c r="Q1974" s="6">
        <v>11.166697988452899</v>
      </c>
    </row>
    <row r="1975" spans="1:17">
      <c r="A1975" s="6" t="s">
        <v>12171</v>
      </c>
      <c r="B1975" s="6" t="s">
        <v>12172</v>
      </c>
      <c r="C1975" s="6" t="s">
        <v>12173</v>
      </c>
      <c r="D1975" s="6" t="s">
        <v>12174</v>
      </c>
      <c r="E1975" s="6" t="s">
        <v>12175</v>
      </c>
      <c r="F1975" s="6">
        <v>12.925235610453599</v>
      </c>
      <c r="G1975" s="6">
        <v>12.287678726424801</v>
      </c>
      <c r="H1975" s="6">
        <v>12.9359750051383</v>
      </c>
      <c r="I1975" s="6">
        <v>14.0028275164865</v>
      </c>
      <c r="J1975" s="6">
        <v>11.481985907375901</v>
      </c>
      <c r="K1975" s="6">
        <v>13.3957605907769</v>
      </c>
      <c r="L1975" s="6">
        <v>13.8186802654169</v>
      </c>
      <c r="M1975" s="6">
        <v>11.1818143165265</v>
      </c>
      <c r="N1975" s="6">
        <v>11.247171510460101</v>
      </c>
      <c r="O1975" s="6">
        <v>12.273035707802</v>
      </c>
      <c r="P1975" s="6">
        <v>13.447318615807699</v>
      </c>
      <c r="Q1975" s="6" t="s">
        <v>6254</v>
      </c>
    </row>
    <row r="1976" spans="1:17">
      <c r="A1976" s="6" t="s">
        <v>12176</v>
      </c>
      <c r="B1976" s="6" t="s">
        <v>12177</v>
      </c>
      <c r="C1976" s="6" t="s">
        <v>12178</v>
      </c>
      <c r="D1976" s="6" t="s">
        <v>12179</v>
      </c>
      <c r="E1976" s="6" t="s">
        <v>12180</v>
      </c>
      <c r="F1976" s="6">
        <v>13.336635118837201</v>
      </c>
      <c r="G1976" s="6">
        <v>12.727757444077801</v>
      </c>
      <c r="H1976" s="6">
        <v>13.390620836695801</v>
      </c>
      <c r="I1976" s="6">
        <v>12.381875251391</v>
      </c>
      <c r="J1976" s="6" t="s">
        <v>6254</v>
      </c>
      <c r="K1976" s="6">
        <v>12.949461028165601</v>
      </c>
      <c r="L1976" s="6">
        <v>13.309783622780801</v>
      </c>
      <c r="M1976" s="6">
        <v>11.587050724167501</v>
      </c>
      <c r="N1976" s="6">
        <v>11.4475428659852</v>
      </c>
      <c r="O1976" s="6">
        <v>13.282432304644299</v>
      </c>
      <c r="P1976" s="6">
        <v>12.990451744086499</v>
      </c>
      <c r="Q1976" s="6">
        <v>11.6688019631302</v>
      </c>
    </row>
    <row r="1977" spans="1:17">
      <c r="A1977" s="6" t="s">
        <v>12181</v>
      </c>
      <c r="B1977" s="6" t="s">
        <v>12181</v>
      </c>
      <c r="C1977" s="6" t="s">
        <v>12182</v>
      </c>
      <c r="D1977" s="6" t="s">
        <v>12183</v>
      </c>
      <c r="E1977" s="6" t="s">
        <v>12183</v>
      </c>
      <c r="F1977" s="6" t="s">
        <v>6254</v>
      </c>
      <c r="G1977" s="6" t="s">
        <v>6254</v>
      </c>
      <c r="H1977" s="6" t="s">
        <v>6254</v>
      </c>
      <c r="I1977" s="6">
        <v>13.785532343634699</v>
      </c>
      <c r="J1977" s="6" t="s">
        <v>6254</v>
      </c>
      <c r="K1977" s="6" t="s">
        <v>6254</v>
      </c>
      <c r="L1977" s="6">
        <v>11.717598303249201</v>
      </c>
      <c r="M1977" s="6" t="s">
        <v>6254</v>
      </c>
      <c r="N1977" s="6" t="s">
        <v>6254</v>
      </c>
      <c r="O1977" s="6" t="s">
        <v>6254</v>
      </c>
      <c r="P1977" s="6">
        <v>13.1895944672588</v>
      </c>
      <c r="Q1977" s="6" t="s">
        <v>6254</v>
      </c>
    </row>
    <row r="1978" spans="1:17">
      <c r="A1978" s="6" t="s">
        <v>12184</v>
      </c>
      <c r="B1978" s="6" t="s">
        <v>12184</v>
      </c>
      <c r="C1978" s="6" t="s">
        <v>12185</v>
      </c>
      <c r="D1978" s="6" t="s">
        <v>12186</v>
      </c>
      <c r="E1978" s="6" t="s">
        <v>12186</v>
      </c>
      <c r="F1978" s="6">
        <v>13.255998334758001</v>
      </c>
      <c r="G1978" s="6">
        <v>12.6967716469164</v>
      </c>
      <c r="H1978" s="6">
        <v>12.9743947584548</v>
      </c>
      <c r="I1978" s="6">
        <v>13.0592363601268</v>
      </c>
      <c r="J1978" s="6" t="s">
        <v>6254</v>
      </c>
      <c r="K1978" s="6">
        <v>12.586377228405899</v>
      </c>
      <c r="L1978" s="6">
        <v>13.194637112718899</v>
      </c>
      <c r="M1978" s="6" t="s">
        <v>6254</v>
      </c>
      <c r="N1978" s="6">
        <v>11.9633667974825</v>
      </c>
      <c r="O1978" s="6">
        <v>13.039243003209201</v>
      </c>
      <c r="P1978" s="6">
        <v>13.464495495168901</v>
      </c>
      <c r="Q1978" s="6" t="s">
        <v>6254</v>
      </c>
    </row>
    <row r="1979" spans="1:17">
      <c r="A1979" s="6" t="s">
        <v>12187</v>
      </c>
      <c r="B1979" s="6" t="s">
        <v>12187</v>
      </c>
      <c r="C1979" s="6" t="s">
        <v>12188</v>
      </c>
      <c r="D1979" s="6" t="s">
        <v>12189</v>
      </c>
      <c r="E1979" s="6" t="s">
        <v>12189</v>
      </c>
      <c r="F1979" s="6">
        <v>12.527272686282201</v>
      </c>
      <c r="G1979" s="6" t="s">
        <v>6254</v>
      </c>
      <c r="H1979" s="6" t="s">
        <v>6254</v>
      </c>
      <c r="I1979" s="6">
        <v>13.415104916135</v>
      </c>
      <c r="J1979" s="6" t="s">
        <v>6254</v>
      </c>
      <c r="K1979" s="6" t="s">
        <v>6254</v>
      </c>
      <c r="L1979" s="6">
        <v>13.077384008157701</v>
      </c>
      <c r="M1979" s="6" t="s">
        <v>6254</v>
      </c>
      <c r="N1979" s="6">
        <v>12.4094825337336</v>
      </c>
      <c r="O1979" s="6">
        <v>13.2286426345624</v>
      </c>
      <c r="P1979" s="6">
        <v>13.018317327771999</v>
      </c>
      <c r="Q1979" s="6">
        <v>11.8166544645216</v>
      </c>
    </row>
    <row r="1980" spans="1:17">
      <c r="A1980" s="6" t="s">
        <v>12190</v>
      </c>
      <c r="B1980" s="6" t="s">
        <v>12190</v>
      </c>
      <c r="C1980" s="6" t="s">
        <v>12190</v>
      </c>
      <c r="D1980" s="6" t="s">
        <v>12190</v>
      </c>
      <c r="E1980" s="6" t="s">
        <v>12190</v>
      </c>
      <c r="F1980" s="6" t="s">
        <v>6254</v>
      </c>
      <c r="G1980" s="6" t="s">
        <v>6254</v>
      </c>
      <c r="H1980" s="6" t="s">
        <v>6254</v>
      </c>
      <c r="I1980" s="6" t="s">
        <v>6254</v>
      </c>
      <c r="J1980" s="6" t="s">
        <v>6254</v>
      </c>
      <c r="K1980" s="6" t="s">
        <v>6254</v>
      </c>
      <c r="L1980" s="6" t="s">
        <v>6254</v>
      </c>
      <c r="M1980" s="6" t="s">
        <v>6254</v>
      </c>
      <c r="N1980" s="6" t="s">
        <v>6254</v>
      </c>
      <c r="O1980" s="6" t="s">
        <v>6254</v>
      </c>
      <c r="P1980" s="6" t="s">
        <v>6254</v>
      </c>
      <c r="Q1980" s="6" t="s">
        <v>6254</v>
      </c>
    </row>
    <row r="1981" spans="1:17">
      <c r="A1981" s="6" t="s">
        <v>12191</v>
      </c>
      <c r="B1981" s="6" t="s">
        <v>12192</v>
      </c>
      <c r="C1981" s="6" t="s">
        <v>12193</v>
      </c>
      <c r="D1981" s="6" t="s">
        <v>12194</v>
      </c>
      <c r="E1981" s="6" t="s">
        <v>12195</v>
      </c>
      <c r="F1981" s="6">
        <v>12.9885021172673</v>
      </c>
      <c r="G1981" s="6" t="s">
        <v>6254</v>
      </c>
      <c r="H1981" s="6">
        <v>12.5166903169539</v>
      </c>
      <c r="I1981" s="6">
        <v>13.146864712317999</v>
      </c>
      <c r="J1981" s="6" t="s">
        <v>6254</v>
      </c>
      <c r="K1981" s="6" t="s">
        <v>6254</v>
      </c>
      <c r="L1981" s="6" t="s">
        <v>6254</v>
      </c>
      <c r="M1981" s="6" t="s">
        <v>6254</v>
      </c>
      <c r="N1981" s="6" t="s">
        <v>6254</v>
      </c>
      <c r="O1981" s="6">
        <v>13.004596206328699</v>
      </c>
      <c r="P1981" s="6">
        <v>12.442205657942599</v>
      </c>
      <c r="Q1981" s="6" t="s">
        <v>6254</v>
      </c>
    </row>
    <row r="1982" spans="1:17">
      <c r="A1982" s="6" t="s">
        <v>12196</v>
      </c>
      <c r="B1982" s="6" t="s">
        <v>12197</v>
      </c>
      <c r="C1982" s="6" t="s">
        <v>12198</v>
      </c>
      <c r="D1982" s="6" t="s">
        <v>12199</v>
      </c>
      <c r="E1982" s="6" t="s">
        <v>12200</v>
      </c>
      <c r="F1982" s="6">
        <v>12.777399574947101</v>
      </c>
      <c r="G1982" s="6">
        <v>13.5016830100514</v>
      </c>
      <c r="H1982" s="6" t="s">
        <v>6254</v>
      </c>
      <c r="I1982" s="6">
        <v>13.623161567199601</v>
      </c>
      <c r="J1982" s="6" t="s">
        <v>6254</v>
      </c>
      <c r="K1982" s="6">
        <v>13.2668301496954</v>
      </c>
      <c r="L1982" s="6">
        <v>13.6179936112669</v>
      </c>
      <c r="M1982" s="6">
        <v>11.901442299685099</v>
      </c>
      <c r="N1982" s="6">
        <v>11.335775728762799</v>
      </c>
      <c r="O1982" s="6">
        <v>12.5206555404227</v>
      </c>
      <c r="P1982" s="6">
        <v>12.0078078444953</v>
      </c>
      <c r="Q1982" s="6">
        <v>11.8865117082178</v>
      </c>
    </row>
    <row r="1983" spans="1:17">
      <c r="A1983" s="6" t="s">
        <v>12201</v>
      </c>
      <c r="B1983" s="6" t="s">
        <v>12201</v>
      </c>
      <c r="C1983" s="6" t="s">
        <v>12202</v>
      </c>
      <c r="D1983" s="6" t="s">
        <v>12203</v>
      </c>
      <c r="E1983" s="6" t="s">
        <v>12203</v>
      </c>
      <c r="F1983" s="6">
        <v>11.4958173115915</v>
      </c>
      <c r="G1983" s="6" t="s">
        <v>6254</v>
      </c>
      <c r="H1983" s="6">
        <v>13.5839114026682</v>
      </c>
      <c r="I1983" s="6">
        <v>13.61559930526</v>
      </c>
      <c r="J1983" s="6">
        <v>11.802878851599001</v>
      </c>
      <c r="K1983" s="6">
        <v>12.0643002505038</v>
      </c>
      <c r="L1983" s="6">
        <v>13.7320723203587</v>
      </c>
      <c r="M1983" s="6">
        <v>12.301899168754399</v>
      </c>
      <c r="N1983" s="6">
        <v>13.226550977732099</v>
      </c>
      <c r="O1983" s="6">
        <v>12.200335377862601</v>
      </c>
      <c r="P1983" s="6" t="s">
        <v>6254</v>
      </c>
      <c r="Q1983" s="6" t="s">
        <v>6254</v>
      </c>
    </row>
    <row r="1984" spans="1:17">
      <c r="A1984" s="6" t="s">
        <v>3808</v>
      </c>
      <c r="B1984" s="6" t="s">
        <v>3808</v>
      </c>
      <c r="C1984" s="6" t="s">
        <v>12204</v>
      </c>
      <c r="D1984" s="6" t="s">
        <v>12205</v>
      </c>
      <c r="E1984" s="6" t="s">
        <v>12205</v>
      </c>
      <c r="F1984" s="6" t="s">
        <v>6254</v>
      </c>
      <c r="G1984" s="6">
        <v>11.966094860599799</v>
      </c>
      <c r="H1984" s="6">
        <v>11.6401439523625</v>
      </c>
      <c r="I1984" s="6">
        <v>14.1911129079279</v>
      </c>
      <c r="J1984" s="6">
        <v>11.357401164063001</v>
      </c>
      <c r="K1984" s="6">
        <v>12.6348856692022</v>
      </c>
      <c r="L1984" s="6">
        <v>14.002078855296601</v>
      </c>
      <c r="M1984" s="6" t="s">
        <v>6254</v>
      </c>
      <c r="N1984" s="6" t="s">
        <v>6254</v>
      </c>
      <c r="O1984" s="6" t="s">
        <v>6254</v>
      </c>
      <c r="P1984" s="6">
        <v>13.017071386660101</v>
      </c>
      <c r="Q1984" s="6" t="s">
        <v>6254</v>
      </c>
    </row>
    <row r="1985" spans="1:17">
      <c r="A1985" s="6" t="s">
        <v>3992</v>
      </c>
      <c r="B1985" s="6" t="s">
        <v>3992</v>
      </c>
      <c r="C1985" s="6" t="s">
        <v>12206</v>
      </c>
      <c r="D1985" s="6" t="s">
        <v>12207</v>
      </c>
      <c r="E1985" s="6" t="s">
        <v>12207</v>
      </c>
      <c r="F1985" s="6">
        <v>11.551214553140101</v>
      </c>
      <c r="G1985" s="6">
        <v>13.3257047106295</v>
      </c>
      <c r="H1985" s="6">
        <v>13.1844995213764</v>
      </c>
      <c r="I1985" s="6">
        <v>13.289328012618499</v>
      </c>
      <c r="J1985" s="6">
        <v>12.690251336034301</v>
      </c>
      <c r="K1985" s="6">
        <v>12.847777860310501</v>
      </c>
      <c r="L1985" s="6">
        <v>12.1407607270257</v>
      </c>
      <c r="M1985" s="6">
        <v>12.9472498865881</v>
      </c>
      <c r="N1985" s="6">
        <v>13.2021496382338</v>
      </c>
      <c r="O1985" s="6">
        <v>13.2669503499874</v>
      </c>
      <c r="P1985" s="6">
        <v>13.234424401590299</v>
      </c>
      <c r="Q1985" s="6">
        <v>13.2596644305116</v>
      </c>
    </row>
    <row r="1986" spans="1:17">
      <c r="A1986" s="6" t="s">
        <v>12208</v>
      </c>
      <c r="B1986" s="6" t="s">
        <v>12209</v>
      </c>
      <c r="C1986" s="6" t="s">
        <v>12210</v>
      </c>
      <c r="D1986" s="6" t="s">
        <v>12211</v>
      </c>
      <c r="E1986" s="6" t="s">
        <v>12212</v>
      </c>
      <c r="F1986" s="6">
        <v>13.4435536577578</v>
      </c>
      <c r="G1986" s="6">
        <v>12.2782281798286</v>
      </c>
      <c r="H1986" s="6">
        <v>12.014022867907601</v>
      </c>
      <c r="I1986" s="6">
        <v>13.8278304922008</v>
      </c>
      <c r="J1986" s="6">
        <v>11.648364078821</v>
      </c>
      <c r="K1986" s="6">
        <v>13.034806712109001</v>
      </c>
      <c r="L1986" s="6">
        <v>12.6094969081012</v>
      </c>
      <c r="M1986" s="6">
        <v>11.706463619571499</v>
      </c>
      <c r="N1986" s="6" t="s">
        <v>6254</v>
      </c>
      <c r="O1986" s="6">
        <v>13.0922663059134</v>
      </c>
      <c r="P1986" s="6">
        <v>12.595800398627899</v>
      </c>
      <c r="Q1986" s="6" t="s">
        <v>6254</v>
      </c>
    </row>
    <row r="1987" spans="1:17">
      <c r="A1987" s="6" t="s">
        <v>5652</v>
      </c>
      <c r="B1987" s="6" t="s">
        <v>5652</v>
      </c>
      <c r="C1987" s="6" t="s">
        <v>12213</v>
      </c>
      <c r="D1987" s="6" t="s">
        <v>12214</v>
      </c>
      <c r="E1987" s="6" t="s">
        <v>12214</v>
      </c>
      <c r="F1987" s="6">
        <v>13.112826807805</v>
      </c>
      <c r="G1987" s="6">
        <v>13.1214118391808</v>
      </c>
      <c r="H1987" s="6">
        <v>12.790980379749501</v>
      </c>
      <c r="I1987" s="6">
        <v>12.6040029693335</v>
      </c>
      <c r="J1987" s="6" t="s">
        <v>6254</v>
      </c>
      <c r="K1987" s="6">
        <v>12.248021794539101</v>
      </c>
      <c r="L1987" s="6">
        <v>12.5476990991412</v>
      </c>
      <c r="M1987" s="6" t="s">
        <v>6254</v>
      </c>
      <c r="N1987" s="6" t="s">
        <v>6254</v>
      </c>
      <c r="O1987" s="6">
        <v>12.714367965230201</v>
      </c>
      <c r="P1987" s="6" t="s">
        <v>6254</v>
      </c>
      <c r="Q1987" s="6" t="s">
        <v>6254</v>
      </c>
    </row>
    <row r="1988" spans="1:17">
      <c r="A1988" s="6" t="s">
        <v>12215</v>
      </c>
      <c r="B1988" s="6" t="s">
        <v>12215</v>
      </c>
      <c r="C1988" s="6" t="s">
        <v>12216</v>
      </c>
      <c r="D1988" s="6" t="s">
        <v>12217</v>
      </c>
      <c r="E1988" s="6" t="s">
        <v>12217</v>
      </c>
      <c r="F1988" s="6">
        <v>13.0978730457601</v>
      </c>
      <c r="G1988" s="6">
        <v>13.131337646275201</v>
      </c>
      <c r="H1988" s="6" t="s">
        <v>6254</v>
      </c>
      <c r="I1988" s="6">
        <v>13.413655569392001</v>
      </c>
      <c r="J1988" s="6" t="s">
        <v>6254</v>
      </c>
      <c r="K1988" s="6" t="s">
        <v>6254</v>
      </c>
      <c r="L1988" s="6">
        <v>11.4297662781658</v>
      </c>
      <c r="M1988" s="6">
        <v>12.571074811006101</v>
      </c>
      <c r="N1988" s="6">
        <v>12.5635097572858</v>
      </c>
      <c r="O1988" s="6" t="s">
        <v>6254</v>
      </c>
      <c r="P1988" s="6">
        <v>14.3585981172803</v>
      </c>
      <c r="Q1988" s="6" t="s">
        <v>6254</v>
      </c>
    </row>
    <row r="1989" spans="1:17">
      <c r="A1989" s="6" t="s">
        <v>3136</v>
      </c>
      <c r="B1989" s="6" t="s">
        <v>3136</v>
      </c>
      <c r="C1989" s="6" t="s">
        <v>12218</v>
      </c>
      <c r="D1989" s="6" t="s">
        <v>12219</v>
      </c>
      <c r="E1989" s="6" t="s">
        <v>12219</v>
      </c>
      <c r="F1989" s="6">
        <v>13.516862696284299</v>
      </c>
      <c r="G1989" s="6">
        <v>12.5129697548096</v>
      </c>
      <c r="H1989" s="6">
        <v>13.0595619655032</v>
      </c>
      <c r="I1989" s="6">
        <v>13.8487423549607</v>
      </c>
      <c r="J1989" s="6">
        <v>12.4201712714334</v>
      </c>
      <c r="K1989" s="6">
        <v>12.657482358563801</v>
      </c>
      <c r="L1989" s="6">
        <v>13.4990006200007</v>
      </c>
      <c r="M1989" s="6">
        <v>11.8386584277427</v>
      </c>
      <c r="N1989" s="6">
        <v>12.362689359156899</v>
      </c>
      <c r="O1989" s="6">
        <v>12.799751685691099</v>
      </c>
      <c r="P1989" s="6">
        <v>13.120966641513499</v>
      </c>
      <c r="Q1989" s="6" t="s">
        <v>6254</v>
      </c>
    </row>
    <row r="1990" spans="1:17">
      <c r="A1990" s="6" t="s">
        <v>12220</v>
      </c>
      <c r="B1990" s="6" t="s">
        <v>12220</v>
      </c>
      <c r="C1990" s="6" t="s">
        <v>12221</v>
      </c>
      <c r="D1990" s="6" t="s">
        <v>12222</v>
      </c>
      <c r="E1990" s="6" t="s">
        <v>12222</v>
      </c>
      <c r="F1990" s="6">
        <v>13.1848603957165</v>
      </c>
      <c r="G1990" s="6">
        <v>11.7887865171813</v>
      </c>
      <c r="H1990" s="6">
        <v>12.150849404417899</v>
      </c>
      <c r="I1990" s="6">
        <v>13.094782776071</v>
      </c>
      <c r="J1990" s="6" t="s">
        <v>6254</v>
      </c>
      <c r="K1990" s="6">
        <v>12.813059465013</v>
      </c>
      <c r="L1990" s="6">
        <v>13.727153666311899</v>
      </c>
      <c r="M1990" s="6">
        <v>13.6771664061698</v>
      </c>
      <c r="N1990" s="6">
        <v>14.6090332011588</v>
      </c>
      <c r="O1990" s="6">
        <v>12.697423773014901</v>
      </c>
      <c r="P1990" s="6">
        <v>12.5532295037113</v>
      </c>
      <c r="Q1990" s="6" t="s">
        <v>6254</v>
      </c>
    </row>
    <row r="1991" spans="1:17">
      <c r="A1991" s="6" t="s">
        <v>12223</v>
      </c>
      <c r="B1991" s="6" t="s">
        <v>12223</v>
      </c>
      <c r="C1991" s="6" t="s">
        <v>12224</v>
      </c>
      <c r="D1991" s="6" t="s">
        <v>12225</v>
      </c>
      <c r="E1991" s="6" t="s">
        <v>12225</v>
      </c>
      <c r="F1991" s="6">
        <v>13.258277092048001</v>
      </c>
      <c r="G1991" s="6" t="s">
        <v>6254</v>
      </c>
      <c r="H1991" s="6">
        <v>12.2206710515516</v>
      </c>
      <c r="I1991" s="6">
        <v>13.787353214666201</v>
      </c>
      <c r="J1991" s="6">
        <v>11.725879475645201</v>
      </c>
      <c r="K1991" s="6">
        <v>12.1738723980661</v>
      </c>
      <c r="L1991" s="6">
        <v>13.011292443619499</v>
      </c>
      <c r="M1991" s="6" t="s">
        <v>6254</v>
      </c>
      <c r="N1991" s="6">
        <v>11.704607657635901</v>
      </c>
      <c r="O1991" s="6">
        <v>12.8570424579276</v>
      </c>
      <c r="P1991" s="6">
        <v>13.436730967666699</v>
      </c>
      <c r="Q1991" s="6" t="s">
        <v>6254</v>
      </c>
    </row>
    <row r="1992" spans="1:17">
      <c r="A1992" s="6" t="s">
        <v>12226</v>
      </c>
      <c r="B1992" s="6" t="s">
        <v>12226</v>
      </c>
      <c r="C1992" s="6" t="s">
        <v>12227</v>
      </c>
      <c r="D1992" s="6" t="s">
        <v>12228</v>
      </c>
      <c r="E1992" s="6" t="s">
        <v>12228</v>
      </c>
      <c r="F1992" s="6" t="s">
        <v>6254</v>
      </c>
      <c r="G1992" s="6" t="s">
        <v>6254</v>
      </c>
      <c r="H1992" s="6" t="s">
        <v>6254</v>
      </c>
      <c r="I1992" s="6">
        <v>13.344058057815801</v>
      </c>
      <c r="J1992" s="6" t="s">
        <v>6254</v>
      </c>
      <c r="K1992" s="6" t="s">
        <v>6254</v>
      </c>
      <c r="L1992" s="6">
        <v>14.287239021730199</v>
      </c>
      <c r="M1992" s="6" t="s">
        <v>6254</v>
      </c>
      <c r="N1992" s="6" t="s">
        <v>6254</v>
      </c>
      <c r="O1992" s="6" t="s">
        <v>6254</v>
      </c>
      <c r="P1992" s="6" t="s">
        <v>6254</v>
      </c>
      <c r="Q1992" s="6" t="s">
        <v>6254</v>
      </c>
    </row>
    <row r="1993" spans="1:17">
      <c r="A1993" s="6" t="s">
        <v>3791</v>
      </c>
      <c r="B1993" s="6" t="s">
        <v>3791</v>
      </c>
      <c r="C1993" s="6" t="s">
        <v>12229</v>
      </c>
      <c r="D1993" s="6" t="s">
        <v>12230</v>
      </c>
      <c r="E1993" s="6" t="s">
        <v>12230</v>
      </c>
      <c r="F1993" s="6">
        <v>12.1008699266467</v>
      </c>
      <c r="G1993" s="6">
        <v>12.8743025705698</v>
      </c>
      <c r="H1993" s="6">
        <v>11.4227337231092</v>
      </c>
      <c r="I1993" s="6">
        <v>11.968968437300401</v>
      </c>
      <c r="J1993" s="6">
        <v>12.562132716254</v>
      </c>
      <c r="K1993" s="6">
        <v>14.954739606972501</v>
      </c>
      <c r="L1993" s="6">
        <v>13.1133523645707</v>
      </c>
      <c r="M1993" s="6">
        <v>12.6427652831618</v>
      </c>
      <c r="N1993" s="6" t="s">
        <v>6254</v>
      </c>
      <c r="O1993" s="6">
        <v>14.9545826941001</v>
      </c>
      <c r="P1993" s="6">
        <v>13.6377033051557</v>
      </c>
      <c r="Q1993" s="6">
        <v>11.390118270888699</v>
      </c>
    </row>
    <row r="1994" spans="1:17">
      <c r="A1994" s="6" t="s">
        <v>3947</v>
      </c>
      <c r="B1994" s="6" t="s">
        <v>3947</v>
      </c>
      <c r="C1994" s="6" t="s">
        <v>12231</v>
      </c>
      <c r="D1994" s="6" t="s">
        <v>12232</v>
      </c>
      <c r="E1994" s="6" t="s">
        <v>12232</v>
      </c>
      <c r="F1994" s="6">
        <v>13.2750350246623</v>
      </c>
      <c r="G1994" s="6">
        <v>12.6707283251944</v>
      </c>
      <c r="H1994" s="6">
        <v>12.727946147674499</v>
      </c>
      <c r="I1994" s="6">
        <v>13.525556157121301</v>
      </c>
      <c r="J1994" s="6">
        <v>12.175635616004699</v>
      </c>
      <c r="K1994" s="6">
        <v>12.7201743554449</v>
      </c>
      <c r="L1994" s="6">
        <v>13.1989607425726</v>
      </c>
      <c r="M1994" s="6">
        <v>11.6636832863986</v>
      </c>
      <c r="N1994" s="6">
        <v>11.5194555142269</v>
      </c>
      <c r="O1994" s="6">
        <v>13.1774716873072</v>
      </c>
      <c r="P1994" s="6">
        <v>13.658873685087499</v>
      </c>
      <c r="Q1994" s="6">
        <v>11.3880259897395</v>
      </c>
    </row>
    <row r="1995" spans="1:17">
      <c r="A1995" s="6" t="s">
        <v>12233</v>
      </c>
      <c r="B1995" s="6" t="s">
        <v>12234</v>
      </c>
      <c r="C1995" s="6" t="s">
        <v>12235</v>
      </c>
      <c r="D1995" s="6" t="s">
        <v>12236</v>
      </c>
      <c r="E1995" s="6" t="s">
        <v>12237</v>
      </c>
      <c r="F1995" s="6">
        <v>13.507797500988101</v>
      </c>
      <c r="G1995" s="6">
        <v>12.809803402083199</v>
      </c>
      <c r="H1995" s="6">
        <v>12.9534615651308</v>
      </c>
      <c r="I1995" s="6">
        <v>13.4897730015185</v>
      </c>
      <c r="J1995" s="6" t="s">
        <v>6254</v>
      </c>
      <c r="K1995" s="6">
        <v>13.505487911515999</v>
      </c>
      <c r="L1995" s="6">
        <v>13.554052720776101</v>
      </c>
      <c r="M1995" s="6">
        <v>11.6660742398832</v>
      </c>
      <c r="N1995" s="6">
        <v>12.300932528728699</v>
      </c>
      <c r="O1995" s="6">
        <v>12.0883851425864</v>
      </c>
      <c r="P1995" s="6">
        <v>12.5079167144106</v>
      </c>
      <c r="Q1995" s="6" t="s">
        <v>6254</v>
      </c>
    </row>
    <row r="1996" spans="1:17">
      <c r="A1996" s="6" t="s">
        <v>12238</v>
      </c>
      <c r="B1996" s="6" t="s">
        <v>12238</v>
      </c>
      <c r="C1996" s="6" t="s">
        <v>12239</v>
      </c>
      <c r="D1996" s="6" t="s">
        <v>12240</v>
      </c>
      <c r="E1996" s="6" t="s">
        <v>12240</v>
      </c>
      <c r="F1996" s="6">
        <v>13.0559784269246</v>
      </c>
      <c r="G1996" s="6">
        <v>12.7487323647401</v>
      </c>
      <c r="H1996" s="6">
        <v>12.9813534780456</v>
      </c>
      <c r="I1996" s="6">
        <v>13.4434858058362</v>
      </c>
      <c r="J1996" s="6">
        <v>12.3092769758471</v>
      </c>
      <c r="K1996" s="6">
        <v>12.715206253301201</v>
      </c>
      <c r="L1996" s="6">
        <v>13.6428844376256</v>
      </c>
      <c r="M1996" s="6">
        <v>12.0691487694417</v>
      </c>
      <c r="N1996" s="6">
        <v>12.226628199861301</v>
      </c>
      <c r="O1996" s="6">
        <v>13.031760034672599</v>
      </c>
      <c r="P1996" s="6">
        <v>13.072390741456299</v>
      </c>
      <c r="Q1996" s="6">
        <v>11.467054996278801</v>
      </c>
    </row>
    <row r="1997" spans="1:17">
      <c r="A1997" s="6" t="s">
        <v>4931</v>
      </c>
      <c r="B1997" s="6" t="s">
        <v>4933</v>
      </c>
      <c r="C1997" s="6" t="s">
        <v>12241</v>
      </c>
      <c r="D1997" s="6" t="s">
        <v>12242</v>
      </c>
      <c r="E1997" s="6" t="s">
        <v>12243</v>
      </c>
      <c r="F1997" s="6">
        <v>13.497323269097601</v>
      </c>
      <c r="G1997" s="6">
        <v>12.718262447315601</v>
      </c>
      <c r="H1997" s="6" t="s">
        <v>6254</v>
      </c>
      <c r="I1997" s="6">
        <v>13.162955151488299</v>
      </c>
      <c r="J1997" s="6" t="s">
        <v>6254</v>
      </c>
      <c r="K1997" s="6">
        <v>12.680957048791001</v>
      </c>
      <c r="L1997" s="6" t="s">
        <v>6254</v>
      </c>
      <c r="M1997" s="6" t="s">
        <v>6254</v>
      </c>
      <c r="N1997" s="6" t="s">
        <v>6254</v>
      </c>
      <c r="O1997" s="6">
        <v>12.981974759900201</v>
      </c>
      <c r="P1997" s="6" t="s">
        <v>6254</v>
      </c>
      <c r="Q1997" s="6" t="s">
        <v>6254</v>
      </c>
    </row>
    <row r="1998" spans="1:17">
      <c r="A1998" s="6" t="s">
        <v>12244</v>
      </c>
      <c r="B1998" s="6" t="s">
        <v>12244</v>
      </c>
      <c r="C1998" s="6" t="s">
        <v>12245</v>
      </c>
      <c r="D1998" s="6" t="s">
        <v>12246</v>
      </c>
      <c r="E1998" s="6" t="s">
        <v>12246</v>
      </c>
      <c r="F1998" s="6">
        <v>11.871892032712299</v>
      </c>
      <c r="G1998" s="6">
        <v>11.926284893439201</v>
      </c>
      <c r="H1998" s="6" t="s">
        <v>6254</v>
      </c>
      <c r="I1998" s="6">
        <v>13.701420562087799</v>
      </c>
      <c r="J1998" s="6" t="s">
        <v>6254</v>
      </c>
      <c r="K1998" s="6">
        <v>12.9096904454567</v>
      </c>
      <c r="L1998" s="6">
        <v>13.9402061118143</v>
      </c>
      <c r="M1998" s="6">
        <v>10.0640240806849</v>
      </c>
      <c r="N1998" s="6" t="s">
        <v>6254</v>
      </c>
      <c r="O1998" s="6">
        <v>12.5331746368637</v>
      </c>
      <c r="P1998" s="6" t="s">
        <v>6254</v>
      </c>
      <c r="Q1998" s="6" t="s">
        <v>6254</v>
      </c>
    </row>
    <row r="1999" spans="1:17">
      <c r="A1999" s="6" t="s">
        <v>12247</v>
      </c>
      <c r="B1999" s="6" t="s">
        <v>12248</v>
      </c>
      <c r="C1999" s="6" t="s">
        <v>12249</v>
      </c>
      <c r="D1999" s="6" t="s">
        <v>12250</v>
      </c>
      <c r="E1999" s="6" t="s">
        <v>12251</v>
      </c>
      <c r="F1999" s="6">
        <v>12.2982171623167</v>
      </c>
      <c r="G1999" s="6">
        <v>12.576411867713</v>
      </c>
      <c r="H1999" s="6">
        <v>12.4089178643338</v>
      </c>
      <c r="I1999" s="6">
        <v>12.854077934917999</v>
      </c>
      <c r="J1999" s="6">
        <v>11.3179917622461</v>
      </c>
      <c r="K1999" s="6">
        <v>12.4778755814161</v>
      </c>
      <c r="L1999" s="6">
        <v>13.533821091957901</v>
      </c>
      <c r="M1999" s="6">
        <v>11.2181747136637</v>
      </c>
      <c r="N1999" s="6">
        <v>13.194917366835799</v>
      </c>
      <c r="O1999" s="6">
        <v>12.948513528161699</v>
      </c>
      <c r="P1999" s="6">
        <v>12.8627359915229</v>
      </c>
      <c r="Q1999" s="6" t="s">
        <v>6254</v>
      </c>
    </row>
    <row r="2000" spans="1:17">
      <c r="A2000" s="6" t="s">
        <v>3656</v>
      </c>
      <c r="B2000" s="6" t="s">
        <v>3656</v>
      </c>
      <c r="C2000" s="6" t="s">
        <v>12252</v>
      </c>
      <c r="D2000" s="6" t="s">
        <v>12253</v>
      </c>
      <c r="E2000" s="6" t="s">
        <v>12253</v>
      </c>
      <c r="F2000" s="6">
        <v>13.5367210374298</v>
      </c>
      <c r="G2000" s="6" t="s">
        <v>6254</v>
      </c>
      <c r="H2000" s="6">
        <v>12.3749727116722</v>
      </c>
      <c r="I2000" s="6">
        <v>14.465041331939799</v>
      </c>
      <c r="J2000" s="6">
        <v>11.786153564113899</v>
      </c>
      <c r="K2000" s="6">
        <v>10.9697469023767</v>
      </c>
      <c r="L2000" s="6">
        <v>13.668938885307799</v>
      </c>
      <c r="M2000" s="6" t="s">
        <v>6254</v>
      </c>
      <c r="N2000" s="6">
        <v>12.8289928768745</v>
      </c>
      <c r="O2000" s="6">
        <v>13.892976437028899</v>
      </c>
      <c r="P2000" s="6">
        <v>13.301271738941701</v>
      </c>
      <c r="Q2000" s="6">
        <v>12.0012341409049</v>
      </c>
    </row>
    <row r="2001" spans="1:17">
      <c r="A2001" s="6" t="s">
        <v>12254</v>
      </c>
      <c r="B2001" s="6" t="s">
        <v>12254</v>
      </c>
      <c r="C2001" s="6" t="s">
        <v>12255</v>
      </c>
      <c r="D2001" s="6" t="s">
        <v>12256</v>
      </c>
      <c r="E2001" s="6" t="s">
        <v>12256</v>
      </c>
      <c r="F2001" s="6" t="s">
        <v>6254</v>
      </c>
      <c r="G2001" s="6" t="s">
        <v>6254</v>
      </c>
      <c r="H2001" s="6" t="s">
        <v>6254</v>
      </c>
      <c r="I2001" s="6">
        <v>13.842607349336101</v>
      </c>
      <c r="J2001" s="6" t="s">
        <v>6254</v>
      </c>
      <c r="K2001" s="6" t="s">
        <v>6254</v>
      </c>
      <c r="L2001" s="6">
        <v>13.532577697614901</v>
      </c>
      <c r="M2001" s="6" t="s">
        <v>6254</v>
      </c>
      <c r="N2001" s="6" t="s">
        <v>6254</v>
      </c>
      <c r="O2001" s="6" t="s">
        <v>6254</v>
      </c>
      <c r="P2001" s="6" t="s">
        <v>6254</v>
      </c>
      <c r="Q2001" s="6" t="s">
        <v>6254</v>
      </c>
    </row>
    <row r="2002" spans="1:17">
      <c r="A2002" s="6" t="s">
        <v>4173</v>
      </c>
      <c r="B2002" s="6" t="s">
        <v>4173</v>
      </c>
      <c r="C2002" s="6" t="s">
        <v>12257</v>
      </c>
      <c r="D2002" s="6" t="s">
        <v>12258</v>
      </c>
      <c r="E2002" s="6" t="s">
        <v>12258</v>
      </c>
      <c r="F2002" s="6">
        <v>12.743185004486801</v>
      </c>
      <c r="G2002" s="6" t="s">
        <v>6254</v>
      </c>
      <c r="H2002" s="6">
        <v>13.1935715693538</v>
      </c>
      <c r="I2002" s="6">
        <v>13.336915856001101</v>
      </c>
      <c r="J2002" s="6">
        <v>11.752570426994399</v>
      </c>
      <c r="K2002" s="6">
        <v>12.4206072489003</v>
      </c>
      <c r="L2002" s="6">
        <v>12.789072292861</v>
      </c>
      <c r="M2002" s="6">
        <v>15.137082607175399</v>
      </c>
      <c r="N2002" s="6">
        <v>11.664443634115999</v>
      </c>
      <c r="O2002" s="6">
        <v>12.7930807659172</v>
      </c>
      <c r="P2002" s="6">
        <v>12.8648566468321</v>
      </c>
      <c r="Q2002" s="6" t="s">
        <v>6254</v>
      </c>
    </row>
    <row r="2003" spans="1:17">
      <c r="A2003" s="6" t="s">
        <v>5784</v>
      </c>
      <c r="B2003" s="6" t="s">
        <v>5784</v>
      </c>
      <c r="C2003" s="6" t="s">
        <v>12259</v>
      </c>
      <c r="D2003" s="6" t="s">
        <v>12260</v>
      </c>
      <c r="E2003" s="6" t="s">
        <v>12260</v>
      </c>
      <c r="F2003" s="6" t="s">
        <v>6254</v>
      </c>
      <c r="G2003" s="6">
        <v>12.645065057700601</v>
      </c>
      <c r="H2003" s="6">
        <v>13.3502652180536</v>
      </c>
      <c r="I2003" s="6">
        <v>13.212807522220899</v>
      </c>
      <c r="J2003" s="6" t="s">
        <v>6254</v>
      </c>
      <c r="K2003" s="6" t="s">
        <v>6254</v>
      </c>
      <c r="L2003" s="6" t="s">
        <v>6254</v>
      </c>
      <c r="M2003" s="6">
        <v>11.994799714167801</v>
      </c>
      <c r="N2003" s="6">
        <v>13.0527678880216</v>
      </c>
      <c r="O2003" s="6" t="s">
        <v>6254</v>
      </c>
      <c r="P2003" s="6" t="s">
        <v>6254</v>
      </c>
      <c r="Q2003" s="6" t="s">
        <v>6254</v>
      </c>
    </row>
    <row r="2004" spans="1:17">
      <c r="A2004" s="6" t="s">
        <v>12261</v>
      </c>
      <c r="B2004" s="6" t="s">
        <v>12261</v>
      </c>
      <c r="C2004" s="6" t="s">
        <v>12262</v>
      </c>
      <c r="D2004" s="6" t="s">
        <v>12263</v>
      </c>
      <c r="E2004" s="6" t="s">
        <v>12263</v>
      </c>
      <c r="F2004" s="6" t="s">
        <v>6254</v>
      </c>
      <c r="G2004" s="6">
        <v>12.798893680173</v>
      </c>
      <c r="H2004" s="6">
        <v>12.9223113782688</v>
      </c>
      <c r="I2004" s="6">
        <v>12.702910992401801</v>
      </c>
      <c r="J2004" s="6" t="s">
        <v>6254</v>
      </c>
      <c r="K2004" s="6" t="s">
        <v>6254</v>
      </c>
      <c r="L2004" s="6">
        <v>12.4500490136247</v>
      </c>
      <c r="M2004" s="6" t="s">
        <v>6254</v>
      </c>
      <c r="N2004" s="6">
        <v>12.7270948948161</v>
      </c>
      <c r="O2004" s="6">
        <v>12.393987525782901</v>
      </c>
      <c r="P2004" s="6">
        <v>12.4623614807862</v>
      </c>
      <c r="Q2004" s="6" t="s">
        <v>6254</v>
      </c>
    </row>
    <row r="2005" spans="1:17">
      <c r="A2005" s="6" t="s">
        <v>12264</v>
      </c>
      <c r="B2005" s="6" t="s">
        <v>12265</v>
      </c>
      <c r="C2005" s="6" t="s">
        <v>12266</v>
      </c>
      <c r="D2005" s="6" t="s">
        <v>12267</v>
      </c>
      <c r="E2005" s="6" t="s">
        <v>12268</v>
      </c>
      <c r="F2005" s="6">
        <v>12.7847222882372</v>
      </c>
      <c r="G2005" s="6">
        <v>11.870071987201699</v>
      </c>
      <c r="H2005" s="6" t="s">
        <v>6254</v>
      </c>
      <c r="I2005" s="6">
        <v>13.028260736854699</v>
      </c>
      <c r="J2005" s="6" t="s">
        <v>6254</v>
      </c>
      <c r="K2005" s="6" t="s">
        <v>6254</v>
      </c>
      <c r="L2005" s="6">
        <v>13.4721446661854</v>
      </c>
      <c r="M2005" s="6" t="s">
        <v>6254</v>
      </c>
      <c r="N2005" s="6" t="s">
        <v>6254</v>
      </c>
      <c r="O2005" s="6">
        <v>12.9815766760938</v>
      </c>
      <c r="P2005" s="6" t="s">
        <v>6254</v>
      </c>
      <c r="Q2005" s="6" t="s">
        <v>6254</v>
      </c>
    </row>
    <row r="2006" spans="1:17">
      <c r="A2006" s="6" t="s">
        <v>6085</v>
      </c>
      <c r="B2006" s="6" t="s">
        <v>6087</v>
      </c>
      <c r="C2006" s="6" t="s">
        <v>12269</v>
      </c>
      <c r="D2006" s="6" t="s">
        <v>12270</v>
      </c>
      <c r="E2006" s="6" t="s">
        <v>12271</v>
      </c>
      <c r="F2006" s="6" t="s">
        <v>6254</v>
      </c>
      <c r="G2006" s="6" t="s">
        <v>6254</v>
      </c>
      <c r="H2006" s="6" t="s">
        <v>6254</v>
      </c>
      <c r="I2006" s="6" t="s">
        <v>6254</v>
      </c>
      <c r="J2006" s="6" t="s">
        <v>6254</v>
      </c>
      <c r="K2006" s="6" t="s">
        <v>6254</v>
      </c>
      <c r="L2006" s="6">
        <v>13.0654160864775</v>
      </c>
      <c r="M2006" s="6" t="s">
        <v>6254</v>
      </c>
      <c r="N2006" s="6" t="s">
        <v>6254</v>
      </c>
      <c r="O2006" s="6">
        <v>11.750107328137</v>
      </c>
      <c r="P2006" s="6" t="s">
        <v>6254</v>
      </c>
      <c r="Q2006" s="6" t="s">
        <v>6254</v>
      </c>
    </row>
    <row r="2007" spans="1:17">
      <c r="A2007" s="6" t="s">
        <v>12272</v>
      </c>
      <c r="B2007" s="6" t="s">
        <v>12272</v>
      </c>
      <c r="C2007" s="6" t="s">
        <v>12273</v>
      </c>
      <c r="D2007" s="6" t="s">
        <v>12274</v>
      </c>
      <c r="E2007" s="6" t="s">
        <v>12274</v>
      </c>
      <c r="F2007" s="6">
        <v>13.6103678864703</v>
      </c>
      <c r="G2007" s="6">
        <v>12.8142910434686</v>
      </c>
      <c r="H2007" s="6">
        <v>12.805418199274101</v>
      </c>
      <c r="I2007" s="6">
        <v>13.242035493943</v>
      </c>
      <c r="J2007" s="6">
        <v>11.9632579227261</v>
      </c>
      <c r="K2007" s="6">
        <v>12.0084395784799</v>
      </c>
      <c r="L2007" s="6">
        <v>13.357570488666299</v>
      </c>
      <c r="M2007" s="6">
        <v>11.7837420790535</v>
      </c>
      <c r="N2007" s="6">
        <v>12.691246667739501</v>
      </c>
      <c r="O2007" s="6">
        <v>13.4816846905518</v>
      </c>
      <c r="P2007" s="6">
        <v>12.565945010721901</v>
      </c>
      <c r="Q2007" s="6">
        <v>11.098712599993901</v>
      </c>
    </row>
    <row r="2008" spans="1:17">
      <c r="A2008" s="6" t="s">
        <v>4519</v>
      </c>
      <c r="B2008" s="6" t="s">
        <v>4519</v>
      </c>
      <c r="C2008" s="6" t="s">
        <v>12275</v>
      </c>
      <c r="D2008" s="6" t="s">
        <v>12276</v>
      </c>
      <c r="E2008" s="6" t="s">
        <v>12276</v>
      </c>
      <c r="F2008" s="6">
        <v>13.135898134603</v>
      </c>
      <c r="G2008" s="6">
        <v>12.593218074656701</v>
      </c>
      <c r="H2008" s="6">
        <v>11.8720403034703</v>
      </c>
      <c r="I2008" s="6">
        <v>13.5736240764525</v>
      </c>
      <c r="J2008" s="6" t="s">
        <v>6254</v>
      </c>
      <c r="K2008" s="6">
        <v>11.9878203289762</v>
      </c>
      <c r="L2008" s="6">
        <v>12.319507115688401</v>
      </c>
      <c r="M2008" s="6" t="s">
        <v>6254</v>
      </c>
      <c r="N2008" s="6" t="s">
        <v>6254</v>
      </c>
      <c r="O2008" s="6">
        <v>13.186721243330499</v>
      </c>
      <c r="P2008" s="6">
        <v>13.2452465711219</v>
      </c>
      <c r="Q2008" s="6" t="s">
        <v>6254</v>
      </c>
    </row>
    <row r="2009" spans="1:17">
      <c r="A2009" s="6" t="s">
        <v>12277</v>
      </c>
      <c r="B2009" s="6" t="s">
        <v>12277</v>
      </c>
      <c r="C2009" s="6" t="s">
        <v>12278</v>
      </c>
      <c r="D2009" s="6" t="s">
        <v>12279</v>
      </c>
      <c r="E2009" s="6" t="s">
        <v>12279</v>
      </c>
      <c r="F2009" s="6">
        <v>13.267156238362499</v>
      </c>
      <c r="G2009" s="6">
        <v>12.9242346599776</v>
      </c>
      <c r="H2009" s="6">
        <v>12.8608495081293</v>
      </c>
      <c r="I2009" s="6">
        <v>13.1476086960693</v>
      </c>
      <c r="J2009" s="6" t="s">
        <v>6254</v>
      </c>
      <c r="K2009" s="6">
        <v>11.3349969783688</v>
      </c>
      <c r="L2009" s="6">
        <v>12.8540344831193</v>
      </c>
      <c r="M2009" s="6" t="s">
        <v>6254</v>
      </c>
      <c r="N2009" s="6">
        <v>13.300717036024601</v>
      </c>
      <c r="O2009" s="6">
        <v>12.8148534371511</v>
      </c>
      <c r="P2009" s="6">
        <v>12.507162394970701</v>
      </c>
      <c r="Q2009" s="6" t="s">
        <v>6254</v>
      </c>
    </row>
    <row r="2010" spans="1:17">
      <c r="A2010" s="6" t="s">
        <v>12280</v>
      </c>
      <c r="B2010" s="6" t="s">
        <v>12281</v>
      </c>
      <c r="C2010" s="6" t="s">
        <v>12282</v>
      </c>
      <c r="D2010" s="6" t="s">
        <v>12283</v>
      </c>
      <c r="E2010" s="6" t="s">
        <v>12284</v>
      </c>
      <c r="F2010" s="6" t="s">
        <v>6254</v>
      </c>
      <c r="G2010" s="6">
        <v>12.131498778950901</v>
      </c>
      <c r="H2010" s="6">
        <v>12.6675705596297</v>
      </c>
      <c r="I2010" s="6">
        <v>13.7312711345766</v>
      </c>
      <c r="J2010" s="6">
        <v>11.5200807800109</v>
      </c>
      <c r="K2010" s="6">
        <v>12.4690404269392</v>
      </c>
      <c r="L2010" s="6">
        <v>13.151151797967399</v>
      </c>
      <c r="M2010" s="6" t="s">
        <v>6254</v>
      </c>
      <c r="N2010" s="6" t="s">
        <v>6254</v>
      </c>
      <c r="O2010" s="6">
        <v>13.2584854296784</v>
      </c>
      <c r="P2010" s="6">
        <v>12.7772523623629</v>
      </c>
      <c r="Q2010" s="6" t="s">
        <v>6254</v>
      </c>
    </row>
    <row r="2011" spans="1:17">
      <c r="A2011" s="6" t="s">
        <v>12285</v>
      </c>
      <c r="B2011" s="6" t="s">
        <v>12286</v>
      </c>
      <c r="C2011" s="6" t="s">
        <v>12287</v>
      </c>
      <c r="D2011" s="6" t="s">
        <v>12288</v>
      </c>
      <c r="E2011" s="6" t="s">
        <v>12289</v>
      </c>
      <c r="F2011" s="6">
        <v>12.5712283987723</v>
      </c>
      <c r="G2011" s="6">
        <v>12.6204903588375</v>
      </c>
      <c r="H2011" s="6">
        <v>13.106523325081699</v>
      </c>
      <c r="I2011" s="6">
        <v>13.902159056720301</v>
      </c>
      <c r="J2011" s="6">
        <v>11.778930220797299</v>
      </c>
      <c r="K2011" s="6">
        <v>13.2550099300823</v>
      </c>
      <c r="L2011" s="6">
        <v>14.7034714777862</v>
      </c>
      <c r="M2011" s="6">
        <v>11.715689919176301</v>
      </c>
      <c r="N2011" s="6">
        <v>10.969266044862801</v>
      </c>
      <c r="O2011" s="6">
        <v>12.1431773984571</v>
      </c>
      <c r="P2011" s="6">
        <v>13.227142472691201</v>
      </c>
      <c r="Q2011" s="6" t="s">
        <v>6254</v>
      </c>
    </row>
    <row r="2012" spans="1:17">
      <c r="A2012" s="6" t="s">
        <v>2562</v>
      </c>
      <c r="B2012" s="6" t="s">
        <v>2562</v>
      </c>
      <c r="C2012" s="6" t="s">
        <v>12290</v>
      </c>
      <c r="D2012" s="6" t="s">
        <v>12291</v>
      </c>
      <c r="E2012" s="6" t="s">
        <v>12291</v>
      </c>
      <c r="F2012" s="6">
        <v>13.0266810618948</v>
      </c>
      <c r="G2012" s="6">
        <v>11.960810876336099</v>
      </c>
      <c r="H2012" s="6">
        <v>12.344573294130001</v>
      </c>
      <c r="I2012" s="6">
        <v>13.4904398449009</v>
      </c>
      <c r="J2012" s="6" t="s">
        <v>6254</v>
      </c>
      <c r="K2012" s="6">
        <v>12.8044336705173</v>
      </c>
      <c r="L2012" s="6">
        <v>13.2207194832007</v>
      </c>
      <c r="M2012" s="6">
        <v>11.4151405211246</v>
      </c>
      <c r="N2012" s="6" t="s">
        <v>6254</v>
      </c>
      <c r="O2012" s="6">
        <v>13.2215568868725</v>
      </c>
      <c r="P2012" s="6">
        <v>12.282387766092301</v>
      </c>
      <c r="Q2012" s="6" t="s">
        <v>6254</v>
      </c>
    </row>
    <row r="2013" spans="1:17">
      <c r="A2013" s="6" t="s">
        <v>12292</v>
      </c>
      <c r="B2013" s="6" t="s">
        <v>12293</v>
      </c>
      <c r="C2013" s="6" t="s">
        <v>12294</v>
      </c>
      <c r="D2013" s="6" t="s">
        <v>12295</v>
      </c>
      <c r="E2013" s="6" t="s">
        <v>12296</v>
      </c>
      <c r="F2013" s="6">
        <v>13.371650601667801</v>
      </c>
      <c r="G2013" s="6">
        <v>12.6163274835894</v>
      </c>
      <c r="H2013" s="6">
        <v>12.7546241558286</v>
      </c>
      <c r="I2013" s="6">
        <v>13.5614701529698</v>
      </c>
      <c r="J2013" s="6">
        <v>12.2076802629865</v>
      </c>
      <c r="K2013" s="6">
        <v>13.4390719768857</v>
      </c>
      <c r="L2013" s="6">
        <v>13.6904996341492</v>
      </c>
      <c r="M2013" s="6">
        <v>12.0112422887291</v>
      </c>
      <c r="N2013" s="6">
        <v>11.8985458408863</v>
      </c>
      <c r="O2013" s="6">
        <v>12.182647517164099</v>
      </c>
      <c r="P2013" s="6">
        <v>12.242475635090999</v>
      </c>
      <c r="Q2013" s="6">
        <v>11.7543645243585</v>
      </c>
    </row>
    <row r="2014" spans="1:17">
      <c r="A2014" s="6" t="s">
        <v>12297</v>
      </c>
      <c r="B2014" s="6" t="s">
        <v>12298</v>
      </c>
      <c r="C2014" s="6" t="s">
        <v>12299</v>
      </c>
      <c r="D2014" s="6" t="s">
        <v>12300</v>
      </c>
      <c r="E2014" s="6" t="s">
        <v>12301</v>
      </c>
      <c r="F2014" s="6">
        <v>13.898284597917399</v>
      </c>
      <c r="G2014" s="6">
        <v>12.7106998031812</v>
      </c>
      <c r="H2014" s="6" t="s">
        <v>6254</v>
      </c>
      <c r="I2014" s="6">
        <v>13.179918664891099</v>
      </c>
      <c r="J2014" s="6" t="s">
        <v>6254</v>
      </c>
      <c r="K2014" s="6" t="s">
        <v>6254</v>
      </c>
      <c r="L2014" s="6">
        <v>12.9258943384828</v>
      </c>
      <c r="M2014" s="6" t="s">
        <v>6254</v>
      </c>
      <c r="N2014" s="6">
        <v>13.161711714840299</v>
      </c>
      <c r="O2014" s="6">
        <v>12.236425681794801</v>
      </c>
      <c r="P2014" s="6">
        <v>12.7017901932103</v>
      </c>
      <c r="Q2014" s="6" t="s">
        <v>6254</v>
      </c>
    </row>
    <row r="2015" spans="1:17">
      <c r="A2015" s="6" t="s">
        <v>4601</v>
      </c>
      <c r="B2015" s="6" t="s">
        <v>4601</v>
      </c>
      <c r="C2015" s="6" t="s">
        <v>12302</v>
      </c>
      <c r="D2015" s="6" t="s">
        <v>12303</v>
      </c>
      <c r="E2015" s="6" t="s">
        <v>12303</v>
      </c>
      <c r="F2015" s="6">
        <v>13.172610300545101</v>
      </c>
      <c r="G2015" s="6">
        <v>12.3176634127363</v>
      </c>
      <c r="H2015" s="6">
        <v>11.9110031571172</v>
      </c>
      <c r="I2015" s="6">
        <v>13.463171631844601</v>
      </c>
      <c r="J2015" s="6">
        <v>11.8213118906463</v>
      </c>
      <c r="K2015" s="6">
        <v>13.0172712702177</v>
      </c>
      <c r="L2015" s="6">
        <v>12.607866403253601</v>
      </c>
      <c r="M2015" s="6" t="s">
        <v>6254</v>
      </c>
      <c r="N2015" s="6">
        <v>11.768900032364099</v>
      </c>
      <c r="O2015" s="6">
        <v>12.6174459321696</v>
      </c>
      <c r="P2015" s="6">
        <v>12.534027539368299</v>
      </c>
      <c r="Q2015" s="6">
        <v>12.174776244568999</v>
      </c>
    </row>
    <row r="2016" spans="1:17">
      <c r="A2016" s="6" t="s">
        <v>4852</v>
      </c>
      <c r="B2016" s="6" t="s">
        <v>4852</v>
      </c>
      <c r="C2016" s="6" t="s">
        <v>12304</v>
      </c>
      <c r="D2016" s="6" t="s">
        <v>12305</v>
      </c>
      <c r="E2016" s="6" t="s">
        <v>12305</v>
      </c>
      <c r="F2016" s="6">
        <v>12.2217196644627</v>
      </c>
      <c r="G2016" s="6">
        <v>10.525601536527599</v>
      </c>
      <c r="H2016" s="6">
        <v>11.782548794058499</v>
      </c>
      <c r="I2016" s="6">
        <v>14.541259282175201</v>
      </c>
      <c r="J2016" s="6" t="s">
        <v>6254</v>
      </c>
      <c r="K2016" s="6">
        <v>13.5653062801858</v>
      </c>
      <c r="L2016" s="6">
        <v>14.938195783606</v>
      </c>
      <c r="M2016" s="6">
        <v>9.2622745649772593</v>
      </c>
      <c r="N2016" s="6">
        <v>18.157317375272399</v>
      </c>
      <c r="O2016" s="6">
        <v>12.083662154052099</v>
      </c>
      <c r="P2016" s="6">
        <v>11.3563554820386</v>
      </c>
      <c r="Q2016" s="6" t="s">
        <v>6254</v>
      </c>
    </row>
    <row r="2017" spans="1:17">
      <c r="A2017" s="6" t="s">
        <v>12306</v>
      </c>
      <c r="B2017" s="6" t="s">
        <v>12307</v>
      </c>
      <c r="C2017" s="6" t="s">
        <v>12308</v>
      </c>
      <c r="D2017" s="6" t="s">
        <v>12309</v>
      </c>
      <c r="E2017" s="6" t="s">
        <v>12310</v>
      </c>
      <c r="F2017" s="6">
        <v>12.8304037077156</v>
      </c>
      <c r="G2017" s="6">
        <v>12.713616724954001</v>
      </c>
      <c r="H2017" s="6">
        <v>11.642308446992899</v>
      </c>
      <c r="I2017" s="6">
        <v>12.715568246570299</v>
      </c>
      <c r="J2017" s="6">
        <v>11.9110950235247</v>
      </c>
      <c r="K2017" s="6">
        <v>13.0219324590471</v>
      </c>
      <c r="L2017" s="6">
        <v>12.9288869812745</v>
      </c>
      <c r="M2017" s="6" t="s">
        <v>6254</v>
      </c>
      <c r="N2017" s="6" t="s">
        <v>6254</v>
      </c>
      <c r="O2017" s="6">
        <v>13.4273404742208</v>
      </c>
      <c r="P2017" s="6">
        <v>12.7975256138261</v>
      </c>
      <c r="Q2017" s="6" t="s">
        <v>6254</v>
      </c>
    </row>
    <row r="2018" spans="1:17">
      <c r="A2018" s="6" t="s">
        <v>12311</v>
      </c>
      <c r="B2018" s="6" t="s">
        <v>12312</v>
      </c>
      <c r="C2018" s="6" t="s">
        <v>12313</v>
      </c>
      <c r="D2018" s="6" t="s">
        <v>12314</v>
      </c>
      <c r="E2018" s="6" t="s">
        <v>12315</v>
      </c>
      <c r="F2018" s="6">
        <v>15.241660329384301</v>
      </c>
      <c r="G2018" s="6">
        <v>13.024730094243001</v>
      </c>
      <c r="H2018" s="6" t="s">
        <v>6254</v>
      </c>
      <c r="I2018" s="6">
        <v>12.5611568738813</v>
      </c>
      <c r="J2018" s="6" t="s">
        <v>6254</v>
      </c>
      <c r="K2018" s="6" t="s">
        <v>6254</v>
      </c>
      <c r="L2018" s="6">
        <v>12.8425720283125</v>
      </c>
      <c r="M2018" s="6" t="s">
        <v>6254</v>
      </c>
      <c r="N2018" s="6">
        <v>10.2566912075327</v>
      </c>
      <c r="O2018" s="6">
        <v>12.225653075226401</v>
      </c>
      <c r="P2018" s="6">
        <v>13.0740012353168</v>
      </c>
      <c r="Q2018" s="6" t="s">
        <v>6254</v>
      </c>
    </row>
    <row r="2019" spans="1:17">
      <c r="A2019" s="6" t="s">
        <v>12316</v>
      </c>
      <c r="B2019" s="6" t="s">
        <v>12317</v>
      </c>
      <c r="C2019" s="6" t="s">
        <v>12318</v>
      </c>
      <c r="D2019" s="6" t="s">
        <v>12319</v>
      </c>
      <c r="E2019" s="6" t="s">
        <v>12320</v>
      </c>
      <c r="F2019" s="6">
        <v>13.374715015206</v>
      </c>
      <c r="G2019" s="6" t="s">
        <v>6254</v>
      </c>
      <c r="H2019" s="6">
        <v>12.374120635881299</v>
      </c>
      <c r="I2019" s="6">
        <v>13.325697292156899</v>
      </c>
      <c r="J2019" s="6" t="s">
        <v>6254</v>
      </c>
      <c r="K2019" s="6" t="s">
        <v>6254</v>
      </c>
      <c r="L2019" s="6">
        <v>13.509575769248601</v>
      </c>
      <c r="M2019" s="6" t="s">
        <v>6254</v>
      </c>
      <c r="N2019" s="6">
        <v>13.6970550841805</v>
      </c>
      <c r="O2019" s="6">
        <v>13.472536137850099</v>
      </c>
      <c r="P2019" s="6">
        <v>13.524510321416001</v>
      </c>
      <c r="Q2019" s="6">
        <v>11.5296749572283</v>
      </c>
    </row>
    <row r="2020" spans="1:17">
      <c r="A2020" s="6" t="s">
        <v>12321</v>
      </c>
      <c r="B2020" s="6" t="s">
        <v>12322</v>
      </c>
      <c r="C2020" s="6" t="s">
        <v>12323</v>
      </c>
      <c r="D2020" s="6" t="s">
        <v>12324</v>
      </c>
      <c r="E2020" s="6" t="s">
        <v>12325</v>
      </c>
      <c r="F2020" s="6">
        <v>12.683766715587399</v>
      </c>
      <c r="G2020" s="6">
        <v>11.855171351604699</v>
      </c>
      <c r="H2020" s="6">
        <v>12.5431610228148</v>
      </c>
      <c r="I2020" s="6">
        <v>12.681840222799</v>
      </c>
      <c r="J2020" s="6">
        <v>11.224609308675801</v>
      </c>
      <c r="K2020" s="6">
        <v>11.091635197128999</v>
      </c>
      <c r="L2020" s="6">
        <v>13.4864385998556</v>
      </c>
      <c r="M2020" s="6" t="s">
        <v>6254</v>
      </c>
      <c r="N2020" s="6">
        <v>12.530901413095</v>
      </c>
      <c r="O2020" s="6" t="s">
        <v>6254</v>
      </c>
      <c r="P2020" s="6">
        <v>12.147883078058101</v>
      </c>
      <c r="Q2020" s="6" t="s">
        <v>6254</v>
      </c>
    </row>
    <row r="2021" spans="1:17">
      <c r="A2021" s="6" t="s">
        <v>12326</v>
      </c>
      <c r="B2021" s="6" t="s">
        <v>12327</v>
      </c>
      <c r="C2021" s="6" t="s">
        <v>12328</v>
      </c>
      <c r="D2021" s="6" t="s">
        <v>12329</v>
      </c>
      <c r="E2021" s="6" t="s">
        <v>12330</v>
      </c>
      <c r="F2021" s="6">
        <v>13.434563928337599</v>
      </c>
      <c r="G2021" s="6">
        <v>12.854784289431199</v>
      </c>
      <c r="H2021" s="6">
        <v>11.942128372473199</v>
      </c>
      <c r="I2021" s="6">
        <v>13.552010679940199</v>
      </c>
      <c r="J2021" s="6" t="s">
        <v>6254</v>
      </c>
      <c r="K2021" s="6">
        <v>13.1243749116892</v>
      </c>
      <c r="L2021" s="6">
        <v>13.1718855705758</v>
      </c>
      <c r="M2021" s="6">
        <v>11.941445901280099</v>
      </c>
      <c r="N2021" s="6">
        <v>12.3122052012467</v>
      </c>
      <c r="O2021" s="6">
        <v>12.090982838475901</v>
      </c>
      <c r="P2021" s="6">
        <v>12.0973255291872</v>
      </c>
      <c r="Q2021" s="6">
        <v>11.827661431847501</v>
      </c>
    </row>
    <row r="2022" spans="1:17">
      <c r="A2022" s="6" t="s">
        <v>2622</v>
      </c>
      <c r="B2022" s="6" t="s">
        <v>2622</v>
      </c>
      <c r="C2022" s="6" t="s">
        <v>12331</v>
      </c>
      <c r="D2022" s="6" t="s">
        <v>12332</v>
      </c>
      <c r="E2022" s="6" t="s">
        <v>12332</v>
      </c>
      <c r="F2022" s="6">
        <v>12.8957406510275</v>
      </c>
      <c r="G2022" s="6">
        <v>12.090542369416401</v>
      </c>
      <c r="H2022" s="6">
        <v>13.077710268043599</v>
      </c>
      <c r="I2022" s="6">
        <v>13.380218510008399</v>
      </c>
      <c r="J2022" s="6">
        <v>11.762047815994899</v>
      </c>
      <c r="K2022" s="6">
        <v>12.2915208103341</v>
      </c>
      <c r="L2022" s="6">
        <v>13.6232237944666</v>
      </c>
      <c r="M2022" s="6">
        <v>11.708630366762</v>
      </c>
      <c r="N2022" s="6">
        <v>13.2206600217136</v>
      </c>
      <c r="O2022" s="6">
        <v>13.172424064781399</v>
      </c>
      <c r="P2022" s="6">
        <v>12.6189699403765</v>
      </c>
      <c r="Q2022" s="6">
        <v>11.164276484580901</v>
      </c>
    </row>
    <row r="2023" spans="1:17">
      <c r="A2023" s="6" t="s">
        <v>5246</v>
      </c>
      <c r="B2023" s="6" t="s">
        <v>5246</v>
      </c>
      <c r="C2023" s="6" t="s">
        <v>12333</v>
      </c>
      <c r="D2023" s="6" t="s">
        <v>12334</v>
      </c>
      <c r="E2023" s="6" t="s">
        <v>12334</v>
      </c>
      <c r="F2023" s="6">
        <v>14.03333845161</v>
      </c>
      <c r="G2023" s="6">
        <v>12.0453506114475</v>
      </c>
      <c r="H2023" s="6" t="s">
        <v>6254</v>
      </c>
      <c r="I2023" s="6">
        <v>13.739371889789901</v>
      </c>
      <c r="J2023" s="6" t="s">
        <v>6254</v>
      </c>
      <c r="K2023" s="6">
        <v>11.8360197297377</v>
      </c>
      <c r="L2023" s="6">
        <v>13.636338021208299</v>
      </c>
      <c r="M2023" s="6" t="s">
        <v>6254</v>
      </c>
      <c r="N2023" s="6">
        <v>13.8805152835232</v>
      </c>
      <c r="O2023" s="6" t="s">
        <v>6254</v>
      </c>
      <c r="P2023" s="6">
        <v>12.612663960193</v>
      </c>
      <c r="Q2023" s="6" t="s">
        <v>6254</v>
      </c>
    </row>
    <row r="2024" spans="1:17">
      <c r="A2024" s="6" t="s">
        <v>3143</v>
      </c>
      <c r="B2024" s="6" t="s">
        <v>3145</v>
      </c>
      <c r="C2024" s="6" t="s">
        <v>12335</v>
      </c>
      <c r="D2024" s="6" t="s">
        <v>12336</v>
      </c>
      <c r="E2024" s="6" t="s">
        <v>12337</v>
      </c>
      <c r="F2024" s="6">
        <v>13.113673057066499</v>
      </c>
      <c r="G2024" s="6">
        <v>12.519536733873499</v>
      </c>
      <c r="H2024" s="6">
        <v>12.524587535813399</v>
      </c>
      <c r="I2024" s="6">
        <v>13.210163695193</v>
      </c>
      <c r="J2024" s="6">
        <v>11.0151378217393</v>
      </c>
      <c r="K2024" s="6">
        <v>13.0379257449554</v>
      </c>
      <c r="L2024" s="6">
        <v>13.189994712713601</v>
      </c>
      <c r="M2024" s="6">
        <v>11.756885500291601</v>
      </c>
      <c r="N2024" s="6">
        <v>12.7953404522775</v>
      </c>
      <c r="O2024" s="6">
        <v>12.809172365707999</v>
      </c>
      <c r="P2024" s="6">
        <v>12.644642035977601</v>
      </c>
      <c r="Q2024" s="6">
        <v>11.6607968884858</v>
      </c>
    </row>
    <row r="2025" spans="1:17">
      <c r="A2025" s="6" t="s">
        <v>4744</v>
      </c>
      <c r="B2025" s="6" t="s">
        <v>4744</v>
      </c>
      <c r="C2025" s="6" t="s">
        <v>12338</v>
      </c>
      <c r="D2025" s="6" t="s">
        <v>12339</v>
      </c>
      <c r="E2025" s="6" t="s">
        <v>12339</v>
      </c>
      <c r="F2025" s="6">
        <v>13.5467532862688</v>
      </c>
      <c r="G2025" s="6">
        <v>13.002181272374701</v>
      </c>
      <c r="H2025" s="6" t="s">
        <v>6254</v>
      </c>
      <c r="I2025" s="6">
        <v>12.442884928511001</v>
      </c>
      <c r="J2025" s="6" t="s">
        <v>6254</v>
      </c>
      <c r="K2025" s="6">
        <v>12.8086390179399</v>
      </c>
      <c r="L2025" s="6">
        <v>12.957665183781099</v>
      </c>
      <c r="M2025" s="6" t="s">
        <v>6254</v>
      </c>
      <c r="N2025" s="6">
        <v>10.3452052823774</v>
      </c>
      <c r="O2025" s="6">
        <v>12.6368441003952</v>
      </c>
      <c r="P2025" s="6">
        <v>12.5188866389007</v>
      </c>
      <c r="Q2025" s="6" t="s">
        <v>6254</v>
      </c>
    </row>
    <row r="2026" spans="1:17">
      <c r="A2026" s="6" t="s">
        <v>12340</v>
      </c>
      <c r="B2026" s="6" t="s">
        <v>12341</v>
      </c>
      <c r="C2026" s="6" t="s">
        <v>12342</v>
      </c>
      <c r="D2026" s="6" t="s">
        <v>12343</v>
      </c>
      <c r="E2026" s="6" t="s">
        <v>12344</v>
      </c>
      <c r="F2026" s="6" t="s">
        <v>6254</v>
      </c>
      <c r="G2026" s="6">
        <v>12.153167624339099</v>
      </c>
      <c r="H2026" s="6">
        <v>14.8962662147303</v>
      </c>
      <c r="I2026" s="6" t="s">
        <v>6254</v>
      </c>
      <c r="J2026" s="6" t="s">
        <v>6254</v>
      </c>
      <c r="K2026" s="6">
        <v>11.9691723231289</v>
      </c>
      <c r="L2026" s="6">
        <v>13.500699886675999</v>
      </c>
      <c r="M2026" s="6" t="s">
        <v>6254</v>
      </c>
      <c r="N2026" s="6">
        <v>12.386009741897199</v>
      </c>
      <c r="O2026" s="6" t="s">
        <v>6254</v>
      </c>
      <c r="P2026" s="6">
        <v>13.177934725832401</v>
      </c>
      <c r="Q2026" s="6" t="s">
        <v>6254</v>
      </c>
    </row>
    <row r="2027" spans="1:17">
      <c r="A2027" s="6" t="s">
        <v>12345</v>
      </c>
      <c r="B2027" s="6" t="s">
        <v>12345</v>
      </c>
      <c r="C2027" s="6" t="s">
        <v>12345</v>
      </c>
      <c r="D2027" s="6" t="s">
        <v>12345</v>
      </c>
      <c r="E2027" s="6" t="s">
        <v>12345</v>
      </c>
      <c r="F2027" s="6">
        <v>12.3826605784687</v>
      </c>
      <c r="G2027" s="6" t="s">
        <v>6254</v>
      </c>
      <c r="H2027" s="6" t="s">
        <v>6254</v>
      </c>
      <c r="I2027" s="6">
        <v>13.105985777956199</v>
      </c>
      <c r="J2027" s="6" t="s">
        <v>6254</v>
      </c>
      <c r="K2027" s="6" t="s">
        <v>6254</v>
      </c>
      <c r="L2027" s="6" t="s">
        <v>6254</v>
      </c>
      <c r="M2027" s="6" t="s">
        <v>6254</v>
      </c>
      <c r="N2027" s="6" t="s">
        <v>6254</v>
      </c>
      <c r="O2027" s="6" t="s">
        <v>6254</v>
      </c>
      <c r="P2027" s="6" t="s">
        <v>6254</v>
      </c>
      <c r="Q2027" s="6" t="s">
        <v>6254</v>
      </c>
    </row>
    <row r="2028" spans="1:17">
      <c r="A2028" s="6" t="s">
        <v>12346</v>
      </c>
      <c r="B2028" s="6" t="s">
        <v>12346</v>
      </c>
      <c r="C2028" s="6" t="s">
        <v>12347</v>
      </c>
      <c r="D2028" s="6" t="s">
        <v>12348</v>
      </c>
      <c r="E2028" s="6" t="s">
        <v>12348</v>
      </c>
      <c r="F2028" s="6" t="s">
        <v>6254</v>
      </c>
      <c r="G2028" s="6" t="s">
        <v>6254</v>
      </c>
      <c r="H2028" s="6" t="s">
        <v>6254</v>
      </c>
      <c r="I2028" s="6">
        <v>11.427704933705201</v>
      </c>
      <c r="J2028" s="6" t="s">
        <v>6254</v>
      </c>
      <c r="K2028" s="6" t="s">
        <v>6254</v>
      </c>
      <c r="L2028" s="6">
        <v>13.5803506662215</v>
      </c>
      <c r="M2028" s="6" t="s">
        <v>6254</v>
      </c>
      <c r="N2028" s="6" t="s">
        <v>6254</v>
      </c>
      <c r="O2028" s="6" t="s">
        <v>6254</v>
      </c>
      <c r="P2028" s="6" t="s">
        <v>6254</v>
      </c>
      <c r="Q2028" s="6" t="s">
        <v>6254</v>
      </c>
    </row>
    <row r="2029" spans="1:17">
      <c r="A2029" s="6" t="s">
        <v>4362</v>
      </c>
      <c r="B2029" s="6" t="s">
        <v>4362</v>
      </c>
      <c r="C2029" s="6" t="s">
        <v>12349</v>
      </c>
      <c r="D2029" s="6" t="s">
        <v>12350</v>
      </c>
      <c r="E2029" s="6" t="s">
        <v>12350</v>
      </c>
      <c r="F2029" s="6" t="s">
        <v>6254</v>
      </c>
      <c r="G2029" s="6">
        <v>12.8113071987853</v>
      </c>
      <c r="H2029" s="6" t="s">
        <v>6254</v>
      </c>
      <c r="I2029" s="6">
        <v>12.3675007317526</v>
      </c>
      <c r="J2029" s="6" t="s">
        <v>6254</v>
      </c>
      <c r="K2029" s="6" t="s">
        <v>6254</v>
      </c>
      <c r="L2029" s="6">
        <v>12.8118706313074</v>
      </c>
      <c r="M2029" s="6" t="s">
        <v>6254</v>
      </c>
      <c r="N2029" s="6" t="s">
        <v>6254</v>
      </c>
      <c r="O2029" s="6" t="s">
        <v>6254</v>
      </c>
      <c r="P2029" s="6" t="s">
        <v>6254</v>
      </c>
      <c r="Q2029" s="6" t="s">
        <v>6254</v>
      </c>
    </row>
    <row r="2030" spans="1:17">
      <c r="A2030" s="6" t="s">
        <v>3378</v>
      </c>
      <c r="B2030" s="6" t="s">
        <v>3378</v>
      </c>
      <c r="C2030" s="6" t="s">
        <v>12351</v>
      </c>
      <c r="D2030" s="6" t="s">
        <v>12352</v>
      </c>
      <c r="E2030" s="6" t="s">
        <v>12352</v>
      </c>
      <c r="F2030" s="6">
        <v>13.079728286171701</v>
      </c>
      <c r="G2030" s="6">
        <v>12.7120817328583</v>
      </c>
      <c r="H2030" s="6">
        <v>12.8795112356418</v>
      </c>
      <c r="I2030" s="6">
        <v>13.3512192205144</v>
      </c>
      <c r="J2030" s="6">
        <v>11.620298405171001</v>
      </c>
      <c r="K2030" s="6">
        <v>12.3804949941486</v>
      </c>
      <c r="L2030" s="6">
        <v>13.5784484497315</v>
      </c>
      <c r="M2030" s="6">
        <v>11.277991355634899</v>
      </c>
      <c r="N2030" s="6">
        <v>13.0433937406632</v>
      </c>
      <c r="O2030" s="6">
        <v>12.693379852905</v>
      </c>
      <c r="P2030" s="6">
        <v>13.0516895336402</v>
      </c>
      <c r="Q2030" s="6" t="s">
        <v>6254</v>
      </c>
    </row>
    <row r="2031" spans="1:17">
      <c r="A2031" s="6" t="s">
        <v>4465</v>
      </c>
      <c r="B2031" s="6" t="s">
        <v>4465</v>
      </c>
      <c r="C2031" s="6" t="s">
        <v>12353</v>
      </c>
      <c r="D2031" s="6" t="s">
        <v>12354</v>
      </c>
      <c r="E2031" s="6" t="s">
        <v>12354</v>
      </c>
      <c r="F2031" s="6">
        <v>12.826528212705799</v>
      </c>
      <c r="G2031" s="6">
        <v>11.5986190955078</v>
      </c>
      <c r="H2031" s="6">
        <v>12.7581067491023</v>
      </c>
      <c r="I2031" s="6">
        <v>12.505415927020801</v>
      </c>
      <c r="J2031" s="6">
        <v>13.3406869956788</v>
      </c>
      <c r="K2031" s="6" t="s">
        <v>6254</v>
      </c>
      <c r="L2031" s="6">
        <v>11.802135656798299</v>
      </c>
      <c r="M2031" s="6" t="s">
        <v>6254</v>
      </c>
      <c r="N2031" s="6" t="s">
        <v>6254</v>
      </c>
      <c r="O2031" s="6" t="s">
        <v>6254</v>
      </c>
      <c r="P2031" s="6" t="s">
        <v>6254</v>
      </c>
      <c r="Q2031" s="6" t="s">
        <v>6254</v>
      </c>
    </row>
    <row r="2032" spans="1:17">
      <c r="A2032" s="6" t="s">
        <v>3692</v>
      </c>
      <c r="B2032" s="6" t="s">
        <v>3692</v>
      </c>
      <c r="C2032" s="6" t="s">
        <v>12355</v>
      </c>
      <c r="D2032" s="6" t="s">
        <v>12356</v>
      </c>
      <c r="E2032" s="6" t="s">
        <v>12356</v>
      </c>
      <c r="F2032" s="6">
        <v>12.942537002952999</v>
      </c>
      <c r="G2032" s="6">
        <v>12.0445494856113</v>
      </c>
      <c r="H2032" s="6">
        <v>12.9100488752247</v>
      </c>
      <c r="I2032" s="6">
        <v>13.2232296898396</v>
      </c>
      <c r="J2032" s="6">
        <v>11.4746589291276</v>
      </c>
      <c r="K2032" s="6">
        <v>12.200395981449301</v>
      </c>
      <c r="L2032" s="6">
        <v>13.537689075342399</v>
      </c>
      <c r="M2032" s="6">
        <v>10.3214133562385</v>
      </c>
      <c r="N2032" s="6">
        <v>13.5921972768817</v>
      </c>
      <c r="O2032" s="6">
        <v>13.0969230014153</v>
      </c>
      <c r="P2032" s="6">
        <v>12.8908296198258</v>
      </c>
      <c r="Q2032" s="6" t="s">
        <v>6254</v>
      </c>
    </row>
    <row r="2033" spans="1:17">
      <c r="A2033" s="6" t="s">
        <v>12357</v>
      </c>
      <c r="B2033" s="6" t="s">
        <v>12358</v>
      </c>
      <c r="C2033" s="6" t="s">
        <v>12359</v>
      </c>
      <c r="D2033" s="6" t="s">
        <v>12360</v>
      </c>
      <c r="E2033" s="6" t="s">
        <v>12361</v>
      </c>
      <c r="F2033" s="6" t="s">
        <v>6254</v>
      </c>
      <c r="G2033" s="6" t="s">
        <v>6254</v>
      </c>
      <c r="H2033" s="6">
        <v>13.124441725110801</v>
      </c>
      <c r="I2033" s="6">
        <v>13.997908473836301</v>
      </c>
      <c r="J2033" s="6">
        <v>12.955498084324001</v>
      </c>
      <c r="K2033" s="6">
        <v>12.934766115658499</v>
      </c>
      <c r="L2033" s="6">
        <v>12.764264325570499</v>
      </c>
      <c r="M2033" s="6">
        <v>12.026346063864301</v>
      </c>
      <c r="N2033" s="6">
        <v>12.431642257936501</v>
      </c>
      <c r="O2033" s="6" t="s">
        <v>6254</v>
      </c>
      <c r="P2033" s="6" t="s">
        <v>6254</v>
      </c>
      <c r="Q2033" s="6" t="s">
        <v>6254</v>
      </c>
    </row>
    <row r="2034" spans="1:17">
      <c r="A2034" s="6" t="s">
        <v>12362</v>
      </c>
      <c r="B2034" s="6" t="s">
        <v>12362</v>
      </c>
      <c r="C2034" s="6" t="s">
        <v>12363</v>
      </c>
      <c r="D2034" s="6" t="s">
        <v>12364</v>
      </c>
      <c r="E2034" s="6" t="s">
        <v>12364</v>
      </c>
      <c r="F2034" s="6" t="s">
        <v>6254</v>
      </c>
      <c r="G2034" s="6" t="s">
        <v>6254</v>
      </c>
      <c r="H2034" s="6">
        <v>12.108061047016699</v>
      </c>
      <c r="I2034" s="6">
        <v>12.9822807394818</v>
      </c>
      <c r="J2034" s="6" t="s">
        <v>6254</v>
      </c>
      <c r="K2034" s="6">
        <v>12.6381476587355</v>
      </c>
      <c r="L2034" s="6" t="s">
        <v>6254</v>
      </c>
      <c r="M2034" s="6" t="s">
        <v>6254</v>
      </c>
      <c r="N2034" s="6" t="s">
        <v>6254</v>
      </c>
      <c r="O2034" s="6">
        <v>13.1413247455011</v>
      </c>
      <c r="P2034" s="6">
        <v>13.3215751901094</v>
      </c>
      <c r="Q2034" s="6" t="s">
        <v>6254</v>
      </c>
    </row>
    <row r="2035" spans="1:17">
      <c r="A2035" s="6" t="s">
        <v>5310</v>
      </c>
      <c r="B2035" s="6" t="s">
        <v>5310</v>
      </c>
      <c r="C2035" s="6" t="s">
        <v>12365</v>
      </c>
      <c r="D2035" s="6" t="s">
        <v>12366</v>
      </c>
      <c r="E2035" s="6" t="s">
        <v>12366</v>
      </c>
      <c r="F2035" s="6">
        <v>12.7263598729587</v>
      </c>
      <c r="G2035" s="6">
        <v>12.256534275331701</v>
      </c>
      <c r="H2035" s="6">
        <v>12.6871140814998</v>
      </c>
      <c r="I2035" s="6">
        <v>13.6059466788608</v>
      </c>
      <c r="J2035" s="6" t="s">
        <v>6254</v>
      </c>
      <c r="K2035" s="6">
        <v>11.9816001577984</v>
      </c>
      <c r="L2035" s="6">
        <v>13.885919920656701</v>
      </c>
      <c r="M2035" s="6">
        <v>11.6870403139229</v>
      </c>
      <c r="N2035" s="6">
        <v>13.381108041673</v>
      </c>
      <c r="O2035" s="6">
        <v>13.2193333811342</v>
      </c>
      <c r="P2035" s="6">
        <v>12.679779367914101</v>
      </c>
      <c r="Q2035" s="6">
        <v>11.5008419597706</v>
      </c>
    </row>
    <row r="2036" spans="1:17">
      <c r="A2036" s="6" t="s">
        <v>12367</v>
      </c>
      <c r="B2036" s="6" t="s">
        <v>12367</v>
      </c>
      <c r="C2036" s="6" t="s">
        <v>12367</v>
      </c>
      <c r="D2036" s="6" t="s">
        <v>12367</v>
      </c>
      <c r="E2036" s="6" t="s">
        <v>12367</v>
      </c>
      <c r="F2036" s="6" t="s">
        <v>6254</v>
      </c>
      <c r="G2036" s="6">
        <v>12.869059915809601</v>
      </c>
      <c r="H2036" s="6">
        <v>12.9847422462447</v>
      </c>
      <c r="I2036" s="6" t="s">
        <v>6254</v>
      </c>
      <c r="J2036" s="6">
        <v>12.769789388826901</v>
      </c>
      <c r="K2036" s="6">
        <v>12.219162832526001</v>
      </c>
      <c r="L2036" s="6" t="s">
        <v>6254</v>
      </c>
      <c r="M2036" s="6">
        <v>13.0122116099189</v>
      </c>
      <c r="N2036" s="6" t="s">
        <v>6254</v>
      </c>
      <c r="O2036" s="6" t="s">
        <v>6254</v>
      </c>
      <c r="P2036" s="6" t="s">
        <v>6254</v>
      </c>
      <c r="Q2036" s="6">
        <v>10.871754739408701</v>
      </c>
    </row>
    <row r="2037" spans="1:17">
      <c r="A2037" s="6" t="s">
        <v>12368</v>
      </c>
      <c r="B2037" s="6" t="s">
        <v>12369</v>
      </c>
      <c r="C2037" s="6" t="s">
        <v>12370</v>
      </c>
      <c r="D2037" s="6" t="s">
        <v>12371</v>
      </c>
      <c r="E2037" s="6" t="s">
        <v>12372</v>
      </c>
      <c r="F2037" s="6">
        <v>12.670631024235499</v>
      </c>
      <c r="G2037" s="6">
        <v>11.6989643138009</v>
      </c>
      <c r="H2037" s="6">
        <v>12.3867697565101</v>
      </c>
      <c r="I2037" s="6">
        <v>13.4084729750295</v>
      </c>
      <c r="J2037" s="6" t="s">
        <v>6254</v>
      </c>
      <c r="K2037" s="6">
        <v>11.6613543090237</v>
      </c>
      <c r="L2037" s="6">
        <v>13.257315056876999</v>
      </c>
      <c r="M2037" s="6" t="s">
        <v>6254</v>
      </c>
      <c r="N2037" s="6">
        <v>14.9699961573347</v>
      </c>
      <c r="O2037" s="6">
        <v>13.417852630336601</v>
      </c>
      <c r="P2037" s="6" t="s">
        <v>6254</v>
      </c>
      <c r="Q2037" s="6">
        <v>9.79772222154158</v>
      </c>
    </row>
    <row r="2038" spans="1:17">
      <c r="A2038" s="6" t="s">
        <v>12373</v>
      </c>
      <c r="B2038" s="6" t="s">
        <v>12374</v>
      </c>
      <c r="C2038" s="6" t="s">
        <v>12375</v>
      </c>
      <c r="D2038" s="6" t="s">
        <v>12376</v>
      </c>
      <c r="E2038" s="6" t="s">
        <v>12377</v>
      </c>
      <c r="F2038" s="6">
        <v>12.942995211882501</v>
      </c>
      <c r="G2038" s="6">
        <v>12.2342123128815</v>
      </c>
      <c r="H2038" s="6">
        <v>12.685752336854801</v>
      </c>
      <c r="I2038" s="6">
        <v>13.698976797822001</v>
      </c>
      <c r="J2038" s="6">
        <v>11.9747698730783</v>
      </c>
      <c r="K2038" s="6">
        <v>12.3153490601072</v>
      </c>
      <c r="L2038" s="6">
        <v>13.5422700046706</v>
      </c>
      <c r="M2038" s="6" t="s">
        <v>6254</v>
      </c>
      <c r="N2038" s="6">
        <v>12.073867837633699</v>
      </c>
      <c r="O2038" s="6">
        <v>13.0486530288283</v>
      </c>
      <c r="P2038" s="6">
        <v>13.059014067110599</v>
      </c>
      <c r="Q2038" s="6">
        <v>11.387143181772799</v>
      </c>
    </row>
    <row r="2039" spans="1:17">
      <c r="A2039" s="6" t="s">
        <v>12378</v>
      </c>
      <c r="B2039" s="6" t="s">
        <v>12378</v>
      </c>
      <c r="C2039" s="6" t="s">
        <v>12379</v>
      </c>
      <c r="D2039" s="6" t="s">
        <v>12380</v>
      </c>
      <c r="E2039" s="6" t="s">
        <v>12380</v>
      </c>
      <c r="F2039" s="6" t="s">
        <v>6254</v>
      </c>
      <c r="G2039" s="6">
        <v>10.3115269370967</v>
      </c>
      <c r="H2039" s="6">
        <v>13.5166709561418</v>
      </c>
      <c r="I2039" s="6" t="s">
        <v>6254</v>
      </c>
      <c r="J2039" s="6" t="s">
        <v>6254</v>
      </c>
      <c r="K2039" s="6" t="s">
        <v>6254</v>
      </c>
      <c r="L2039" s="6" t="s">
        <v>6254</v>
      </c>
      <c r="M2039" s="6">
        <v>12.7549996023572</v>
      </c>
      <c r="N2039" s="6" t="s">
        <v>6254</v>
      </c>
      <c r="O2039" s="6" t="s">
        <v>6254</v>
      </c>
      <c r="P2039" s="6" t="s">
        <v>6254</v>
      </c>
      <c r="Q2039" s="6" t="s">
        <v>6254</v>
      </c>
    </row>
    <row r="2040" spans="1:17">
      <c r="A2040" s="6" t="s">
        <v>12381</v>
      </c>
      <c r="B2040" s="6" t="s">
        <v>12381</v>
      </c>
      <c r="C2040" s="6" t="s">
        <v>12382</v>
      </c>
      <c r="D2040" s="6" t="s">
        <v>12383</v>
      </c>
      <c r="E2040" s="6" t="s">
        <v>12383</v>
      </c>
      <c r="F2040" s="6" t="s">
        <v>6254</v>
      </c>
      <c r="G2040" s="6" t="s">
        <v>6254</v>
      </c>
      <c r="H2040" s="6">
        <v>12.231303506569899</v>
      </c>
      <c r="I2040" s="6">
        <v>13.4172447057091</v>
      </c>
      <c r="J2040" s="6">
        <v>11.7312798994727</v>
      </c>
      <c r="K2040" s="6">
        <v>13.064249084530401</v>
      </c>
      <c r="L2040" s="6">
        <v>13.7677683243469</v>
      </c>
      <c r="M2040" s="6" t="s">
        <v>6254</v>
      </c>
      <c r="N2040" s="6" t="s">
        <v>6254</v>
      </c>
      <c r="O2040" s="6">
        <v>12.2844177390587</v>
      </c>
      <c r="P2040" s="6" t="s">
        <v>6254</v>
      </c>
      <c r="Q2040" s="6">
        <v>10.5236740713119</v>
      </c>
    </row>
    <row r="2041" spans="1:17">
      <c r="A2041" s="6" t="s">
        <v>3567</v>
      </c>
      <c r="B2041" s="6" t="s">
        <v>3567</v>
      </c>
      <c r="C2041" s="6" t="s">
        <v>12384</v>
      </c>
      <c r="D2041" s="6" t="s">
        <v>12385</v>
      </c>
      <c r="E2041" s="6" t="s">
        <v>12385</v>
      </c>
      <c r="F2041" s="6">
        <v>12.960374185963399</v>
      </c>
      <c r="G2041" s="6">
        <v>12.429631251079099</v>
      </c>
      <c r="H2041" s="6">
        <v>12.1529190048903</v>
      </c>
      <c r="I2041" s="6">
        <v>12.664909927832699</v>
      </c>
      <c r="J2041" s="6" t="s">
        <v>6254</v>
      </c>
      <c r="K2041" s="6" t="s">
        <v>6254</v>
      </c>
      <c r="L2041" s="6">
        <v>13.092124251809899</v>
      </c>
      <c r="M2041" s="6" t="s">
        <v>6254</v>
      </c>
      <c r="N2041" s="6">
        <v>12.060546213636201</v>
      </c>
      <c r="O2041" s="6">
        <v>13.001277835492701</v>
      </c>
      <c r="P2041" s="6" t="s">
        <v>6254</v>
      </c>
      <c r="Q2041" s="6" t="s">
        <v>6254</v>
      </c>
    </row>
    <row r="2042" spans="1:17">
      <c r="A2042" s="6" t="s">
        <v>12386</v>
      </c>
      <c r="B2042" s="6" t="s">
        <v>12387</v>
      </c>
      <c r="C2042" s="6" t="s">
        <v>12388</v>
      </c>
      <c r="D2042" s="6" t="s">
        <v>12389</v>
      </c>
      <c r="E2042" s="6" t="s">
        <v>12390</v>
      </c>
      <c r="F2042" s="6">
        <v>13.1738036822788</v>
      </c>
      <c r="G2042" s="6" t="s">
        <v>6254</v>
      </c>
      <c r="H2042" s="6" t="s">
        <v>6254</v>
      </c>
      <c r="I2042" s="6">
        <v>12.5539308911336</v>
      </c>
      <c r="J2042" s="6" t="s">
        <v>6254</v>
      </c>
      <c r="K2042" s="6" t="s">
        <v>6254</v>
      </c>
      <c r="L2042" s="6">
        <v>12.4756767444619</v>
      </c>
      <c r="M2042" s="6" t="s">
        <v>6254</v>
      </c>
      <c r="N2042" s="6">
        <v>11.7955521466905</v>
      </c>
      <c r="O2042" s="6">
        <v>13.3001343981798</v>
      </c>
      <c r="P2042" s="6">
        <v>12.624018943799401</v>
      </c>
      <c r="Q2042" s="6" t="s">
        <v>6254</v>
      </c>
    </row>
    <row r="2043" spans="1:17">
      <c r="A2043" s="6" t="s">
        <v>12391</v>
      </c>
      <c r="B2043" s="6" t="s">
        <v>12392</v>
      </c>
      <c r="C2043" s="6" t="s">
        <v>12393</v>
      </c>
      <c r="D2043" s="6" t="s">
        <v>12394</v>
      </c>
      <c r="E2043" s="6" t="s">
        <v>12395</v>
      </c>
      <c r="F2043" s="6" t="s">
        <v>6254</v>
      </c>
      <c r="G2043" s="6">
        <v>12.4388034983428</v>
      </c>
      <c r="H2043" s="6" t="s">
        <v>6254</v>
      </c>
      <c r="I2043" s="6">
        <v>13.011397304706399</v>
      </c>
      <c r="J2043" s="6" t="s">
        <v>6254</v>
      </c>
      <c r="K2043" s="6">
        <v>12.305355266256701</v>
      </c>
      <c r="L2043" s="6">
        <v>12.417511873431399</v>
      </c>
      <c r="M2043" s="6" t="s">
        <v>6254</v>
      </c>
      <c r="N2043" s="6" t="s">
        <v>6254</v>
      </c>
      <c r="O2043" s="6" t="s">
        <v>6254</v>
      </c>
      <c r="P2043" s="6">
        <v>13.1695054386227</v>
      </c>
      <c r="Q2043" s="6" t="s">
        <v>6254</v>
      </c>
    </row>
    <row r="2044" spans="1:17">
      <c r="A2044" s="6" t="s">
        <v>12396</v>
      </c>
      <c r="B2044" s="6" t="s">
        <v>12397</v>
      </c>
      <c r="C2044" s="6" t="s">
        <v>12398</v>
      </c>
      <c r="D2044" s="6" t="s">
        <v>12399</v>
      </c>
      <c r="E2044" s="6" t="s">
        <v>12400</v>
      </c>
      <c r="F2044" s="6">
        <v>12.9750132249338</v>
      </c>
      <c r="G2044" s="6">
        <v>13.246848339752001</v>
      </c>
      <c r="H2044" s="6">
        <v>12.3297229113016</v>
      </c>
      <c r="I2044" s="6">
        <v>13.568829695816101</v>
      </c>
      <c r="J2044" s="6">
        <v>12.0936548440796</v>
      </c>
      <c r="K2044" s="6">
        <v>12.6928063052728</v>
      </c>
      <c r="L2044" s="6">
        <v>13.384735839323101</v>
      </c>
      <c r="M2044" s="6">
        <v>11.746725833562101</v>
      </c>
      <c r="N2044" s="6">
        <v>11.228887416076001</v>
      </c>
      <c r="O2044" s="6">
        <v>13.312099135678499</v>
      </c>
      <c r="P2044" s="6">
        <v>13.1335705803299</v>
      </c>
      <c r="Q2044" s="6">
        <v>11.710387190885401</v>
      </c>
    </row>
    <row r="2045" spans="1:17">
      <c r="A2045" s="6" t="s">
        <v>4092</v>
      </c>
      <c r="B2045" s="6" t="s">
        <v>4092</v>
      </c>
      <c r="C2045" s="6" t="s">
        <v>12401</v>
      </c>
      <c r="D2045" s="6" t="s">
        <v>12402</v>
      </c>
      <c r="E2045" s="6" t="s">
        <v>12402</v>
      </c>
      <c r="F2045" s="6">
        <v>13.2814396604858</v>
      </c>
      <c r="G2045" s="6">
        <v>12.2862978397348</v>
      </c>
      <c r="H2045" s="6">
        <v>12.577850842977099</v>
      </c>
      <c r="I2045" s="6">
        <v>13.283766661218801</v>
      </c>
      <c r="J2045" s="6">
        <v>11.506223084836099</v>
      </c>
      <c r="K2045" s="6">
        <v>12.3584289347314</v>
      </c>
      <c r="L2045" s="6">
        <v>13.0408880980139</v>
      </c>
      <c r="M2045" s="6">
        <v>11.5886943921343</v>
      </c>
      <c r="N2045" s="6">
        <v>13.060330071660699</v>
      </c>
      <c r="O2045" s="6">
        <v>13.112089810164299</v>
      </c>
      <c r="P2045" s="6">
        <v>12.5325159697574</v>
      </c>
      <c r="Q2045" s="6" t="s">
        <v>6254</v>
      </c>
    </row>
    <row r="2046" spans="1:17">
      <c r="A2046" s="6" t="s">
        <v>12403</v>
      </c>
      <c r="B2046" s="6" t="s">
        <v>4116</v>
      </c>
      <c r="C2046" s="6" t="s">
        <v>12404</v>
      </c>
      <c r="D2046" s="6" t="s">
        <v>12405</v>
      </c>
      <c r="E2046" s="6" t="s">
        <v>12406</v>
      </c>
      <c r="F2046" s="6" t="s">
        <v>6254</v>
      </c>
      <c r="G2046" s="6">
        <v>12.818510913724101</v>
      </c>
      <c r="H2046" s="6" t="s">
        <v>6254</v>
      </c>
      <c r="I2046" s="6">
        <v>13.491142506574899</v>
      </c>
      <c r="J2046" s="6" t="s">
        <v>6254</v>
      </c>
      <c r="K2046" s="6" t="s">
        <v>6254</v>
      </c>
      <c r="L2046" s="6">
        <v>12.941896082085499</v>
      </c>
      <c r="M2046" s="6" t="s">
        <v>6254</v>
      </c>
      <c r="N2046" s="6">
        <v>10.9664228226072</v>
      </c>
      <c r="O2046" s="6" t="s">
        <v>6254</v>
      </c>
      <c r="P2046" s="6">
        <v>12.681963946648301</v>
      </c>
      <c r="Q2046" s="6" t="s">
        <v>6254</v>
      </c>
    </row>
    <row r="2047" spans="1:17">
      <c r="A2047" s="6" t="s">
        <v>2726</v>
      </c>
      <c r="B2047" s="6" t="s">
        <v>2726</v>
      </c>
      <c r="C2047" s="6" t="s">
        <v>12407</v>
      </c>
      <c r="D2047" s="6" t="s">
        <v>12408</v>
      </c>
      <c r="E2047" s="6" t="s">
        <v>12408</v>
      </c>
      <c r="F2047" s="6">
        <v>13.5493832835442</v>
      </c>
      <c r="G2047" s="6">
        <v>12.222414313325</v>
      </c>
      <c r="H2047" s="6">
        <v>11.703449769232201</v>
      </c>
      <c r="I2047" s="6">
        <v>13.0133193474449</v>
      </c>
      <c r="J2047" s="6">
        <v>12.0837774988501</v>
      </c>
      <c r="K2047" s="6">
        <v>12.5027899836403</v>
      </c>
      <c r="L2047" s="6">
        <v>13.091717797772001</v>
      </c>
      <c r="M2047" s="6" t="s">
        <v>6254</v>
      </c>
      <c r="N2047" s="6">
        <v>13.1392376499235</v>
      </c>
      <c r="O2047" s="6">
        <v>12.4117451787617</v>
      </c>
      <c r="P2047" s="6" t="s">
        <v>6254</v>
      </c>
      <c r="Q2047" s="6" t="s">
        <v>6254</v>
      </c>
    </row>
    <row r="2048" spans="1:17">
      <c r="A2048" s="6" t="s">
        <v>2873</v>
      </c>
      <c r="B2048" s="6" t="s">
        <v>2873</v>
      </c>
      <c r="C2048" s="6" t="s">
        <v>12409</v>
      </c>
      <c r="D2048" s="6" t="s">
        <v>12410</v>
      </c>
      <c r="E2048" s="6" t="s">
        <v>12410</v>
      </c>
      <c r="F2048" s="6" t="s">
        <v>6254</v>
      </c>
      <c r="G2048" s="6" t="s">
        <v>6254</v>
      </c>
      <c r="H2048" s="6">
        <v>11.422784867607101</v>
      </c>
      <c r="I2048" s="6">
        <v>12.3496533391446</v>
      </c>
      <c r="J2048" s="6" t="s">
        <v>6254</v>
      </c>
      <c r="K2048" s="6">
        <v>11.222086805086899</v>
      </c>
      <c r="L2048" s="6">
        <v>12.6283311542389</v>
      </c>
      <c r="M2048" s="6" t="s">
        <v>6254</v>
      </c>
      <c r="N2048" s="6">
        <v>12.785335652515901</v>
      </c>
      <c r="O2048" s="6">
        <v>12.7724941690159</v>
      </c>
      <c r="P2048" s="6">
        <v>12.4384252743234</v>
      </c>
      <c r="Q2048" s="6" t="s">
        <v>6254</v>
      </c>
    </row>
    <row r="2049" spans="1:17">
      <c r="A2049" s="6" t="s">
        <v>2958</v>
      </c>
      <c r="B2049" s="6" t="s">
        <v>2960</v>
      </c>
      <c r="C2049" s="6" t="s">
        <v>12411</v>
      </c>
      <c r="D2049" s="6" t="s">
        <v>12412</v>
      </c>
      <c r="E2049" s="6" t="s">
        <v>12413</v>
      </c>
      <c r="F2049" s="6">
        <v>13.1464051625194</v>
      </c>
      <c r="G2049" s="6" t="s">
        <v>6254</v>
      </c>
      <c r="H2049" s="6">
        <v>13.0552649303878</v>
      </c>
      <c r="I2049" s="6">
        <v>13.0213801171972</v>
      </c>
      <c r="J2049" s="6" t="s">
        <v>6254</v>
      </c>
      <c r="K2049" s="6" t="s">
        <v>6254</v>
      </c>
      <c r="L2049" s="6">
        <v>12.8160779195992</v>
      </c>
      <c r="M2049" s="6" t="s">
        <v>6254</v>
      </c>
      <c r="N2049" s="6">
        <v>12.031936114829501</v>
      </c>
      <c r="O2049" s="6">
        <v>12.873040944985</v>
      </c>
      <c r="P2049" s="6">
        <v>12.953946209079</v>
      </c>
      <c r="Q2049" s="6" t="s">
        <v>6254</v>
      </c>
    </row>
    <row r="2050" spans="1:17">
      <c r="A2050" s="6" t="s">
        <v>3801</v>
      </c>
      <c r="B2050" s="6" t="s">
        <v>3801</v>
      </c>
      <c r="C2050" s="6" t="s">
        <v>12414</v>
      </c>
      <c r="D2050" s="6" t="s">
        <v>12415</v>
      </c>
      <c r="E2050" s="6" t="s">
        <v>12415</v>
      </c>
      <c r="F2050" s="6">
        <v>12.9744022204508</v>
      </c>
      <c r="G2050" s="6">
        <v>12.7414303701529</v>
      </c>
      <c r="H2050" s="6">
        <v>12.714746516375699</v>
      </c>
      <c r="I2050" s="6">
        <v>13.045357951506199</v>
      </c>
      <c r="J2050" s="6">
        <v>11.565755772277299</v>
      </c>
      <c r="K2050" s="6">
        <v>11.856490068307499</v>
      </c>
      <c r="L2050" s="6">
        <v>13.379038546475799</v>
      </c>
      <c r="M2050" s="6">
        <v>11.8832917874669</v>
      </c>
      <c r="N2050" s="6">
        <v>13.2838753235387</v>
      </c>
      <c r="O2050" s="6">
        <v>13.1679672805429</v>
      </c>
      <c r="P2050" s="6">
        <v>12.7079727356215</v>
      </c>
      <c r="Q2050" s="6">
        <v>10.8704906884844</v>
      </c>
    </row>
    <row r="2051" spans="1:17">
      <c r="A2051" s="6" t="s">
        <v>12416</v>
      </c>
      <c r="B2051" s="6" t="s">
        <v>12416</v>
      </c>
      <c r="C2051" s="6" t="s">
        <v>12417</v>
      </c>
      <c r="D2051" s="6" t="s">
        <v>12418</v>
      </c>
      <c r="E2051" s="6" t="s">
        <v>12418</v>
      </c>
      <c r="F2051" s="6">
        <v>13.5849883527844</v>
      </c>
      <c r="G2051" s="6">
        <v>12.8654247119904</v>
      </c>
      <c r="H2051" s="6">
        <v>12.9498595772397</v>
      </c>
      <c r="I2051" s="6">
        <v>12.6360808467472</v>
      </c>
      <c r="J2051" s="6">
        <v>12.775722997302699</v>
      </c>
      <c r="K2051" s="6">
        <v>12.580994682427299</v>
      </c>
      <c r="L2051" s="6">
        <v>12.989462992362901</v>
      </c>
      <c r="M2051" s="6">
        <v>13.4052968913582</v>
      </c>
      <c r="N2051" s="6">
        <v>13.274088900260899</v>
      </c>
      <c r="O2051" s="6">
        <v>12.7733331542081</v>
      </c>
      <c r="P2051" s="6" t="s">
        <v>6254</v>
      </c>
      <c r="Q2051" s="6">
        <v>11.285228181110501</v>
      </c>
    </row>
    <row r="2052" spans="1:17">
      <c r="A2052" s="6" t="s">
        <v>12419</v>
      </c>
      <c r="B2052" s="6" t="s">
        <v>12419</v>
      </c>
      <c r="C2052" s="6" t="s">
        <v>12420</v>
      </c>
      <c r="D2052" s="6" t="s">
        <v>12421</v>
      </c>
      <c r="E2052" s="6" t="s">
        <v>12421</v>
      </c>
      <c r="F2052" s="6">
        <v>13.2470953108377</v>
      </c>
      <c r="G2052" s="6">
        <v>12.1493921517547</v>
      </c>
      <c r="H2052" s="6">
        <v>12.6978246084605</v>
      </c>
      <c r="I2052" s="6">
        <v>13.5759689078776</v>
      </c>
      <c r="J2052" s="6">
        <v>10.938258983968501</v>
      </c>
      <c r="K2052" s="6">
        <v>12.710201647449001</v>
      </c>
      <c r="L2052" s="6">
        <v>13.4771554484046</v>
      </c>
      <c r="M2052" s="6">
        <v>11.8166929488681</v>
      </c>
      <c r="N2052" s="6">
        <v>13.4085994774318</v>
      </c>
      <c r="O2052" s="6">
        <v>12.9346881443401</v>
      </c>
      <c r="P2052" s="6">
        <v>12.6713143169766</v>
      </c>
      <c r="Q2052" s="6">
        <v>10.382244663506</v>
      </c>
    </row>
    <row r="2053" spans="1:17">
      <c r="A2053" s="6" t="s">
        <v>2234</v>
      </c>
      <c r="B2053" s="6" t="s">
        <v>2234</v>
      </c>
      <c r="C2053" s="6" t="s">
        <v>12422</v>
      </c>
      <c r="D2053" s="6" t="s">
        <v>12423</v>
      </c>
      <c r="E2053" s="6" t="s">
        <v>12423</v>
      </c>
      <c r="F2053" s="6">
        <v>13.0408472707347</v>
      </c>
      <c r="G2053" s="6">
        <v>12.757437654486401</v>
      </c>
      <c r="H2053" s="6">
        <v>12.0585151510467</v>
      </c>
      <c r="I2053" s="6">
        <v>13.0746964434333</v>
      </c>
      <c r="J2053" s="6">
        <v>11.670493726260601</v>
      </c>
      <c r="K2053" s="6">
        <v>11.952016086038199</v>
      </c>
      <c r="L2053" s="6">
        <v>13.327264081287201</v>
      </c>
      <c r="M2053" s="6">
        <v>11.496440449843099</v>
      </c>
      <c r="N2053" s="6">
        <v>12.9651448796164</v>
      </c>
      <c r="O2053" s="6">
        <v>13.2267614351998</v>
      </c>
      <c r="P2053" s="6">
        <v>12.8379521128284</v>
      </c>
      <c r="Q2053" s="6">
        <v>11.252654397044401</v>
      </c>
    </row>
    <row r="2054" spans="1:17">
      <c r="A2054" s="6" t="s">
        <v>12424</v>
      </c>
      <c r="B2054" s="6" t="s">
        <v>12424</v>
      </c>
      <c r="C2054" s="6" t="s">
        <v>12425</v>
      </c>
      <c r="D2054" s="6" t="s">
        <v>12426</v>
      </c>
      <c r="E2054" s="6" t="s">
        <v>12426</v>
      </c>
      <c r="F2054" s="6">
        <v>12.931431844614099</v>
      </c>
      <c r="G2054" s="6" t="s">
        <v>6254</v>
      </c>
      <c r="H2054" s="6" t="s">
        <v>6254</v>
      </c>
      <c r="I2054" s="6">
        <v>12.860233412557299</v>
      </c>
      <c r="J2054" s="6" t="s">
        <v>6254</v>
      </c>
      <c r="K2054" s="6">
        <v>11.6353576931295</v>
      </c>
      <c r="L2054" s="6">
        <v>12.1584723717434</v>
      </c>
      <c r="M2054" s="6" t="s">
        <v>6254</v>
      </c>
      <c r="N2054" s="6" t="s">
        <v>6254</v>
      </c>
      <c r="O2054" s="6">
        <v>13.009684485024399</v>
      </c>
      <c r="P2054" s="6">
        <v>12.2725298173673</v>
      </c>
      <c r="Q2054" s="6" t="s">
        <v>6254</v>
      </c>
    </row>
    <row r="2055" spans="1:17">
      <c r="A2055" s="6" t="s">
        <v>12427</v>
      </c>
      <c r="B2055" s="6" t="s">
        <v>12427</v>
      </c>
      <c r="C2055" s="6" t="s">
        <v>12428</v>
      </c>
      <c r="D2055" s="6" t="s">
        <v>12429</v>
      </c>
      <c r="E2055" s="6" t="s">
        <v>12429</v>
      </c>
      <c r="F2055" s="6">
        <v>12.3767375111342</v>
      </c>
      <c r="G2055" s="6" t="s">
        <v>6254</v>
      </c>
      <c r="H2055" s="6">
        <v>12.698933831360399</v>
      </c>
      <c r="I2055" s="6">
        <v>13.4690279848932</v>
      </c>
      <c r="J2055" s="6" t="s">
        <v>6254</v>
      </c>
      <c r="K2055" s="6" t="s">
        <v>6254</v>
      </c>
      <c r="L2055" s="6">
        <v>13.0655335482141</v>
      </c>
      <c r="M2055" s="6">
        <v>12.475285901495701</v>
      </c>
      <c r="N2055" s="6">
        <v>12.4256500465693</v>
      </c>
      <c r="O2055" s="6">
        <v>12.416858662887901</v>
      </c>
      <c r="P2055" s="6" t="s">
        <v>6254</v>
      </c>
      <c r="Q2055" s="6" t="s">
        <v>6254</v>
      </c>
    </row>
    <row r="2056" spans="1:17">
      <c r="A2056" s="6" t="s">
        <v>12430</v>
      </c>
      <c r="B2056" s="6" t="s">
        <v>12430</v>
      </c>
      <c r="C2056" s="6" t="s">
        <v>12431</v>
      </c>
      <c r="D2056" s="6" t="s">
        <v>12432</v>
      </c>
      <c r="E2056" s="6" t="s">
        <v>12432</v>
      </c>
      <c r="F2056" s="6" t="s">
        <v>6254</v>
      </c>
      <c r="G2056" s="6" t="s">
        <v>6254</v>
      </c>
      <c r="H2056" s="6">
        <v>12.9657913854877</v>
      </c>
      <c r="I2056" s="6">
        <v>12.614096461061401</v>
      </c>
      <c r="J2056" s="6" t="s">
        <v>6254</v>
      </c>
      <c r="K2056" s="6" t="s">
        <v>6254</v>
      </c>
      <c r="L2056" s="6">
        <v>12.9200263708249</v>
      </c>
      <c r="M2056" s="6">
        <v>12.238538977686501</v>
      </c>
      <c r="N2056" s="6" t="s">
        <v>6254</v>
      </c>
      <c r="O2056" s="6">
        <v>12.291417548773801</v>
      </c>
      <c r="P2056" s="6" t="s">
        <v>6254</v>
      </c>
      <c r="Q2056" s="6">
        <v>11.225154396585101</v>
      </c>
    </row>
    <row r="2057" spans="1:17">
      <c r="A2057" s="6" t="s">
        <v>12433</v>
      </c>
      <c r="B2057" s="6" t="s">
        <v>12433</v>
      </c>
      <c r="C2057" s="6" t="s">
        <v>12433</v>
      </c>
      <c r="D2057" s="6" t="s">
        <v>12433</v>
      </c>
      <c r="E2057" s="6" t="s">
        <v>12433</v>
      </c>
      <c r="F2057" s="6">
        <v>12.279764696846099</v>
      </c>
      <c r="G2057" s="6" t="s">
        <v>6254</v>
      </c>
      <c r="H2057" s="6" t="s">
        <v>6254</v>
      </c>
      <c r="I2057" s="6" t="s">
        <v>6254</v>
      </c>
      <c r="J2057" s="6" t="s">
        <v>6254</v>
      </c>
      <c r="K2057" s="6" t="s">
        <v>6254</v>
      </c>
      <c r="L2057" s="6" t="s">
        <v>6254</v>
      </c>
      <c r="M2057" s="6" t="s">
        <v>6254</v>
      </c>
      <c r="N2057" s="6" t="s">
        <v>6254</v>
      </c>
      <c r="O2057" s="6" t="s">
        <v>6254</v>
      </c>
      <c r="P2057" s="6">
        <v>12.976926600092501</v>
      </c>
      <c r="Q2057" s="6" t="s">
        <v>6254</v>
      </c>
    </row>
    <row r="2058" spans="1:17">
      <c r="A2058" s="6" t="s">
        <v>2932</v>
      </c>
      <c r="B2058" s="6" t="s">
        <v>2934</v>
      </c>
      <c r="C2058" s="6" t="s">
        <v>12434</v>
      </c>
      <c r="D2058" s="6" t="s">
        <v>12435</v>
      </c>
      <c r="E2058" s="6" t="s">
        <v>12436</v>
      </c>
      <c r="F2058" s="6">
        <v>10.874286476779099</v>
      </c>
      <c r="G2058" s="6">
        <v>12.742219930515599</v>
      </c>
      <c r="H2058" s="6">
        <v>12.4262587045747</v>
      </c>
      <c r="I2058" s="6">
        <v>13.4069140902367</v>
      </c>
      <c r="J2058" s="6">
        <v>12.726222606040199</v>
      </c>
      <c r="K2058" s="6">
        <v>12.018741408733399</v>
      </c>
      <c r="L2058" s="6">
        <v>12.8146787376816</v>
      </c>
      <c r="M2058" s="6">
        <v>13.2255619972658</v>
      </c>
      <c r="N2058" s="6">
        <v>12.1905504208006</v>
      </c>
      <c r="O2058" s="6" t="s">
        <v>6254</v>
      </c>
      <c r="P2058" s="6">
        <v>12.8284715257744</v>
      </c>
      <c r="Q2058" s="6">
        <v>12.533054866889399</v>
      </c>
    </row>
    <row r="2059" spans="1:17">
      <c r="A2059" s="6" t="s">
        <v>12437</v>
      </c>
      <c r="B2059" s="6" t="s">
        <v>12438</v>
      </c>
      <c r="C2059" s="6" t="s">
        <v>12439</v>
      </c>
      <c r="D2059" s="6" t="s">
        <v>12440</v>
      </c>
      <c r="E2059" s="6" t="s">
        <v>12441</v>
      </c>
      <c r="F2059" s="6">
        <v>12.2928467650821</v>
      </c>
      <c r="G2059" s="6">
        <v>12.5120237106721</v>
      </c>
      <c r="H2059" s="6" t="s">
        <v>6254</v>
      </c>
      <c r="I2059" s="6">
        <v>13.1166673800846</v>
      </c>
      <c r="J2059" s="6">
        <v>11.2458313729002</v>
      </c>
      <c r="K2059" s="6">
        <v>12.887463370180701</v>
      </c>
      <c r="L2059" s="6">
        <v>12.641349501329</v>
      </c>
      <c r="M2059" s="6" t="s">
        <v>6254</v>
      </c>
      <c r="N2059" s="6" t="s">
        <v>6254</v>
      </c>
      <c r="O2059" s="6">
        <v>12.7244406688776</v>
      </c>
      <c r="P2059" s="6">
        <v>12.578482297275199</v>
      </c>
      <c r="Q2059" s="6" t="s">
        <v>6254</v>
      </c>
    </row>
    <row r="2060" spans="1:17">
      <c r="A2060" s="6" t="s">
        <v>4565</v>
      </c>
      <c r="B2060" s="6" t="s">
        <v>4565</v>
      </c>
      <c r="C2060" s="6" t="s">
        <v>12442</v>
      </c>
      <c r="D2060" s="6" t="s">
        <v>12443</v>
      </c>
      <c r="E2060" s="6" t="s">
        <v>12443</v>
      </c>
      <c r="F2060" s="6">
        <v>13.7354635793713</v>
      </c>
      <c r="G2060" s="6">
        <v>13.084589015974201</v>
      </c>
      <c r="H2060" s="6">
        <v>12.661540785567601</v>
      </c>
      <c r="I2060" s="6">
        <v>13.5766700532473</v>
      </c>
      <c r="J2060" s="6">
        <v>11.5904040438328</v>
      </c>
      <c r="K2060" s="6">
        <v>11.938369312812799</v>
      </c>
      <c r="L2060" s="6">
        <v>11.9400745626125</v>
      </c>
      <c r="M2060" s="6">
        <v>12.1061266262223</v>
      </c>
      <c r="N2060" s="6">
        <v>12.3426934097374</v>
      </c>
      <c r="O2060" s="6">
        <v>13.0232704939437</v>
      </c>
      <c r="P2060" s="6">
        <v>13.030402419312001</v>
      </c>
      <c r="Q2060" s="6">
        <v>10.7570748766208</v>
      </c>
    </row>
    <row r="2061" spans="1:17">
      <c r="A2061" s="6" t="s">
        <v>12444</v>
      </c>
      <c r="B2061" s="6" t="s">
        <v>12444</v>
      </c>
      <c r="C2061" s="6" t="s">
        <v>12445</v>
      </c>
      <c r="D2061" s="6" t="s">
        <v>12446</v>
      </c>
      <c r="E2061" s="6" t="s">
        <v>12446</v>
      </c>
      <c r="F2061" s="6">
        <v>12.7701131869959</v>
      </c>
      <c r="G2061" s="6" t="s">
        <v>6254</v>
      </c>
      <c r="H2061" s="6">
        <v>12.574775551957</v>
      </c>
      <c r="I2061" s="6">
        <v>13.4658835779532</v>
      </c>
      <c r="J2061" s="6" t="s">
        <v>6254</v>
      </c>
      <c r="K2061" s="6">
        <v>12.269886164878701</v>
      </c>
      <c r="L2061" s="6">
        <v>13.111827384812701</v>
      </c>
      <c r="M2061" s="6">
        <v>11.0686027790985</v>
      </c>
      <c r="N2061" s="6">
        <v>12.8902703088383</v>
      </c>
      <c r="O2061" s="6">
        <v>12.771911811191501</v>
      </c>
      <c r="P2061" s="6">
        <v>12.7485736817501</v>
      </c>
      <c r="Q2061" s="6" t="s">
        <v>6254</v>
      </c>
    </row>
    <row r="2062" spans="1:17">
      <c r="A2062" s="6" t="s">
        <v>12447</v>
      </c>
      <c r="B2062" s="6" t="s">
        <v>12448</v>
      </c>
      <c r="C2062" s="6" t="s">
        <v>12449</v>
      </c>
      <c r="D2062" s="6" t="s">
        <v>12450</v>
      </c>
      <c r="E2062" s="6" t="s">
        <v>12451</v>
      </c>
      <c r="F2062" s="6">
        <v>13.575455379068501</v>
      </c>
      <c r="G2062" s="6">
        <v>12.7499773697003</v>
      </c>
      <c r="H2062" s="6">
        <v>12.829886546555899</v>
      </c>
      <c r="I2062" s="6">
        <v>12.4315456168175</v>
      </c>
      <c r="J2062" s="6" t="s">
        <v>6254</v>
      </c>
      <c r="K2062" s="6">
        <v>12.6205219967462</v>
      </c>
      <c r="L2062" s="6" t="s">
        <v>6254</v>
      </c>
      <c r="M2062" s="6">
        <v>11.833509426270201</v>
      </c>
      <c r="N2062" s="6">
        <v>11.6656889822249</v>
      </c>
      <c r="O2062" s="6">
        <v>12.454957061237801</v>
      </c>
      <c r="P2062" s="6">
        <v>13.0787394874162</v>
      </c>
      <c r="Q2062" s="6" t="s">
        <v>6254</v>
      </c>
    </row>
    <row r="2063" spans="1:17">
      <c r="A2063" s="6" t="s">
        <v>12452</v>
      </c>
      <c r="B2063" s="6" t="s">
        <v>12453</v>
      </c>
      <c r="C2063" s="6" t="s">
        <v>12454</v>
      </c>
      <c r="D2063" s="6" t="s">
        <v>12455</v>
      </c>
      <c r="E2063" s="6" t="s">
        <v>12456</v>
      </c>
      <c r="F2063" s="6">
        <v>13.125290714373801</v>
      </c>
      <c r="G2063" s="6">
        <v>11.473080176158099</v>
      </c>
      <c r="H2063" s="6">
        <v>13.189621228365599</v>
      </c>
      <c r="I2063" s="6">
        <v>13.3963051863439</v>
      </c>
      <c r="J2063" s="6">
        <v>11.7072730989013</v>
      </c>
      <c r="K2063" s="6">
        <v>12.0506080396257</v>
      </c>
      <c r="L2063" s="6">
        <v>13.3875406576036</v>
      </c>
      <c r="M2063" s="6">
        <v>11.9604946416364</v>
      </c>
      <c r="N2063" s="6">
        <v>13.8975626337617</v>
      </c>
      <c r="O2063" s="6">
        <v>12.0258965848281</v>
      </c>
      <c r="P2063" s="6">
        <v>12.180638184003699</v>
      </c>
      <c r="Q2063" s="6">
        <v>11.0808303332528</v>
      </c>
    </row>
    <row r="2064" spans="1:17">
      <c r="A2064" s="6" t="s">
        <v>5806</v>
      </c>
      <c r="B2064" s="6" t="s">
        <v>5808</v>
      </c>
      <c r="C2064" s="6" t="s">
        <v>12457</v>
      </c>
      <c r="D2064" s="6" t="s">
        <v>12458</v>
      </c>
      <c r="E2064" s="6" t="s">
        <v>12459</v>
      </c>
      <c r="F2064" s="6">
        <v>12.2672813852235</v>
      </c>
      <c r="G2064" s="6">
        <v>12.154228857814401</v>
      </c>
      <c r="H2064" s="6">
        <v>12.1233638048312</v>
      </c>
      <c r="I2064" s="6">
        <v>12.8661108690116</v>
      </c>
      <c r="J2064" s="6" t="s">
        <v>6254</v>
      </c>
      <c r="K2064" s="6" t="s">
        <v>6254</v>
      </c>
      <c r="L2064" s="6">
        <v>13.240693195277901</v>
      </c>
      <c r="M2064" s="6" t="s">
        <v>6254</v>
      </c>
      <c r="N2064" s="6">
        <v>12.9109309867848</v>
      </c>
      <c r="O2064" s="6">
        <v>13.037355540102</v>
      </c>
      <c r="P2064" s="6">
        <v>12.3774161777348</v>
      </c>
      <c r="Q2064" s="6" t="s">
        <v>6254</v>
      </c>
    </row>
    <row r="2065" spans="1:17">
      <c r="A2065" s="6" t="s">
        <v>12460</v>
      </c>
      <c r="B2065" s="6" t="s">
        <v>12461</v>
      </c>
      <c r="C2065" s="6" t="s">
        <v>12462</v>
      </c>
      <c r="D2065" s="6" t="s">
        <v>12463</v>
      </c>
      <c r="E2065" s="6" t="s">
        <v>12464</v>
      </c>
      <c r="F2065" s="6">
        <v>13.5210137150774</v>
      </c>
      <c r="G2065" s="6">
        <v>11.84943274424</v>
      </c>
      <c r="H2065" s="6">
        <v>12.704275917755901</v>
      </c>
      <c r="I2065" s="6">
        <v>13.2228933164078</v>
      </c>
      <c r="J2065" s="6" t="s">
        <v>6254</v>
      </c>
      <c r="K2065" s="6">
        <v>11.841464487801399</v>
      </c>
      <c r="L2065" s="6">
        <v>12.860637842021401</v>
      </c>
      <c r="M2065" s="6" t="s">
        <v>6254</v>
      </c>
      <c r="N2065" s="6">
        <v>11.354767085707801</v>
      </c>
      <c r="O2065" s="6">
        <v>12.4926324225943</v>
      </c>
      <c r="P2065" s="6">
        <v>13.1211845746795</v>
      </c>
      <c r="Q2065" s="6" t="s">
        <v>6254</v>
      </c>
    </row>
    <row r="2066" spans="1:17">
      <c r="A2066" s="6" t="s">
        <v>12465</v>
      </c>
      <c r="B2066" s="6" t="s">
        <v>12465</v>
      </c>
      <c r="C2066" s="6" t="s">
        <v>12466</v>
      </c>
      <c r="D2066" s="6" t="s">
        <v>12467</v>
      </c>
      <c r="E2066" s="6" t="s">
        <v>12467</v>
      </c>
      <c r="F2066" s="6">
        <v>13.006208396306601</v>
      </c>
      <c r="G2066" s="6">
        <v>12.933880655633899</v>
      </c>
      <c r="H2066" s="6">
        <v>12.436357738779099</v>
      </c>
      <c r="I2066" s="6">
        <v>13.347547705776</v>
      </c>
      <c r="J2066" s="6">
        <v>12.0528250790346</v>
      </c>
      <c r="K2066" s="6">
        <v>12.922076606688099</v>
      </c>
      <c r="L2066" s="6">
        <v>13.306899954758901</v>
      </c>
      <c r="M2066" s="6">
        <v>10.748412378882399</v>
      </c>
      <c r="N2066" s="6">
        <v>11.591861023245499</v>
      </c>
      <c r="O2066" s="6">
        <v>12.289096180343099</v>
      </c>
      <c r="P2066" s="6">
        <v>12.157256743863901</v>
      </c>
      <c r="Q2066" s="6">
        <v>10.742426148428301</v>
      </c>
    </row>
    <row r="2067" spans="1:17">
      <c r="A2067" s="6" t="s">
        <v>12468</v>
      </c>
      <c r="B2067" s="6" t="s">
        <v>12469</v>
      </c>
      <c r="C2067" s="6" t="s">
        <v>12470</v>
      </c>
      <c r="D2067" s="6" t="s">
        <v>12471</v>
      </c>
      <c r="E2067" s="6" t="s">
        <v>12472</v>
      </c>
      <c r="F2067" s="6">
        <v>11.912644716629099</v>
      </c>
      <c r="G2067" s="6">
        <v>11.351541220318399</v>
      </c>
      <c r="H2067" s="6">
        <v>12.010454475982099</v>
      </c>
      <c r="I2067" s="6">
        <v>14.157156150498301</v>
      </c>
      <c r="J2067" s="6" t="s">
        <v>6254</v>
      </c>
      <c r="K2067" s="6">
        <v>13.068153345561401</v>
      </c>
      <c r="L2067" s="6">
        <v>14.9057654492384</v>
      </c>
      <c r="M2067" s="6">
        <v>10.8021901142379</v>
      </c>
      <c r="N2067" s="6">
        <v>10.1519987805341</v>
      </c>
      <c r="O2067" s="6" t="s">
        <v>6254</v>
      </c>
      <c r="P2067" s="6" t="s">
        <v>6254</v>
      </c>
      <c r="Q2067" s="6" t="s">
        <v>6254</v>
      </c>
    </row>
    <row r="2068" spans="1:17">
      <c r="A2068" s="6" t="s">
        <v>6174</v>
      </c>
      <c r="B2068" s="6" t="s">
        <v>6174</v>
      </c>
      <c r="C2068" s="6" t="s">
        <v>12473</v>
      </c>
      <c r="D2068" s="6" t="s">
        <v>12474</v>
      </c>
      <c r="E2068" s="6" t="s">
        <v>12474</v>
      </c>
      <c r="F2068" s="6">
        <v>12.669169730228401</v>
      </c>
      <c r="G2068" s="6">
        <v>12.421530210103899</v>
      </c>
      <c r="H2068" s="6">
        <v>12.6425924144813</v>
      </c>
      <c r="I2068" s="6">
        <v>13.128112860102201</v>
      </c>
      <c r="J2068" s="6">
        <v>11.2035806618659</v>
      </c>
      <c r="K2068" s="6">
        <v>12.4299071609506</v>
      </c>
      <c r="L2068" s="6">
        <v>13.387492838374699</v>
      </c>
      <c r="M2068" s="6">
        <v>10.693668446511699</v>
      </c>
      <c r="N2068" s="6" t="s">
        <v>6254</v>
      </c>
      <c r="O2068" s="6">
        <v>12.924640083576801</v>
      </c>
      <c r="P2068" s="6">
        <v>12.4275602062469</v>
      </c>
      <c r="Q2068" s="6" t="s">
        <v>6254</v>
      </c>
    </row>
    <row r="2069" spans="1:17">
      <c r="A2069" s="6" t="s">
        <v>12475</v>
      </c>
      <c r="B2069" s="6" t="s">
        <v>12476</v>
      </c>
      <c r="C2069" s="6" t="s">
        <v>12477</v>
      </c>
      <c r="D2069" s="6" t="s">
        <v>12478</v>
      </c>
      <c r="E2069" s="6" t="s">
        <v>12479</v>
      </c>
      <c r="F2069" s="6">
        <v>13.9352387715282</v>
      </c>
      <c r="G2069" s="6" t="s">
        <v>6254</v>
      </c>
      <c r="H2069" s="6">
        <v>12.4809218612022</v>
      </c>
      <c r="I2069" s="6">
        <v>10.725896924012201</v>
      </c>
      <c r="J2069" s="6">
        <v>12.6888819402393</v>
      </c>
      <c r="K2069" s="6">
        <v>10.114398348668001</v>
      </c>
      <c r="L2069" s="6" t="s">
        <v>6254</v>
      </c>
      <c r="M2069" s="6" t="s">
        <v>6254</v>
      </c>
      <c r="N2069" s="6" t="s">
        <v>6254</v>
      </c>
      <c r="O2069" s="6" t="s">
        <v>6254</v>
      </c>
      <c r="P2069" s="6">
        <v>13.4313326186975</v>
      </c>
      <c r="Q2069" s="6" t="s">
        <v>6254</v>
      </c>
    </row>
    <row r="2070" spans="1:17">
      <c r="A2070" s="6" t="s">
        <v>12480</v>
      </c>
      <c r="B2070" s="6" t="s">
        <v>12480</v>
      </c>
      <c r="C2070" s="6" t="s">
        <v>12481</v>
      </c>
      <c r="D2070" s="6" t="s">
        <v>12482</v>
      </c>
      <c r="E2070" s="6" t="s">
        <v>12482</v>
      </c>
      <c r="F2070" s="6">
        <v>12.9373578523667</v>
      </c>
      <c r="G2070" s="6">
        <v>12.217345676517199</v>
      </c>
      <c r="H2070" s="6">
        <v>12.692043092440899</v>
      </c>
      <c r="I2070" s="6">
        <v>13.3529370213774</v>
      </c>
      <c r="J2070" s="6">
        <v>12.1858710180837</v>
      </c>
      <c r="K2070" s="6">
        <v>11.896472009434101</v>
      </c>
      <c r="L2070" s="6">
        <v>13.184763662907899</v>
      </c>
      <c r="M2070" s="6">
        <v>11.4468715783121</v>
      </c>
      <c r="N2070" s="6">
        <v>12.875147410310401</v>
      </c>
      <c r="O2070" s="6">
        <v>12.6273015040644</v>
      </c>
      <c r="P2070" s="6">
        <v>12.621745863121699</v>
      </c>
      <c r="Q2070" s="6">
        <v>10.975097898414701</v>
      </c>
    </row>
    <row r="2071" spans="1:17">
      <c r="A2071" s="6" t="s">
        <v>3746</v>
      </c>
      <c r="B2071" s="6" t="s">
        <v>3746</v>
      </c>
      <c r="C2071" s="6" t="s">
        <v>12483</v>
      </c>
      <c r="D2071" s="6" t="s">
        <v>12484</v>
      </c>
      <c r="E2071" s="6" t="s">
        <v>12484</v>
      </c>
      <c r="F2071" s="6">
        <v>12.6533897511178</v>
      </c>
      <c r="G2071" s="6">
        <v>12.440332280808599</v>
      </c>
      <c r="H2071" s="6">
        <v>12.785460678073701</v>
      </c>
      <c r="I2071" s="6">
        <v>13.3460004803465</v>
      </c>
      <c r="J2071" s="6">
        <v>10.6956088492829</v>
      </c>
      <c r="K2071" s="6">
        <v>11.8466262338719</v>
      </c>
      <c r="L2071" s="6">
        <v>12.883412826422299</v>
      </c>
      <c r="M2071" s="6">
        <v>11.1880304719416</v>
      </c>
      <c r="N2071" s="6">
        <v>11.419278214459601</v>
      </c>
      <c r="O2071" s="6">
        <v>13.1466005897587</v>
      </c>
      <c r="P2071" s="6">
        <v>12.5616791550896</v>
      </c>
      <c r="Q2071" s="6" t="s">
        <v>6254</v>
      </c>
    </row>
    <row r="2072" spans="1:17">
      <c r="A2072" s="6" t="s">
        <v>3593</v>
      </c>
      <c r="B2072" s="6" t="s">
        <v>3593</v>
      </c>
      <c r="C2072" s="6" t="s">
        <v>12485</v>
      </c>
      <c r="D2072" s="6" t="s">
        <v>12486</v>
      </c>
      <c r="E2072" s="6" t="s">
        <v>12486</v>
      </c>
      <c r="F2072" s="6">
        <v>13.2296085270199</v>
      </c>
      <c r="G2072" s="6">
        <v>12.766619249382501</v>
      </c>
      <c r="H2072" s="6">
        <v>12.489614061504501</v>
      </c>
      <c r="I2072" s="6">
        <v>13.243763462948101</v>
      </c>
      <c r="J2072" s="6">
        <v>12.161806254509001</v>
      </c>
      <c r="K2072" s="6">
        <v>12.832727339977501</v>
      </c>
      <c r="L2072" s="6">
        <v>12.930527144414</v>
      </c>
      <c r="M2072" s="6">
        <v>11.897829735251101</v>
      </c>
      <c r="N2072" s="6">
        <v>12.0538840759006</v>
      </c>
      <c r="O2072" s="6">
        <v>12.608682633742101</v>
      </c>
      <c r="P2072" s="6">
        <v>13.017682133191601</v>
      </c>
      <c r="Q2072" s="6">
        <v>11.236948112703899</v>
      </c>
    </row>
    <row r="2073" spans="1:17">
      <c r="A2073" s="6" t="s">
        <v>12487</v>
      </c>
      <c r="B2073" s="6" t="s">
        <v>12488</v>
      </c>
      <c r="C2073" s="6" t="s">
        <v>12489</v>
      </c>
      <c r="D2073" s="6" t="s">
        <v>12490</v>
      </c>
      <c r="E2073" s="6" t="s">
        <v>12491</v>
      </c>
      <c r="F2073" s="6">
        <v>11.928478260188101</v>
      </c>
      <c r="G2073" s="6" t="s">
        <v>6254</v>
      </c>
      <c r="H2073" s="6">
        <v>12.623835930435</v>
      </c>
      <c r="I2073" s="6">
        <v>13.0980563304459</v>
      </c>
      <c r="J2073" s="6">
        <v>11.272281453828599</v>
      </c>
      <c r="K2073" s="6" t="s">
        <v>6254</v>
      </c>
      <c r="L2073" s="6">
        <v>12.9348154473689</v>
      </c>
      <c r="M2073" s="6" t="s">
        <v>6254</v>
      </c>
      <c r="N2073" s="6">
        <v>12.4439006545289</v>
      </c>
      <c r="O2073" s="6">
        <v>13.1047125092995</v>
      </c>
      <c r="P2073" s="6" t="s">
        <v>6254</v>
      </c>
      <c r="Q2073" s="6" t="s">
        <v>6254</v>
      </c>
    </row>
    <row r="2074" spans="1:17">
      <c r="A2074" s="6" t="s">
        <v>5361</v>
      </c>
      <c r="B2074" s="6" t="s">
        <v>5361</v>
      </c>
      <c r="C2074" s="6" t="s">
        <v>12492</v>
      </c>
      <c r="D2074" s="6" t="s">
        <v>12493</v>
      </c>
      <c r="E2074" s="6" t="s">
        <v>12493</v>
      </c>
      <c r="F2074" s="6">
        <v>12.876534149064</v>
      </c>
      <c r="G2074" s="6">
        <v>11.9651283787798</v>
      </c>
      <c r="H2074" s="6">
        <v>12.677175605727699</v>
      </c>
      <c r="I2074" s="6">
        <v>13.2551162727038</v>
      </c>
      <c r="J2074" s="6">
        <v>11.956962230562601</v>
      </c>
      <c r="K2074" s="6">
        <v>11.7364266468356</v>
      </c>
      <c r="L2074" s="6">
        <v>13.0071851165255</v>
      </c>
      <c r="M2074" s="6">
        <v>11.4334486648523</v>
      </c>
      <c r="N2074" s="6">
        <v>13.6127682943089</v>
      </c>
      <c r="O2074" s="6">
        <v>11.7127739339111</v>
      </c>
      <c r="P2074" s="6">
        <v>12.448480665048599</v>
      </c>
      <c r="Q2074" s="6">
        <v>10.8722322063278</v>
      </c>
    </row>
    <row r="2075" spans="1:17">
      <c r="A2075" s="6" t="s">
        <v>2690</v>
      </c>
      <c r="B2075" s="6" t="s">
        <v>2690</v>
      </c>
      <c r="C2075" s="6" t="s">
        <v>12494</v>
      </c>
      <c r="D2075" s="6" t="s">
        <v>12495</v>
      </c>
      <c r="E2075" s="6" t="s">
        <v>12495</v>
      </c>
      <c r="F2075" s="6">
        <v>12.907941436374699</v>
      </c>
      <c r="G2075" s="6">
        <v>13.0664581065804</v>
      </c>
      <c r="H2075" s="6">
        <v>12.553429724517001</v>
      </c>
      <c r="I2075" s="6">
        <v>12.3859800788806</v>
      </c>
      <c r="J2075" s="6">
        <v>11.380225364300101</v>
      </c>
      <c r="K2075" s="6">
        <v>11.813473491856699</v>
      </c>
      <c r="L2075" s="6">
        <v>12.9589645575389</v>
      </c>
      <c r="M2075" s="6">
        <v>11.4445461343427</v>
      </c>
      <c r="N2075" s="6">
        <v>13.337689537845501</v>
      </c>
      <c r="O2075" s="6">
        <v>12.935027188860699</v>
      </c>
      <c r="P2075" s="6">
        <v>12.6945758739325</v>
      </c>
      <c r="Q2075" s="6">
        <v>9.8447035378115402</v>
      </c>
    </row>
    <row r="2076" spans="1:17">
      <c r="A2076" s="6" t="s">
        <v>12496</v>
      </c>
      <c r="B2076" s="6" t="s">
        <v>12497</v>
      </c>
      <c r="C2076" s="6" t="s">
        <v>12498</v>
      </c>
      <c r="D2076" s="6" t="s">
        <v>12499</v>
      </c>
      <c r="E2076" s="6" t="s">
        <v>12500</v>
      </c>
      <c r="F2076" s="6" t="s">
        <v>6254</v>
      </c>
      <c r="G2076" s="6" t="s">
        <v>6254</v>
      </c>
      <c r="H2076" s="6" t="s">
        <v>6254</v>
      </c>
      <c r="I2076" s="6" t="s">
        <v>6254</v>
      </c>
      <c r="J2076" s="6" t="s">
        <v>6254</v>
      </c>
      <c r="K2076" s="6" t="s">
        <v>6254</v>
      </c>
      <c r="L2076" s="6" t="s">
        <v>6254</v>
      </c>
      <c r="M2076" s="6" t="s">
        <v>6254</v>
      </c>
      <c r="N2076" s="6" t="s">
        <v>6254</v>
      </c>
      <c r="O2076" s="6">
        <v>11.6212857583748</v>
      </c>
      <c r="P2076" s="6" t="s">
        <v>6254</v>
      </c>
      <c r="Q2076" s="6" t="s">
        <v>6254</v>
      </c>
    </row>
    <row r="2077" spans="1:17">
      <c r="A2077" s="6" t="s">
        <v>12501</v>
      </c>
      <c r="B2077" s="6" t="s">
        <v>12501</v>
      </c>
      <c r="C2077" s="6" t="s">
        <v>12502</v>
      </c>
      <c r="D2077" s="6" t="s">
        <v>12503</v>
      </c>
      <c r="E2077" s="6" t="s">
        <v>12503</v>
      </c>
      <c r="F2077" s="6">
        <v>15.266712112194901</v>
      </c>
      <c r="G2077" s="6" t="s">
        <v>6254</v>
      </c>
      <c r="H2077" s="6">
        <v>13.3165677692137</v>
      </c>
      <c r="I2077" s="6" t="s">
        <v>6254</v>
      </c>
      <c r="J2077" s="6">
        <v>13.168700608244301</v>
      </c>
      <c r="K2077" s="6" t="s">
        <v>6254</v>
      </c>
      <c r="L2077" s="6" t="s">
        <v>6254</v>
      </c>
      <c r="M2077" s="6" t="s">
        <v>6254</v>
      </c>
      <c r="N2077" s="6" t="s">
        <v>6254</v>
      </c>
      <c r="O2077" s="6" t="s">
        <v>6254</v>
      </c>
      <c r="P2077" s="6" t="s">
        <v>6254</v>
      </c>
      <c r="Q2077" s="6" t="s">
        <v>6254</v>
      </c>
    </row>
    <row r="2078" spans="1:17">
      <c r="A2078" s="6" t="s">
        <v>5398</v>
      </c>
      <c r="B2078" s="6" t="s">
        <v>5398</v>
      </c>
      <c r="C2078" s="6" t="s">
        <v>12504</v>
      </c>
      <c r="D2078" s="6" t="s">
        <v>12505</v>
      </c>
      <c r="E2078" s="6" t="s">
        <v>12505</v>
      </c>
      <c r="F2078" s="6">
        <v>12.75024801761</v>
      </c>
      <c r="G2078" s="6" t="s">
        <v>6254</v>
      </c>
      <c r="H2078" s="6">
        <v>14.462698619060101</v>
      </c>
      <c r="I2078" s="6">
        <v>12.6055132045663</v>
      </c>
      <c r="J2078" s="6" t="s">
        <v>6254</v>
      </c>
      <c r="K2078" s="6">
        <v>11.5384747946167</v>
      </c>
      <c r="L2078" s="6">
        <v>11.922541244318801</v>
      </c>
      <c r="M2078" s="6">
        <v>12.542884929681</v>
      </c>
      <c r="N2078" s="6">
        <v>15.4160525428283</v>
      </c>
      <c r="O2078" s="6">
        <v>10.5228012690061</v>
      </c>
      <c r="P2078" s="6">
        <v>11.764778761648</v>
      </c>
      <c r="Q2078" s="6" t="s">
        <v>6254</v>
      </c>
    </row>
    <row r="2079" spans="1:17">
      <c r="A2079" s="6" t="s">
        <v>12506</v>
      </c>
      <c r="B2079" s="6" t="s">
        <v>12506</v>
      </c>
      <c r="C2079" s="6" t="s">
        <v>12507</v>
      </c>
      <c r="D2079" s="6" t="s">
        <v>12508</v>
      </c>
      <c r="E2079" s="6" t="s">
        <v>12508</v>
      </c>
      <c r="F2079" s="6">
        <v>12.488876494783099</v>
      </c>
      <c r="G2079" s="6">
        <v>12.161622876591901</v>
      </c>
      <c r="H2079" s="6">
        <v>12.7042744116882</v>
      </c>
      <c r="I2079" s="6">
        <v>11.936317140244499</v>
      </c>
      <c r="J2079" s="6">
        <v>11.3959151556233</v>
      </c>
      <c r="K2079" s="6">
        <v>12.2479905861973</v>
      </c>
      <c r="L2079" s="6">
        <v>13.404788223423701</v>
      </c>
      <c r="M2079" s="6" t="s">
        <v>6254</v>
      </c>
      <c r="N2079" s="6">
        <v>12.8493409062834</v>
      </c>
      <c r="O2079" s="6">
        <v>12.706696259791601</v>
      </c>
      <c r="P2079" s="6">
        <v>12.5930906256441</v>
      </c>
      <c r="Q2079" s="6" t="s">
        <v>6254</v>
      </c>
    </row>
    <row r="2080" spans="1:17">
      <c r="A2080" s="6" t="s">
        <v>12509</v>
      </c>
      <c r="B2080" s="6" t="s">
        <v>12509</v>
      </c>
      <c r="C2080" s="6" t="s">
        <v>12510</v>
      </c>
      <c r="D2080" s="6" t="s">
        <v>12511</v>
      </c>
      <c r="E2080" s="6" t="s">
        <v>12511</v>
      </c>
      <c r="F2080" s="6">
        <v>12.9890366547301</v>
      </c>
      <c r="G2080" s="6">
        <v>12.8065587875292</v>
      </c>
      <c r="H2080" s="6">
        <v>12.030052758954699</v>
      </c>
      <c r="I2080" s="6">
        <v>13.2528259120012</v>
      </c>
      <c r="J2080" s="6">
        <v>11.666844174131899</v>
      </c>
      <c r="K2080" s="6" t="s">
        <v>6254</v>
      </c>
      <c r="L2080" s="6">
        <v>13.1511468981217</v>
      </c>
      <c r="M2080" s="6" t="s">
        <v>6254</v>
      </c>
      <c r="N2080" s="6">
        <v>10.167695023966999</v>
      </c>
      <c r="O2080" s="6">
        <v>12.8906900471358</v>
      </c>
      <c r="P2080" s="6">
        <v>13.0904656708984</v>
      </c>
      <c r="Q2080" s="6" t="s">
        <v>6254</v>
      </c>
    </row>
    <row r="2081" spans="1:17">
      <c r="A2081" s="6" t="s">
        <v>12512</v>
      </c>
      <c r="B2081" s="6" t="s">
        <v>5050</v>
      </c>
      <c r="C2081" s="6" t="s">
        <v>12513</v>
      </c>
      <c r="D2081" s="6" t="s">
        <v>12514</v>
      </c>
      <c r="E2081" s="6" t="s">
        <v>12515</v>
      </c>
      <c r="F2081" s="6">
        <v>11.939608324483601</v>
      </c>
      <c r="G2081" s="6">
        <v>11.884373938047201</v>
      </c>
      <c r="H2081" s="6">
        <v>12.269225429307401</v>
      </c>
      <c r="I2081" s="6">
        <v>12.568947804875201</v>
      </c>
      <c r="J2081" s="6" t="s">
        <v>6254</v>
      </c>
      <c r="K2081" s="6">
        <v>12.557894208434799</v>
      </c>
      <c r="L2081" s="6">
        <v>13.257634584999201</v>
      </c>
      <c r="M2081" s="6">
        <v>11.427186964852901</v>
      </c>
      <c r="N2081" s="6" t="s">
        <v>6254</v>
      </c>
      <c r="O2081" s="6" t="s">
        <v>6254</v>
      </c>
      <c r="P2081" s="6">
        <v>11.4061922248101</v>
      </c>
      <c r="Q2081" s="6" t="s">
        <v>6254</v>
      </c>
    </row>
    <row r="2082" spans="1:17">
      <c r="A2082" s="6" t="s">
        <v>12516</v>
      </c>
      <c r="B2082" s="6" t="s">
        <v>12517</v>
      </c>
      <c r="C2082" s="6" t="s">
        <v>12518</v>
      </c>
      <c r="D2082" s="6" t="s">
        <v>12519</v>
      </c>
      <c r="E2082" s="6" t="s">
        <v>12520</v>
      </c>
      <c r="F2082" s="6">
        <v>12.235606950195599</v>
      </c>
      <c r="G2082" s="6">
        <v>12.079270688109499</v>
      </c>
      <c r="H2082" s="6">
        <v>12.551457816973899</v>
      </c>
      <c r="I2082" s="6">
        <v>13.376042636923399</v>
      </c>
      <c r="J2082" s="6" t="s">
        <v>6254</v>
      </c>
      <c r="K2082" s="6">
        <v>12.218634403504</v>
      </c>
      <c r="L2082" s="6">
        <v>12.847564080729599</v>
      </c>
      <c r="M2082" s="6" t="s">
        <v>6254</v>
      </c>
      <c r="N2082" s="6">
        <v>12.378387297072999</v>
      </c>
      <c r="O2082" s="6">
        <v>12.861194582293701</v>
      </c>
      <c r="P2082" s="6">
        <v>12.425561739368</v>
      </c>
      <c r="Q2082" s="6" t="s">
        <v>6254</v>
      </c>
    </row>
    <row r="2083" spans="1:17">
      <c r="A2083" s="6" t="s">
        <v>12521</v>
      </c>
      <c r="B2083" s="6" t="s">
        <v>12521</v>
      </c>
      <c r="C2083" s="6" t="s">
        <v>12522</v>
      </c>
      <c r="D2083" s="6" t="s">
        <v>12523</v>
      </c>
      <c r="E2083" s="6" t="s">
        <v>12523</v>
      </c>
      <c r="F2083" s="6">
        <v>12.900572862953799</v>
      </c>
      <c r="G2083" s="6">
        <v>12.895581567292201</v>
      </c>
      <c r="H2083" s="6">
        <v>12.4678715469508</v>
      </c>
      <c r="I2083" s="6">
        <v>12.7440856474478</v>
      </c>
      <c r="J2083" s="6">
        <v>11.3989382412497</v>
      </c>
      <c r="K2083" s="6">
        <v>11.7492134173628</v>
      </c>
      <c r="L2083" s="6">
        <v>12.779040951091901</v>
      </c>
      <c r="M2083" s="6">
        <v>11.8089853645247</v>
      </c>
      <c r="N2083" s="6">
        <v>13.114710319883599</v>
      </c>
      <c r="O2083" s="6">
        <v>12.911897168631</v>
      </c>
      <c r="P2083" s="6" t="s">
        <v>6254</v>
      </c>
      <c r="Q2083" s="6" t="s">
        <v>6254</v>
      </c>
    </row>
    <row r="2084" spans="1:17">
      <c r="A2084" s="6" t="s">
        <v>12524</v>
      </c>
      <c r="B2084" s="6" t="s">
        <v>12525</v>
      </c>
      <c r="C2084" s="6" t="s">
        <v>12526</v>
      </c>
      <c r="D2084" s="6" t="s">
        <v>12527</v>
      </c>
      <c r="E2084" s="6" t="s">
        <v>12528</v>
      </c>
      <c r="F2084" s="6">
        <v>12.515259039338501</v>
      </c>
      <c r="G2084" s="6">
        <v>12.2090203869937</v>
      </c>
      <c r="H2084" s="6">
        <v>12.385472418425399</v>
      </c>
      <c r="I2084" s="6">
        <v>12.9789416249124</v>
      </c>
      <c r="J2084" s="6">
        <v>11.7463790093033</v>
      </c>
      <c r="K2084" s="6">
        <v>12.0625709371103</v>
      </c>
      <c r="L2084" s="6">
        <v>12.665335835143701</v>
      </c>
      <c r="M2084" s="6" t="s">
        <v>6254</v>
      </c>
      <c r="N2084" s="6" t="s">
        <v>6254</v>
      </c>
      <c r="O2084" s="6">
        <v>12.872177750498</v>
      </c>
      <c r="P2084" s="6">
        <v>12.971961389764299</v>
      </c>
      <c r="Q2084" s="6">
        <v>8.2858826372951704</v>
      </c>
    </row>
    <row r="2085" spans="1:17">
      <c r="A2085" s="6" t="s">
        <v>12529</v>
      </c>
      <c r="B2085" s="6" t="s">
        <v>12529</v>
      </c>
      <c r="C2085" s="6" t="s">
        <v>12530</v>
      </c>
      <c r="D2085" s="6" t="s">
        <v>12531</v>
      </c>
      <c r="E2085" s="6" t="s">
        <v>12531</v>
      </c>
      <c r="F2085" s="6">
        <v>12.4905248501753</v>
      </c>
      <c r="G2085" s="6">
        <v>12.2371788853259</v>
      </c>
      <c r="H2085" s="6">
        <v>12.5138470155026</v>
      </c>
      <c r="I2085" s="6">
        <v>12.0236865510964</v>
      </c>
      <c r="J2085" s="6" t="s">
        <v>6254</v>
      </c>
      <c r="K2085" s="6">
        <v>11.5260179383124</v>
      </c>
      <c r="L2085" s="6">
        <v>13.260850316770901</v>
      </c>
      <c r="M2085" s="6" t="s">
        <v>6254</v>
      </c>
      <c r="N2085" s="6">
        <v>12.862846080072501</v>
      </c>
      <c r="O2085" s="6">
        <v>12.6153903015013</v>
      </c>
      <c r="P2085" s="6">
        <v>12.235471511781499</v>
      </c>
      <c r="Q2085" s="6" t="s">
        <v>6254</v>
      </c>
    </row>
    <row r="2086" spans="1:17">
      <c r="A2086" s="6" t="s">
        <v>12532</v>
      </c>
      <c r="B2086" s="6" t="s">
        <v>12533</v>
      </c>
      <c r="C2086" s="6" t="s">
        <v>12534</v>
      </c>
      <c r="D2086" s="6" t="s">
        <v>12535</v>
      </c>
      <c r="E2086" s="6" t="s">
        <v>12536</v>
      </c>
      <c r="F2086" s="6">
        <v>12.8117840373916</v>
      </c>
      <c r="G2086" s="6" t="s">
        <v>6254</v>
      </c>
      <c r="H2086" s="6">
        <v>12.700654798089699</v>
      </c>
      <c r="I2086" s="6">
        <v>13.2641155521623</v>
      </c>
      <c r="J2086" s="6">
        <v>10.5106912420245</v>
      </c>
      <c r="K2086" s="6" t="s">
        <v>6254</v>
      </c>
      <c r="L2086" s="6">
        <v>13.265383941901099</v>
      </c>
      <c r="M2086" s="6" t="s">
        <v>6254</v>
      </c>
      <c r="N2086" s="6" t="s">
        <v>6254</v>
      </c>
      <c r="O2086" s="6">
        <v>12.7633724495618</v>
      </c>
      <c r="P2086" s="6">
        <v>12.442240957107201</v>
      </c>
      <c r="Q2086" s="6" t="s">
        <v>6254</v>
      </c>
    </row>
    <row r="2087" spans="1:17">
      <c r="A2087" s="6" t="s">
        <v>12537</v>
      </c>
      <c r="B2087" s="6" t="s">
        <v>12538</v>
      </c>
      <c r="C2087" s="6" t="s">
        <v>12539</v>
      </c>
      <c r="D2087" s="6" t="s">
        <v>12540</v>
      </c>
      <c r="E2087" s="6" t="s">
        <v>12541</v>
      </c>
      <c r="F2087" s="6">
        <v>12.1533383371531</v>
      </c>
      <c r="G2087" s="6">
        <v>13.3177167446519</v>
      </c>
      <c r="H2087" s="6">
        <v>12.5327018586291</v>
      </c>
      <c r="I2087" s="6" t="s">
        <v>6254</v>
      </c>
      <c r="J2087" s="6">
        <v>11.3790218797606</v>
      </c>
      <c r="K2087" s="6">
        <v>11.3008964147886</v>
      </c>
      <c r="L2087" s="6">
        <v>13.0475304690857</v>
      </c>
      <c r="M2087" s="6">
        <v>10.782284021891</v>
      </c>
      <c r="N2087" s="6">
        <v>13.119968915681399</v>
      </c>
      <c r="O2087" s="6">
        <v>12.143068506273501</v>
      </c>
      <c r="P2087" s="6" t="s">
        <v>6254</v>
      </c>
      <c r="Q2087" s="6" t="s">
        <v>6254</v>
      </c>
    </row>
    <row r="2088" spans="1:17">
      <c r="A2088" s="6" t="s">
        <v>12542</v>
      </c>
      <c r="B2088" s="6" t="s">
        <v>12543</v>
      </c>
      <c r="C2088" s="6" t="s">
        <v>12544</v>
      </c>
      <c r="D2088" s="6" t="s">
        <v>12545</v>
      </c>
      <c r="E2088" s="6" t="s">
        <v>12546</v>
      </c>
      <c r="F2088" s="6">
        <v>13.288406735768501</v>
      </c>
      <c r="G2088" s="6" t="s">
        <v>6254</v>
      </c>
      <c r="H2088" s="6">
        <v>12.8392642189712</v>
      </c>
      <c r="I2088" s="6">
        <v>13.3971067557735</v>
      </c>
      <c r="J2088" s="6">
        <v>11.4052593980084</v>
      </c>
      <c r="K2088" s="6">
        <v>11.399813156690399</v>
      </c>
      <c r="L2088" s="6">
        <v>13.510002818120901</v>
      </c>
      <c r="M2088" s="6">
        <v>10.7852186213001</v>
      </c>
      <c r="N2088" s="6">
        <v>13.0450006636145</v>
      </c>
      <c r="O2088" s="6">
        <v>12.408429115102299</v>
      </c>
      <c r="P2088" s="6">
        <v>11.436507147641301</v>
      </c>
      <c r="Q2088" s="6" t="s">
        <v>6254</v>
      </c>
    </row>
    <row r="2089" spans="1:17">
      <c r="A2089" s="6" t="s">
        <v>12547</v>
      </c>
      <c r="B2089" s="6" t="s">
        <v>12548</v>
      </c>
      <c r="C2089" s="6" t="s">
        <v>12549</v>
      </c>
      <c r="D2089" s="6" t="s">
        <v>12550</v>
      </c>
      <c r="E2089" s="6" t="s">
        <v>12551</v>
      </c>
      <c r="F2089" s="6">
        <v>12.0729220389952</v>
      </c>
      <c r="G2089" s="6">
        <v>12.4311159736893</v>
      </c>
      <c r="H2089" s="6">
        <v>11.882669740549501</v>
      </c>
      <c r="I2089" s="6">
        <v>12.834663768789699</v>
      </c>
      <c r="J2089" s="6" t="s">
        <v>6254</v>
      </c>
      <c r="K2089" s="6">
        <v>12.481098592391101</v>
      </c>
      <c r="L2089" s="6">
        <v>12.710478024637499</v>
      </c>
      <c r="M2089" s="6" t="s">
        <v>6254</v>
      </c>
      <c r="N2089" s="6" t="s">
        <v>6254</v>
      </c>
      <c r="O2089" s="6">
        <v>12.824585838663699</v>
      </c>
      <c r="P2089" s="6">
        <v>11.982182220957601</v>
      </c>
      <c r="Q2089" s="6" t="s">
        <v>6254</v>
      </c>
    </row>
    <row r="2090" spans="1:17">
      <c r="A2090" s="6" t="s">
        <v>12552</v>
      </c>
      <c r="B2090" s="6" t="s">
        <v>12552</v>
      </c>
      <c r="C2090" s="6" t="s">
        <v>12553</v>
      </c>
      <c r="D2090" s="6" t="s">
        <v>12554</v>
      </c>
      <c r="E2090" s="6" t="s">
        <v>12554</v>
      </c>
      <c r="F2090" s="6">
        <v>13.7716701662292</v>
      </c>
      <c r="G2090" s="6">
        <v>17.008807830226601</v>
      </c>
      <c r="H2090" s="6" t="s">
        <v>6254</v>
      </c>
      <c r="I2090" s="6">
        <v>14.0769780369033</v>
      </c>
      <c r="J2090" s="6">
        <v>10.386192347906899</v>
      </c>
      <c r="K2090" s="6" t="s">
        <v>6254</v>
      </c>
      <c r="L2090" s="6">
        <v>12.0568442373735</v>
      </c>
      <c r="M2090" s="6" t="s">
        <v>6254</v>
      </c>
      <c r="N2090" s="6">
        <v>12.617064928574001</v>
      </c>
      <c r="O2090" s="6">
        <v>12.1618337889479</v>
      </c>
      <c r="P2090" s="6">
        <v>12.7087476423672</v>
      </c>
      <c r="Q2090" s="6" t="s">
        <v>6254</v>
      </c>
    </row>
    <row r="2091" spans="1:17">
      <c r="A2091" s="6" t="s">
        <v>12555</v>
      </c>
      <c r="B2091" s="6" t="s">
        <v>12556</v>
      </c>
      <c r="C2091" s="6" t="s">
        <v>12557</v>
      </c>
      <c r="D2091" s="6" t="s">
        <v>12558</v>
      </c>
      <c r="E2091" s="6" t="s">
        <v>12559</v>
      </c>
      <c r="F2091" s="6">
        <v>12.5601287760147</v>
      </c>
      <c r="G2091" s="6">
        <v>12.2392476315646</v>
      </c>
      <c r="H2091" s="6">
        <v>12.1040914867304</v>
      </c>
      <c r="I2091" s="6">
        <v>13.066517963904399</v>
      </c>
      <c r="J2091" s="6">
        <v>11.5697290899677</v>
      </c>
      <c r="K2091" s="6">
        <v>12.162418018527701</v>
      </c>
      <c r="L2091" s="6">
        <v>12.4367375119476</v>
      </c>
      <c r="M2091" s="6" t="s">
        <v>6254</v>
      </c>
      <c r="N2091" s="6">
        <v>11.2686352222112</v>
      </c>
      <c r="O2091" s="6">
        <v>12.909422723911799</v>
      </c>
      <c r="P2091" s="6">
        <v>12.9590902581244</v>
      </c>
      <c r="Q2091" s="6" t="s">
        <v>6254</v>
      </c>
    </row>
    <row r="2092" spans="1:17">
      <c r="A2092" s="6" t="s">
        <v>12560</v>
      </c>
      <c r="B2092" s="6" t="s">
        <v>12561</v>
      </c>
      <c r="C2092" s="6" t="s">
        <v>12562</v>
      </c>
      <c r="D2092" s="6" t="s">
        <v>12563</v>
      </c>
      <c r="E2092" s="6" t="s">
        <v>12564</v>
      </c>
      <c r="F2092" s="6">
        <v>12.3802265447381</v>
      </c>
      <c r="G2092" s="6">
        <v>11.4751253660811</v>
      </c>
      <c r="H2092" s="6" t="s">
        <v>6254</v>
      </c>
      <c r="I2092" s="6">
        <v>12.900238984646601</v>
      </c>
      <c r="J2092" s="6" t="s">
        <v>6254</v>
      </c>
      <c r="K2092" s="6">
        <v>11.899241809336001</v>
      </c>
      <c r="L2092" s="6">
        <v>12.9047429105118</v>
      </c>
      <c r="M2092" s="6" t="s">
        <v>6254</v>
      </c>
      <c r="N2092" s="6" t="s">
        <v>6254</v>
      </c>
      <c r="O2092" s="6">
        <v>12.5119846387725</v>
      </c>
      <c r="P2092" s="6">
        <v>12.2367336323245</v>
      </c>
      <c r="Q2092" s="6" t="s">
        <v>6254</v>
      </c>
    </row>
    <row r="2093" spans="1:17">
      <c r="A2093" s="6" t="s">
        <v>12565</v>
      </c>
      <c r="B2093" s="6" t="s">
        <v>12565</v>
      </c>
      <c r="C2093" s="6" t="s">
        <v>12566</v>
      </c>
      <c r="D2093" s="6" t="s">
        <v>12567</v>
      </c>
      <c r="E2093" s="6" t="s">
        <v>12567</v>
      </c>
      <c r="F2093" s="6">
        <v>13.0134382317252</v>
      </c>
      <c r="G2093" s="6">
        <v>12.5079407310135</v>
      </c>
      <c r="H2093" s="6">
        <v>12.462314910364601</v>
      </c>
      <c r="I2093" s="6">
        <v>13.117792959053601</v>
      </c>
      <c r="J2093" s="6">
        <v>11.5414867238088</v>
      </c>
      <c r="K2093" s="6">
        <v>12.438091420697701</v>
      </c>
      <c r="L2093" s="6">
        <v>12.587022020227099</v>
      </c>
      <c r="M2093" s="6">
        <v>11.2770109406919</v>
      </c>
      <c r="N2093" s="6">
        <v>11.507124572400899</v>
      </c>
      <c r="O2093" s="6">
        <v>12.4450812564089</v>
      </c>
      <c r="P2093" s="6">
        <v>12.2174908571439</v>
      </c>
      <c r="Q2093" s="6">
        <v>11.0272617113325</v>
      </c>
    </row>
    <row r="2094" spans="1:17">
      <c r="A2094" s="6" t="s">
        <v>12568</v>
      </c>
      <c r="B2094" s="6" t="s">
        <v>12568</v>
      </c>
      <c r="C2094" s="6" t="s">
        <v>12569</v>
      </c>
      <c r="D2094" s="6" t="s">
        <v>12570</v>
      </c>
      <c r="E2094" s="6" t="s">
        <v>12570</v>
      </c>
      <c r="F2094" s="6" t="s">
        <v>6254</v>
      </c>
      <c r="G2094" s="6">
        <v>12.4660476570323</v>
      </c>
      <c r="H2094" s="6">
        <v>11.760385118375501</v>
      </c>
      <c r="I2094" s="6">
        <v>13.084396207751899</v>
      </c>
      <c r="J2094" s="6">
        <v>11.000577488621399</v>
      </c>
      <c r="K2094" s="6">
        <v>12.679160952007299</v>
      </c>
      <c r="L2094" s="6" t="s">
        <v>6254</v>
      </c>
      <c r="M2094" s="6" t="s">
        <v>6254</v>
      </c>
      <c r="N2094" s="6" t="s">
        <v>6254</v>
      </c>
      <c r="O2094" s="6">
        <v>12.7993871692128</v>
      </c>
      <c r="P2094" s="6">
        <v>12.836704518484</v>
      </c>
      <c r="Q2094" s="6" t="s">
        <v>6254</v>
      </c>
    </row>
    <row r="2095" spans="1:17">
      <c r="A2095" s="6" t="s">
        <v>12571</v>
      </c>
      <c r="B2095" s="6" t="s">
        <v>12572</v>
      </c>
      <c r="C2095" s="6" t="s">
        <v>12573</v>
      </c>
      <c r="D2095" s="6" t="s">
        <v>12574</v>
      </c>
      <c r="E2095" s="6" t="s">
        <v>12575</v>
      </c>
      <c r="F2095" s="6" t="s">
        <v>6254</v>
      </c>
      <c r="G2095" s="6">
        <v>11.9533733099508</v>
      </c>
      <c r="H2095" s="6">
        <v>12.275965742934501</v>
      </c>
      <c r="I2095" s="6">
        <v>12.3311441930204</v>
      </c>
      <c r="J2095" s="6" t="s">
        <v>6254</v>
      </c>
      <c r="K2095" s="6">
        <v>12.776561107833199</v>
      </c>
      <c r="L2095" s="6">
        <v>12.9628910948769</v>
      </c>
      <c r="M2095" s="6" t="s">
        <v>6254</v>
      </c>
      <c r="N2095" s="6">
        <v>12.1776775573877</v>
      </c>
      <c r="O2095" s="6">
        <v>12.1917502370446</v>
      </c>
      <c r="P2095" s="6">
        <v>12.539851952762101</v>
      </c>
      <c r="Q2095" s="6" t="s">
        <v>6254</v>
      </c>
    </row>
    <row r="2096" spans="1:17">
      <c r="A2096" s="6" t="s">
        <v>12576</v>
      </c>
      <c r="B2096" s="6" t="s">
        <v>12577</v>
      </c>
      <c r="C2096" s="6" t="s">
        <v>12578</v>
      </c>
      <c r="D2096" s="6" t="s">
        <v>12579</v>
      </c>
      <c r="E2096" s="6" t="s">
        <v>12580</v>
      </c>
      <c r="F2096" s="6">
        <v>12.907949045499601</v>
      </c>
      <c r="G2096" s="6">
        <v>12.083315651134001</v>
      </c>
      <c r="H2096" s="6">
        <v>11.997046439510999</v>
      </c>
      <c r="I2096" s="6">
        <v>12.736909943668801</v>
      </c>
      <c r="J2096" s="6" t="s">
        <v>6254</v>
      </c>
      <c r="K2096" s="6">
        <v>12.198994521261501</v>
      </c>
      <c r="L2096" s="6">
        <v>12.1612969014288</v>
      </c>
      <c r="M2096" s="6">
        <v>11.4673331412544</v>
      </c>
      <c r="N2096" s="6">
        <v>11.026642843203801</v>
      </c>
      <c r="O2096" s="6">
        <v>12.576929407543901</v>
      </c>
      <c r="P2096" s="6">
        <v>12.792506219005499</v>
      </c>
      <c r="Q2096" s="6" t="s">
        <v>6254</v>
      </c>
    </row>
    <row r="2097" spans="1:17">
      <c r="A2097" s="6" t="s">
        <v>12581</v>
      </c>
      <c r="B2097" s="6" t="s">
        <v>12582</v>
      </c>
      <c r="C2097" s="6" t="s">
        <v>12583</v>
      </c>
      <c r="D2097" s="6" t="s">
        <v>12584</v>
      </c>
      <c r="E2097" s="6" t="s">
        <v>12585</v>
      </c>
      <c r="F2097" s="6">
        <v>12.630022054657999</v>
      </c>
      <c r="G2097" s="6">
        <v>12.0861740533961</v>
      </c>
      <c r="H2097" s="6">
        <v>12.381185839156901</v>
      </c>
      <c r="I2097" s="6">
        <v>13.052348170596799</v>
      </c>
      <c r="J2097" s="6" t="s">
        <v>6254</v>
      </c>
      <c r="K2097" s="6">
        <v>11.9976161341687</v>
      </c>
      <c r="L2097" s="6">
        <v>13.1828588983148</v>
      </c>
      <c r="M2097" s="6" t="s">
        <v>6254</v>
      </c>
      <c r="N2097" s="6">
        <v>10.8728854751279</v>
      </c>
      <c r="O2097" s="6">
        <v>12.8919965201053</v>
      </c>
      <c r="P2097" s="6">
        <v>12.111069702149999</v>
      </c>
      <c r="Q2097" s="6">
        <v>11.7650983403037</v>
      </c>
    </row>
    <row r="2098" spans="1:17">
      <c r="A2098" s="6" t="s">
        <v>4361</v>
      </c>
      <c r="B2098" s="6" t="s">
        <v>4361</v>
      </c>
      <c r="C2098" s="6" t="s">
        <v>12586</v>
      </c>
      <c r="D2098" s="6" t="s">
        <v>12587</v>
      </c>
      <c r="E2098" s="6" t="s">
        <v>12587</v>
      </c>
      <c r="F2098" s="6" t="s">
        <v>6254</v>
      </c>
      <c r="G2098" s="6" t="s">
        <v>6254</v>
      </c>
      <c r="H2098" s="6" t="s">
        <v>6254</v>
      </c>
      <c r="I2098" s="6" t="s">
        <v>6254</v>
      </c>
      <c r="J2098" s="6" t="s">
        <v>6254</v>
      </c>
      <c r="K2098" s="6">
        <v>11.3244868460717</v>
      </c>
      <c r="L2098" s="6">
        <v>13.1452077311815</v>
      </c>
      <c r="M2098" s="6" t="s">
        <v>6254</v>
      </c>
      <c r="N2098" s="6" t="s">
        <v>6254</v>
      </c>
      <c r="O2098" s="6" t="s">
        <v>6254</v>
      </c>
      <c r="P2098" s="6" t="s">
        <v>6254</v>
      </c>
      <c r="Q2098" s="6" t="s">
        <v>6254</v>
      </c>
    </row>
    <row r="2099" spans="1:17">
      <c r="A2099" s="6" t="s">
        <v>3718</v>
      </c>
      <c r="B2099" s="6" t="s">
        <v>3718</v>
      </c>
      <c r="C2099" s="6" t="s">
        <v>12588</v>
      </c>
      <c r="D2099" s="6" t="s">
        <v>12589</v>
      </c>
      <c r="E2099" s="6" t="s">
        <v>12589</v>
      </c>
      <c r="F2099" s="6">
        <v>12.426144201224499</v>
      </c>
      <c r="G2099" s="6">
        <v>12.8004306168194</v>
      </c>
      <c r="H2099" s="6" t="s">
        <v>6254</v>
      </c>
      <c r="I2099" s="6">
        <v>12.384691841178</v>
      </c>
      <c r="J2099" s="6" t="s">
        <v>6254</v>
      </c>
      <c r="K2099" s="6">
        <v>11.8066518977139</v>
      </c>
      <c r="L2099" s="6">
        <v>12.986010080019801</v>
      </c>
      <c r="M2099" s="6">
        <v>11.9451041042167</v>
      </c>
      <c r="N2099" s="6">
        <v>12.052932795912101</v>
      </c>
      <c r="O2099" s="6">
        <v>12.188475278948101</v>
      </c>
      <c r="P2099" s="6">
        <v>12.8287662535375</v>
      </c>
      <c r="Q2099" s="6" t="s">
        <v>6254</v>
      </c>
    </row>
    <row r="2100" spans="1:17">
      <c r="A2100" s="6" t="s">
        <v>12590</v>
      </c>
      <c r="B2100" s="6" t="s">
        <v>12591</v>
      </c>
      <c r="C2100" s="6" t="s">
        <v>12592</v>
      </c>
      <c r="D2100" s="6" t="s">
        <v>12593</v>
      </c>
      <c r="E2100" s="6" t="s">
        <v>12594</v>
      </c>
      <c r="F2100" s="6">
        <v>11.975399535650901</v>
      </c>
      <c r="G2100" s="6">
        <v>11.4699278367515</v>
      </c>
      <c r="H2100" s="6">
        <v>12.097088234496001</v>
      </c>
      <c r="I2100" s="6">
        <v>13.4267651393069</v>
      </c>
      <c r="J2100" s="6" t="s">
        <v>6254</v>
      </c>
      <c r="K2100" s="6">
        <v>12.483772949995901</v>
      </c>
      <c r="L2100" s="6">
        <v>13.520648550651799</v>
      </c>
      <c r="M2100" s="6">
        <v>11.0497420978945</v>
      </c>
      <c r="N2100" s="6" t="s">
        <v>6254</v>
      </c>
      <c r="O2100" s="6">
        <v>10.3144277867206</v>
      </c>
      <c r="P2100" s="6" t="s">
        <v>6254</v>
      </c>
      <c r="Q2100" s="6" t="s">
        <v>6254</v>
      </c>
    </row>
    <row r="2101" spans="1:17">
      <c r="A2101" s="6" t="s">
        <v>12595</v>
      </c>
      <c r="B2101" s="6" t="s">
        <v>12595</v>
      </c>
      <c r="C2101" s="6" t="s">
        <v>12596</v>
      </c>
      <c r="D2101" s="6" t="s">
        <v>12597</v>
      </c>
      <c r="E2101" s="6" t="s">
        <v>12597</v>
      </c>
      <c r="F2101" s="6" t="s">
        <v>6254</v>
      </c>
      <c r="G2101" s="6">
        <v>11.735399098305701</v>
      </c>
      <c r="H2101" s="6">
        <v>10.9391624073778</v>
      </c>
      <c r="I2101" s="6">
        <v>12.898830586956199</v>
      </c>
      <c r="J2101" s="6">
        <v>9.5124578628282492</v>
      </c>
      <c r="K2101" s="6">
        <v>11.741638891212601</v>
      </c>
      <c r="L2101" s="6">
        <v>13.798771958268199</v>
      </c>
      <c r="M2101" s="6" t="s">
        <v>6254</v>
      </c>
      <c r="N2101" s="6" t="s">
        <v>6254</v>
      </c>
      <c r="O2101" s="6">
        <v>11.111717116034701</v>
      </c>
      <c r="P2101" s="6" t="s">
        <v>6254</v>
      </c>
      <c r="Q2101" s="6" t="s">
        <v>6254</v>
      </c>
    </row>
    <row r="2102" spans="1:17">
      <c r="A2102" s="6" t="s">
        <v>5726</v>
      </c>
      <c r="B2102" s="6" t="s">
        <v>5726</v>
      </c>
      <c r="C2102" s="6" t="s">
        <v>12598</v>
      </c>
      <c r="D2102" s="6" t="s">
        <v>12599</v>
      </c>
      <c r="E2102" s="6" t="s">
        <v>12599</v>
      </c>
      <c r="F2102" s="6">
        <v>13.245248688447299</v>
      </c>
      <c r="G2102" s="6">
        <v>11.604300541469099</v>
      </c>
      <c r="H2102" s="6">
        <v>12.1598824449547</v>
      </c>
      <c r="I2102" s="6">
        <v>13.0709067502263</v>
      </c>
      <c r="J2102" s="6" t="s">
        <v>6254</v>
      </c>
      <c r="K2102" s="6">
        <v>11.6367321673349</v>
      </c>
      <c r="L2102" s="6">
        <v>12.479644877927701</v>
      </c>
      <c r="M2102" s="6">
        <v>11.8285005948874</v>
      </c>
      <c r="N2102" s="6">
        <v>13.654890972091099</v>
      </c>
      <c r="O2102" s="6">
        <v>12.551452882203099</v>
      </c>
      <c r="P2102" s="6">
        <v>13.1816166852383</v>
      </c>
      <c r="Q2102" s="6" t="s">
        <v>6254</v>
      </c>
    </row>
    <row r="2103" spans="1:17">
      <c r="A2103" s="6" t="s">
        <v>12600</v>
      </c>
      <c r="B2103" s="6" t="s">
        <v>12601</v>
      </c>
      <c r="C2103" s="6" t="s">
        <v>12602</v>
      </c>
      <c r="D2103" s="6" t="s">
        <v>12603</v>
      </c>
      <c r="E2103" s="6" t="s">
        <v>12604</v>
      </c>
      <c r="F2103" s="6">
        <v>12.425613269929499</v>
      </c>
      <c r="G2103" s="6" t="s">
        <v>6254</v>
      </c>
      <c r="H2103" s="6">
        <v>11.921913348670801</v>
      </c>
      <c r="I2103" s="6">
        <v>12.5142294610927</v>
      </c>
      <c r="J2103" s="6" t="s">
        <v>6254</v>
      </c>
      <c r="K2103" s="6">
        <v>12.089347958944099</v>
      </c>
      <c r="L2103" s="6">
        <v>12.664803116426199</v>
      </c>
      <c r="M2103" s="6" t="s">
        <v>6254</v>
      </c>
      <c r="N2103" s="6" t="s">
        <v>6254</v>
      </c>
      <c r="O2103" s="6">
        <v>11.649271189256799</v>
      </c>
      <c r="P2103" s="6">
        <v>12.5371636815921</v>
      </c>
      <c r="Q2103" s="6" t="s">
        <v>6254</v>
      </c>
    </row>
    <row r="2104" spans="1:17">
      <c r="A2104" s="6" t="s">
        <v>12605</v>
      </c>
      <c r="B2104" s="6" t="s">
        <v>12606</v>
      </c>
      <c r="C2104" s="6" t="s">
        <v>12607</v>
      </c>
      <c r="D2104" s="6" t="s">
        <v>12608</v>
      </c>
      <c r="E2104" s="6" t="s">
        <v>12609</v>
      </c>
      <c r="F2104" s="6" t="s">
        <v>6254</v>
      </c>
      <c r="G2104" s="6">
        <v>13.8383819838905</v>
      </c>
      <c r="H2104" s="6">
        <v>8.5906891716484992</v>
      </c>
      <c r="I2104" s="6" t="s">
        <v>6254</v>
      </c>
      <c r="J2104" s="6" t="s">
        <v>6254</v>
      </c>
      <c r="K2104" s="6" t="s">
        <v>6254</v>
      </c>
      <c r="L2104" s="6" t="s">
        <v>6254</v>
      </c>
      <c r="M2104" s="6" t="s">
        <v>6254</v>
      </c>
      <c r="N2104" s="6" t="s">
        <v>6254</v>
      </c>
      <c r="O2104" s="6" t="s">
        <v>6254</v>
      </c>
      <c r="P2104" s="6">
        <v>9.6763567695001207</v>
      </c>
      <c r="Q2104" s="6" t="s">
        <v>6254</v>
      </c>
    </row>
    <row r="2105" spans="1:17">
      <c r="A2105" s="6" t="s">
        <v>12610</v>
      </c>
      <c r="B2105" s="6" t="s">
        <v>12610</v>
      </c>
      <c r="C2105" s="6" t="s">
        <v>12611</v>
      </c>
      <c r="D2105" s="6" t="s">
        <v>12612</v>
      </c>
      <c r="E2105" s="6" t="s">
        <v>12612</v>
      </c>
      <c r="F2105" s="6" t="s">
        <v>6254</v>
      </c>
      <c r="G2105" s="6" t="s">
        <v>6254</v>
      </c>
      <c r="H2105" s="6">
        <v>11.455346744916501</v>
      </c>
      <c r="I2105" s="6" t="s">
        <v>6254</v>
      </c>
      <c r="J2105" s="6">
        <v>11.3896455324398</v>
      </c>
      <c r="K2105" s="6">
        <v>12.175007682295201</v>
      </c>
      <c r="L2105" s="6">
        <v>13.0127403280853</v>
      </c>
      <c r="M2105" s="6" t="s">
        <v>6254</v>
      </c>
      <c r="N2105" s="6" t="s">
        <v>6254</v>
      </c>
      <c r="O2105" s="6">
        <v>11.442879580246499</v>
      </c>
      <c r="P2105" s="6" t="s">
        <v>6254</v>
      </c>
      <c r="Q2105" s="6" t="s">
        <v>6254</v>
      </c>
    </row>
    <row r="2106" spans="1:17">
      <c r="A2106" s="6" t="s">
        <v>12613</v>
      </c>
      <c r="B2106" s="6" t="s">
        <v>12613</v>
      </c>
      <c r="C2106" s="6" t="s">
        <v>12614</v>
      </c>
      <c r="D2106" s="6" t="s">
        <v>12615</v>
      </c>
      <c r="E2106" s="6" t="s">
        <v>12615</v>
      </c>
      <c r="F2106" s="6">
        <v>12.059260048492799</v>
      </c>
      <c r="G2106" s="6" t="s">
        <v>6254</v>
      </c>
      <c r="H2106" s="6" t="s">
        <v>6254</v>
      </c>
      <c r="I2106" s="6">
        <v>12.9201988688787</v>
      </c>
      <c r="J2106" s="6" t="s">
        <v>6254</v>
      </c>
      <c r="K2106" s="6">
        <v>12.193433663171399</v>
      </c>
      <c r="L2106" s="6">
        <v>12.786743025998399</v>
      </c>
      <c r="M2106" s="6" t="s">
        <v>6254</v>
      </c>
      <c r="N2106" s="6" t="s">
        <v>6254</v>
      </c>
      <c r="O2106" s="6">
        <v>11.486102234935499</v>
      </c>
      <c r="P2106" s="6">
        <v>12.2383599221029</v>
      </c>
      <c r="Q2106" s="6" t="s">
        <v>6254</v>
      </c>
    </row>
    <row r="2107" spans="1:17">
      <c r="A2107" s="6" t="s">
        <v>12616</v>
      </c>
      <c r="B2107" s="6" t="s">
        <v>12617</v>
      </c>
      <c r="C2107" s="6" t="s">
        <v>12618</v>
      </c>
      <c r="D2107" s="6" t="s">
        <v>12619</v>
      </c>
      <c r="E2107" s="6" t="s">
        <v>12620</v>
      </c>
      <c r="F2107" s="6" t="s">
        <v>6254</v>
      </c>
      <c r="G2107" s="6">
        <v>12.383928973930299</v>
      </c>
      <c r="H2107" s="6">
        <v>11.9234595475929</v>
      </c>
      <c r="I2107" s="6">
        <v>12.2180580542173</v>
      </c>
      <c r="J2107" s="6" t="s">
        <v>6254</v>
      </c>
      <c r="K2107" s="6" t="s">
        <v>6254</v>
      </c>
      <c r="L2107" s="6">
        <v>12.4011796761386</v>
      </c>
      <c r="M2107" s="6" t="s">
        <v>6254</v>
      </c>
      <c r="N2107" s="6">
        <v>11.8125642230289</v>
      </c>
      <c r="O2107" s="6" t="s">
        <v>6254</v>
      </c>
      <c r="P2107" s="6">
        <v>10.639829561529799</v>
      </c>
      <c r="Q2107" s="6" t="s">
        <v>6254</v>
      </c>
    </row>
    <row r="2108" spans="1:17">
      <c r="A2108" s="6" t="s">
        <v>12621</v>
      </c>
      <c r="B2108" s="6" t="s">
        <v>12621</v>
      </c>
      <c r="C2108" s="6" t="s">
        <v>12622</v>
      </c>
      <c r="D2108" s="6" t="s">
        <v>12623</v>
      </c>
      <c r="E2108" s="6" t="s">
        <v>12623</v>
      </c>
      <c r="F2108" s="6">
        <v>12.153742795603099</v>
      </c>
      <c r="G2108" s="6">
        <v>12.8030083649339</v>
      </c>
      <c r="H2108" s="6">
        <v>12.3693607303244</v>
      </c>
      <c r="I2108" s="6">
        <v>12.986348401494901</v>
      </c>
      <c r="J2108" s="6">
        <v>11.138823480883399</v>
      </c>
      <c r="K2108" s="6">
        <v>11.616283569077099</v>
      </c>
      <c r="L2108" s="6">
        <v>12.3198787760413</v>
      </c>
      <c r="M2108" s="6" t="s">
        <v>6254</v>
      </c>
      <c r="N2108" s="6" t="s">
        <v>6254</v>
      </c>
      <c r="O2108" s="6">
        <v>12.8000199667476</v>
      </c>
      <c r="P2108" s="6">
        <v>12.6408431304241</v>
      </c>
      <c r="Q2108" s="6">
        <v>10.4427193001403</v>
      </c>
    </row>
    <row r="2109" spans="1:17">
      <c r="A2109" s="6" t="s">
        <v>12624</v>
      </c>
      <c r="B2109" s="6" t="s">
        <v>12625</v>
      </c>
      <c r="C2109" s="6" t="s">
        <v>12626</v>
      </c>
      <c r="D2109" s="6" t="s">
        <v>12627</v>
      </c>
      <c r="E2109" s="6" t="s">
        <v>12628</v>
      </c>
      <c r="F2109" s="6">
        <v>12.545949956343501</v>
      </c>
      <c r="G2109" s="6" t="s">
        <v>6254</v>
      </c>
      <c r="H2109" s="6" t="s">
        <v>6254</v>
      </c>
      <c r="I2109" s="6" t="s">
        <v>6254</v>
      </c>
      <c r="J2109" s="6" t="s">
        <v>6254</v>
      </c>
      <c r="K2109" s="6" t="s">
        <v>6254</v>
      </c>
      <c r="L2109" s="6" t="s">
        <v>6254</v>
      </c>
      <c r="M2109" s="6" t="s">
        <v>6254</v>
      </c>
      <c r="N2109" s="6">
        <v>11.0299839653226</v>
      </c>
      <c r="O2109" s="6" t="s">
        <v>6254</v>
      </c>
      <c r="P2109" s="6" t="s">
        <v>6254</v>
      </c>
      <c r="Q2109" s="6" t="s">
        <v>6254</v>
      </c>
    </row>
    <row r="2110" spans="1:17">
      <c r="A2110" s="6" t="s">
        <v>12629</v>
      </c>
      <c r="B2110" s="6" t="s">
        <v>12629</v>
      </c>
      <c r="C2110" s="6" t="s">
        <v>12629</v>
      </c>
      <c r="D2110" s="6" t="s">
        <v>12629</v>
      </c>
      <c r="E2110" s="6" t="s">
        <v>12629</v>
      </c>
      <c r="F2110" s="6" t="s">
        <v>6254</v>
      </c>
      <c r="G2110" s="6">
        <v>12.1640776329722</v>
      </c>
      <c r="H2110" s="6" t="s">
        <v>6254</v>
      </c>
      <c r="I2110" s="6">
        <v>13.0325643632442</v>
      </c>
      <c r="J2110" s="6">
        <v>12.454549835886301</v>
      </c>
      <c r="K2110" s="6" t="s">
        <v>6254</v>
      </c>
      <c r="L2110" s="6">
        <v>12.1137232985418</v>
      </c>
      <c r="M2110" s="6" t="s">
        <v>6254</v>
      </c>
      <c r="N2110" s="6" t="s">
        <v>6254</v>
      </c>
      <c r="O2110" s="6" t="s">
        <v>6254</v>
      </c>
      <c r="P2110" s="6" t="s">
        <v>6254</v>
      </c>
      <c r="Q2110" s="6">
        <v>12.4829553160389</v>
      </c>
    </row>
    <row r="2111" spans="1:17">
      <c r="A2111" s="6" t="s">
        <v>5472</v>
      </c>
      <c r="B2111" s="6" t="s">
        <v>5472</v>
      </c>
      <c r="C2111" s="6" t="s">
        <v>12630</v>
      </c>
      <c r="D2111" s="6" t="s">
        <v>12631</v>
      </c>
      <c r="E2111" s="6" t="s">
        <v>12631</v>
      </c>
      <c r="F2111" s="6">
        <v>12.819145575111699</v>
      </c>
      <c r="G2111" s="6" t="s">
        <v>6254</v>
      </c>
      <c r="H2111" s="6" t="s">
        <v>6254</v>
      </c>
      <c r="I2111" s="6">
        <v>12.706326980279</v>
      </c>
      <c r="J2111" s="6" t="s">
        <v>6254</v>
      </c>
      <c r="K2111" s="6">
        <v>11.2832808716595</v>
      </c>
      <c r="L2111" s="6">
        <v>12.6570753750048</v>
      </c>
      <c r="M2111" s="6" t="s">
        <v>6254</v>
      </c>
      <c r="N2111" s="6" t="s">
        <v>6254</v>
      </c>
      <c r="O2111" s="6">
        <v>12.5835214294171</v>
      </c>
      <c r="P2111" s="6">
        <v>12.2634467001453</v>
      </c>
      <c r="Q2111" s="6" t="s">
        <v>6254</v>
      </c>
    </row>
    <row r="2112" spans="1:17">
      <c r="A2112" s="6" t="s">
        <v>12632</v>
      </c>
      <c r="B2112" s="6" t="s">
        <v>12633</v>
      </c>
      <c r="C2112" s="6" t="s">
        <v>12634</v>
      </c>
      <c r="D2112" s="6" t="s">
        <v>12635</v>
      </c>
      <c r="E2112" s="6" t="s">
        <v>12636</v>
      </c>
      <c r="F2112" s="6" t="s">
        <v>6254</v>
      </c>
      <c r="G2112" s="6">
        <v>11.7768125074619</v>
      </c>
      <c r="H2112" s="6">
        <v>12.3651048466165</v>
      </c>
      <c r="I2112" s="6">
        <v>12.820385692519601</v>
      </c>
      <c r="J2112" s="6" t="s">
        <v>6254</v>
      </c>
      <c r="K2112" s="6" t="s">
        <v>6254</v>
      </c>
      <c r="L2112" s="6" t="s">
        <v>6254</v>
      </c>
      <c r="M2112" s="6">
        <v>10.8278262149844</v>
      </c>
      <c r="N2112" s="6">
        <v>11.8204414305143</v>
      </c>
      <c r="O2112" s="6">
        <v>12.443397110426201</v>
      </c>
      <c r="P2112" s="6" t="s">
        <v>6254</v>
      </c>
      <c r="Q2112" s="6" t="s">
        <v>6254</v>
      </c>
    </row>
    <row r="2113" spans="1:17">
      <c r="A2113" s="6" t="s">
        <v>4161</v>
      </c>
      <c r="B2113" s="6" t="s">
        <v>4161</v>
      </c>
      <c r="C2113" s="6" t="s">
        <v>12637</v>
      </c>
      <c r="D2113" s="6" t="s">
        <v>12638</v>
      </c>
      <c r="E2113" s="6" t="s">
        <v>12638</v>
      </c>
      <c r="F2113" s="6">
        <v>12.5094734464101</v>
      </c>
      <c r="G2113" s="6">
        <v>11.194918861445901</v>
      </c>
      <c r="H2113" s="6">
        <v>11.407305105260599</v>
      </c>
      <c r="I2113" s="6">
        <v>12.511212594683</v>
      </c>
      <c r="J2113" s="6" t="s">
        <v>6254</v>
      </c>
      <c r="K2113" s="6">
        <v>11.562960216395901</v>
      </c>
      <c r="L2113" s="6">
        <v>12.346463994401001</v>
      </c>
      <c r="M2113" s="6" t="s">
        <v>6254</v>
      </c>
      <c r="N2113" s="6">
        <v>12.709464265412199</v>
      </c>
      <c r="O2113" s="6" t="s">
        <v>6254</v>
      </c>
      <c r="P2113" s="6" t="s">
        <v>6254</v>
      </c>
      <c r="Q2113" s="6" t="s">
        <v>6254</v>
      </c>
    </row>
    <row r="2114" spans="1:17">
      <c r="A2114" s="6" t="s">
        <v>12639</v>
      </c>
      <c r="B2114" s="6" t="s">
        <v>12639</v>
      </c>
      <c r="C2114" s="6" t="s">
        <v>12640</v>
      </c>
      <c r="D2114" s="6" t="s">
        <v>12641</v>
      </c>
      <c r="E2114" s="6" t="s">
        <v>12641</v>
      </c>
      <c r="F2114" s="6">
        <v>12.0533308053969</v>
      </c>
      <c r="G2114" s="6" t="s">
        <v>6254</v>
      </c>
      <c r="H2114" s="6" t="s">
        <v>6254</v>
      </c>
      <c r="I2114" s="6">
        <v>12.6911950506613</v>
      </c>
      <c r="J2114" s="6" t="s">
        <v>6254</v>
      </c>
      <c r="K2114" s="6">
        <v>11.3135221961226</v>
      </c>
      <c r="L2114" s="6">
        <v>11.737703452728599</v>
      </c>
      <c r="M2114" s="6" t="s">
        <v>6254</v>
      </c>
      <c r="N2114" s="6" t="s">
        <v>6254</v>
      </c>
      <c r="O2114" s="6">
        <v>12.3224928222791</v>
      </c>
      <c r="P2114" s="6">
        <v>12.437588203694199</v>
      </c>
      <c r="Q2114" s="6" t="s">
        <v>6254</v>
      </c>
    </row>
    <row r="2115" spans="1:17">
      <c r="A2115" s="6" t="s">
        <v>12642</v>
      </c>
      <c r="B2115" s="6" t="s">
        <v>12643</v>
      </c>
      <c r="C2115" s="6" t="s">
        <v>12644</v>
      </c>
      <c r="D2115" s="6" t="s">
        <v>12645</v>
      </c>
      <c r="E2115" s="6" t="s">
        <v>12646</v>
      </c>
      <c r="F2115" s="6">
        <v>13.2185656817819</v>
      </c>
      <c r="G2115" s="6">
        <v>12.5139339166379</v>
      </c>
      <c r="H2115" s="6">
        <v>11.902678489093301</v>
      </c>
      <c r="I2115" s="6">
        <v>12.665907251112399</v>
      </c>
      <c r="J2115" s="6" t="s">
        <v>6254</v>
      </c>
      <c r="K2115" s="6">
        <v>11.67280594753</v>
      </c>
      <c r="L2115" s="6">
        <v>12.198522078307899</v>
      </c>
      <c r="M2115" s="6">
        <v>11.4172958669057</v>
      </c>
      <c r="N2115" s="6">
        <v>12.419515573881499</v>
      </c>
      <c r="O2115" s="6">
        <v>12.911077564673599</v>
      </c>
      <c r="P2115" s="6">
        <v>12.7499118189805</v>
      </c>
      <c r="Q2115" s="6">
        <v>10.359903652984499</v>
      </c>
    </row>
    <row r="2116" spans="1:17">
      <c r="A2116" s="6" t="s">
        <v>5268</v>
      </c>
      <c r="B2116" s="6" t="s">
        <v>5268</v>
      </c>
      <c r="C2116" s="6" t="s">
        <v>12647</v>
      </c>
      <c r="D2116" s="6" t="s">
        <v>12648</v>
      </c>
      <c r="E2116" s="6" t="s">
        <v>12648</v>
      </c>
      <c r="F2116" s="6">
        <v>12.1884323606108</v>
      </c>
      <c r="G2116" s="6">
        <v>12.4535353146166</v>
      </c>
      <c r="H2116" s="6">
        <v>11.663312329055801</v>
      </c>
      <c r="I2116" s="6">
        <v>12.488797572685099</v>
      </c>
      <c r="J2116" s="6" t="s">
        <v>6254</v>
      </c>
      <c r="K2116" s="6">
        <v>10.8052840368908</v>
      </c>
      <c r="L2116" s="6">
        <v>12.1911107518394</v>
      </c>
      <c r="M2116" s="6" t="s">
        <v>6254</v>
      </c>
      <c r="N2116" s="6">
        <v>12.009686236414501</v>
      </c>
      <c r="O2116" s="6">
        <v>12.5028842297863</v>
      </c>
      <c r="P2116" s="6">
        <v>12.119537211113199</v>
      </c>
      <c r="Q2116" s="6" t="s">
        <v>6254</v>
      </c>
    </row>
    <row r="2117" spans="1:17">
      <c r="A2117" s="6" t="s">
        <v>12649</v>
      </c>
      <c r="B2117" s="6" t="s">
        <v>12650</v>
      </c>
      <c r="C2117" s="6" t="s">
        <v>12651</v>
      </c>
      <c r="D2117" s="6" t="s">
        <v>12652</v>
      </c>
      <c r="E2117" s="6" t="s">
        <v>12653</v>
      </c>
      <c r="F2117" s="6">
        <v>13.5460473876582</v>
      </c>
      <c r="G2117" s="6" t="s">
        <v>6254</v>
      </c>
      <c r="H2117" s="6" t="s">
        <v>6254</v>
      </c>
      <c r="I2117" s="6">
        <v>10.625406625255801</v>
      </c>
      <c r="J2117" s="6" t="s">
        <v>6254</v>
      </c>
      <c r="K2117" s="6" t="s">
        <v>6254</v>
      </c>
      <c r="L2117" s="6" t="s">
        <v>6254</v>
      </c>
      <c r="M2117" s="6">
        <v>11.624374619419999</v>
      </c>
      <c r="N2117" s="6">
        <v>11.9426464799906</v>
      </c>
      <c r="O2117" s="6" t="s">
        <v>6254</v>
      </c>
      <c r="P2117" s="6">
        <v>13.474211267231899</v>
      </c>
      <c r="Q2117" s="6" t="s">
        <v>6254</v>
      </c>
    </row>
    <row r="2118" spans="1:17">
      <c r="A2118" s="6" t="s">
        <v>5072</v>
      </c>
      <c r="B2118" s="6" t="s">
        <v>5074</v>
      </c>
      <c r="C2118" s="6" t="s">
        <v>12654</v>
      </c>
      <c r="D2118" s="6" t="s">
        <v>12655</v>
      </c>
      <c r="E2118" s="6" t="s">
        <v>12656</v>
      </c>
      <c r="F2118" s="6">
        <v>12.438494209991299</v>
      </c>
      <c r="G2118" s="6">
        <v>12.2108238342518</v>
      </c>
      <c r="H2118" s="6">
        <v>12.128824924234699</v>
      </c>
      <c r="I2118" s="6">
        <v>13.189291985816499</v>
      </c>
      <c r="J2118" s="6">
        <v>11.3171087507602</v>
      </c>
      <c r="K2118" s="6">
        <v>12.3066687692026</v>
      </c>
      <c r="L2118" s="6">
        <v>12.529535940624701</v>
      </c>
      <c r="M2118" s="6" t="s">
        <v>6254</v>
      </c>
      <c r="N2118" s="6">
        <v>12.0958547560091</v>
      </c>
      <c r="O2118" s="6">
        <v>12.817976882813801</v>
      </c>
      <c r="P2118" s="6">
        <v>12.5972324389721</v>
      </c>
      <c r="Q2118" s="6" t="s">
        <v>6254</v>
      </c>
    </row>
    <row r="2119" spans="1:17">
      <c r="A2119" s="6" t="s">
        <v>6195</v>
      </c>
      <c r="B2119" s="6" t="s">
        <v>6197</v>
      </c>
      <c r="C2119" s="6" t="s">
        <v>12657</v>
      </c>
      <c r="D2119" s="6" t="s">
        <v>12658</v>
      </c>
      <c r="E2119" s="6" t="s">
        <v>12659</v>
      </c>
      <c r="F2119" s="6" t="s">
        <v>6254</v>
      </c>
      <c r="G2119" s="6" t="s">
        <v>6254</v>
      </c>
      <c r="H2119" s="6">
        <v>11.0711269277328</v>
      </c>
      <c r="I2119" s="6" t="s">
        <v>6254</v>
      </c>
      <c r="J2119" s="6" t="s">
        <v>6254</v>
      </c>
      <c r="K2119" s="6" t="s">
        <v>6254</v>
      </c>
      <c r="L2119" s="6" t="s">
        <v>6254</v>
      </c>
      <c r="M2119" s="6" t="s">
        <v>6254</v>
      </c>
      <c r="N2119" s="6" t="s">
        <v>6254</v>
      </c>
      <c r="O2119" s="6">
        <v>9.8780152729416599</v>
      </c>
      <c r="P2119" s="6" t="s">
        <v>6254</v>
      </c>
      <c r="Q2119" s="6" t="s">
        <v>6254</v>
      </c>
    </row>
    <row r="2120" spans="1:17">
      <c r="A2120" s="6" t="s">
        <v>12660</v>
      </c>
      <c r="B2120" s="6" t="s">
        <v>12661</v>
      </c>
      <c r="C2120" s="6" t="s">
        <v>12662</v>
      </c>
      <c r="D2120" s="6" t="s">
        <v>12663</v>
      </c>
      <c r="E2120" s="6" t="s">
        <v>12664</v>
      </c>
      <c r="F2120" s="6">
        <v>11.5820327132919</v>
      </c>
      <c r="G2120" s="6">
        <v>11.687192960605399</v>
      </c>
      <c r="H2120" s="6">
        <v>11.752399823448799</v>
      </c>
      <c r="I2120" s="6">
        <v>12.530338906258599</v>
      </c>
      <c r="J2120" s="6" t="s">
        <v>6254</v>
      </c>
      <c r="K2120" s="6" t="s">
        <v>6254</v>
      </c>
      <c r="L2120" s="6">
        <v>12.424570673297</v>
      </c>
      <c r="M2120" s="6" t="s">
        <v>6254</v>
      </c>
      <c r="N2120" s="6">
        <v>12.5401702170315</v>
      </c>
      <c r="O2120" s="6">
        <v>12.188127934355199</v>
      </c>
      <c r="P2120" s="6">
        <v>12.343984751680001</v>
      </c>
      <c r="Q2120" s="6" t="s">
        <v>6254</v>
      </c>
    </row>
    <row r="2121" spans="1:17">
      <c r="A2121" s="6" t="s">
        <v>6046</v>
      </c>
      <c r="B2121" s="6" t="s">
        <v>6048</v>
      </c>
      <c r="C2121" s="6" t="s">
        <v>12665</v>
      </c>
      <c r="D2121" s="6" t="s">
        <v>12666</v>
      </c>
      <c r="E2121" s="6" t="s">
        <v>12667</v>
      </c>
      <c r="F2121" s="6" t="s">
        <v>6254</v>
      </c>
      <c r="G2121" s="6">
        <v>12.0302792453401</v>
      </c>
      <c r="H2121" s="6">
        <v>12.2696495443126</v>
      </c>
      <c r="I2121" s="6">
        <v>12.971963504217401</v>
      </c>
      <c r="J2121" s="6" t="s">
        <v>6254</v>
      </c>
      <c r="K2121" s="6">
        <v>12.166891553258701</v>
      </c>
      <c r="L2121" s="6">
        <v>12.7832268310493</v>
      </c>
      <c r="M2121" s="6" t="s">
        <v>6254</v>
      </c>
      <c r="N2121" s="6">
        <v>12.0746540555732</v>
      </c>
      <c r="O2121" s="6">
        <v>11.874174062750299</v>
      </c>
      <c r="P2121" s="6">
        <v>11.7338304702531</v>
      </c>
      <c r="Q2121" s="6" t="s">
        <v>6254</v>
      </c>
    </row>
    <row r="2122" spans="1:17">
      <c r="A2122" s="6" t="s">
        <v>5487</v>
      </c>
      <c r="B2122" s="6" t="s">
        <v>5487</v>
      </c>
      <c r="C2122" s="6" t="s">
        <v>12668</v>
      </c>
      <c r="D2122" s="6" t="s">
        <v>12669</v>
      </c>
      <c r="E2122" s="6" t="s">
        <v>12669</v>
      </c>
      <c r="F2122" s="6">
        <v>12.6985107246705</v>
      </c>
      <c r="G2122" s="6">
        <v>13.158338356506</v>
      </c>
      <c r="H2122" s="6">
        <v>11.3254049968867</v>
      </c>
      <c r="I2122" s="6">
        <v>12.8204903585001</v>
      </c>
      <c r="J2122" s="6">
        <v>10.7721507111628</v>
      </c>
      <c r="K2122" s="6">
        <v>11.400792710468799</v>
      </c>
      <c r="L2122" s="6">
        <v>11.604591920689501</v>
      </c>
      <c r="M2122" s="6" t="s">
        <v>6254</v>
      </c>
      <c r="N2122" s="6">
        <v>11.1581075113341</v>
      </c>
      <c r="O2122" s="6">
        <v>11.636490747444199</v>
      </c>
      <c r="P2122" s="6">
        <v>11.977697337659</v>
      </c>
      <c r="Q2122" s="6">
        <v>11.062802368746301</v>
      </c>
    </row>
    <row r="2123" spans="1:17">
      <c r="A2123" s="6" t="s">
        <v>12670</v>
      </c>
      <c r="B2123" s="6" t="s">
        <v>12671</v>
      </c>
      <c r="C2123" s="6" t="s">
        <v>12672</v>
      </c>
      <c r="D2123" s="6" t="s">
        <v>12673</v>
      </c>
      <c r="E2123" s="6" t="s">
        <v>12674</v>
      </c>
      <c r="F2123" s="6">
        <v>12.8909307124615</v>
      </c>
      <c r="G2123" s="6">
        <v>12.091873409887199</v>
      </c>
      <c r="H2123" s="6">
        <v>12.1454676821132</v>
      </c>
      <c r="I2123" s="6">
        <v>12.9734034099229</v>
      </c>
      <c r="J2123" s="6">
        <v>11.2272532977992</v>
      </c>
      <c r="K2123" s="6">
        <v>11.8824645467918</v>
      </c>
      <c r="L2123" s="6">
        <v>12.375723135918999</v>
      </c>
      <c r="M2123" s="6">
        <v>10.7557305569962</v>
      </c>
      <c r="N2123" s="6">
        <v>11.753395272704401</v>
      </c>
      <c r="O2123" s="6">
        <v>12.3083578170988</v>
      </c>
      <c r="P2123" s="6">
        <v>12.023484679457001</v>
      </c>
      <c r="Q2123" s="6" t="s">
        <v>6254</v>
      </c>
    </row>
    <row r="2124" spans="1:17">
      <c r="A2124" s="6" t="s">
        <v>12675</v>
      </c>
      <c r="B2124" s="6" t="s">
        <v>12676</v>
      </c>
      <c r="C2124" s="6" t="s">
        <v>12677</v>
      </c>
      <c r="D2124" s="6" t="s">
        <v>12678</v>
      </c>
      <c r="E2124" s="6" t="s">
        <v>12679</v>
      </c>
      <c r="F2124" s="6" t="s">
        <v>6254</v>
      </c>
      <c r="G2124" s="6">
        <v>11.732887925115399</v>
      </c>
      <c r="H2124" s="6">
        <v>11.539211132765301</v>
      </c>
      <c r="I2124" s="6" t="s">
        <v>6254</v>
      </c>
      <c r="J2124" s="6" t="s">
        <v>6254</v>
      </c>
      <c r="K2124" s="6" t="s">
        <v>6254</v>
      </c>
      <c r="L2124" s="6">
        <v>12.8142550375537</v>
      </c>
      <c r="M2124" s="6" t="s">
        <v>6254</v>
      </c>
      <c r="N2124" s="6">
        <v>11.731681664650401</v>
      </c>
      <c r="O2124" s="6" t="s">
        <v>6254</v>
      </c>
      <c r="P2124" s="6">
        <v>12.229828968355701</v>
      </c>
      <c r="Q2124" s="6" t="s">
        <v>6254</v>
      </c>
    </row>
    <row r="2125" spans="1:17">
      <c r="A2125" s="6" t="s">
        <v>12680</v>
      </c>
      <c r="B2125" s="6" t="s">
        <v>5783</v>
      </c>
      <c r="C2125" s="6" t="s">
        <v>12681</v>
      </c>
      <c r="D2125" s="6" t="s">
        <v>12682</v>
      </c>
      <c r="E2125" s="6" t="s">
        <v>12683</v>
      </c>
      <c r="F2125" s="6">
        <v>12.6990723952833</v>
      </c>
      <c r="G2125" s="6">
        <v>12.100275022821499</v>
      </c>
      <c r="H2125" s="6">
        <v>11.975298553401601</v>
      </c>
      <c r="I2125" s="6">
        <v>12.8336955827628</v>
      </c>
      <c r="J2125" s="6" t="s">
        <v>6254</v>
      </c>
      <c r="K2125" s="6">
        <v>12.2859209363852</v>
      </c>
      <c r="L2125" s="6">
        <v>12.056193293302901</v>
      </c>
      <c r="M2125" s="6">
        <v>10.0153777577416</v>
      </c>
      <c r="N2125" s="6" t="s">
        <v>6254</v>
      </c>
      <c r="O2125" s="6">
        <v>11.721147311733199</v>
      </c>
      <c r="P2125" s="6">
        <v>12.3477019740335</v>
      </c>
      <c r="Q2125" s="6">
        <v>9.9677301294529901</v>
      </c>
    </row>
    <row r="2126" spans="1:17">
      <c r="A2126" s="6" t="s">
        <v>12684</v>
      </c>
      <c r="B2126" s="6" t="s">
        <v>12684</v>
      </c>
      <c r="C2126" s="6" t="s">
        <v>12685</v>
      </c>
      <c r="D2126" s="6" t="s">
        <v>12686</v>
      </c>
      <c r="E2126" s="6" t="s">
        <v>12686</v>
      </c>
      <c r="F2126" s="6">
        <v>12.201872164364801</v>
      </c>
      <c r="G2126" s="6">
        <v>12.088757566385301</v>
      </c>
      <c r="H2126" s="6">
        <v>11.938015926184701</v>
      </c>
      <c r="I2126" s="6">
        <v>12.670810059947099</v>
      </c>
      <c r="J2126" s="6">
        <v>11.440346652577199</v>
      </c>
      <c r="K2126" s="6">
        <v>12.1783126758906</v>
      </c>
      <c r="L2126" s="6">
        <v>12.7782063783634</v>
      </c>
      <c r="M2126" s="6">
        <v>10.769525029776</v>
      </c>
      <c r="N2126" s="6">
        <v>10.9750794237265</v>
      </c>
      <c r="O2126" s="6">
        <v>12.431104054418</v>
      </c>
      <c r="P2126" s="6">
        <v>12.374140816859599</v>
      </c>
      <c r="Q2126" s="6">
        <v>10.610693031114399</v>
      </c>
    </row>
    <row r="2127" spans="1:17">
      <c r="A2127" s="6" t="s">
        <v>5984</v>
      </c>
      <c r="B2127" s="6" t="s">
        <v>5984</v>
      </c>
      <c r="C2127" s="6" t="s">
        <v>12687</v>
      </c>
      <c r="D2127" s="6" t="s">
        <v>12688</v>
      </c>
      <c r="E2127" s="6" t="s">
        <v>12688</v>
      </c>
      <c r="F2127" s="6">
        <v>12.524896364072699</v>
      </c>
      <c r="G2127" s="6">
        <v>12.0932539098034</v>
      </c>
      <c r="H2127" s="6">
        <v>11.8090492338745</v>
      </c>
      <c r="I2127" s="6">
        <v>12.955767072606401</v>
      </c>
      <c r="J2127" s="6" t="s">
        <v>6254</v>
      </c>
      <c r="K2127" s="6">
        <v>12.2034503800762</v>
      </c>
      <c r="L2127" s="6">
        <v>12.349614374513701</v>
      </c>
      <c r="M2127" s="6" t="s">
        <v>6254</v>
      </c>
      <c r="N2127" s="6">
        <v>10.4708911937316</v>
      </c>
      <c r="O2127" s="6">
        <v>12.1060439098489</v>
      </c>
      <c r="P2127" s="6">
        <v>11.812275303210299</v>
      </c>
      <c r="Q2127" s="6" t="s">
        <v>6254</v>
      </c>
    </row>
    <row r="2128" spans="1:17">
      <c r="A2128" s="6" t="s">
        <v>12689</v>
      </c>
      <c r="B2128" s="6" t="s">
        <v>12690</v>
      </c>
      <c r="C2128" s="6" t="s">
        <v>12691</v>
      </c>
      <c r="D2128" s="6" t="s">
        <v>12692</v>
      </c>
      <c r="E2128" s="6" t="s">
        <v>12693</v>
      </c>
      <c r="F2128" s="6">
        <v>11.8018127658473</v>
      </c>
      <c r="G2128" s="6">
        <v>11.936139821755299</v>
      </c>
      <c r="H2128" s="6">
        <v>12.816942566823201</v>
      </c>
      <c r="I2128" s="6">
        <v>13.6184587128899</v>
      </c>
      <c r="J2128" s="6" t="s">
        <v>6254</v>
      </c>
      <c r="K2128" s="6" t="s">
        <v>6254</v>
      </c>
      <c r="L2128" s="6">
        <v>13.4240042795474</v>
      </c>
      <c r="M2128" s="6">
        <v>11.622173565684401</v>
      </c>
      <c r="N2128" s="6">
        <v>10.537852673347301</v>
      </c>
      <c r="O2128" s="6" t="s">
        <v>6254</v>
      </c>
      <c r="P2128" s="6" t="s">
        <v>6254</v>
      </c>
      <c r="Q2128" s="6">
        <v>10.2782321620674</v>
      </c>
    </row>
    <row r="2129" spans="1:17">
      <c r="A2129" s="6" t="s">
        <v>12694</v>
      </c>
      <c r="B2129" s="6" t="s">
        <v>12694</v>
      </c>
      <c r="C2129" s="6" t="s">
        <v>12695</v>
      </c>
      <c r="D2129" s="6" t="s">
        <v>12696</v>
      </c>
      <c r="E2129" s="6" t="s">
        <v>12696</v>
      </c>
      <c r="F2129" s="6">
        <v>12.4350263450876</v>
      </c>
      <c r="G2129" s="6">
        <v>12.177837889751199</v>
      </c>
      <c r="H2129" s="6">
        <v>12.1023433645914</v>
      </c>
      <c r="I2129" s="6">
        <v>12.516976833091</v>
      </c>
      <c r="J2129" s="6">
        <v>11.663147458803101</v>
      </c>
      <c r="K2129" s="6">
        <v>10.4519568741766</v>
      </c>
      <c r="L2129" s="6">
        <v>12.7403779456346</v>
      </c>
      <c r="M2129" s="6">
        <v>11.398463460315201</v>
      </c>
      <c r="N2129" s="6">
        <v>11.691185877421301</v>
      </c>
      <c r="O2129" s="6">
        <v>12.22188536266</v>
      </c>
      <c r="P2129" s="6">
        <v>11.6644101980283</v>
      </c>
      <c r="Q2129" s="6" t="s">
        <v>6254</v>
      </c>
    </row>
    <row r="2130" spans="1:17">
      <c r="A2130" s="6" t="s">
        <v>12697</v>
      </c>
      <c r="B2130" s="6" t="s">
        <v>12698</v>
      </c>
      <c r="C2130" s="6" t="s">
        <v>12699</v>
      </c>
      <c r="D2130" s="6" t="s">
        <v>12700</v>
      </c>
      <c r="E2130" s="6" t="s">
        <v>12701</v>
      </c>
      <c r="F2130" s="6">
        <v>11.9614363261745</v>
      </c>
      <c r="G2130" s="6" t="s">
        <v>6254</v>
      </c>
      <c r="H2130" s="6">
        <v>12.421555492300699</v>
      </c>
      <c r="I2130" s="6">
        <v>13.355118364821999</v>
      </c>
      <c r="J2130" s="6">
        <v>10.7158396589994</v>
      </c>
      <c r="K2130" s="6">
        <v>11.526675773661401</v>
      </c>
      <c r="L2130" s="6">
        <v>12.102247020250401</v>
      </c>
      <c r="M2130" s="6" t="s">
        <v>6254</v>
      </c>
      <c r="N2130" s="6">
        <v>11.8832755216487</v>
      </c>
      <c r="O2130" s="6" t="s">
        <v>6254</v>
      </c>
      <c r="P2130" s="6">
        <v>13.041285208364799</v>
      </c>
      <c r="Q2130" s="6" t="s">
        <v>6254</v>
      </c>
    </row>
    <row r="2131" spans="1:17">
      <c r="A2131" s="6" t="s">
        <v>6119</v>
      </c>
      <c r="B2131" s="6" t="s">
        <v>6121</v>
      </c>
      <c r="C2131" s="6" t="s">
        <v>12702</v>
      </c>
      <c r="D2131" s="6" t="s">
        <v>12703</v>
      </c>
      <c r="E2131" s="6" t="s">
        <v>12704</v>
      </c>
      <c r="F2131" s="6">
        <v>12.693629626203901</v>
      </c>
      <c r="G2131" s="6" t="s">
        <v>6254</v>
      </c>
      <c r="H2131" s="6">
        <v>11.8934013474761</v>
      </c>
      <c r="I2131" s="6">
        <v>12.6293346735419</v>
      </c>
      <c r="J2131" s="6">
        <v>11.365672164401101</v>
      </c>
      <c r="K2131" s="6" t="s">
        <v>6254</v>
      </c>
      <c r="L2131" s="6">
        <v>12.7321555053277</v>
      </c>
      <c r="M2131" s="6">
        <v>11.404882501983399</v>
      </c>
      <c r="N2131" s="6" t="s">
        <v>6254</v>
      </c>
      <c r="O2131" s="6">
        <v>11.905695328328701</v>
      </c>
      <c r="P2131" s="6">
        <v>12.645973533744501</v>
      </c>
      <c r="Q2131" s="6">
        <v>10.0477838518852</v>
      </c>
    </row>
    <row r="2132" spans="1:17">
      <c r="A2132" s="6" t="s">
        <v>12705</v>
      </c>
      <c r="B2132" s="6" t="s">
        <v>12706</v>
      </c>
      <c r="C2132" s="6" t="s">
        <v>12707</v>
      </c>
      <c r="D2132" s="6" t="s">
        <v>12708</v>
      </c>
      <c r="E2132" s="6" t="s">
        <v>12709</v>
      </c>
      <c r="F2132" s="6" t="s">
        <v>6254</v>
      </c>
      <c r="G2132" s="6" t="s">
        <v>6254</v>
      </c>
      <c r="H2132" s="6" t="s">
        <v>6254</v>
      </c>
      <c r="I2132" s="6">
        <v>11.9483231199288</v>
      </c>
      <c r="J2132" s="6" t="s">
        <v>6254</v>
      </c>
      <c r="K2132" s="6" t="s">
        <v>6254</v>
      </c>
      <c r="L2132" s="6">
        <v>12.6254098273044</v>
      </c>
      <c r="M2132" s="6" t="s">
        <v>6254</v>
      </c>
      <c r="N2132" s="6" t="s">
        <v>6254</v>
      </c>
      <c r="O2132" s="6" t="s">
        <v>6254</v>
      </c>
      <c r="P2132" s="6" t="s">
        <v>6254</v>
      </c>
      <c r="Q2132" s="6" t="s">
        <v>6254</v>
      </c>
    </row>
    <row r="2133" spans="1:17">
      <c r="A2133" s="6" t="s">
        <v>12710</v>
      </c>
      <c r="B2133" s="6" t="s">
        <v>12711</v>
      </c>
      <c r="C2133" s="6" t="s">
        <v>12712</v>
      </c>
      <c r="D2133" s="6" t="s">
        <v>12713</v>
      </c>
      <c r="E2133" s="6" t="s">
        <v>12714</v>
      </c>
      <c r="F2133" s="6" t="s">
        <v>6254</v>
      </c>
      <c r="G2133" s="6" t="s">
        <v>6254</v>
      </c>
      <c r="H2133" s="6" t="s">
        <v>6254</v>
      </c>
      <c r="I2133" s="6" t="s">
        <v>6254</v>
      </c>
      <c r="J2133" s="6" t="s">
        <v>6254</v>
      </c>
      <c r="K2133" s="6" t="s">
        <v>6254</v>
      </c>
      <c r="L2133" s="6" t="s">
        <v>6254</v>
      </c>
      <c r="M2133" s="6" t="s">
        <v>6254</v>
      </c>
      <c r="N2133" s="6" t="s">
        <v>6254</v>
      </c>
      <c r="O2133" s="6" t="s">
        <v>6254</v>
      </c>
      <c r="P2133" s="6" t="s">
        <v>6254</v>
      </c>
      <c r="Q2133" s="6" t="s">
        <v>6254</v>
      </c>
    </row>
    <row r="2134" spans="1:17">
      <c r="A2134" s="6" t="s">
        <v>3663</v>
      </c>
      <c r="B2134" s="6" t="s">
        <v>3663</v>
      </c>
      <c r="C2134" s="6" t="s">
        <v>12715</v>
      </c>
      <c r="D2134" s="6" t="s">
        <v>12716</v>
      </c>
      <c r="E2134" s="6" t="s">
        <v>12716</v>
      </c>
      <c r="F2134" s="6">
        <v>11.5105326377941</v>
      </c>
      <c r="G2134" s="6" t="s">
        <v>6254</v>
      </c>
      <c r="H2134" s="6">
        <v>11.406029015383901</v>
      </c>
      <c r="I2134" s="6">
        <v>12.3636181163735</v>
      </c>
      <c r="J2134" s="6" t="s">
        <v>6254</v>
      </c>
      <c r="K2134" s="6" t="s">
        <v>6254</v>
      </c>
      <c r="L2134" s="6">
        <v>13.2174105758744</v>
      </c>
      <c r="M2134" s="6" t="s">
        <v>6254</v>
      </c>
      <c r="N2134" s="6" t="s">
        <v>6254</v>
      </c>
      <c r="O2134" s="6">
        <v>11.8932368233354</v>
      </c>
      <c r="P2134" s="6">
        <v>11.4757839150179</v>
      </c>
      <c r="Q2134" s="6" t="s">
        <v>6254</v>
      </c>
    </row>
    <row r="2135" spans="1:17">
      <c r="A2135" s="6" t="s">
        <v>12717</v>
      </c>
      <c r="B2135" s="6" t="s">
        <v>12718</v>
      </c>
      <c r="C2135" s="6" t="s">
        <v>12719</v>
      </c>
      <c r="D2135" s="6" t="s">
        <v>12720</v>
      </c>
      <c r="E2135" s="6" t="s">
        <v>12721</v>
      </c>
      <c r="F2135" s="6" t="s">
        <v>6254</v>
      </c>
      <c r="G2135" s="6">
        <v>12.1531374865208</v>
      </c>
      <c r="H2135" s="6" t="s">
        <v>6254</v>
      </c>
      <c r="I2135" s="6">
        <v>12.225885636076899</v>
      </c>
      <c r="J2135" s="6" t="s">
        <v>6254</v>
      </c>
      <c r="K2135" s="6">
        <v>11.8958025294415</v>
      </c>
      <c r="L2135" s="6">
        <v>12.4006845391034</v>
      </c>
      <c r="M2135" s="6">
        <v>11.4061775266622</v>
      </c>
      <c r="N2135" s="6">
        <v>12.8482180134482</v>
      </c>
      <c r="O2135" s="6" t="s">
        <v>6254</v>
      </c>
      <c r="P2135" s="6" t="s">
        <v>6254</v>
      </c>
      <c r="Q2135" s="6" t="s">
        <v>6254</v>
      </c>
    </row>
    <row r="2136" spans="1:17">
      <c r="A2136" s="6" t="s">
        <v>12722</v>
      </c>
      <c r="B2136" s="6" t="s">
        <v>12722</v>
      </c>
      <c r="C2136" s="6" t="s">
        <v>12723</v>
      </c>
      <c r="D2136" s="6" t="s">
        <v>12724</v>
      </c>
      <c r="E2136" s="6" t="s">
        <v>12724</v>
      </c>
      <c r="F2136" s="6" t="s">
        <v>6254</v>
      </c>
      <c r="G2136" s="6" t="s">
        <v>6254</v>
      </c>
      <c r="H2136" s="6">
        <v>11.2004758221077</v>
      </c>
      <c r="I2136" s="6">
        <v>12.5538381843284</v>
      </c>
      <c r="J2136" s="6" t="s">
        <v>6254</v>
      </c>
      <c r="K2136" s="6">
        <v>11.3628916462376</v>
      </c>
      <c r="L2136" s="6">
        <v>13.098261322067099</v>
      </c>
      <c r="M2136" s="6" t="s">
        <v>6254</v>
      </c>
      <c r="N2136" s="6" t="s">
        <v>6254</v>
      </c>
      <c r="O2136" s="6">
        <v>11.5132364576307</v>
      </c>
      <c r="P2136" s="6" t="s">
        <v>6254</v>
      </c>
      <c r="Q2136" s="6" t="s">
        <v>6254</v>
      </c>
    </row>
    <row r="2137" spans="1:17">
      <c r="A2137" s="6" t="s">
        <v>12725</v>
      </c>
      <c r="B2137" s="6" t="s">
        <v>12726</v>
      </c>
      <c r="C2137" s="6" t="s">
        <v>12727</v>
      </c>
      <c r="D2137" s="6" t="s">
        <v>12728</v>
      </c>
      <c r="E2137" s="6" t="s">
        <v>12729</v>
      </c>
      <c r="F2137" s="6">
        <v>12.9749881608334</v>
      </c>
      <c r="G2137" s="6">
        <v>12.3559060087616</v>
      </c>
      <c r="H2137" s="6">
        <v>11.317274627544601</v>
      </c>
      <c r="I2137" s="6">
        <v>13.2367925838546</v>
      </c>
      <c r="J2137" s="6">
        <v>11.1379316494344</v>
      </c>
      <c r="K2137" s="6">
        <v>12.131425862228999</v>
      </c>
      <c r="L2137" s="6">
        <v>11.916390655485699</v>
      </c>
      <c r="M2137" s="6" t="s">
        <v>6254</v>
      </c>
      <c r="N2137" s="6">
        <v>10.6816152829708</v>
      </c>
      <c r="O2137" s="6">
        <v>11.9127716610944</v>
      </c>
      <c r="P2137" s="6">
        <v>12.0814964597293</v>
      </c>
      <c r="Q2137" s="6" t="s">
        <v>6254</v>
      </c>
    </row>
    <row r="2138" spans="1:17">
      <c r="A2138" s="6" t="s">
        <v>12730</v>
      </c>
      <c r="B2138" s="6" t="s">
        <v>12731</v>
      </c>
      <c r="C2138" s="6" t="s">
        <v>12732</v>
      </c>
      <c r="D2138" s="6" t="s">
        <v>12733</v>
      </c>
      <c r="E2138" s="6" t="s">
        <v>12734</v>
      </c>
      <c r="F2138" s="6">
        <v>11.9909027457468</v>
      </c>
      <c r="G2138" s="6">
        <v>11.3855367588028</v>
      </c>
      <c r="H2138" s="6">
        <v>11.2571833225351</v>
      </c>
      <c r="I2138" s="6">
        <v>12.8019066189435</v>
      </c>
      <c r="J2138" s="6" t="s">
        <v>6254</v>
      </c>
      <c r="K2138" s="6">
        <v>10.9559864201727</v>
      </c>
      <c r="L2138" s="6" t="s">
        <v>6254</v>
      </c>
      <c r="M2138" s="6" t="s">
        <v>6254</v>
      </c>
      <c r="N2138" s="6" t="s">
        <v>6254</v>
      </c>
      <c r="O2138" s="6" t="s">
        <v>6254</v>
      </c>
      <c r="P2138" s="6">
        <v>15.1014894724499</v>
      </c>
      <c r="Q2138" s="6" t="s">
        <v>6254</v>
      </c>
    </row>
    <row r="2139" spans="1:17">
      <c r="A2139" s="6" t="s">
        <v>12735</v>
      </c>
      <c r="B2139" s="6" t="s">
        <v>12736</v>
      </c>
      <c r="C2139" s="6" t="s">
        <v>12737</v>
      </c>
      <c r="D2139" s="6" t="s">
        <v>12738</v>
      </c>
      <c r="E2139" s="6" t="s">
        <v>12739</v>
      </c>
      <c r="F2139" s="6" t="s">
        <v>6254</v>
      </c>
      <c r="G2139" s="6">
        <v>12.198518684218399</v>
      </c>
      <c r="H2139" s="6" t="s">
        <v>6254</v>
      </c>
      <c r="I2139" s="6" t="s">
        <v>6254</v>
      </c>
      <c r="J2139" s="6">
        <v>11.2436458710024</v>
      </c>
      <c r="K2139" s="6" t="s">
        <v>6254</v>
      </c>
      <c r="L2139" s="6" t="s">
        <v>6254</v>
      </c>
      <c r="M2139" s="6" t="s">
        <v>6254</v>
      </c>
      <c r="N2139" s="6">
        <v>12.1680973564096</v>
      </c>
      <c r="O2139" s="6">
        <v>11.197424378032901</v>
      </c>
      <c r="P2139" s="6" t="s">
        <v>6254</v>
      </c>
      <c r="Q2139" s="6">
        <v>10.5042797503408</v>
      </c>
    </row>
    <row r="2140" spans="1:17">
      <c r="A2140" s="6" t="s">
        <v>12740</v>
      </c>
      <c r="B2140" s="6" t="s">
        <v>12740</v>
      </c>
      <c r="C2140" s="6" t="s">
        <v>12741</v>
      </c>
      <c r="D2140" s="6" t="s">
        <v>9440</v>
      </c>
      <c r="E2140" s="6" t="s">
        <v>9440</v>
      </c>
      <c r="F2140" s="6" t="s">
        <v>6254</v>
      </c>
      <c r="G2140" s="6" t="s">
        <v>6254</v>
      </c>
      <c r="H2140" s="6" t="s">
        <v>6254</v>
      </c>
      <c r="I2140" s="6">
        <v>12.4567913993366</v>
      </c>
      <c r="J2140" s="6">
        <v>9.7922959912608292</v>
      </c>
      <c r="K2140" s="6" t="s">
        <v>6254</v>
      </c>
      <c r="L2140" s="6" t="s">
        <v>6254</v>
      </c>
      <c r="M2140" s="6" t="s">
        <v>6254</v>
      </c>
      <c r="N2140" s="6">
        <v>12.761847658600599</v>
      </c>
      <c r="O2140" s="6">
        <v>11.969739659909701</v>
      </c>
      <c r="P2140" s="6">
        <v>12.6872711211305</v>
      </c>
      <c r="Q2140" s="6" t="s">
        <v>6254</v>
      </c>
    </row>
    <row r="2141" spans="1:17">
      <c r="A2141" s="6" t="s">
        <v>12742</v>
      </c>
      <c r="B2141" s="6" t="s">
        <v>12742</v>
      </c>
      <c r="C2141" s="6" t="s">
        <v>12743</v>
      </c>
      <c r="D2141" s="6" t="s">
        <v>12744</v>
      </c>
      <c r="E2141" s="6" t="s">
        <v>12744</v>
      </c>
      <c r="F2141" s="6" t="s">
        <v>6254</v>
      </c>
      <c r="G2141" s="6">
        <v>11.3885382161502</v>
      </c>
      <c r="H2141" s="6" t="s">
        <v>6254</v>
      </c>
      <c r="I2141" s="6" t="s">
        <v>6254</v>
      </c>
      <c r="J2141" s="6" t="s">
        <v>6254</v>
      </c>
      <c r="K2141" s="6" t="s">
        <v>6254</v>
      </c>
      <c r="L2141" s="6">
        <v>12.1659625093075</v>
      </c>
      <c r="M2141" s="6" t="s">
        <v>6254</v>
      </c>
      <c r="N2141" s="6" t="s">
        <v>6254</v>
      </c>
      <c r="O2141" s="6">
        <v>10.9520802693436</v>
      </c>
      <c r="P2141" s="6" t="s">
        <v>6254</v>
      </c>
      <c r="Q2141" s="6" t="s">
        <v>6254</v>
      </c>
    </row>
    <row r="2142" spans="1:17">
      <c r="A2142" s="6" t="s">
        <v>12745</v>
      </c>
      <c r="B2142" s="6" t="s">
        <v>12745</v>
      </c>
      <c r="C2142" s="6" t="s">
        <v>12746</v>
      </c>
      <c r="D2142" s="6" t="s">
        <v>12747</v>
      </c>
      <c r="E2142" s="6" t="s">
        <v>12747</v>
      </c>
      <c r="F2142" s="6" t="s">
        <v>6254</v>
      </c>
      <c r="G2142" s="6">
        <v>12.442595977232999</v>
      </c>
      <c r="H2142" s="6">
        <v>11.7473168883276</v>
      </c>
      <c r="I2142" s="6" t="s">
        <v>6254</v>
      </c>
      <c r="J2142" s="6" t="s">
        <v>6254</v>
      </c>
      <c r="K2142" s="6">
        <v>12.8402930634048</v>
      </c>
      <c r="L2142" s="6" t="s">
        <v>6254</v>
      </c>
      <c r="M2142" s="6">
        <v>11.497015884543799</v>
      </c>
      <c r="N2142" s="6" t="s">
        <v>6254</v>
      </c>
      <c r="O2142" s="6">
        <v>10.094934529739</v>
      </c>
      <c r="P2142" s="6">
        <v>10.5119742412602</v>
      </c>
      <c r="Q2142" s="6">
        <v>11.989795374219</v>
      </c>
    </row>
    <row r="2143" spans="1:17">
      <c r="A2143" s="6" t="s">
        <v>12748</v>
      </c>
      <c r="B2143" s="6" t="s">
        <v>12749</v>
      </c>
      <c r="C2143" s="6" t="s">
        <v>12750</v>
      </c>
      <c r="D2143" s="6" t="s">
        <v>12751</v>
      </c>
      <c r="E2143" s="6" t="s">
        <v>12752</v>
      </c>
      <c r="F2143" s="6" t="s">
        <v>6254</v>
      </c>
      <c r="G2143" s="6">
        <v>11.881994619750399</v>
      </c>
      <c r="H2143" s="6" t="s">
        <v>6254</v>
      </c>
      <c r="I2143" s="6" t="s">
        <v>6254</v>
      </c>
      <c r="J2143" s="6" t="s">
        <v>6254</v>
      </c>
      <c r="K2143" s="6" t="s">
        <v>6254</v>
      </c>
      <c r="L2143" s="6" t="s">
        <v>6254</v>
      </c>
      <c r="M2143" s="6" t="s">
        <v>6254</v>
      </c>
      <c r="N2143" s="6" t="s">
        <v>6254</v>
      </c>
      <c r="O2143" s="6" t="s">
        <v>6254</v>
      </c>
      <c r="P2143" s="6" t="s">
        <v>6254</v>
      </c>
      <c r="Q2143" s="6" t="s">
        <v>6254</v>
      </c>
    </row>
    <row r="2144" spans="1:17">
      <c r="A2144" s="6" t="s">
        <v>12753</v>
      </c>
      <c r="B2144" s="6" t="s">
        <v>12754</v>
      </c>
      <c r="C2144" s="6" t="s">
        <v>12755</v>
      </c>
      <c r="D2144" s="6" t="s">
        <v>12756</v>
      </c>
      <c r="E2144" s="6" t="s">
        <v>12757</v>
      </c>
      <c r="F2144" s="6">
        <v>12.349105546781701</v>
      </c>
      <c r="G2144" s="6">
        <v>12.2417637613524</v>
      </c>
      <c r="H2144" s="6">
        <v>11.2753578145881</v>
      </c>
      <c r="I2144" s="6">
        <v>12.718479489575801</v>
      </c>
      <c r="J2144" s="6">
        <v>11.205986296360299</v>
      </c>
      <c r="K2144" s="6">
        <v>12.434025304323701</v>
      </c>
      <c r="L2144" s="6">
        <v>12.6579481036181</v>
      </c>
      <c r="M2144" s="6">
        <v>9.3920069560540593</v>
      </c>
      <c r="N2144" s="6">
        <v>10.526548974700701</v>
      </c>
      <c r="O2144" s="6">
        <v>12.1218595705332</v>
      </c>
      <c r="P2144" s="6">
        <v>11.9905327303034</v>
      </c>
      <c r="Q2144" s="6">
        <v>10.8873966652541</v>
      </c>
    </row>
    <row r="2145" spans="1:17">
      <c r="A2145" s="6" t="s">
        <v>5543</v>
      </c>
      <c r="B2145" s="6" t="s">
        <v>5543</v>
      </c>
      <c r="C2145" s="6" t="s">
        <v>12758</v>
      </c>
      <c r="D2145" s="6" t="s">
        <v>12759</v>
      </c>
      <c r="E2145" s="6" t="s">
        <v>12759</v>
      </c>
      <c r="F2145" s="6">
        <v>11.642368740326001</v>
      </c>
      <c r="G2145" s="6">
        <v>11.4914008186687</v>
      </c>
      <c r="H2145" s="6" t="s">
        <v>6254</v>
      </c>
      <c r="I2145" s="6">
        <v>13.3503265853521</v>
      </c>
      <c r="J2145" s="6">
        <v>11.0550859036749</v>
      </c>
      <c r="K2145" s="6">
        <v>11.955265813233099</v>
      </c>
      <c r="L2145" s="6">
        <v>11.915244603932001</v>
      </c>
      <c r="M2145" s="6">
        <v>9.9836240404539502</v>
      </c>
      <c r="N2145" s="6">
        <v>11.399095132049499</v>
      </c>
      <c r="O2145" s="6">
        <v>11.5081055367377</v>
      </c>
      <c r="P2145" s="6">
        <v>11.226114035497799</v>
      </c>
      <c r="Q2145" s="6" t="s">
        <v>6254</v>
      </c>
    </row>
    <row r="2146" spans="1:17">
      <c r="A2146" s="6" t="s">
        <v>12760</v>
      </c>
      <c r="B2146" s="6" t="s">
        <v>12761</v>
      </c>
      <c r="C2146" s="6" t="s">
        <v>12762</v>
      </c>
      <c r="D2146" s="6" t="s">
        <v>12763</v>
      </c>
      <c r="E2146" s="6" t="s">
        <v>12764</v>
      </c>
      <c r="F2146" s="6">
        <v>12.0780716465833</v>
      </c>
      <c r="G2146" s="6">
        <v>10.8671795111587</v>
      </c>
      <c r="H2146" s="6">
        <v>11.7207679762169</v>
      </c>
      <c r="I2146" s="6" t="s">
        <v>6254</v>
      </c>
      <c r="J2146" s="6" t="s">
        <v>6254</v>
      </c>
      <c r="K2146" s="6">
        <v>10.877117570775001</v>
      </c>
      <c r="L2146" s="6">
        <v>12.095820052595</v>
      </c>
      <c r="M2146" s="6" t="s">
        <v>6254</v>
      </c>
      <c r="N2146" s="6" t="s">
        <v>6254</v>
      </c>
      <c r="O2146" s="6">
        <v>12.2566807356633</v>
      </c>
      <c r="P2146" s="6">
        <v>12.148032536139301</v>
      </c>
      <c r="Q2146" s="6" t="s">
        <v>6254</v>
      </c>
    </row>
    <row r="2147" spans="1:17">
      <c r="A2147" s="6" t="s">
        <v>5135</v>
      </c>
      <c r="B2147" s="6" t="s">
        <v>5135</v>
      </c>
      <c r="C2147" s="6" t="s">
        <v>12765</v>
      </c>
      <c r="D2147" s="6" t="s">
        <v>12766</v>
      </c>
      <c r="E2147" s="6" t="s">
        <v>12766</v>
      </c>
      <c r="F2147" s="6" t="s">
        <v>6254</v>
      </c>
      <c r="G2147" s="6">
        <v>11.0727552542655</v>
      </c>
      <c r="H2147" s="6" t="s">
        <v>6254</v>
      </c>
      <c r="I2147" s="6">
        <v>14.4828194243151</v>
      </c>
      <c r="J2147" s="6" t="s">
        <v>6254</v>
      </c>
      <c r="K2147" s="6" t="s">
        <v>6254</v>
      </c>
      <c r="L2147" s="6" t="s">
        <v>6254</v>
      </c>
      <c r="M2147" s="6" t="s">
        <v>6254</v>
      </c>
      <c r="N2147" s="6" t="s">
        <v>6254</v>
      </c>
      <c r="O2147" s="6">
        <v>11.511944021539</v>
      </c>
      <c r="P2147" s="6" t="s">
        <v>6254</v>
      </c>
      <c r="Q2147" s="6" t="s">
        <v>6254</v>
      </c>
    </row>
    <row r="2148" spans="1:17">
      <c r="A2148" s="6" t="s">
        <v>12767</v>
      </c>
      <c r="B2148" s="6" t="s">
        <v>12767</v>
      </c>
      <c r="C2148" s="6" t="s">
        <v>12767</v>
      </c>
      <c r="D2148" s="6" t="s">
        <v>12767</v>
      </c>
      <c r="E2148" s="6" t="s">
        <v>12767</v>
      </c>
      <c r="F2148" s="6" t="s">
        <v>6254</v>
      </c>
      <c r="G2148" s="6" t="s">
        <v>6254</v>
      </c>
      <c r="H2148" s="6" t="s">
        <v>6254</v>
      </c>
      <c r="I2148" s="6" t="s">
        <v>6254</v>
      </c>
      <c r="J2148" s="6" t="s">
        <v>6254</v>
      </c>
      <c r="K2148" s="6" t="s">
        <v>6254</v>
      </c>
      <c r="L2148" s="6" t="s">
        <v>6254</v>
      </c>
      <c r="M2148" s="6" t="s">
        <v>6254</v>
      </c>
      <c r="N2148" s="6">
        <v>11.821035566488799</v>
      </c>
      <c r="O2148" s="6" t="s">
        <v>6254</v>
      </c>
      <c r="P2148" s="6" t="s">
        <v>6254</v>
      </c>
      <c r="Q2148" s="6" t="s">
        <v>6254</v>
      </c>
    </row>
    <row r="2149" spans="1:17">
      <c r="A2149" s="6" t="s">
        <v>3450</v>
      </c>
      <c r="B2149" s="6" t="s">
        <v>3450</v>
      </c>
      <c r="C2149" s="6" t="s">
        <v>12768</v>
      </c>
      <c r="D2149" s="6" t="s">
        <v>12769</v>
      </c>
      <c r="E2149" s="6" t="s">
        <v>12769</v>
      </c>
      <c r="F2149" s="6">
        <v>12.7248744108474</v>
      </c>
      <c r="G2149" s="6">
        <v>12.030920071190399</v>
      </c>
      <c r="H2149" s="6">
        <v>11.3472070502331</v>
      </c>
      <c r="I2149" s="6">
        <v>12.4333510040322</v>
      </c>
      <c r="J2149" s="6">
        <v>11.2114950859212</v>
      </c>
      <c r="K2149" s="6">
        <v>10.4234493386762</v>
      </c>
      <c r="L2149" s="6">
        <v>12.292828695871799</v>
      </c>
      <c r="M2149" s="6">
        <v>9.5835577994124996</v>
      </c>
      <c r="N2149" s="6">
        <v>11.3436961520322</v>
      </c>
      <c r="O2149" s="6">
        <v>12.6850953240286</v>
      </c>
      <c r="P2149" s="6">
        <v>11.9892883993924</v>
      </c>
      <c r="Q2149" s="6">
        <v>10.2414031971315</v>
      </c>
    </row>
    <row r="2150" spans="1:17">
      <c r="A2150" s="6" t="s">
        <v>5430</v>
      </c>
      <c r="B2150" s="6" t="s">
        <v>5430</v>
      </c>
      <c r="C2150" s="6" t="s">
        <v>12770</v>
      </c>
      <c r="D2150" s="6" t="s">
        <v>12771</v>
      </c>
      <c r="E2150" s="6" t="s">
        <v>12771</v>
      </c>
      <c r="F2150" s="6">
        <v>11.8773252254464</v>
      </c>
      <c r="G2150" s="6">
        <v>11.585652156063</v>
      </c>
      <c r="H2150" s="6">
        <v>11.640007126569801</v>
      </c>
      <c r="I2150" s="6">
        <v>12.391627710497101</v>
      </c>
      <c r="J2150" s="6" t="s">
        <v>6254</v>
      </c>
      <c r="K2150" s="6">
        <v>10.7527970261185</v>
      </c>
      <c r="L2150" s="6">
        <v>12.857668570406499</v>
      </c>
      <c r="M2150" s="6" t="s">
        <v>6254</v>
      </c>
      <c r="N2150" s="6">
        <v>12.0325674947746</v>
      </c>
      <c r="O2150" s="6">
        <v>11.976505351478499</v>
      </c>
      <c r="P2150" s="6">
        <v>11.6491464247973</v>
      </c>
      <c r="Q2150" s="6" t="s">
        <v>6254</v>
      </c>
    </row>
    <row r="2151" spans="1:17">
      <c r="A2151" s="6" t="s">
        <v>12772</v>
      </c>
      <c r="B2151" s="6" t="s">
        <v>12772</v>
      </c>
      <c r="C2151" s="6" t="s">
        <v>12773</v>
      </c>
      <c r="D2151" s="6" t="s">
        <v>12774</v>
      </c>
      <c r="E2151" s="6" t="s">
        <v>12774</v>
      </c>
      <c r="F2151" s="6">
        <v>11.808583083588299</v>
      </c>
      <c r="G2151" s="6" t="s">
        <v>6254</v>
      </c>
      <c r="H2151" s="6" t="s">
        <v>6254</v>
      </c>
      <c r="I2151" s="6">
        <v>12.1939822266701</v>
      </c>
      <c r="J2151" s="6" t="s">
        <v>6254</v>
      </c>
      <c r="K2151" s="6">
        <v>11.3886325797985</v>
      </c>
      <c r="L2151" s="6" t="s">
        <v>6254</v>
      </c>
      <c r="M2151" s="6" t="s">
        <v>6254</v>
      </c>
      <c r="N2151" s="6" t="s">
        <v>6254</v>
      </c>
      <c r="O2151" s="6" t="s">
        <v>6254</v>
      </c>
      <c r="P2151" s="6" t="s">
        <v>6254</v>
      </c>
      <c r="Q2151" s="6" t="s">
        <v>6254</v>
      </c>
    </row>
    <row r="2152" spans="1:17">
      <c r="A2152" s="6" t="s">
        <v>6041</v>
      </c>
      <c r="B2152" s="6" t="s">
        <v>6041</v>
      </c>
      <c r="C2152" s="6" t="s">
        <v>12775</v>
      </c>
      <c r="D2152" s="6" t="s">
        <v>12776</v>
      </c>
      <c r="E2152" s="6" t="s">
        <v>12776</v>
      </c>
      <c r="F2152" s="6">
        <v>11.9911262672513</v>
      </c>
      <c r="G2152" s="6">
        <v>12.2312550350719</v>
      </c>
      <c r="H2152" s="6">
        <v>11.4140430112971</v>
      </c>
      <c r="I2152" s="6">
        <v>11.8897667136286</v>
      </c>
      <c r="J2152" s="6" t="s">
        <v>6254</v>
      </c>
      <c r="K2152" s="6">
        <v>11.830632183300899</v>
      </c>
      <c r="L2152" s="6">
        <v>12.6397716795087</v>
      </c>
      <c r="M2152" s="6" t="s">
        <v>6254</v>
      </c>
      <c r="N2152" s="6">
        <v>9.5935470545836008</v>
      </c>
      <c r="O2152" s="6">
        <v>12.0688032067878</v>
      </c>
      <c r="P2152" s="6">
        <v>12.6236652390042</v>
      </c>
      <c r="Q2152" s="6">
        <v>10.145472407709001</v>
      </c>
    </row>
    <row r="2153" spans="1:17">
      <c r="A2153" s="6" t="s">
        <v>12777</v>
      </c>
      <c r="B2153" s="6" t="s">
        <v>12778</v>
      </c>
      <c r="C2153" s="6" t="s">
        <v>12779</v>
      </c>
      <c r="D2153" s="6" t="s">
        <v>12780</v>
      </c>
      <c r="E2153" s="6" t="s">
        <v>12781</v>
      </c>
      <c r="F2153" s="6">
        <v>11.6127116992776</v>
      </c>
      <c r="G2153" s="6">
        <v>10.7450547354743</v>
      </c>
      <c r="H2153" s="6">
        <v>11.797837768146399</v>
      </c>
      <c r="I2153" s="6">
        <v>12.114158224771099</v>
      </c>
      <c r="J2153" s="6" t="s">
        <v>6254</v>
      </c>
      <c r="K2153" s="6">
        <v>10.8017105782436</v>
      </c>
      <c r="L2153" s="6">
        <v>12.195377966344299</v>
      </c>
      <c r="M2153" s="6" t="s">
        <v>6254</v>
      </c>
      <c r="N2153" s="6" t="s">
        <v>6254</v>
      </c>
      <c r="O2153" s="6">
        <v>12.092303539823201</v>
      </c>
      <c r="P2153" s="6">
        <v>12.311935789976699</v>
      </c>
      <c r="Q2153" s="6" t="s">
        <v>6254</v>
      </c>
    </row>
    <row r="2154" spans="1:17">
      <c r="A2154" s="6" t="s">
        <v>12782</v>
      </c>
      <c r="B2154" s="6" t="s">
        <v>12783</v>
      </c>
      <c r="C2154" s="6" t="s">
        <v>12784</v>
      </c>
      <c r="D2154" s="6" t="s">
        <v>12785</v>
      </c>
      <c r="E2154" s="6" t="s">
        <v>12786</v>
      </c>
      <c r="F2154" s="6">
        <v>11.390019843249901</v>
      </c>
      <c r="G2154" s="6" t="s">
        <v>6254</v>
      </c>
      <c r="H2154" s="6">
        <v>11.360016439189801</v>
      </c>
      <c r="I2154" s="6">
        <v>11.9181539606102</v>
      </c>
      <c r="J2154" s="6" t="s">
        <v>6254</v>
      </c>
      <c r="K2154" s="6">
        <v>11.3367377632946</v>
      </c>
      <c r="L2154" s="6">
        <v>13.156354059406</v>
      </c>
      <c r="M2154" s="6">
        <v>9.3266381377044905</v>
      </c>
      <c r="N2154" s="6" t="s">
        <v>6254</v>
      </c>
      <c r="O2154" s="6">
        <v>12.244487804604899</v>
      </c>
      <c r="P2154" s="6">
        <v>11.590534559065301</v>
      </c>
      <c r="Q2154" s="6">
        <v>8.9099943578182206</v>
      </c>
    </row>
    <row r="2155" spans="1:17">
      <c r="A2155" s="6" t="s">
        <v>5081</v>
      </c>
      <c r="B2155" s="6" t="s">
        <v>5081</v>
      </c>
      <c r="C2155" s="6" t="s">
        <v>12787</v>
      </c>
      <c r="D2155" s="6" t="s">
        <v>12788</v>
      </c>
      <c r="E2155" s="6" t="s">
        <v>12788</v>
      </c>
      <c r="F2155" s="6" t="s">
        <v>6254</v>
      </c>
      <c r="G2155" s="6" t="s">
        <v>6254</v>
      </c>
      <c r="H2155" s="6" t="s">
        <v>6254</v>
      </c>
      <c r="I2155" s="6">
        <v>11.6498855908797</v>
      </c>
      <c r="J2155" s="6" t="s">
        <v>6254</v>
      </c>
      <c r="K2155" s="6" t="s">
        <v>6254</v>
      </c>
      <c r="L2155" s="6">
        <v>11.8112841157749</v>
      </c>
      <c r="M2155" s="6" t="s">
        <v>6254</v>
      </c>
      <c r="N2155" s="6">
        <v>11.5178412837175</v>
      </c>
      <c r="O2155" s="6" t="s">
        <v>6254</v>
      </c>
      <c r="P2155" s="6">
        <v>11.3207517304012</v>
      </c>
      <c r="Q2155" s="6" t="s">
        <v>6254</v>
      </c>
    </row>
    <row r="2156" spans="1:17">
      <c r="A2156" s="6" t="s">
        <v>12789</v>
      </c>
      <c r="B2156" s="6" t="s">
        <v>12789</v>
      </c>
      <c r="C2156" s="6" t="s">
        <v>12790</v>
      </c>
      <c r="D2156" s="6" t="s">
        <v>12791</v>
      </c>
      <c r="E2156" s="6" t="s">
        <v>12791</v>
      </c>
      <c r="F2156" s="6">
        <v>11.586147756097599</v>
      </c>
      <c r="G2156" s="6">
        <v>11.9328689873517</v>
      </c>
      <c r="H2156" s="6">
        <v>11.7485471589764</v>
      </c>
      <c r="I2156" s="6">
        <v>11.857934313147201</v>
      </c>
      <c r="J2156" s="6" t="s">
        <v>6254</v>
      </c>
      <c r="K2156" s="6">
        <v>10.665683606352401</v>
      </c>
      <c r="L2156" s="6">
        <v>13.042652256830101</v>
      </c>
      <c r="M2156" s="6">
        <v>10.9197267487842</v>
      </c>
      <c r="N2156" s="6">
        <v>11.7114144699809</v>
      </c>
      <c r="O2156" s="6">
        <v>11.974154650393499</v>
      </c>
      <c r="P2156" s="6">
        <v>12.029572123212199</v>
      </c>
      <c r="Q2156" s="6" t="s">
        <v>6254</v>
      </c>
    </row>
    <row r="2157" spans="1:17">
      <c r="A2157" s="6" t="s">
        <v>12792</v>
      </c>
      <c r="B2157" s="6" t="s">
        <v>12793</v>
      </c>
      <c r="C2157" s="6" t="s">
        <v>12794</v>
      </c>
      <c r="D2157" s="6" t="s">
        <v>12795</v>
      </c>
      <c r="E2157" s="6" t="s">
        <v>12796</v>
      </c>
      <c r="F2157" s="6">
        <v>12.249436648308</v>
      </c>
      <c r="G2157" s="6">
        <v>11.0318553333698</v>
      </c>
      <c r="H2157" s="6" t="s">
        <v>6254</v>
      </c>
      <c r="I2157" s="6" t="s">
        <v>6254</v>
      </c>
      <c r="J2157" s="6" t="s">
        <v>6254</v>
      </c>
      <c r="K2157" s="6" t="s">
        <v>6254</v>
      </c>
      <c r="L2157" s="6">
        <v>10.973557575284801</v>
      </c>
      <c r="M2157" s="6" t="s">
        <v>6254</v>
      </c>
      <c r="N2157" s="6" t="s">
        <v>6254</v>
      </c>
      <c r="O2157" s="6" t="s">
        <v>6254</v>
      </c>
      <c r="P2157" s="6" t="s">
        <v>6254</v>
      </c>
      <c r="Q2157" s="6" t="s">
        <v>6254</v>
      </c>
    </row>
    <row r="2158" spans="1:17">
      <c r="A2158" s="6" t="s">
        <v>12797</v>
      </c>
      <c r="B2158" s="6" t="s">
        <v>12797</v>
      </c>
      <c r="C2158" s="6" t="s">
        <v>12798</v>
      </c>
      <c r="D2158" s="6" t="s">
        <v>12799</v>
      </c>
      <c r="E2158" s="6" t="s">
        <v>12799</v>
      </c>
      <c r="F2158" s="6">
        <v>11.699063084401899</v>
      </c>
      <c r="G2158" s="6">
        <v>11.719837920592999</v>
      </c>
      <c r="H2158" s="6">
        <v>12.0153066376401</v>
      </c>
      <c r="I2158" s="6">
        <v>12.049318521327899</v>
      </c>
      <c r="J2158" s="6">
        <v>9.8118053198101602</v>
      </c>
      <c r="K2158" s="6">
        <v>11.015152481773301</v>
      </c>
      <c r="L2158" s="6">
        <v>12.853812325771999</v>
      </c>
      <c r="M2158" s="6" t="s">
        <v>6254</v>
      </c>
      <c r="N2158" s="6">
        <v>12.4713283334543</v>
      </c>
      <c r="O2158" s="6">
        <v>11.7886896263705</v>
      </c>
      <c r="P2158" s="6">
        <v>11.3369450276778</v>
      </c>
      <c r="Q2158" s="6">
        <v>9.7262111386470096</v>
      </c>
    </row>
    <row r="2159" spans="1:17">
      <c r="A2159" s="6" t="s">
        <v>12800</v>
      </c>
      <c r="B2159" s="6" t="s">
        <v>12800</v>
      </c>
      <c r="C2159" s="6" t="s">
        <v>12801</v>
      </c>
      <c r="D2159" s="6" t="s">
        <v>12802</v>
      </c>
      <c r="E2159" s="6" t="s">
        <v>12802</v>
      </c>
      <c r="F2159" s="6">
        <v>12.261761040233701</v>
      </c>
      <c r="G2159" s="6" t="s">
        <v>6254</v>
      </c>
      <c r="H2159" s="6">
        <v>11.6668924958873</v>
      </c>
      <c r="I2159" s="6">
        <v>12.713518161542</v>
      </c>
      <c r="J2159" s="6" t="s">
        <v>6254</v>
      </c>
      <c r="K2159" s="6" t="s">
        <v>6254</v>
      </c>
      <c r="L2159" s="6">
        <v>12.8744472650629</v>
      </c>
      <c r="M2159" s="6" t="s">
        <v>6254</v>
      </c>
      <c r="N2159" s="6" t="s">
        <v>6254</v>
      </c>
      <c r="O2159" s="6">
        <v>12.0833012103637</v>
      </c>
      <c r="P2159" s="6">
        <v>12.1387168577011</v>
      </c>
      <c r="Q2159" s="6" t="s">
        <v>6254</v>
      </c>
    </row>
    <row r="2160" spans="1:17">
      <c r="A2160" s="6" t="s">
        <v>12803</v>
      </c>
      <c r="B2160" s="6" t="s">
        <v>12804</v>
      </c>
      <c r="C2160" s="6" t="s">
        <v>12805</v>
      </c>
      <c r="D2160" s="6" t="s">
        <v>12806</v>
      </c>
      <c r="E2160" s="6" t="s">
        <v>12807</v>
      </c>
      <c r="F2160" s="6">
        <v>11.9813932121744</v>
      </c>
      <c r="G2160" s="6">
        <v>11.5672566234075</v>
      </c>
      <c r="H2160" s="6">
        <v>11.5308805816089</v>
      </c>
      <c r="I2160" s="6">
        <v>12.2362793990977</v>
      </c>
      <c r="J2160" s="6">
        <v>10.6752942087933</v>
      </c>
      <c r="K2160" s="6">
        <v>11.8943189826536</v>
      </c>
      <c r="L2160" s="6">
        <v>12.155004813510599</v>
      </c>
      <c r="M2160" s="6" t="s">
        <v>6254</v>
      </c>
      <c r="N2160" s="6" t="s">
        <v>6254</v>
      </c>
      <c r="O2160" s="6">
        <v>11.9805250296792</v>
      </c>
      <c r="P2160" s="6">
        <v>12.3433594994434</v>
      </c>
      <c r="Q2160" s="6">
        <v>10.5263656816715</v>
      </c>
    </row>
    <row r="2161" spans="1:17">
      <c r="A2161" s="6" t="s">
        <v>12808</v>
      </c>
      <c r="B2161" s="6" t="s">
        <v>12808</v>
      </c>
      <c r="C2161" s="6" t="s">
        <v>12809</v>
      </c>
      <c r="D2161" s="6" t="s">
        <v>12810</v>
      </c>
      <c r="E2161" s="6" t="s">
        <v>12810</v>
      </c>
      <c r="F2161" s="6" t="s">
        <v>6254</v>
      </c>
      <c r="G2161" s="6" t="s">
        <v>6254</v>
      </c>
      <c r="H2161" s="6" t="s">
        <v>6254</v>
      </c>
      <c r="I2161" s="6" t="s">
        <v>6254</v>
      </c>
      <c r="J2161" s="6" t="s">
        <v>6254</v>
      </c>
      <c r="K2161" s="6" t="s">
        <v>6254</v>
      </c>
      <c r="L2161" s="6" t="s">
        <v>6254</v>
      </c>
      <c r="M2161" s="6" t="s">
        <v>6254</v>
      </c>
      <c r="N2161" s="6" t="s">
        <v>6254</v>
      </c>
      <c r="O2161" s="6">
        <v>10.970524995901799</v>
      </c>
      <c r="P2161" s="6">
        <v>12.312771887432501</v>
      </c>
      <c r="Q2161" s="6" t="s">
        <v>6254</v>
      </c>
    </row>
    <row r="2162" spans="1:17">
      <c r="A2162" s="6" t="s">
        <v>12811</v>
      </c>
      <c r="B2162" s="6" t="s">
        <v>12812</v>
      </c>
      <c r="C2162" s="6" t="s">
        <v>12813</v>
      </c>
      <c r="D2162" s="6" t="s">
        <v>12814</v>
      </c>
      <c r="E2162" s="6" t="s">
        <v>12815</v>
      </c>
      <c r="F2162" s="6">
        <v>12.780130046421901</v>
      </c>
      <c r="G2162" s="6">
        <v>11.8113440164742</v>
      </c>
      <c r="H2162" s="6">
        <v>11.600237235217</v>
      </c>
      <c r="I2162" s="6">
        <v>13.0193406752367</v>
      </c>
      <c r="J2162" s="6">
        <v>11.0462731902364</v>
      </c>
      <c r="K2162" s="6">
        <v>11.9970923453801</v>
      </c>
      <c r="L2162" s="6">
        <v>12.329739787316299</v>
      </c>
      <c r="M2162" s="6" t="s">
        <v>6254</v>
      </c>
      <c r="N2162" s="6">
        <v>11.1509682624673</v>
      </c>
      <c r="O2162" s="6">
        <v>11.255556729210699</v>
      </c>
      <c r="P2162" s="6">
        <v>11.4030408167866</v>
      </c>
      <c r="Q2162" s="6">
        <v>9.9551161238211208</v>
      </c>
    </row>
    <row r="2163" spans="1:17">
      <c r="A2163" s="6" t="s">
        <v>5594</v>
      </c>
      <c r="B2163" s="6" t="s">
        <v>5594</v>
      </c>
      <c r="C2163" s="6" t="s">
        <v>12816</v>
      </c>
      <c r="D2163" s="6" t="s">
        <v>12817</v>
      </c>
      <c r="E2163" s="6" t="s">
        <v>12817</v>
      </c>
      <c r="F2163" s="6">
        <v>11.2884868802791</v>
      </c>
      <c r="G2163" s="6">
        <v>10.8727814216774</v>
      </c>
      <c r="H2163" s="6">
        <v>12.7787323609318</v>
      </c>
      <c r="I2163" s="6" t="s">
        <v>6254</v>
      </c>
      <c r="J2163" s="6">
        <v>11.4827476377191</v>
      </c>
      <c r="K2163" s="6" t="s">
        <v>6254</v>
      </c>
      <c r="L2163" s="6">
        <v>13.929437309974499</v>
      </c>
      <c r="M2163" s="6">
        <v>12.3994089317462</v>
      </c>
      <c r="N2163" s="6">
        <v>11.088093012339099</v>
      </c>
      <c r="O2163" s="6">
        <v>11.4983752867555</v>
      </c>
      <c r="P2163" s="6">
        <v>12.096637776632701</v>
      </c>
      <c r="Q2163" s="6">
        <v>12.722503238368599</v>
      </c>
    </row>
    <row r="2164" spans="1:17">
      <c r="A2164" s="6" t="s">
        <v>12818</v>
      </c>
      <c r="B2164" s="6" t="s">
        <v>12818</v>
      </c>
      <c r="C2164" s="6" t="s">
        <v>12818</v>
      </c>
      <c r="D2164" s="6" t="s">
        <v>12818</v>
      </c>
      <c r="E2164" s="6" t="s">
        <v>12818</v>
      </c>
      <c r="F2164" s="6">
        <v>13.7748251506492</v>
      </c>
      <c r="G2164" s="6">
        <v>11.4248596908108</v>
      </c>
      <c r="H2164" s="6">
        <v>10.5648113769169</v>
      </c>
      <c r="I2164" s="6">
        <v>12.235145079987699</v>
      </c>
      <c r="J2164" s="6">
        <v>11.6509039678863</v>
      </c>
      <c r="K2164" s="6">
        <v>10.844269224028601</v>
      </c>
      <c r="L2164" s="6">
        <v>10.9948489886385</v>
      </c>
      <c r="M2164" s="6">
        <v>12.516578588165499</v>
      </c>
      <c r="N2164" s="6">
        <v>13.234856545606901</v>
      </c>
      <c r="O2164" s="6">
        <v>11.6773785475387</v>
      </c>
      <c r="P2164" s="6">
        <v>11.816732911592201</v>
      </c>
      <c r="Q2164" s="6" t="s">
        <v>6254</v>
      </c>
    </row>
    <row r="2165" spans="1:17">
      <c r="A2165" s="6" t="s">
        <v>12819</v>
      </c>
      <c r="B2165" s="6" t="s">
        <v>12819</v>
      </c>
      <c r="C2165" s="6" t="s">
        <v>12820</v>
      </c>
      <c r="D2165" s="6" t="s">
        <v>12821</v>
      </c>
      <c r="E2165" s="6" t="s">
        <v>12821</v>
      </c>
      <c r="F2165" s="6">
        <v>12.428384155124901</v>
      </c>
      <c r="G2165" s="6">
        <v>10.7064424337237</v>
      </c>
      <c r="H2165" s="6">
        <v>13.4902519450717</v>
      </c>
      <c r="I2165" s="6">
        <v>12.113609329196599</v>
      </c>
      <c r="J2165" s="6" t="s">
        <v>6254</v>
      </c>
      <c r="K2165" s="6">
        <v>11.5405056292896</v>
      </c>
      <c r="L2165" s="6">
        <v>12.075637801897599</v>
      </c>
      <c r="M2165" s="6">
        <v>9.7756541623048996</v>
      </c>
      <c r="N2165" s="6">
        <v>13.619789041480001</v>
      </c>
      <c r="O2165" s="6" t="s">
        <v>6254</v>
      </c>
      <c r="P2165" s="6">
        <v>11.724177055391801</v>
      </c>
      <c r="Q2165" s="6" t="s">
        <v>6254</v>
      </c>
    </row>
    <row r="2166" spans="1:17">
      <c r="A2166" s="6" t="s">
        <v>12822</v>
      </c>
      <c r="B2166" s="6" t="s">
        <v>12823</v>
      </c>
      <c r="C2166" s="6" t="s">
        <v>12824</v>
      </c>
      <c r="D2166" s="6" t="s">
        <v>12825</v>
      </c>
      <c r="E2166" s="6" t="s">
        <v>12826</v>
      </c>
      <c r="F2166" s="6">
        <v>11.5626423459621</v>
      </c>
      <c r="G2166" s="6" t="s">
        <v>6254</v>
      </c>
      <c r="H2166" s="6">
        <v>11.278071673797101</v>
      </c>
      <c r="I2166" s="6">
        <v>12.7879029955518</v>
      </c>
      <c r="J2166" s="6" t="s">
        <v>6254</v>
      </c>
      <c r="K2166" s="6">
        <v>11.342687698238301</v>
      </c>
      <c r="L2166" s="6">
        <v>11.866840062898699</v>
      </c>
      <c r="M2166" s="6" t="s">
        <v>6254</v>
      </c>
      <c r="N2166" s="6" t="s">
        <v>6254</v>
      </c>
      <c r="O2166" s="6">
        <v>12.047859331051001</v>
      </c>
      <c r="P2166" s="6">
        <v>12.141844721874399</v>
      </c>
      <c r="Q2166" s="6">
        <v>10.0090662625847</v>
      </c>
    </row>
    <row r="2167" spans="1:17">
      <c r="A2167" s="6" t="s">
        <v>1160</v>
      </c>
      <c r="B2167" s="6" t="s">
        <v>1160</v>
      </c>
      <c r="C2167" s="6" t="s">
        <v>12827</v>
      </c>
      <c r="D2167" s="6" t="s">
        <v>7204</v>
      </c>
      <c r="E2167" s="6" t="s">
        <v>7204</v>
      </c>
      <c r="F2167" s="6">
        <v>13.1273794469289</v>
      </c>
      <c r="G2167" s="6">
        <v>10.2932696957941</v>
      </c>
      <c r="H2167" s="6">
        <v>10.972778938565501</v>
      </c>
      <c r="I2167" s="6">
        <v>11.1799360370548</v>
      </c>
      <c r="J2167" s="6">
        <v>11.1447787132189</v>
      </c>
      <c r="K2167" s="6" t="s">
        <v>6254</v>
      </c>
      <c r="L2167" s="6">
        <v>11.6354100488188</v>
      </c>
      <c r="M2167" s="6">
        <v>11.0021112297544</v>
      </c>
      <c r="N2167" s="6">
        <v>13.3685786948814</v>
      </c>
      <c r="O2167" s="6">
        <v>11.652261234664</v>
      </c>
      <c r="P2167" s="6">
        <v>11.7230847874809</v>
      </c>
      <c r="Q2167" s="6" t="s">
        <v>6254</v>
      </c>
    </row>
    <row r="2168" spans="1:17">
      <c r="A2168" s="6" t="s">
        <v>12828</v>
      </c>
      <c r="B2168" s="6" t="s">
        <v>12829</v>
      </c>
      <c r="C2168" s="6" t="s">
        <v>12830</v>
      </c>
      <c r="D2168" s="6" t="s">
        <v>12831</v>
      </c>
      <c r="E2168" s="6" t="s">
        <v>12832</v>
      </c>
      <c r="F2168" s="6">
        <v>10.9801712287538</v>
      </c>
      <c r="G2168" s="6" t="s">
        <v>6254</v>
      </c>
      <c r="H2168" s="6">
        <v>11.513014914047099</v>
      </c>
      <c r="I2168" s="6">
        <v>11.910062706634699</v>
      </c>
      <c r="J2168" s="6" t="s">
        <v>6254</v>
      </c>
      <c r="K2168" s="6" t="s">
        <v>6254</v>
      </c>
      <c r="L2168" s="6">
        <v>10.9683457757161</v>
      </c>
      <c r="M2168" s="6" t="s">
        <v>6254</v>
      </c>
      <c r="N2168" s="6">
        <v>11.2765684036147</v>
      </c>
      <c r="O2168" s="6">
        <v>11.6056683675444</v>
      </c>
      <c r="P2168" s="6">
        <v>11.8857621797645</v>
      </c>
      <c r="Q2168" s="6" t="s">
        <v>6254</v>
      </c>
    </row>
    <row r="2169" spans="1:17">
      <c r="A2169" s="6" t="s">
        <v>12833</v>
      </c>
      <c r="B2169" s="6" t="s">
        <v>12833</v>
      </c>
      <c r="C2169" s="6" t="s">
        <v>12833</v>
      </c>
      <c r="D2169" s="6" t="s">
        <v>12833</v>
      </c>
      <c r="E2169" s="6" t="s">
        <v>12833</v>
      </c>
      <c r="F2169" s="6" t="s">
        <v>6254</v>
      </c>
      <c r="G2169" s="6" t="s">
        <v>6254</v>
      </c>
      <c r="H2169" s="6" t="s">
        <v>6254</v>
      </c>
      <c r="I2169" s="6" t="s">
        <v>6254</v>
      </c>
      <c r="J2169" s="6" t="s">
        <v>6254</v>
      </c>
      <c r="K2169" s="6" t="s">
        <v>6254</v>
      </c>
      <c r="L2169" s="6" t="s">
        <v>6254</v>
      </c>
      <c r="M2169" s="6" t="s">
        <v>6254</v>
      </c>
      <c r="N2169" s="6" t="s">
        <v>6254</v>
      </c>
      <c r="O2169" s="6" t="s">
        <v>6254</v>
      </c>
      <c r="P2169" s="6" t="s">
        <v>6254</v>
      </c>
      <c r="Q2169" s="6" t="s">
        <v>6254</v>
      </c>
    </row>
    <row r="2170" spans="1:17">
      <c r="A2170" s="6" t="s">
        <v>12834</v>
      </c>
      <c r="B2170" s="6" t="s">
        <v>12835</v>
      </c>
      <c r="C2170" s="6" t="s">
        <v>12836</v>
      </c>
      <c r="D2170" s="6" t="s">
        <v>12837</v>
      </c>
      <c r="E2170" s="6" t="s">
        <v>12838</v>
      </c>
      <c r="F2170" s="6" t="s">
        <v>6254</v>
      </c>
      <c r="G2170" s="6" t="s">
        <v>6254</v>
      </c>
      <c r="H2170" s="6">
        <v>11.6043159061309</v>
      </c>
      <c r="I2170" s="6">
        <v>11.481186443805999</v>
      </c>
      <c r="J2170" s="6">
        <v>9.5995980916906696</v>
      </c>
      <c r="K2170" s="6">
        <v>11.029195906689999</v>
      </c>
      <c r="L2170" s="6">
        <v>12.1793098661204</v>
      </c>
      <c r="M2170" s="6">
        <v>9.8371748337829796</v>
      </c>
      <c r="N2170" s="6" t="s">
        <v>6254</v>
      </c>
      <c r="O2170" s="6">
        <v>11.6416396702311</v>
      </c>
      <c r="P2170" s="6">
        <v>11.131868452726501</v>
      </c>
      <c r="Q2170" s="6" t="s">
        <v>6254</v>
      </c>
    </row>
    <row r="2171" spans="1:17">
      <c r="A2171" s="6" t="s">
        <v>5558</v>
      </c>
      <c r="B2171" s="6" t="s">
        <v>5558</v>
      </c>
      <c r="C2171" s="6" t="s">
        <v>12839</v>
      </c>
      <c r="D2171" s="6" t="s">
        <v>12840</v>
      </c>
      <c r="E2171" s="6" t="s">
        <v>12840</v>
      </c>
      <c r="F2171" s="6">
        <v>11.508938367443699</v>
      </c>
      <c r="G2171" s="6" t="s">
        <v>6254</v>
      </c>
      <c r="H2171" s="6">
        <v>10.7048408445498</v>
      </c>
      <c r="I2171" s="6">
        <v>11.614985715628499</v>
      </c>
      <c r="J2171" s="6" t="s">
        <v>6254</v>
      </c>
      <c r="K2171" s="6">
        <v>10.8387066905899</v>
      </c>
      <c r="L2171" s="6">
        <v>11.284868339007</v>
      </c>
      <c r="M2171" s="6" t="s">
        <v>6254</v>
      </c>
      <c r="N2171" s="6">
        <v>11.927560371198901</v>
      </c>
      <c r="O2171" s="6">
        <v>11.210680475446599</v>
      </c>
      <c r="P2171" s="6">
        <v>11.4670633900962</v>
      </c>
      <c r="Q2171" s="6" t="s">
        <v>6254</v>
      </c>
    </row>
    <row r="2172" spans="1:17">
      <c r="A2172" s="6" t="s">
        <v>12841</v>
      </c>
      <c r="B2172" s="6" t="s">
        <v>12841</v>
      </c>
      <c r="C2172" s="6" t="s">
        <v>12842</v>
      </c>
      <c r="D2172" s="6" t="s">
        <v>12843</v>
      </c>
      <c r="E2172" s="6" t="s">
        <v>12843</v>
      </c>
      <c r="F2172" s="6" t="s">
        <v>6254</v>
      </c>
      <c r="G2172" s="6" t="s">
        <v>6254</v>
      </c>
      <c r="H2172" s="6" t="s">
        <v>6254</v>
      </c>
      <c r="I2172" s="6" t="s">
        <v>6254</v>
      </c>
      <c r="J2172" s="6" t="s">
        <v>6254</v>
      </c>
      <c r="K2172" s="6" t="s">
        <v>6254</v>
      </c>
      <c r="L2172" s="6">
        <v>10.590642028837401</v>
      </c>
      <c r="M2172" s="6" t="s">
        <v>6254</v>
      </c>
      <c r="N2172" s="6" t="s">
        <v>6254</v>
      </c>
      <c r="O2172" s="6" t="s">
        <v>6254</v>
      </c>
      <c r="P2172" s="6">
        <v>12.316822580606701</v>
      </c>
      <c r="Q2172" s="6" t="s">
        <v>6254</v>
      </c>
    </row>
    <row r="2173" spans="1:17">
      <c r="A2173" s="6" t="s">
        <v>12844</v>
      </c>
      <c r="B2173" s="6" t="s">
        <v>12844</v>
      </c>
      <c r="C2173" s="6" t="s">
        <v>12845</v>
      </c>
      <c r="D2173" s="6" t="s">
        <v>12846</v>
      </c>
      <c r="E2173" s="6" t="s">
        <v>12846</v>
      </c>
      <c r="F2173" s="6" t="s">
        <v>6254</v>
      </c>
      <c r="G2173" s="6" t="s">
        <v>6254</v>
      </c>
      <c r="H2173" s="6" t="s">
        <v>6254</v>
      </c>
      <c r="I2173" s="6" t="s">
        <v>6254</v>
      </c>
      <c r="J2173" s="6" t="s">
        <v>6254</v>
      </c>
      <c r="K2173" s="6" t="s">
        <v>6254</v>
      </c>
      <c r="L2173" s="6" t="s">
        <v>6254</v>
      </c>
      <c r="M2173" s="6" t="s">
        <v>6254</v>
      </c>
      <c r="N2173" s="6" t="s">
        <v>6254</v>
      </c>
      <c r="O2173" s="6" t="s">
        <v>6254</v>
      </c>
      <c r="P2173" s="6" t="s">
        <v>6254</v>
      </c>
      <c r="Q2173" s="6" t="s">
        <v>6254</v>
      </c>
    </row>
    <row r="2174" spans="1:17">
      <c r="A2174" s="6" t="s">
        <v>12847</v>
      </c>
      <c r="B2174" s="6" t="s">
        <v>12847</v>
      </c>
      <c r="C2174" s="6" t="s">
        <v>12848</v>
      </c>
      <c r="D2174" s="6" t="s">
        <v>12849</v>
      </c>
      <c r="E2174" s="6" t="s">
        <v>12849</v>
      </c>
      <c r="F2174" s="6">
        <v>11.020751190566299</v>
      </c>
      <c r="G2174" s="6">
        <v>11.1347378361525</v>
      </c>
      <c r="H2174" s="6">
        <v>11.085421470759499</v>
      </c>
      <c r="I2174" s="6">
        <v>11.777195460452701</v>
      </c>
      <c r="J2174" s="6">
        <v>10.200936117331301</v>
      </c>
      <c r="K2174" s="6">
        <v>11.3152106656845</v>
      </c>
      <c r="L2174" s="6">
        <v>11.9864876292483</v>
      </c>
      <c r="M2174" s="6">
        <v>10.0001296777112</v>
      </c>
      <c r="N2174" s="6" t="s">
        <v>6254</v>
      </c>
      <c r="O2174" s="6">
        <v>11.4698104424245</v>
      </c>
      <c r="P2174" s="6">
        <v>11.592171613706499</v>
      </c>
      <c r="Q2174" s="6" t="s">
        <v>6254</v>
      </c>
    </row>
    <row r="2175" spans="1:17">
      <c r="A2175" s="6" t="s">
        <v>12850</v>
      </c>
      <c r="B2175" s="6" t="s">
        <v>12850</v>
      </c>
      <c r="C2175" s="6" t="s">
        <v>12851</v>
      </c>
      <c r="D2175" s="6" t="s">
        <v>12852</v>
      </c>
      <c r="E2175" s="6" t="s">
        <v>12852</v>
      </c>
      <c r="F2175" s="6" t="s">
        <v>6254</v>
      </c>
      <c r="G2175" s="6">
        <v>10.802364677736</v>
      </c>
      <c r="H2175" s="6">
        <v>10.310839783452201</v>
      </c>
      <c r="I2175" s="6">
        <v>11.621651019094401</v>
      </c>
      <c r="J2175" s="6" t="s">
        <v>6254</v>
      </c>
      <c r="K2175" s="6">
        <v>11.1196016199016</v>
      </c>
      <c r="L2175" s="6">
        <v>13.098126573845899</v>
      </c>
      <c r="M2175" s="6" t="s">
        <v>6254</v>
      </c>
      <c r="N2175" s="6" t="s">
        <v>6254</v>
      </c>
      <c r="O2175" s="6">
        <v>9.8988513581557402</v>
      </c>
      <c r="P2175" s="6">
        <v>9.7364538108890297</v>
      </c>
      <c r="Q2175" s="6" t="s">
        <v>6254</v>
      </c>
    </row>
    <row r="2176" spans="1:17">
      <c r="A2176" s="6" t="s">
        <v>12853</v>
      </c>
      <c r="B2176" s="6" t="s">
        <v>12854</v>
      </c>
      <c r="C2176" s="6" t="s">
        <v>12855</v>
      </c>
      <c r="D2176" s="6" t="s">
        <v>12856</v>
      </c>
      <c r="E2176" s="6" t="s">
        <v>12857</v>
      </c>
      <c r="F2176" s="6">
        <v>11.637778934740499</v>
      </c>
      <c r="G2176" s="6">
        <v>11.1492907144476</v>
      </c>
      <c r="H2176" s="6" t="s">
        <v>6254</v>
      </c>
      <c r="I2176" s="6">
        <v>10.491813124791101</v>
      </c>
      <c r="J2176" s="6" t="s">
        <v>6254</v>
      </c>
      <c r="K2176" s="6" t="s">
        <v>6254</v>
      </c>
      <c r="L2176" s="6" t="s">
        <v>6254</v>
      </c>
      <c r="M2176" s="6" t="s">
        <v>6254</v>
      </c>
      <c r="N2176" s="6" t="s">
        <v>6254</v>
      </c>
      <c r="O2176" s="6">
        <v>11.4592128651315</v>
      </c>
      <c r="P2176" s="6">
        <v>10.124626664765</v>
      </c>
      <c r="Q2176" s="6" t="s">
        <v>6254</v>
      </c>
    </row>
    <row r="2177" spans="1:17">
      <c r="A2177" s="6" t="s">
        <v>12858</v>
      </c>
      <c r="B2177" s="6" t="s">
        <v>12858</v>
      </c>
      <c r="C2177" s="6" t="s">
        <v>12859</v>
      </c>
      <c r="D2177" s="6" t="s">
        <v>12860</v>
      </c>
      <c r="E2177" s="6" t="s">
        <v>12860</v>
      </c>
      <c r="F2177" s="6" t="s">
        <v>6254</v>
      </c>
      <c r="G2177" s="6" t="s">
        <v>6254</v>
      </c>
      <c r="H2177" s="6">
        <v>10.692002118001501</v>
      </c>
      <c r="I2177" s="6">
        <v>11.3614475610428</v>
      </c>
      <c r="J2177" s="6" t="s">
        <v>6254</v>
      </c>
      <c r="K2177" s="6" t="s">
        <v>6254</v>
      </c>
      <c r="L2177" s="6">
        <v>12.3380343884265</v>
      </c>
      <c r="M2177" s="6" t="s">
        <v>6254</v>
      </c>
      <c r="N2177" s="6" t="s">
        <v>6254</v>
      </c>
      <c r="O2177" s="6" t="s">
        <v>6254</v>
      </c>
      <c r="P2177" s="6" t="s">
        <v>6254</v>
      </c>
      <c r="Q2177" s="6" t="s">
        <v>6254</v>
      </c>
    </row>
    <row r="2178" spans="1:17">
      <c r="A2178" s="6" t="s">
        <v>12861</v>
      </c>
      <c r="B2178" s="6" t="s">
        <v>12861</v>
      </c>
      <c r="C2178" s="6" t="s">
        <v>12862</v>
      </c>
      <c r="D2178" s="6" t="s">
        <v>12863</v>
      </c>
      <c r="E2178" s="6" t="s">
        <v>12863</v>
      </c>
      <c r="F2178" s="6">
        <v>10.2776633182255</v>
      </c>
      <c r="G2178" s="6" t="s">
        <v>6254</v>
      </c>
      <c r="H2178" s="6">
        <v>10.220932618332601</v>
      </c>
      <c r="I2178" s="6">
        <v>11.381910354017201</v>
      </c>
      <c r="J2178" s="6" t="s">
        <v>6254</v>
      </c>
      <c r="K2178" s="6">
        <v>10.888152741332499</v>
      </c>
      <c r="L2178" s="6">
        <v>11.096984808067001</v>
      </c>
      <c r="M2178" s="6" t="s">
        <v>6254</v>
      </c>
      <c r="N2178" s="6" t="s">
        <v>6254</v>
      </c>
      <c r="O2178" s="6" t="s">
        <v>6254</v>
      </c>
      <c r="P2178" s="6">
        <v>10.9194396654198</v>
      </c>
      <c r="Q2178" s="6" t="s">
        <v>6254</v>
      </c>
    </row>
    <row r="2179" spans="1:17">
      <c r="A2179" s="6" t="s">
        <v>12864</v>
      </c>
      <c r="B2179" s="6" t="s">
        <v>12864</v>
      </c>
      <c r="C2179" s="6" t="s">
        <v>12865</v>
      </c>
      <c r="D2179" s="6" t="s">
        <v>7910</v>
      </c>
      <c r="E2179" s="6" t="s">
        <v>7910</v>
      </c>
      <c r="F2179" s="6" t="s">
        <v>6254</v>
      </c>
      <c r="G2179" s="6">
        <v>11.206279088818199</v>
      </c>
      <c r="H2179" s="6" t="s">
        <v>6254</v>
      </c>
      <c r="I2179" s="6">
        <v>11.2459506914155</v>
      </c>
      <c r="J2179" s="6" t="s">
        <v>6254</v>
      </c>
      <c r="K2179" s="6" t="s">
        <v>6254</v>
      </c>
      <c r="L2179" s="6">
        <v>10.286469348112201</v>
      </c>
      <c r="M2179" s="6" t="s">
        <v>6254</v>
      </c>
      <c r="N2179" s="6">
        <v>10.8614434527203</v>
      </c>
      <c r="O2179" s="6" t="s">
        <v>6254</v>
      </c>
      <c r="P2179" s="6" t="s">
        <v>6254</v>
      </c>
      <c r="Q2179" s="6" t="s">
        <v>6254</v>
      </c>
    </row>
    <row r="2180" spans="1:17">
      <c r="A2180" s="6" t="s">
        <v>2583</v>
      </c>
      <c r="B2180" s="6" t="s">
        <v>2583</v>
      </c>
      <c r="C2180" s="6" t="s">
        <v>12866</v>
      </c>
      <c r="D2180" s="6" t="s">
        <v>12867</v>
      </c>
      <c r="E2180" s="6" t="s">
        <v>12867</v>
      </c>
      <c r="F2180" s="6">
        <v>10.456938119473101</v>
      </c>
      <c r="G2180" s="6">
        <v>10.4400008006445</v>
      </c>
      <c r="H2180" s="6">
        <v>10.7816708877964</v>
      </c>
      <c r="I2180" s="6">
        <v>11.2496178760665</v>
      </c>
      <c r="J2180" s="6" t="s">
        <v>6254</v>
      </c>
      <c r="K2180" s="6" t="s">
        <v>6254</v>
      </c>
      <c r="L2180" s="6">
        <v>11.3135105268489</v>
      </c>
      <c r="M2180" s="6" t="s">
        <v>6254</v>
      </c>
      <c r="N2180" s="6">
        <v>10.853607070018199</v>
      </c>
      <c r="O2180" s="6">
        <v>10.782719762347901</v>
      </c>
      <c r="P2180" s="6">
        <v>10.639050476913001</v>
      </c>
      <c r="Q2180" s="6" t="s">
        <v>6254</v>
      </c>
    </row>
    <row r="2181" spans="1:17">
      <c r="A2181" s="6" t="s">
        <v>12868</v>
      </c>
      <c r="B2181" s="6" t="s">
        <v>12869</v>
      </c>
      <c r="C2181" s="6" t="s">
        <v>12870</v>
      </c>
      <c r="D2181" s="6" t="s">
        <v>12871</v>
      </c>
      <c r="E2181" s="6" t="s">
        <v>12872</v>
      </c>
      <c r="F2181" s="6" t="s">
        <v>6254</v>
      </c>
      <c r="G2181" s="6" t="s">
        <v>6254</v>
      </c>
      <c r="H2181" s="6" t="s">
        <v>6254</v>
      </c>
      <c r="I2181" s="6" t="s">
        <v>6254</v>
      </c>
      <c r="J2181" s="6" t="s">
        <v>6254</v>
      </c>
      <c r="K2181" s="6" t="s">
        <v>6254</v>
      </c>
      <c r="L2181" s="6" t="s">
        <v>6254</v>
      </c>
      <c r="M2181" s="6" t="s">
        <v>6254</v>
      </c>
      <c r="N2181" s="6" t="s">
        <v>6254</v>
      </c>
      <c r="O2181" s="6" t="s">
        <v>6254</v>
      </c>
      <c r="P2181" s="6" t="s">
        <v>6254</v>
      </c>
      <c r="Q2181" s="6" t="s">
        <v>6254</v>
      </c>
    </row>
    <row r="2182" spans="1:17">
      <c r="A2182" s="6" t="s">
        <v>12873</v>
      </c>
      <c r="B2182" s="6" t="s">
        <v>12874</v>
      </c>
      <c r="C2182" s="6" t="s">
        <v>12875</v>
      </c>
      <c r="D2182" s="6" t="s">
        <v>12876</v>
      </c>
      <c r="E2182" s="6" t="s">
        <v>12877</v>
      </c>
      <c r="F2182" s="6" t="s">
        <v>6254</v>
      </c>
      <c r="G2182" s="6" t="s">
        <v>6254</v>
      </c>
      <c r="H2182" s="6">
        <v>9.4945261077988299</v>
      </c>
      <c r="I2182" s="6">
        <v>12.085070149525</v>
      </c>
      <c r="J2182" s="6" t="s">
        <v>6254</v>
      </c>
      <c r="K2182" s="6">
        <v>10.2678480911073</v>
      </c>
      <c r="L2182" s="6">
        <v>11.1904419069763</v>
      </c>
      <c r="M2182" s="6" t="s">
        <v>6254</v>
      </c>
      <c r="N2182" s="6" t="s">
        <v>6254</v>
      </c>
      <c r="O2182" s="6">
        <v>11.1287224632351</v>
      </c>
      <c r="P2182" s="6">
        <v>11.3142641630825</v>
      </c>
      <c r="Q2182" s="6" t="s">
        <v>6254</v>
      </c>
    </row>
    <row r="2183" spans="1:17">
      <c r="A2183" s="6" t="s">
        <v>12878</v>
      </c>
      <c r="B2183" s="6" t="s">
        <v>12879</v>
      </c>
      <c r="C2183" s="6" t="s">
        <v>12880</v>
      </c>
      <c r="D2183" s="6" t="s">
        <v>12881</v>
      </c>
      <c r="E2183" s="6" t="s">
        <v>12882</v>
      </c>
      <c r="F2183" s="6" t="s">
        <v>6254</v>
      </c>
      <c r="G2183" s="6" t="s">
        <v>6254</v>
      </c>
      <c r="H2183" s="6" t="s">
        <v>6254</v>
      </c>
      <c r="I2183" s="6">
        <v>9.8791579385507298</v>
      </c>
      <c r="J2183" s="6" t="s">
        <v>6254</v>
      </c>
      <c r="K2183" s="6" t="s">
        <v>6254</v>
      </c>
      <c r="L2183" s="6">
        <v>10.993720755916501</v>
      </c>
      <c r="M2183" s="6" t="s">
        <v>6254</v>
      </c>
      <c r="N2183" s="6" t="s">
        <v>6254</v>
      </c>
      <c r="O2183" s="6">
        <v>10.561059228568499</v>
      </c>
      <c r="P2183" s="6">
        <v>10.429889677935</v>
      </c>
      <c r="Q2183" s="6" t="s">
        <v>6254</v>
      </c>
    </row>
    <row r="2184" spans="1:17">
      <c r="A2184" s="6" t="s">
        <v>6203</v>
      </c>
      <c r="B2184" s="6" t="s">
        <v>6203</v>
      </c>
      <c r="C2184" s="6" t="s">
        <v>12883</v>
      </c>
      <c r="D2184" s="6" t="s">
        <v>12884</v>
      </c>
      <c r="E2184" s="6" t="s">
        <v>12884</v>
      </c>
      <c r="F2184" s="6">
        <v>11.3717283944406</v>
      </c>
      <c r="G2184" s="6" t="s">
        <v>6254</v>
      </c>
      <c r="H2184" s="6" t="s">
        <v>6254</v>
      </c>
      <c r="I2184" s="6">
        <v>11.727373063668701</v>
      </c>
      <c r="J2184" s="6" t="s">
        <v>6254</v>
      </c>
      <c r="K2184" s="6" t="s">
        <v>6254</v>
      </c>
      <c r="L2184" s="6" t="s">
        <v>6254</v>
      </c>
      <c r="M2184" s="6" t="s">
        <v>6254</v>
      </c>
      <c r="N2184" s="6" t="s">
        <v>6254</v>
      </c>
      <c r="O2184" s="6" t="s">
        <v>6254</v>
      </c>
      <c r="P2184" s="6" t="s">
        <v>6254</v>
      </c>
      <c r="Q2184" s="6" t="s">
        <v>6254</v>
      </c>
    </row>
    <row r="2185" spans="1:17">
      <c r="A2185" s="6" t="s">
        <v>4267</v>
      </c>
      <c r="B2185" s="6" t="s">
        <v>4267</v>
      </c>
      <c r="C2185" s="6" t="s">
        <v>12885</v>
      </c>
      <c r="D2185" s="6" t="s">
        <v>12886</v>
      </c>
      <c r="E2185" s="6" t="s">
        <v>12886</v>
      </c>
      <c r="F2185" s="6" t="s">
        <v>6254</v>
      </c>
      <c r="G2185" s="6">
        <v>10.0443173455385</v>
      </c>
      <c r="H2185" s="6" t="s">
        <v>6254</v>
      </c>
      <c r="I2185" s="6" t="s">
        <v>6254</v>
      </c>
      <c r="J2185" s="6" t="s">
        <v>6254</v>
      </c>
      <c r="K2185" s="6" t="s">
        <v>6254</v>
      </c>
      <c r="L2185" s="6">
        <v>10.4201060771297</v>
      </c>
      <c r="M2185" s="6">
        <v>11.208262994954</v>
      </c>
      <c r="N2185" s="6">
        <v>11.359854963941601</v>
      </c>
      <c r="O2185" s="6">
        <v>10.685027464540401</v>
      </c>
      <c r="P2185" s="6" t="s">
        <v>6254</v>
      </c>
      <c r="Q2185" s="6" t="s">
        <v>6254</v>
      </c>
    </row>
    <row r="2186" spans="1:17">
      <c r="A2186" s="6" t="s">
        <v>12887</v>
      </c>
      <c r="B2186" s="6" t="s">
        <v>12888</v>
      </c>
      <c r="C2186" s="6" t="s">
        <v>12889</v>
      </c>
      <c r="D2186" s="6" t="s">
        <v>12890</v>
      </c>
      <c r="E2186" s="6" t="s">
        <v>12891</v>
      </c>
      <c r="F2186" s="6" t="s">
        <v>6254</v>
      </c>
      <c r="G2186" s="6" t="s">
        <v>6254</v>
      </c>
      <c r="H2186" s="6" t="s">
        <v>6254</v>
      </c>
      <c r="I2186" s="6" t="s">
        <v>6254</v>
      </c>
      <c r="J2186" s="6" t="s">
        <v>6254</v>
      </c>
      <c r="K2186" s="6" t="s">
        <v>6254</v>
      </c>
      <c r="L2186" s="6" t="s">
        <v>6254</v>
      </c>
      <c r="M2186" s="6" t="s">
        <v>6254</v>
      </c>
      <c r="N2186" s="6" t="s">
        <v>6254</v>
      </c>
      <c r="O2186" s="6" t="s">
        <v>6254</v>
      </c>
      <c r="P2186" s="6" t="s">
        <v>6254</v>
      </c>
      <c r="Q2186" s="6" t="s">
        <v>6254</v>
      </c>
    </row>
    <row r="2187" spans="1:17">
      <c r="A2187" s="6" t="s">
        <v>12892</v>
      </c>
      <c r="B2187" s="6" t="s">
        <v>12892</v>
      </c>
      <c r="C2187" s="6" t="s">
        <v>12893</v>
      </c>
      <c r="D2187" s="6" t="s">
        <v>12894</v>
      </c>
      <c r="E2187" s="6" t="s">
        <v>12894</v>
      </c>
      <c r="F2187" s="6" t="s">
        <v>6254</v>
      </c>
      <c r="G2187" s="6" t="s">
        <v>6254</v>
      </c>
      <c r="H2187" s="6" t="s">
        <v>6254</v>
      </c>
      <c r="I2187" s="6" t="s">
        <v>6254</v>
      </c>
      <c r="J2187" s="6" t="s">
        <v>6254</v>
      </c>
      <c r="K2187" s="6" t="s">
        <v>6254</v>
      </c>
      <c r="L2187" s="6" t="s">
        <v>6254</v>
      </c>
      <c r="M2187" s="6" t="s">
        <v>6254</v>
      </c>
      <c r="N2187" s="6" t="s">
        <v>6254</v>
      </c>
      <c r="O2187" s="6" t="s">
        <v>6254</v>
      </c>
      <c r="P2187" s="6" t="s">
        <v>6254</v>
      </c>
      <c r="Q2187" s="6" t="s">
        <v>6254</v>
      </c>
    </row>
    <row r="2188" spans="1:17">
      <c r="A2188" s="6" t="s">
        <v>12895</v>
      </c>
      <c r="B2188" s="6" t="s">
        <v>12896</v>
      </c>
      <c r="C2188" s="6" t="s">
        <v>12897</v>
      </c>
      <c r="D2188" s="6" t="s">
        <v>12898</v>
      </c>
      <c r="E2188" s="6" t="s">
        <v>12899</v>
      </c>
      <c r="F2188" s="6">
        <v>10.5493849901339</v>
      </c>
      <c r="G2188" s="6">
        <v>10.691017753635601</v>
      </c>
      <c r="H2188" s="6" t="s">
        <v>6254</v>
      </c>
      <c r="I2188" s="6">
        <v>10.1489705372835</v>
      </c>
      <c r="J2188" s="6" t="s">
        <v>6254</v>
      </c>
      <c r="K2188" s="6">
        <v>9.4948849366148895</v>
      </c>
      <c r="L2188" s="6" t="s">
        <v>6254</v>
      </c>
      <c r="M2188" s="6" t="s">
        <v>6254</v>
      </c>
      <c r="N2188" s="6" t="s">
        <v>6254</v>
      </c>
      <c r="O2188" s="6">
        <v>9.7561835058554092</v>
      </c>
      <c r="P2188" s="6">
        <v>10.1955528904001</v>
      </c>
      <c r="Q2188" s="6" t="s">
        <v>6254</v>
      </c>
    </row>
    <row r="2189" spans="1:17">
      <c r="A2189" s="6" t="s">
        <v>12900</v>
      </c>
      <c r="B2189" s="6" t="s">
        <v>12901</v>
      </c>
      <c r="C2189" s="6" t="s">
        <v>12902</v>
      </c>
      <c r="D2189" s="6" t="s">
        <v>12903</v>
      </c>
      <c r="E2189" s="6" t="s">
        <v>12904</v>
      </c>
      <c r="F2189" s="6" t="s">
        <v>6254</v>
      </c>
      <c r="G2189" s="6" t="s">
        <v>6254</v>
      </c>
      <c r="H2189" s="6">
        <v>11.090520261939901</v>
      </c>
      <c r="I2189" s="6">
        <v>11.6229132689968</v>
      </c>
      <c r="J2189" s="6" t="s">
        <v>6254</v>
      </c>
      <c r="K2189" s="6">
        <v>10.4944989202427</v>
      </c>
      <c r="L2189" s="6">
        <v>11.361056696970399</v>
      </c>
      <c r="M2189" s="6" t="s">
        <v>6254</v>
      </c>
      <c r="N2189" s="6" t="s">
        <v>6254</v>
      </c>
      <c r="O2189" s="6">
        <v>9.8982620455971908</v>
      </c>
      <c r="P2189" s="6">
        <v>10.4172986855356</v>
      </c>
      <c r="Q2189" s="6" t="s">
        <v>6254</v>
      </c>
    </row>
    <row r="2190" spans="1:17">
      <c r="A2190" s="6" t="s">
        <v>4902</v>
      </c>
      <c r="B2190" s="6" t="s">
        <v>4902</v>
      </c>
      <c r="C2190" s="6" t="s">
        <v>12905</v>
      </c>
      <c r="D2190" s="6" t="s">
        <v>12906</v>
      </c>
      <c r="E2190" s="6" t="s">
        <v>12906</v>
      </c>
      <c r="F2190" s="6">
        <v>11.118625051263001</v>
      </c>
      <c r="G2190" s="6" t="s">
        <v>6254</v>
      </c>
      <c r="H2190" s="6">
        <v>10.2821239709262</v>
      </c>
      <c r="I2190" s="6">
        <v>9.7264249006460908</v>
      </c>
      <c r="J2190" s="6" t="s">
        <v>6254</v>
      </c>
      <c r="K2190" s="6" t="s">
        <v>6254</v>
      </c>
      <c r="L2190" s="6">
        <v>10.4761962032737</v>
      </c>
      <c r="M2190" s="6" t="s">
        <v>6254</v>
      </c>
      <c r="N2190" s="6">
        <v>11.693205135086499</v>
      </c>
      <c r="O2190" s="6">
        <v>10.3267244833639</v>
      </c>
      <c r="P2190" s="6" t="s">
        <v>6254</v>
      </c>
      <c r="Q2190" s="6" t="s">
        <v>6254</v>
      </c>
    </row>
    <row r="2191" spans="1:17">
      <c r="A2191" s="6" t="s">
        <v>12907</v>
      </c>
      <c r="B2191" s="6" t="s">
        <v>12907</v>
      </c>
      <c r="C2191" s="6" t="s">
        <v>12907</v>
      </c>
      <c r="D2191" s="6" t="s">
        <v>12907</v>
      </c>
      <c r="E2191" s="6" t="s">
        <v>12907</v>
      </c>
      <c r="F2191" s="6" t="s">
        <v>6254</v>
      </c>
      <c r="G2191" s="6" t="s">
        <v>6254</v>
      </c>
      <c r="H2191" s="6" t="s">
        <v>6254</v>
      </c>
      <c r="I2191" s="6" t="s">
        <v>6254</v>
      </c>
      <c r="J2191" s="6" t="s">
        <v>6254</v>
      </c>
      <c r="K2191" s="6" t="s">
        <v>6254</v>
      </c>
      <c r="L2191" s="6" t="s">
        <v>6254</v>
      </c>
      <c r="M2191" s="6">
        <v>10.562720221857299</v>
      </c>
      <c r="N2191" s="6">
        <v>10.0423489517283</v>
      </c>
      <c r="O2191" s="6" t="s">
        <v>6254</v>
      </c>
      <c r="P2191" s="6" t="s">
        <v>6254</v>
      </c>
      <c r="Q2191" s="6" t="s">
        <v>6254</v>
      </c>
    </row>
    <row r="2192" spans="1:17">
      <c r="A2192" s="6" t="s">
        <v>12908</v>
      </c>
      <c r="B2192" s="6" t="s">
        <v>12908</v>
      </c>
      <c r="C2192" s="6" t="s">
        <v>12909</v>
      </c>
      <c r="D2192" s="6" t="s">
        <v>12910</v>
      </c>
      <c r="E2192" s="6" t="s">
        <v>12910</v>
      </c>
      <c r="F2192" s="6" t="s">
        <v>6254</v>
      </c>
      <c r="G2192" s="6" t="s">
        <v>6254</v>
      </c>
      <c r="H2192" s="6" t="s">
        <v>6254</v>
      </c>
      <c r="I2192" s="6" t="s">
        <v>6254</v>
      </c>
      <c r="J2192" s="6" t="s">
        <v>6254</v>
      </c>
      <c r="K2192" s="6" t="s">
        <v>6254</v>
      </c>
      <c r="L2192" s="6" t="s">
        <v>6254</v>
      </c>
      <c r="M2192" s="6" t="s">
        <v>6254</v>
      </c>
      <c r="N2192" s="6" t="s">
        <v>6254</v>
      </c>
      <c r="O2192" s="6" t="s">
        <v>6254</v>
      </c>
      <c r="P2192" s="6" t="s">
        <v>6254</v>
      </c>
      <c r="Q2192" s="6" t="s">
        <v>6254</v>
      </c>
    </row>
    <row r="2193" spans="1:17">
      <c r="A2193" s="6" t="s">
        <v>12911</v>
      </c>
      <c r="B2193" s="6" t="s">
        <v>12912</v>
      </c>
      <c r="C2193" s="6" t="s">
        <v>12913</v>
      </c>
      <c r="D2193" s="6" t="s">
        <v>12914</v>
      </c>
      <c r="E2193" s="6" t="s">
        <v>12915</v>
      </c>
      <c r="F2193" s="6" t="s">
        <v>6254</v>
      </c>
      <c r="G2193" s="6">
        <v>10.2014078554843</v>
      </c>
      <c r="H2193" s="6" t="s">
        <v>6254</v>
      </c>
      <c r="I2193" s="6">
        <v>10.8819402306199</v>
      </c>
      <c r="J2193" s="6">
        <v>8.4076532624350904</v>
      </c>
      <c r="K2193" s="6">
        <v>10.266366617079999</v>
      </c>
      <c r="L2193" s="6">
        <v>10.865027438907401</v>
      </c>
      <c r="M2193" s="6" t="s">
        <v>6254</v>
      </c>
      <c r="N2193" s="6" t="s">
        <v>6254</v>
      </c>
      <c r="O2193" s="6">
        <v>10.532468334943299</v>
      </c>
      <c r="P2193" s="6">
        <v>9.9636738173574706</v>
      </c>
      <c r="Q2193" s="6" t="s">
        <v>6254</v>
      </c>
    </row>
    <row r="2194" spans="1:17">
      <c r="A2194" s="6" t="s">
        <v>12916</v>
      </c>
      <c r="B2194" s="6" t="s">
        <v>12916</v>
      </c>
      <c r="C2194" s="6" t="s">
        <v>12917</v>
      </c>
      <c r="D2194" s="6" t="s">
        <v>12918</v>
      </c>
      <c r="E2194" s="6" t="s">
        <v>12918</v>
      </c>
      <c r="F2194" s="6">
        <v>9.7276423301338095</v>
      </c>
      <c r="G2194" s="6" t="s">
        <v>6254</v>
      </c>
      <c r="H2194" s="6" t="s">
        <v>6254</v>
      </c>
      <c r="I2194" s="6">
        <v>10.782256051668</v>
      </c>
      <c r="J2194" s="6" t="s">
        <v>6254</v>
      </c>
      <c r="K2194" s="6" t="s">
        <v>6254</v>
      </c>
      <c r="L2194" s="6">
        <v>10.890515565684399</v>
      </c>
      <c r="M2194" s="6" t="s">
        <v>6254</v>
      </c>
      <c r="N2194" s="6">
        <v>11.0621119532397</v>
      </c>
      <c r="O2194" s="6" t="s">
        <v>6254</v>
      </c>
      <c r="P2194" s="6" t="s">
        <v>6254</v>
      </c>
      <c r="Q2194" s="6" t="s">
        <v>6254</v>
      </c>
    </row>
    <row r="2195" spans="1:17">
      <c r="A2195" s="6" t="s">
        <v>12919</v>
      </c>
      <c r="B2195" s="6" t="s">
        <v>12920</v>
      </c>
      <c r="C2195" s="6" t="s">
        <v>12921</v>
      </c>
      <c r="D2195" s="6" t="s">
        <v>12922</v>
      </c>
      <c r="E2195" s="6" t="s">
        <v>12923</v>
      </c>
      <c r="F2195" s="6" t="s">
        <v>6254</v>
      </c>
      <c r="G2195" s="6" t="s">
        <v>6254</v>
      </c>
      <c r="H2195" s="6">
        <v>7.6694813202622898</v>
      </c>
      <c r="I2195" s="6">
        <v>9.95472659904636</v>
      </c>
      <c r="J2195" s="6" t="s">
        <v>6254</v>
      </c>
      <c r="K2195" s="6" t="s">
        <v>6254</v>
      </c>
      <c r="L2195" s="6">
        <v>10.087653322553599</v>
      </c>
      <c r="M2195" s="6" t="s">
        <v>6254</v>
      </c>
      <c r="N2195" s="6" t="s">
        <v>6254</v>
      </c>
      <c r="O2195" s="6" t="s">
        <v>6254</v>
      </c>
      <c r="P2195" s="6" t="s">
        <v>6254</v>
      </c>
      <c r="Q2195" s="6" t="s">
        <v>6254</v>
      </c>
    </row>
    <row r="2196" spans="1:17">
      <c r="A2196" s="6" t="s">
        <v>12924</v>
      </c>
      <c r="B2196" s="6" t="s">
        <v>12924</v>
      </c>
      <c r="C2196" s="6" t="s">
        <v>12924</v>
      </c>
      <c r="D2196" s="6" t="s">
        <v>12924</v>
      </c>
      <c r="E2196" s="6" t="s">
        <v>12924</v>
      </c>
      <c r="F2196" s="6" t="s">
        <v>6254</v>
      </c>
      <c r="G2196" s="6" t="s">
        <v>6254</v>
      </c>
      <c r="H2196" s="6" t="s">
        <v>6254</v>
      </c>
      <c r="I2196" s="6" t="s">
        <v>6254</v>
      </c>
      <c r="J2196" s="6" t="s">
        <v>6254</v>
      </c>
      <c r="K2196" s="6" t="s">
        <v>6254</v>
      </c>
      <c r="L2196" s="6" t="s">
        <v>6254</v>
      </c>
      <c r="M2196" s="6" t="s">
        <v>6254</v>
      </c>
      <c r="N2196" s="6" t="s">
        <v>6254</v>
      </c>
      <c r="O2196" s="6" t="s">
        <v>6254</v>
      </c>
      <c r="P2196" s="6" t="s">
        <v>6254</v>
      </c>
      <c r="Q2196" s="6" t="s">
        <v>6254</v>
      </c>
    </row>
    <row r="2197" spans="1:17">
      <c r="A2197" s="6" t="s">
        <v>12925</v>
      </c>
      <c r="B2197" s="6" t="s">
        <v>12925</v>
      </c>
      <c r="C2197" s="6" t="s">
        <v>12926</v>
      </c>
      <c r="D2197" s="6" t="s">
        <v>12927</v>
      </c>
      <c r="E2197" s="6" t="s">
        <v>12927</v>
      </c>
      <c r="F2197" s="6" t="s">
        <v>6254</v>
      </c>
      <c r="G2197" s="6">
        <v>9.1007411716864706</v>
      </c>
      <c r="H2197" s="6" t="s">
        <v>6254</v>
      </c>
      <c r="I2197" s="6">
        <v>8.2180279204262696</v>
      </c>
      <c r="J2197" s="6" t="s">
        <v>6254</v>
      </c>
      <c r="K2197" s="6" t="s">
        <v>6254</v>
      </c>
      <c r="L2197" s="6">
        <v>8.8422182393387896</v>
      </c>
      <c r="M2197" s="6" t="s">
        <v>6254</v>
      </c>
      <c r="N2197" s="6" t="s">
        <v>6254</v>
      </c>
      <c r="O2197" s="6">
        <v>8.6830024546496194</v>
      </c>
      <c r="P2197" s="6" t="s">
        <v>6254</v>
      </c>
      <c r="Q2197" s="6" t="s">
        <v>6254</v>
      </c>
    </row>
    <row r="2198" spans="1:17">
      <c r="A2198" s="6" t="s">
        <v>12928</v>
      </c>
      <c r="B2198" s="6" t="s">
        <v>12928</v>
      </c>
      <c r="C2198" s="6" t="s">
        <v>12929</v>
      </c>
      <c r="D2198" s="6" t="s">
        <v>12930</v>
      </c>
      <c r="E2198" s="6" t="s">
        <v>12930</v>
      </c>
      <c r="F2198" s="6" t="s">
        <v>6254</v>
      </c>
      <c r="G2198" s="6" t="s">
        <v>6254</v>
      </c>
      <c r="H2198" s="6">
        <v>7.7927253927983298</v>
      </c>
      <c r="I2198" s="6">
        <v>7.3809844653462502</v>
      </c>
      <c r="J2198" s="6" t="s">
        <v>6254</v>
      </c>
      <c r="K2198" s="6" t="s">
        <v>6254</v>
      </c>
      <c r="L2198" s="6">
        <v>9.8859699289449701</v>
      </c>
      <c r="M2198" s="6" t="s">
        <v>6254</v>
      </c>
      <c r="N2198" s="6" t="s">
        <v>6254</v>
      </c>
      <c r="O2198" s="6" t="s">
        <v>6254</v>
      </c>
      <c r="P2198" s="6" t="s">
        <v>6254</v>
      </c>
      <c r="Q2198" s="6" t="s">
        <v>6254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Discovery cohort (DDA counts)</vt:lpstr>
      <vt:lpstr>DDA LFQ</vt:lpstr>
      <vt:lpstr>MaxDIA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Mantini</dc:creator>
  <cp:lastModifiedBy>Giulia Mantini</cp:lastModifiedBy>
  <dcterms:created xsi:type="dcterms:W3CDTF">2020-11-10T18:16:10Z</dcterms:created>
  <dcterms:modified xsi:type="dcterms:W3CDTF">2020-11-10T18:33:43Z</dcterms:modified>
</cp:coreProperties>
</file>