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4305"/>
  </bookViews>
  <sheets>
    <sheet name="Лист1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U16" i="1" l="1"/>
  <c r="U17" i="1"/>
  <c r="U18" i="1"/>
  <c r="R16" i="1" l="1"/>
  <c r="R18" i="1"/>
  <c r="R17" i="1"/>
  <c r="Q16" i="1" l="1"/>
  <c r="Q20" i="1"/>
  <c r="Q24" i="1"/>
  <c r="Q28" i="1"/>
  <c r="Q32" i="1"/>
  <c r="F79" i="1"/>
  <c r="F95" i="1"/>
  <c r="F26" i="1"/>
  <c r="F66" i="1"/>
  <c r="N98" i="1" l="1"/>
  <c r="O98" i="1" s="1"/>
  <c r="F98" i="1"/>
  <c r="I98" i="1" s="1"/>
  <c r="N97" i="1"/>
  <c r="O97" i="1" s="1"/>
  <c r="F97" i="1"/>
  <c r="H97" i="1" s="1"/>
  <c r="Q97" i="1" s="1"/>
  <c r="N96" i="1"/>
  <c r="O96" i="1" s="1"/>
  <c r="F96" i="1"/>
  <c r="I96" i="1" s="1"/>
  <c r="N95" i="1"/>
  <c r="O95" i="1" s="1"/>
  <c r="N94" i="1"/>
  <c r="O94" i="1" s="1"/>
  <c r="F94" i="1"/>
  <c r="I94" i="1" s="1"/>
  <c r="N93" i="1"/>
  <c r="O93" i="1" s="1"/>
  <c r="F93" i="1"/>
  <c r="H93" i="1" s="1"/>
  <c r="Q93" i="1" s="1"/>
  <c r="N92" i="1"/>
  <c r="O92" i="1" s="1"/>
  <c r="F92" i="1"/>
  <c r="I92" i="1" s="1"/>
  <c r="N91" i="1"/>
  <c r="O91" i="1" s="1"/>
  <c r="Q91" i="1" s="1"/>
  <c r="F91" i="1"/>
  <c r="H91" i="1" s="1"/>
  <c r="N90" i="1"/>
  <c r="O90" i="1" s="1"/>
  <c r="F90" i="1"/>
  <c r="H90" i="1" s="1"/>
  <c r="Q90" i="1" s="1"/>
  <c r="N89" i="1"/>
  <c r="O89" i="1" s="1"/>
  <c r="F89" i="1"/>
  <c r="H89" i="1" s="1"/>
  <c r="Q89" i="1" s="1"/>
  <c r="N83" i="1"/>
  <c r="O83" i="1" s="1"/>
  <c r="F83" i="1"/>
  <c r="H83" i="1" s="1"/>
  <c r="N82" i="1"/>
  <c r="O82" i="1" s="1"/>
  <c r="F82" i="1"/>
  <c r="H82" i="1" s="1"/>
  <c r="N81" i="1"/>
  <c r="O81" i="1" s="1"/>
  <c r="F81" i="1"/>
  <c r="H81" i="1" s="1"/>
  <c r="N80" i="1"/>
  <c r="O80" i="1" s="1"/>
  <c r="F80" i="1"/>
  <c r="H80" i="1" s="1"/>
  <c r="Q80" i="1" s="1"/>
  <c r="N79" i="1"/>
  <c r="O79" i="1" s="1"/>
  <c r="H79" i="1"/>
  <c r="N78" i="1"/>
  <c r="O78" i="1" s="1"/>
  <c r="F78" i="1"/>
  <c r="H78" i="1" s="1"/>
  <c r="Q78" i="1" s="1"/>
  <c r="N77" i="1"/>
  <c r="O77" i="1" s="1"/>
  <c r="F77" i="1"/>
  <c r="I77" i="1" s="1"/>
  <c r="N76" i="1"/>
  <c r="O76" i="1" s="1"/>
  <c r="F76" i="1"/>
  <c r="H76" i="1" s="1"/>
  <c r="N75" i="1"/>
  <c r="O75" i="1" s="1"/>
  <c r="F75" i="1"/>
  <c r="I75" i="1" s="1"/>
  <c r="N74" i="1"/>
  <c r="O74" i="1" s="1"/>
  <c r="F74" i="1"/>
  <c r="H74" i="1" s="1"/>
  <c r="I78" i="1" l="1"/>
  <c r="H95" i="1"/>
  <c r="I95" i="1"/>
  <c r="I80" i="1"/>
  <c r="I79" i="1"/>
  <c r="R79" i="1" s="1"/>
  <c r="I83" i="1"/>
  <c r="R83" i="1" s="1"/>
  <c r="R82" i="1"/>
  <c r="I81" i="1"/>
  <c r="R81" i="1" s="1"/>
  <c r="R80" i="1"/>
  <c r="H77" i="1"/>
  <c r="R77" i="1" s="1"/>
  <c r="I76" i="1"/>
  <c r="R76" i="1" s="1"/>
  <c r="H75" i="1"/>
  <c r="R74" i="1"/>
  <c r="I90" i="1"/>
  <c r="R90" i="1" s="1"/>
  <c r="R89" i="1"/>
  <c r="H96" i="1"/>
  <c r="H92" i="1"/>
  <c r="R92" i="1" s="1"/>
  <c r="R97" i="1"/>
  <c r="H94" i="1"/>
  <c r="R94" i="1" s="1"/>
  <c r="H98" i="1"/>
  <c r="Q98" i="1" s="1"/>
  <c r="R78" i="1"/>
  <c r="I91" i="1"/>
  <c r="R91" i="1" s="1"/>
  <c r="R93" i="1"/>
  <c r="Q75" i="1" l="1"/>
  <c r="R75" i="1" s="1"/>
  <c r="R95" i="1"/>
  <c r="R96" i="1"/>
  <c r="R98" i="1"/>
  <c r="N68" i="1" l="1"/>
  <c r="O68" i="1" s="1"/>
  <c r="F68" i="1"/>
  <c r="I68" i="1" s="1"/>
  <c r="N67" i="1"/>
  <c r="O67" i="1" s="1"/>
  <c r="F67" i="1"/>
  <c r="N66" i="1"/>
  <c r="O66" i="1" s="1"/>
  <c r="H66" i="1"/>
  <c r="Q66" i="1" s="1"/>
  <c r="N65" i="1"/>
  <c r="O65" i="1" s="1"/>
  <c r="F65" i="1"/>
  <c r="H65" i="1" s="1"/>
  <c r="N64" i="1"/>
  <c r="O64" i="1" s="1"/>
  <c r="F64" i="1"/>
  <c r="I64" i="1" s="1"/>
  <c r="N63" i="1"/>
  <c r="O63" i="1" s="1"/>
  <c r="F63" i="1"/>
  <c r="H63" i="1" s="1"/>
  <c r="Q63" i="1" s="1"/>
  <c r="N62" i="1"/>
  <c r="O62" i="1" s="1"/>
  <c r="F62" i="1"/>
  <c r="N61" i="1"/>
  <c r="O61" i="1" s="1"/>
  <c r="F61" i="1"/>
  <c r="N60" i="1"/>
  <c r="O60" i="1" s="1"/>
  <c r="F60" i="1"/>
  <c r="H60" i="1" s="1"/>
  <c r="Q60" i="1" s="1"/>
  <c r="N59" i="1"/>
  <c r="O59" i="1" s="1"/>
  <c r="F59" i="1"/>
  <c r="H59" i="1" s="1"/>
  <c r="I62" i="1" l="1"/>
  <c r="H62" i="1"/>
  <c r="H64" i="1"/>
  <c r="R64" i="1" s="1"/>
  <c r="I63" i="1"/>
  <c r="R63" i="1" s="1"/>
  <c r="R65" i="1"/>
  <c r="H68" i="1"/>
  <c r="Q68" i="1" s="1"/>
  <c r="I66" i="1"/>
  <c r="R66" i="1" s="1"/>
  <c r="H67" i="1"/>
  <c r="H61" i="1"/>
  <c r="I61" i="1"/>
  <c r="Q59" i="1"/>
  <c r="I59" i="1"/>
  <c r="I60" i="1"/>
  <c r="R60" i="1" s="1"/>
  <c r="Q67" i="1" l="1"/>
  <c r="R67" i="1" s="1"/>
  <c r="R59" i="1"/>
  <c r="R61" i="1"/>
  <c r="R62" i="1"/>
  <c r="N53" i="1" l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F52" i="1"/>
  <c r="F50" i="1"/>
  <c r="H50" i="1" s="1"/>
  <c r="F48" i="1"/>
  <c r="H48" i="1" s="1"/>
  <c r="F47" i="1"/>
  <c r="I47" i="1" s="1"/>
  <c r="F51" i="1"/>
  <c r="I51" i="1" s="1"/>
  <c r="F53" i="1"/>
  <c r="H53" i="1" s="1"/>
  <c r="F49" i="1"/>
  <c r="I49" i="1" s="1"/>
  <c r="F44" i="1"/>
  <c r="H44" i="1" s="1"/>
  <c r="Q44" i="1" s="1"/>
  <c r="H52" i="1" l="1"/>
  <c r="Q52" i="1" s="1"/>
  <c r="I53" i="1"/>
  <c r="R53" i="1" s="1"/>
  <c r="R50" i="1"/>
  <c r="R48" i="1"/>
  <c r="H47" i="1"/>
  <c r="H51" i="1"/>
  <c r="H49" i="1"/>
  <c r="R49" i="1" s="1"/>
  <c r="N46" i="1"/>
  <c r="O46" i="1" s="1"/>
  <c r="F46" i="1"/>
  <c r="H46" i="1" s="1"/>
  <c r="N45" i="1"/>
  <c r="O45" i="1" s="1"/>
  <c r="F45" i="1"/>
  <c r="N44" i="1"/>
  <c r="O44" i="1" s="1"/>
  <c r="R44" i="1" s="1"/>
  <c r="R52" i="1" l="1"/>
  <c r="Q51" i="1"/>
  <c r="R51" i="1" s="1"/>
  <c r="R46" i="1"/>
  <c r="H45" i="1"/>
  <c r="I45" i="1"/>
  <c r="F18" i="1"/>
  <c r="N34" i="1"/>
  <c r="O34" i="1" s="1"/>
  <c r="F34" i="1"/>
  <c r="H34" i="1" s="1"/>
  <c r="N33" i="1"/>
  <c r="O33" i="1" s="1"/>
  <c r="F33" i="1"/>
  <c r="I33" i="1" s="1"/>
  <c r="N32" i="1"/>
  <c r="O32" i="1" s="1"/>
  <c r="F32" i="1"/>
  <c r="I32" i="1" s="1"/>
  <c r="R45" i="1" l="1"/>
  <c r="Q47" i="1" s="1"/>
  <c r="R47" i="1" s="1"/>
  <c r="H33" i="1"/>
  <c r="U33" i="1" s="1"/>
  <c r="Q34" i="1" s="1"/>
  <c r="H32" i="1"/>
  <c r="U32" i="1" s="1"/>
  <c r="Q33" i="1" s="1"/>
  <c r="I34" i="1"/>
  <c r="U34" i="1" s="1"/>
  <c r="S32" i="1" l="1"/>
  <c r="S34" i="1"/>
  <c r="T34" i="1" s="1"/>
  <c r="S33" i="1" l="1"/>
  <c r="D108" i="1"/>
  <c r="B2" i="2"/>
  <c r="T33" i="1" l="1"/>
  <c r="V34" i="1"/>
  <c r="V33" i="1"/>
  <c r="I30" i="2"/>
  <c r="N30" i="2" l="1"/>
  <c r="O30" i="2" s="1"/>
  <c r="F30" i="2"/>
  <c r="H30" i="2" s="1"/>
  <c r="G5" i="2"/>
  <c r="E6" i="2" s="1"/>
  <c r="F5" i="2"/>
  <c r="J5" i="2" s="1"/>
  <c r="R30" i="2" l="1"/>
  <c r="S30" i="2" s="1"/>
  <c r="G6" i="2"/>
  <c r="E7" i="2" s="1"/>
  <c r="F6" i="2"/>
  <c r="L5" i="2"/>
  <c r="I5" i="2"/>
  <c r="G7" i="2" l="1"/>
  <c r="E8" i="2" s="1"/>
  <c r="F7" i="2"/>
  <c r="I6" i="2"/>
  <c r="L6" i="2"/>
  <c r="J6" i="2"/>
  <c r="J7" i="2" l="1"/>
  <c r="I7" i="2"/>
  <c r="L7" i="2"/>
  <c r="G8" i="2"/>
  <c r="E9" i="2" s="1"/>
  <c r="F8" i="2"/>
  <c r="L109" i="1"/>
  <c r="M109" i="1" s="1"/>
  <c r="L108" i="1"/>
  <c r="G9" i="2" l="1"/>
  <c r="E10" i="2" s="1"/>
  <c r="F9" i="2"/>
  <c r="I8" i="2"/>
  <c r="L8" i="2"/>
  <c r="A30" i="2" s="1"/>
  <c r="J8" i="2"/>
  <c r="M108" i="1"/>
  <c r="N30" i="1"/>
  <c r="O30" i="1" s="1"/>
  <c r="F30" i="1"/>
  <c r="N29" i="1"/>
  <c r="O29" i="1" s="1"/>
  <c r="F29" i="1"/>
  <c r="N28" i="1"/>
  <c r="O28" i="1" s="1"/>
  <c r="F28" i="1"/>
  <c r="N26" i="1"/>
  <c r="O26" i="1" s="1"/>
  <c r="H26" i="1"/>
  <c r="U26" i="1" s="1"/>
  <c r="N25" i="1"/>
  <c r="O25" i="1" s="1"/>
  <c r="F25" i="1"/>
  <c r="H25" i="1" s="1"/>
  <c r="U25" i="1" s="1"/>
  <c r="Q26" i="1" s="1"/>
  <c r="N24" i="1"/>
  <c r="O24" i="1" s="1"/>
  <c r="F24" i="1"/>
  <c r="H24" i="1" s="1"/>
  <c r="U24" i="1" s="1"/>
  <c r="Q25" i="1" s="1"/>
  <c r="N22" i="1"/>
  <c r="O22" i="1" s="1"/>
  <c r="F22" i="1"/>
  <c r="H22" i="1" s="1"/>
  <c r="U22" i="1" s="1"/>
  <c r="N21" i="1"/>
  <c r="O21" i="1" s="1"/>
  <c r="F21" i="1"/>
  <c r="H21" i="1" s="1"/>
  <c r="N20" i="1"/>
  <c r="O20" i="1" s="1"/>
  <c r="F20" i="1"/>
  <c r="H20" i="1" s="1"/>
  <c r="N18" i="1"/>
  <c r="O18" i="1" s="1"/>
  <c r="H18" i="1"/>
  <c r="N17" i="1"/>
  <c r="O17" i="1" s="1"/>
  <c r="F17" i="1"/>
  <c r="H17" i="1" s="1"/>
  <c r="N16" i="1"/>
  <c r="O16" i="1" s="1"/>
  <c r="F16" i="1"/>
  <c r="H16" i="1" s="1"/>
  <c r="N14" i="1"/>
  <c r="O14" i="1" s="1"/>
  <c r="F14" i="1"/>
  <c r="H14" i="1" s="1"/>
  <c r="N13" i="1"/>
  <c r="O13" i="1" s="1"/>
  <c r="F13" i="1"/>
  <c r="H13" i="1" s="1"/>
  <c r="N12" i="1"/>
  <c r="O12" i="1" s="1"/>
  <c r="F12" i="1"/>
  <c r="H12" i="1" s="1"/>
  <c r="N10" i="1"/>
  <c r="O10" i="1" s="1"/>
  <c r="N9" i="1"/>
  <c r="O9" i="1" s="1"/>
  <c r="F10" i="1"/>
  <c r="H10" i="1" s="1"/>
  <c r="F9" i="1"/>
  <c r="H9" i="1" s="1"/>
  <c r="U20" i="1" l="1"/>
  <c r="Q21" i="1" s="1"/>
  <c r="U21" i="1"/>
  <c r="Q22" i="1" s="1"/>
  <c r="H28" i="1"/>
  <c r="U28" i="1" s="1"/>
  <c r="Q29" i="1" s="1"/>
  <c r="I28" i="1"/>
  <c r="H30" i="1"/>
  <c r="I30" i="1"/>
  <c r="H29" i="1"/>
  <c r="U29" i="1" s="1"/>
  <c r="Q30" i="1" s="1"/>
  <c r="I29" i="1"/>
  <c r="G10" i="2"/>
  <c r="E11" i="2" s="1"/>
  <c r="F10" i="2"/>
  <c r="J9" i="2"/>
  <c r="I9" i="2"/>
  <c r="L9" i="2"/>
  <c r="I14" i="1"/>
  <c r="U14" i="1" s="1"/>
  <c r="I12" i="1"/>
  <c r="S12" i="1" s="1"/>
  <c r="I13" i="1"/>
  <c r="U13" i="1" s="1"/>
  <c r="Q14" i="1" s="1"/>
  <c r="S24" i="1"/>
  <c r="S20" i="1"/>
  <c r="I9" i="1"/>
  <c r="U9" i="1" s="1"/>
  <c r="Q10" i="1" s="1"/>
  <c r="I10" i="1"/>
  <c r="U10" i="1" s="1"/>
  <c r="N6" i="1"/>
  <c r="O6" i="1" s="1"/>
  <c r="F6" i="1"/>
  <c r="H6" i="1" s="1"/>
  <c r="N5" i="1"/>
  <c r="O5" i="1" s="1"/>
  <c r="F5" i="1"/>
  <c r="H5" i="1" s="1"/>
  <c r="F8" i="1"/>
  <c r="I8" i="1" s="1"/>
  <c r="U6" i="1" l="1"/>
  <c r="U30" i="1"/>
  <c r="U5" i="1"/>
  <c r="U12" i="1"/>
  <c r="Q13" i="1" s="1"/>
  <c r="S13" i="1" s="1"/>
  <c r="T13" i="1" s="1"/>
  <c r="S28" i="1"/>
  <c r="S30" i="1"/>
  <c r="T30" i="1" s="1"/>
  <c r="S26" i="1"/>
  <c r="T26" i="1" s="1"/>
  <c r="S25" i="1"/>
  <c r="T25" i="1" s="1"/>
  <c r="S21" i="1"/>
  <c r="T21" i="1" s="1"/>
  <c r="S22" i="1"/>
  <c r="T22" i="1" s="1"/>
  <c r="F11" i="2"/>
  <c r="G11" i="2"/>
  <c r="E12" i="2" s="1"/>
  <c r="L10" i="2"/>
  <c r="J10" i="2"/>
  <c r="I10" i="2"/>
  <c r="S10" i="1"/>
  <c r="T10" i="1" s="1"/>
  <c r="S14" i="1"/>
  <c r="T14" i="1" s="1"/>
  <c r="H8" i="1"/>
  <c r="N8" i="1"/>
  <c r="O8" i="1" s="1"/>
  <c r="U8" i="1" l="1"/>
  <c r="Q9" i="1" s="1"/>
  <c r="Q6" i="1"/>
  <c r="S6" i="1" s="1"/>
  <c r="S29" i="1"/>
  <c r="V13" i="1"/>
  <c r="V14" i="1"/>
  <c r="V26" i="1"/>
  <c r="V25" i="1"/>
  <c r="V21" i="1"/>
  <c r="V22" i="1"/>
  <c r="G12" i="2"/>
  <c r="E13" i="2" s="1"/>
  <c r="F12" i="2"/>
  <c r="J11" i="2"/>
  <c r="I11" i="2"/>
  <c r="L11" i="2"/>
  <c r="S8" i="1"/>
  <c r="N4" i="1"/>
  <c r="O4" i="1" s="1"/>
  <c r="F4" i="1"/>
  <c r="H4" i="1" s="1"/>
  <c r="U4" i="1" l="1"/>
  <c r="Q5" i="1" s="1"/>
  <c r="S5" i="1" s="1"/>
  <c r="S4" i="1"/>
  <c r="T29" i="1"/>
  <c r="V29" i="1"/>
  <c r="V30" i="1"/>
  <c r="S9" i="1"/>
  <c r="V9" i="1" s="1"/>
  <c r="F13" i="2"/>
  <c r="G13" i="2"/>
  <c r="E14" i="2" s="1"/>
  <c r="L12" i="2"/>
  <c r="I12" i="2"/>
  <c r="J12" i="2"/>
  <c r="T9" i="1" l="1"/>
  <c r="V10" i="1"/>
  <c r="Q17" i="1"/>
  <c r="G14" i="2"/>
  <c r="E15" i="2" s="1"/>
  <c r="F14" i="2"/>
  <c r="J13" i="2"/>
  <c r="I13" i="2"/>
  <c r="L13" i="2"/>
  <c r="Q18" i="1" l="1"/>
  <c r="V5" i="1"/>
  <c r="T5" i="1"/>
  <c r="S16" i="1"/>
  <c r="F15" i="2"/>
  <c r="G15" i="2"/>
  <c r="E16" i="2" s="1"/>
  <c r="L14" i="2"/>
  <c r="I14" i="2"/>
  <c r="J14" i="2"/>
  <c r="S17" i="1" l="1"/>
  <c r="T17" i="1" s="1"/>
  <c r="G16" i="2"/>
  <c r="E17" i="2" s="1"/>
  <c r="F16" i="2"/>
  <c r="J15" i="2"/>
  <c r="I15" i="2"/>
  <c r="L15" i="2"/>
  <c r="V17" i="1" l="1"/>
  <c r="F17" i="2"/>
  <c r="G17" i="2"/>
  <c r="E18" i="2" s="1"/>
  <c r="L16" i="2"/>
  <c r="I16" i="2"/>
  <c r="J16" i="2"/>
  <c r="G18" i="2" l="1"/>
  <c r="E19" i="2" s="1"/>
  <c r="F18" i="2"/>
  <c r="J17" i="2"/>
  <c r="I17" i="2"/>
  <c r="L17" i="2"/>
  <c r="F19" i="2" l="1"/>
  <c r="G19" i="2"/>
  <c r="L18" i="2"/>
  <c r="I18" i="2"/>
  <c r="J18" i="2"/>
  <c r="J19" i="2" l="1"/>
  <c r="I19" i="2"/>
  <c r="L19" i="2"/>
  <c r="R68" i="1"/>
  <c r="V6" i="1"/>
  <c r="T6" i="1" l="1"/>
  <c r="S18" i="1" l="1"/>
  <c r="T18" i="1" l="1"/>
  <c r="V18" i="1"/>
</calcChain>
</file>

<file path=xl/comments1.xml><?xml version="1.0" encoding="utf-8"?>
<comments xmlns="http://schemas.openxmlformats.org/spreadsheetml/2006/main">
  <authors>
    <author>Автор</author>
  </authors>
  <commentList>
    <comment ref="S4" authorId="0">
      <text>
        <r>
          <rPr>
            <b/>
            <sz val="9"/>
            <color indexed="81"/>
            <rFont val="Tahoma"/>
            <charset val="1"/>
          </rPr>
          <t>Связана с наценкой на рыцаря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>из-за яда цена на урон увеличена на 33%</t>
        </r>
      </text>
    </comment>
    <comment ref="I28" authorId="0">
      <text>
        <r>
          <rPr>
            <b/>
            <sz val="9"/>
            <color indexed="81"/>
            <rFont val="Tahoma"/>
            <family val="2"/>
            <charset val="204"/>
          </rPr>
          <t>Дальний бой</t>
        </r>
      </text>
    </comment>
    <comment ref="O28" authorId="0">
      <text>
        <r>
          <rPr>
            <b/>
            <sz val="9"/>
            <color indexed="81"/>
            <rFont val="Tahoma"/>
            <charset val="1"/>
          </rPr>
          <t>Наценка на воздух</t>
        </r>
      </text>
    </comment>
    <comment ref="I32" authorId="0">
      <text>
        <r>
          <rPr>
            <b/>
            <sz val="9"/>
            <color indexed="81"/>
            <rFont val="Tahoma"/>
            <family val="2"/>
            <charset val="204"/>
          </rPr>
          <t>Дальний бой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Наценка 11,11% на яд, замедляющий 10%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49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51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53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 xml:space="preserve">Воздух
</t>
        </r>
      </text>
    </comment>
    <comment ref="I59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60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61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62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H63" authorId="0">
      <text>
        <r>
          <rPr>
            <b/>
            <sz val="9"/>
            <color indexed="81"/>
            <rFont val="Tahoma"/>
            <charset val="1"/>
          </rPr>
          <t>Наценка 49% на яд, замедляющий на 33%</t>
        </r>
      </text>
    </comment>
    <comment ref="I63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64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66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68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O68" authorId="0">
      <text>
        <r>
          <rPr>
            <b/>
            <sz val="9"/>
            <color indexed="81"/>
            <rFont val="Tahoma"/>
            <charset val="1"/>
          </rPr>
          <t xml:space="preserve">Воздух
</t>
        </r>
      </text>
    </comment>
    <comment ref="I75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76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77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79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80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O80" authorId="0">
      <text>
        <r>
          <rPr>
            <b/>
            <sz val="9"/>
            <color indexed="81"/>
            <rFont val="Tahoma"/>
            <charset val="1"/>
          </rPr>
          <t>Воздух</t>
        </r>
      </text>
    </comment>
    <comment ref="I81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83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O83" authorId="0">
      <text>
        <r>
          <rPr>
            <b/>
            <sz val="9"/>
            <color indexed="81"/>
            <rFont val="Tahoma"/>
            <charset val="1"/>
          </rPr>
          <t xml:space="preserve">Воздух
</t>
        </r>
      </text>
    </comment>
    <comment ref="H89" authorId="0">
      <text>
        <r>
          <rPr>
            <b/>
            <sz val="9"/>
            <color indexed="81"/>
            <rFont val="Tahoma"/>
            <family val="2"/>
            <charset val="204"/>
          </rPr>
          <t>Наценка 18% на шанс оглушить (15%)</t>
        </r>
      </text>
    </comment>
    <comment ref="H90" authorId="0">
      <text>
        <r>
          <rPr>
            <b/>
            <sz val="9"/>
            <color indexed="81"/>
            <rFont val="Tahoma"/>
            <family val="2"/>
            <charset val="204"/>
          </rPr>
          <t>Наценка 15% на замедляющий яд (13%) и 11% на понижение брони (-2)</t>
        </r>
      </text>
    </comment>
    <comment ref="I90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91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92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94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95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O95" authorId="0">
      <text>
        <r>
          <rPr>
            <b/>
            <sz val="9"/>
            <color indexed="81"/>
            <rFont val="Tahoma"/>
            <charset val="1"/>
          </rPr>
          <t>Воздух</t>
        </r>
      </text>
    </comment>
    <comment ref="I96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  <comment ref="I98" authorId="0">
      <text>
        <r>
          <rPr>
            <b/>
            <sz val="9"/>
            <color indexed="81"/>
            <rFont val="Tahoma"/>
            <charset val="1"/>
          </rPr>
          <t>Дальний бой</t>
        </r>
      </text>
    </comment>
  </commentList>
</comments>
</file>

<file path=xl/sharedStrings.xml><?xml version="1.0" encoding="utf-8"?>
<sst xmlns="http://schemas.openxmlformats.org/spreadsheetml/2006/main" count="378" uniqueCount="156">
  <si>
    <t>Урон</t>
  </si>
  <si>
    <t>Кости</t>
  </si>
  <si>
    <t>Грани</t>
  </si>
  <si>
    <t>Скорость</t>
  </si>
  <si>
    <t>НР</t>
  </si>
  <si>
    <t>Защита</t>
  </si>
  <si>
    <t>Эффективные жизни</t>
  </si>
  <si>
    <t>Константа</t>
  </si>
  <si>
    <t>Цена</t>
  </si>
  <si>
    <t>Пехотинец</t>
  </si>
  <si>
    <t>Стрелок</t>
  </si>
  <si>
    <t>Гвардеец</t>
  </si>
  <si>
    <t>Н/Ц Д</t>
  </si>
  <si>
    <t>Ц ПВС</t>
  </si>
  <si>
    <t>Ц ЭЖ</t>
  </si>
  <si>
    <t>Н/Ц</t>
  </si>
  <si>
    <t>Мечник</t>
  </si>
  <si>
    <t>УКЛОНЕНИЕ</t>
  </si>
  <si>
    <t>Шанс (%)</t>
  </si>
  <si>
    <t>СИЛЬНЫЙ УДАР</t>
  </si>
  <si>
    <t>Дистанция</t>
  </si>
  <si>
    <t>Снайпер</t>
  </si>
  <si>
    <t>Элит. Лучнц.</t>
  </si>
  <si>
    <t>КРИТИЧЕСКИЙ УДАР</t>
  </si>
  <si>
    <t>Ученик</t>
  </si>
  <si>
    <t>Целитель</t>
  </si>
  <si>
    <t>Высш. Целит.</t>
  </si>
  <si>
    <t>ИСЦЕЛЕНИЕ</t>
  </si>
  <si>
    <t>МАНА</t>
  </si>
  <si>
    <t>ЦЕЛИ</t>
  </si>
  <si>
    <t>ЦЕНА</t>
  </si>
  <si>
    <t>КД</t>
  </si>
  <si>
    <t>ФУЛЛ</t>
  </si>
  <si>
    <t>Элит. Рыцарь</t>
  </si>
  <si>
    <t>Рыцарь</t>
  </si>
  <si>
    <t>Генерал</t>
  </si>
  <si>
    <t>СУММ Ц</t>
  </si>
  <si>
    <t>ы</t>
  </si>
  <si>
    <t>Время</t>
  </si>
  <si>
    <t>Голда</t>
  </si>
  <si>
    <t>Юниты</t>
  </si>
  <si>
    <t>Игроки</t>
  </si>
  <si>
    <t>dmg</t>
  </si>
  <si>
    <t>hp</t>
  </si>
  <si>
    <t>Коэффициент</t>
  </si>
  <si>
    <t>Волна</t>
  </si>
  <si>
    <t>ПВС</t>
  </si>
  <si>
    <t>С Цена</t>
  </si>
  <si>
    <t>Доход</t>
  </si>
  <si>
    <t>Сумм*K</t>
  </si>
  <si>
    <t>Архимаг</t>
  </si>
  <si>
    <t>Волшебница</t>
  </si>
  <si>
    <t>Маг-р магии</t>
  </si>
  <si>
    <t>Наёмник</t>
  </si>
  <si>
    <t>Убийца</t>
  </si>
  <si>
    <t>Ассасин</t>
  </si>
  <si>
    <t>Вертолёт</t>
  </si>
  <si>
    <t>Штурм. Верт.</t>
  </si>
  <si>
    <t>Укреп. Верт.</t>
  </si>
  <si>
    <t>АЛЬЯНС</t>
  </si>
  <si>
    <t>Паровая машина</t>
  </si>
  <si>
    <t>Мортира</t>
  </si>
  <si>
    <t>Паровой танк</t>
  </si>
  <si>
    <t>НЕЖИТЬ</t>
  </si>
  <si>
    <t>Вурдалак</t>
  </si>
  <si>
    <t>Скелет</t>
  </si>
  <si>
    <t>Некромант</t>
  </si>
  <si>
    <t>ЯД</t>
  </si>
  <si>
    <t>Скелет-лучник</t>
  </si>
  <si>
    <t>Ледяной змей</t>
  </si>
  <si>
    <t>Банши</t>
  </si>
  <si>
    <t>Слуга неруба</t>
  </si>
  <si>
    <t>Мясник</t>
  </si>
  <si>
    <t>Чумной зомби</t>
  </si>
  <si>
    <t>Рыцарь Тьмы</t>
  </si>
  <si>
    <t>НОЧНЫЕ ЭЛЬФЫ</t>
  </si>
  <si>
    <t>Лучница</t>
  </si>
  <si>
    <t>Охотница</t>
  </si>
  <si>
    <t>Друид-ворон</t>
  </si>
  <si>
    <t>Дух</t>
  </si>
  <si>
    <t>Дриада</t>
  </si>
  <si>
    <t>Лесной драк.</t>
  </si>
  <si>
    <t>Друид-медведь</t>
  </si>
  <si>
    <t>Химера</t>
  </si>
  <si>
    <t>Горный великан</t>
  </si>
  <si>
    <t>Баллиста</t>
  </si>
  <si>
    <t>ОРДА</t>
  </si>
  <si>
    <t>Бугай</t>
  </si>
  <si>
    <t>Охотник за гол.</t>
  </si>
  <si>
    <t>Колдун</t>
  </si>
  <si>
    <t>Берсерк</t>
  </si>
  <si>
    <t>Шаман</t>
  </si>
  <si>
    <t>Рейдер</t>
  </si>
  <si>
    <t>Виверна</t>
  </si>
  <si>
    <t>Черный дракон</t>
  </si>
  <si>
    <t>Минотавр</t>
  </si>
  <si>
    <t>Кодой</t>
  </si>
  <si>
    <t>2030 в 1.01</t>
  </si>
  <si>
    <t>НАГИ</t>
  </si>
  <si>
    <t>Нага-воин</t>
  </si>
  <si>
    <t>Нага-гвардеец</t>
  </si>
  <si>
    <t>Нага-Сирена</t>
  </si>
  <si>
    <t>Морской дракон</t>
  </si>
  <si>
    <t>Коатль</t>
  </si>
  <si>
    <t>Заклинательница</t>
  </si>
  <si>
    <t>Дух Моря</t>
  </si>
  <si>
    <t>Высшая Гидра</t>
  </si>
  <si>
    <t>Морское чудовище</t>
  </si>
  <si>
    <t>Великая черепаха</t>
  </si>
  <si>
    <t>X</t>
  </si>
  <si>
    <t>Y</t>
  </si>
  <si>
    <t>D</t>
  </si>
  <si>
    <t>HP</t>
  </si>
  <si>
    <t>SUMHP</t>
  </si>
  <si>
    <t>SUMDMG</t>
  </si>
  <si>
    <t>DMG</t>
  </si>
  <si>
    <t>COST</t>
  </si>
  <si>
    <t>DIST</t>
  </si>
  <si>
    <t>ADD</t>
  </si>
  <si>
    <t>LVL</t>
  </si>
  <si>
    <t>% LVL</t>
  </si>
  <si>
    <t>SUMCOST</t>
  </si>
  <si>
    <t>RNG</t>
  </si>
  <si>
    <t>T1</t>
  </si>
  <si>
    <t>T2</t>
  </si>
  <si>
    <t>T3</t>
  </si>
  <si>
    <t>650-950</t>
  </si>
  <si>
    <t>20-30</t>
  </si>
  <si>
    <t>30-50</t>
  </si>
  <si>
    <t>50-80</t>
  </si>
  <si>
    <t>400-650</t>
  </si>
  <si>
    <t>35-45</t>
  </si>
  <si>
    <t>1400-2200</t>
  </si>
  <si>
    <t>2500-4000</t>
  </si>
  <si>
    <t>800-1600</t>
  </si>
  <si>
    <t>1900-3000</t>
  </si>
  <si>
    <t>55-80</t>
  </si>
  <si>
    <t>90-130</t>
  </si>
  <si>
    <t>20% -Т2</t>
  </si>
  <si>
    <t>30% -Т3</t>
  </si>
  <si>
    <t>10% -Урона</t>
  </si>
  <si>
    <t>525-800</t>
  </si>
  <si>
    <t>1100-1900</t>
  </si>
  <si>
    <t>2200-3500</t>
  </si>
  <si>
    <t>27-37</t>
  </si>
  <si>
    <t>42-65</t>
  </si>
  <si>
    <t>70-105</t>
  </si>
  <si>
    <t>10% +Защита (минимум +2)</t>
  </si>
  <si>
    <t>"10/20/10"</t>
  </si>
  <si>
    <t>"-0/15/25"</t>
  </si>
  <si>
    <t>"-0/5/15"</t>
  </si>
  <si>
    <t>15% +Урона</t>
  </si>
  <si>
    <t>5% + НР</t>
  </si>
  <si>
    <t>"-0/10/20"</t>
  </si>
  <si>
    <t>"10/26/20"</t>
  </si>
  <si>
    <t>"---/+10% на золото/+10% на золото"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</si>
</sst>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9"/>
      <color theme="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0" tint="-0.149998474074526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12" xfId="0" applyFill="1" applyBorder="1" applyAlignment="1"/>
    <xf numFmtId="9" fontId="1" fillId="3" borderId="15" xfId="2" applyFont="1" applyFill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6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2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20" fontId="7" fillId="0" borderId="0" xfId="0" applyNumberFormat="1" applyFont="1"/>
    <xf numFmtId="0" fontId="5" fillId="2" borderId="1" xfId="1" applyNumberFormat="1" applyFont="1" applyFill="1" applyBorder="1" applyAlignment="1">
      <alignment horizontal="center"/>
    </xf>
    <xf numFmtId="0" fontId="4" fillId="0" borderId="0" xfId="1" applyNumberFormat="1" applyFont="1" applyBorder="1"/>
    <xf numFmtId="0" fontId="4" fillId="0" borderId="3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8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/>
    <xf numFmtId="0" fontId="0" fillId="0" borderId="0" xfId="1" applyNumberFormat="1" applyFont="1"/>
    <xf numFmtId="0" fontId="6" fillId="0" borderId="12" xfId="0" applyFont="1" applyBorder="1" applyAlignment="1">
      <alignment horizontal="center"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0" xfId="1" applyNumberFormat="1" applyFont="1" applyFill="1" applyBorder="1"/>
    <xf numFmtId="0" fontId="10" fillId="12" borderId="0" xfId="0" applyFont="1" applyFill="1" applyBorder="1" applyAlignment="1">
      <alignment horizontal="center"/>
    </xf>
    <xf numFmtId="0" fontId="11" fillId="0" borderId="0" xfId="1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/>
    <xf numFmtId="0" fontId="0" fillId="0" borderId="0" xfId="0" applyNumberFormat="1"/>
    <xf numFmtId="0" fontId="12" fillId="0" borderId="4" xfId="0" applyFont="1" applyBorder="1"/>
    <xf numFmtId="0" fontId="12" fillId="0" borderId="6" xfId="0" applyFont="1" applyBorder="1"/>
    <xf numFmtId="0" fontId="12" fillId="0" borderId="9" xfId="0" applyFont="1" applyBorder="1"/>
    <xf numFmtId="0" fontId="12" fillId="0" borderId="0" xfId="0" applyFont="1"/>
    <xf numFmtId="0" fontId="6" fillId="0" borderId="8" xfId="0" applyFont="1" applyBorder="1"/>
    <xf numFmtId="0" fontId="6" fillId="0" borderId="0" xfId="0" applyFont="1" applyBorder="1"/>
    <xf numFmtId="0" fontId="6" fillId="0" borderId="3" xfId="0" applyFont="1" applyBorder="1"/>
    <xf numFmtId="0" fontId="4" fillId="5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0" fontId="4" fillId="14" borderId="28" xfId="0" applyFont="1" applyFill="1" applyBorder="1" applyAlignment="1">
      <alignment horizontal="center" vertical="center"/>
    </xf>
    <xf numFmtId="164" fontId="4" fillId="0" borderId="29" xfId="1" applyNumberFormat="1" applyFont="1" applyBorder="1" applyAlignment="1">
      <alignment horizontal="center" vertical="center"/>
    </xf>
    <xf numFmtId="0" fontId="4" fillId="16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64" fontId="4" fillId="0" borderId="34" xfId="1" applyNumberFormat="1" applyFont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3" borderId="23" xfId="0" applyFont="1" applyFill="1" applyBorder="1" applyAlignment="1">
      <alignment horizontal="center" vertical="center"/>
    </xf>
    <xf numFmtId="0" fontId="4" fillId="14" borderId="30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0" fillId="2" borderId="0" xfId="0" applyFill="1"/>
    <xf numFmtId="0" fontId="4" fillId="13" borderId="28" xfId="0" quotePrefix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9" fontId="7" fillId="0" borderId="13" xfId="2" applyFont="1" applyBorder="1" applyAlignment="1">
      <alignment horizontal="center" vertical="center"/>
    </xf>
    <xf numFmtId="9" fontId="7" fillId="0" borderId="22" xfId="2" applyFont="1" applyBorder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Medium9"/>
  <colors>
    <mruColors>
      <color rgb="FFE1E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40"/>
  <sheetViews>
    <sheetView tabSelected="1" zoomScale="85" zoomScaleNormal="85" workbookViewId="0">
      <selection activeCell="E22" sqref="E22"/>
    </sheetView>
  </sheetViews>
  <sheetFormatPr defaultRowHeight="15" x14ac:dyDescent="0.25"/>
  <cols>
    <col min="1" max="1" width="16.140625" bestFit="1" customWidth="1"/>
    <col min="2" max="2" width="4.7109375" bestFit="1" customWidth="1"/>
    <col min="3" max="4" width="3.28515625" customWidth="1"/>
    <col min="5" max="5" width="5" customWidth="1"/>
    <col min="6" max="6" width="5.5703125" customWidth="1"/>
    <col min="7" max="7" width="4" customWidth="1"/>
    <col min="8" max="8" width="5" customWidth="1"/>
    <col min="9" max="9" width="10.42578125" bestFit="1" customWidth="1"/>
    <col min="10" max="10" width="3.7109375" bestFit="1" customWidth="1"/>
    <col min="11" max="11" width="5.28515625" bestFit="1" customWidth="1"/>
    <col min="12" max="12" width="3.42578125" customWidth="1"/>
    <col min="13" max="13" width="4.5703125" customWidth="1"/>
    <col min="14" max="14" width="7" bestFit="1" customWidth="1"/>
    <col min="15" max="15" width="5.140625" customWidth="1"/>
    <col min="16" max="16" width="3.140625" customWidth="1"/>
    <col min="17" max="17" width="4.85546875" customWidth="1"/>
    <col min="18" max="18" width="6.7109375" customWidth="1"/>
    <col min="19" max="19" width="6.140625" style="59" customWidth="1"/>
    <col min="20" max="20" width="3.5703125" customWidth="1"/>
    <col min="21" max="21" width="10.7109375" customWidth="1"/>
    <col min="22" max="22" width="8.42578125" customWidth="1"/>
    <col min="25" max="25" width="10.28515625" bestFit="1" customWidth="1"/>
    <col min="26" max="26" width="6.85546875" bestFit="1" customWidth="1"/>
  </cols>
  <sheetData>
    <row r="1" spans="1:28" x14ac:dyDescent="0.25">
      <c r="A1" s="26"/>
      <c r="B1" s="118"/>
      <c r="C1" s="119"/>
      <c r="D1" s="119"/>
      <c r="E1" s="119"/>
      <c r="F1" s="119"/>
      <c r="G1" s="119"/>
      <c r="H1" s="119"/>
      <c r="I1" s="120"/>
      <c r="J1" s="26"/>
      <c r="K1" s="117"/>
      <c r="L1" s="117"/>
      <c r="M1" s="117"/>
      <c r="N1" s="117"/>
      <c r="O1" s="117"/>
      <c r="P1" s="26"/>
      <c r="Q1" s="112"/>
      <c r="R1" s="113"/>
      <c r="S1" s="113"/>
      <c r="T1" s="113"/>
      <c r="U1" s="113"/>
      <c r="V1" s="114"/>
    </row>
    <row r="2" spans="1:28" ht="15.75" x14ac:dyDescent="0.25">
      <c r="A2" s="50" t="s">
        <v>59</v>
      </c>
      <c r="B2" s="49" t="s">
        <v>115</v>
      </c>
      <c r="C2" s="27" t="s">
        <v>109</v>
      </c>
      <c r="D2" s="27" t="s">
        <v>110</v>
      </c>
      <c r="E2" s="27" t="s">
        <v>3</v>
      </c>
      <c r="F2" s="27" t="s">
        <v>114</v>
      </c>
      <c r="G2" s="27" t="s">
        <v>122</v>
      </c>
      <c r="H2" s="28" t="s">
        <v>116</v>
      </c>
      <c r="I2" s="28" t="s">
        <v>117</v>
      </c>
      <c r="J2" s="29"/>
      <c r="K2" s="27" t="s">
        <v>112</v>
      </c>
      <c r="L2" s="27" t="s">
        <v>111</v>
      </c>
      <c r="M2" s="27"/>
      <c r="N2" s="27" t="s">
        <v>113</v>
      </c>
      <c r="O2" s="28" t="s">
        <v>116</v>
      </c>
      <c r="P2" s="26"/>
      <c r="Q2" s="30" t="s">
        <v>119</v>
      </c>
      <c r="R2" s="28" t="s">
        <v>118</v>
      </c>
      <c r="S2" s="52" t="s">
        <v>116</v>
      </c>
      <c r="T2" s="30" t="s">
        <v>120</v>
      </c>
      <c r="U2" s="30" t="s">
        <v>116</v>
      </c>
      <c r="V2" s="30" t="s">
        <v>121</v>
      </c>
    </row>
    <row r="3" spans="1:28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53"/>
      <c r="T3" s="26"/>
      <c r="U3" s="29"/>
      <c r="V3" s="29"/>
      <c r="X3" s="71"/>
      <c r="Y3" s="8" t="s">
        <v>112</v>
      </c>
      <c r="Z3" s="8" t="s">
        <v>115</v>
      </c>
      <c r="AB3" s="73" t="s">
        <v>147</v>
      </c>
    </row>
    <row r="4" spans="1:28" x14ac:dyDescent="0.25">
      <c r="A4" s="66" t="s">
        <v>9</v>
      </c>
      <c r="B4" s="31">
        <v>11</v>
      </c>
      <c r="C4" s="31">
        <v>1</v>
      </c>
      <c r="D4" s="31">
        <v>2</v>
      </c>
      <c r="E4" s="31">
        <v>1.35</v>
      </c>
      <c r="F4" s="31">
        <f>(2*B4+C4+D4)/(E4*2)</f>
        <v>9.2592592592592595</v>
      </c>
      <c r="G4" s="31"/>
      <c r="H4" s="31">
        <f>F4*5.3544563483342</f>
        <v>49.578299521612962</v>
      </c>
      <c r="I4" s="32">
        <v>1</v>
      </c>
      <c r="J4" s="33"/>
      <c r="K4" s="34">
        <v>210</v>
      </c>
      <c r="L4" s="31">
        <v>2</v>
      </c>
      <c r="M4" s="31">
        <v>0.06</v>
      </c>
      <c r="N4" s="31">
        <f>K4*(L4*M4+1)</f>
        <v>235.20000000000002</v>
      </c>
      <c r="O4" s="32">
        <f>N4*0.18159375101708</f>
        <v>42.710850239217223</v>
      </c>
      <c r="P4" s="33"/>
      <c r="Q4" s="74"/>
      <c r="R4" s="31">
        <v>15</v>
      </c>
      <c r="S4" s="54">
        <f>(H4+O4+R4)*I4</f>
        <v>107.28914976083018</v>
      </c>
      <c r="T4" s="31"/>
      <c r="U4" s="89">
        <f>(H4+O4+R4)*I4</f>
        <v>107.28914976083018</v>
      </c>
      <c r="V4" s="83"/>
      <c r="X4" s="8" t="s">
        <v>123</v>
      </c>
      <c r="Y4" s="8" t="s">
        <v>126</v>
      </c>
      <c r="Z4" s="8" t="s">
        <v>127</v>
      </c>
      <c r="AB4" s="8" t="s">
        <v>140</v>
      </c>
    </row>
    <row r="5" spans="1:28" x14ac:dyDescent="0.25">
      <c r="A5" s="66" t="s">
        <v>16</v>
      </c>
      <c r="B5" s="33">
        <v>19</v>
      </c>
      <c r="C5" s="33">
        <v>1</v>
      </c>
      <c r="D5" s="33">
        <v>3</v>
      </c>
      <c r="E5" s="33">
        <v>1.35</v>
      </c>
      <c r="F5" s="33">
        <f t="shared" ref="F5" si="0">(2*B5+C5+D5)/(E5*2)</f>
        <v>15.555555555555555</v>
      </c>
      <c r="G5" s="33"/>
      <c r="H5" s="33">
        <f t="shared" ref="H5:H6" si="1">F5*5.3544563483342</f>
        <v>83.291543196309775</v>
      </c>
      <c r="I5" s="35">
        <v>1</v>
      </c>
      <c r="J5" s="33"/>
      <c r="K5" s="36">
        <v>340</v>
      </c>
      <c r="L5" s="33">
        <v>3</v>
      </c>
      <c r="M5" s="33">
        <v>0.06</v>
      </c>
      <c r="N5" s="33">
        <f>K5*(L5*M5+1)</f>
        <v>401.2</v>
      </c>
      <c r="O5" s="35">
        <f>N5*0.18159375101708</f>
        <v>72.8554129080525</v>
      </c>
      <c r="P5" s="33"/>
      <c r="Q5" s="75">
        <f>U4*1</f>
        <v>107.28914976083018</v>
      </c>
      <c r="R5" s="33">
        <v>17</v>
      </c>
      <c r="S5" s="55">
        <f>U5-Q5</f>
        <v>65.857806343532104</v>
      </c>
      <c r="T5" s="37">
        <f>S5/(U5-U4)</f>
        <v>1</v>
      </c>
      <c r="U5" s="88">
        <f>(H5+O5+R5)*I5</f>
        <v>173.14695610436229</v>
      </c>
      <c r="V5" s="84">
        <f>S4+S5</f>
        <v>173.14695610436229</v>
      </c>
      <c r="X5" s="8" t="s">
        <v>124</v>
      </c>
      <c r="Y5" s="8" t="s">
        <v>132</v>
      </c>
      <c r="Z5" s="8" t="s">
        <v>128</v>
      </c>
      <c r="AB5" s="8"/>
    </row>
    <row r="6" spans="1:28" x14ac:dyDescent="0.25">
      <c r="A6" s="66" t="s">
        <v>11</v>
      </c>
      <c r="B6" s="38">
        <v>33</v>
      </c>
      <c r="C6" s="38">
        <v>1</v>
      </c>
      <c r="D6" s="38">
        <v>2</v>
      </c>
      <c r="E6" s="38">
        <v>1.3</v>
      </c>
      <c r="F6" s="38">
        <f t="shared" ref="F6" si="2">(2*B6+C6+D6)/(E6*2)</f>
        <v>26.538461538461537</v>
      </c>
      <c r="G6" s="38"/>
      <c r="H6" s="38">
        <f t="shared" si="1"/>
        <v>142.09903385963835</v>
      </c>
      <c r="I6" s="39">
        <v>1</v>
      </c>
      <c r="J6" s="33"/>
      <c r="K6" s="40">
        <v>700</v>
      </c>
      <c r="L6" s="38">
        <v>4</v>
      </c>
      <c r="M6" s="38">
        <v>0.06</v>
      </c>
      <c r="N6" s="38">
        <f>K6*(L6*M6+1)</f>
        <v>868</v>
      </c>
      <c r="O6" s="39">
        <f>N6*0.18159375101708</f>
        <v>157.62337588282543</v>
      </c>
      <c r="P6" s="33"/>
      <c r="Q6" s="76">
        <f>U5*1</f>
        <v>173.14695610436229</v>
      </c>
      <c r="R6" s="38">
        <v>30</v>
      </c>
      <c r="S6" s="56">
        <f>U6-Q6</f>
        <v>156.57545363810152</v>
      </c>
      <c r="T6" s="41">
        <f>S6/(U6-U5)</f>
        <v>1</v>
      </c>
      <c r="U6" s="87">
        <f>(H6+O6+R6)*I6</f>
        <v>329.72240974246381</v>
      </c>
      <c r="V6" s="85">
        <f>S4+S5+S6</f>
        <v>329.72240974246381</v>
      </c>
      <c r="X6" s="8" t="s">
        <v>125</v>
      </c>
      <c r="Y6" s="8" t="s">
        <v>133</v>
      </c>
      <c r="Z6" s="8" t="s">
        <v>129</v>
      </c>
      <c r="AB6" s="8"/>
    </row>
    <row r="7" spans="1:28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77"/>
      <c r="R7" s="42"/>
      <c r="S7" s="57"/>
      <c r="T7" s="42"/>
      <c r="U7" s="26"/>
      <c r="V7" s="86"/>
      <c r="X7" s="8"/>
      <c r="Y7" s="8"/>
      <c r="Z7" s="8"/>
    </row>
    <row r="8" spans="1:28" x14ac:dyDescent="0.25">
      <c r="A8" s="68" t="s">
        <v>10</v>
      </c>
      <c r="B8" s="31">
        <v>23</v>
      </c>
      <c r="C8" s="31">
        <v>1</v>
      </c>
      <c r="D8" s="31">
        <v>4</v>
      </c>
      <c r="E8" s="31">
        <v>1.5</v>
      </c>
      <c r="F8" s="31">
        <f>(2*B8+C8+D8)/(E8*2)</f>
        <v>17</v>
      </c>
      <c r="G8" s="31">
        <v>400</v>
      </c>
      <c r="H8" s="31">
        <f>F8*5.3544563483342</f>
        <v>91.025757921681389</v>
      </c>
      <c r="I8" s="32">
        <f>(500/F8)/((500/F8)-(G8/300))</f>
        <v>1.0474860335195531</v>
      </c>
      <c r="J8" s="33"/>
      <c r="K8" s="34">
        <v>230</v>
      </c>
      <c r="L8" s="31">
        <v>1</v>
      </c>
      <c r="M8" s="31">
        <v>0.06</v>
      </c>
      <c r="N8" s="31">
        <f>K8*(L8*M8+1)</f>
        <v>243.8</v>
      </c>
      <c r="O8" s="32">
        <f>N8*0.18159375101708</f>
        <v>44.272556497964104</v>
      </c>
      <c r="P8" s="33"/>
      <c r="Q8" s="74"/>
      <c r="R8" s="31">
        <v>12</v>
      </c>
      <c r="S8" s="54">
        <f>(H8+O8+R8+Q8)*I8</f>
        <v>154.29292711555044</v>
      </c>
      <c r="T8" s="31"/>
      <c r="U8" s="89">
        <f>(H8+O8+R8)*I8</f>
        <v>154.29292711555044</v>
      </c>
      <c r="V8" s="83"/>
      <c r="X8" s="72"/>
      <c r="Y8" s="8" t="s">
        <v>112</v>
      </c>
      <c r="Z8" s="8" t="s">
        <v>115</v>
      </c>
    </row>
    <row r="9" spans="1:28" x14ac:dyDescent="0.25">
      <c r="A9" s="68" t="s">
        <v>21</v>
      </c>
      <c r="B9" s="33">
        <v>33</v>
      </c>
      <c r="C9" s="33">
        <v>1</v>
      </c>
      <c r="D9" s="33">
        <v>5</v>
      </c>
      <c r="E9" s="33">
        <v>1.38</v>
      </c>
      <c r="F9" s="33">
        <f>(2*B9+C9+D9)/(E9*2)</f>
        <v>26.086956521739133</v>
      </c>
      <c r="G9" s="33">
        <v>475</v>
      </c>
      <c r="H9" s="33">
        <f>F9*5.3544563483342</f>
        <v>139.68146995654436</v>
      </c>
      <c r="I9" s="35">
        <f t="shared" ref="I9:I10" si="3">(500/F9)/((500/F9)-(G9/300))</f>
        <v>1.0900473933649288</v>
      </c>
      <c r="J9" s="33"/>
      <c r="K9" s="36">
        <v>317</v>
      </c>
      <c r="L9" s="33">
        <v>1</v>
      </c>
      <c r="M9" s="33">
        <v>0.06</v>
      </c>
      <c r="N9" s="33">
        <f>K9*(L9*M9+1)</f>
        <v>336.02000000000004</v>
      </c>
      <c r="O9" s="35">
        <f>N9*0.18159375101708</f>
        <v>61.019132216759232</v>
      </c>
      <c r="P9" s="33"/>
      <c r="Q9" s="75">
        <f>U8*1</f>
        <v>154.29292711555044</v>
      </c>
      <c r="R9" s="33">
        <v>5.9</v>
      </c>
      <c r="S9" s="55">
        <f>U9-Q9</f>
        <v>70.911520751083799</v>
      </c>
      <c r="T9" s="37">
        <f>S9/(U9-U8)</f>
        <v>1</v>
      </c>
      <c r="U9" s="88">
        <f>(H9+O9+R9)*I9</f>
        <v>225.20444786663424</v>
      </c>
      <c r="V9" s="84">
        <f>S8+S9</f>
        <v>225.20444786663424</v>
      </c>
      <c r="X9" s="8" t="s">
        <v>123</v>
      </c>
      <c r="Y9" s="8" t="s">
        <v>130</v>
      </c>
      <c r="Z9" s="8" t="s">
        <v>131</v>
      </c>
    </row>
    <row r="10" spans="1:28" x14ac:dyDescent="0.25">
      <c r="A10" s="68" t="s">
        <v>22</v>
      </c>
      <c r="B10" s="38">
        <v>51</v>
      </c>
      <c r="C10" s="38">
        <v>1</v>
      </c>
      <c r="D10" s="38">
        <v>8</v>
      </c>
      <c r="E10" s="38">
        <v>1.31</v>
      </c>
      <c r="F10" s="38">
        <f>(2*B10+C10+D10)/(E10*2)</f>
        <v>42.366412213740453</v>
      </c>
      <c r="G10" s="38">
        <v>550</v>
      </c>
      <c r="H10" s="38">
        <f>F10*5.3544563483342</f>
        <v>226.84910483400614</v>
      </c>
      <c r="I10" s="39">
        <f t="shared" si="3"/>
        <v>1.183913239945775</v>
      </c>
      <c r="J10" s="33"/>
      <c r="K10" s="40">
        <v>550</v>
      </c>
      <c r="L10" s="38">
        <v>2</v>
      </c>
      <c r="M10" s="38">
        <v>0.06</v>
      </c>
      <c r="N10" s="38">
        <f>K10*(L10*M10+1)</f>
        <v>616.00000000000011</v>
      </c>
      <c r="O10" s="39">
        <f>N10*0.18159375101708</f>
        <v>111.8617506265213</v>
      </c>
      <c r="P10" s="33"/>
      <c r="Q10" s="76">
        <f>U9*1</f>
        <v>225.20444786663424</v>
      </c>
      <c r="R10" s="38">
        <v>40</v>
      </c>
      <c r="S10" s="56">
        <f>U10-Q10</f>
        <v>223.15634802427493</v>
      </c>
      <c r="T10" s="41">
        <f>S10/(U10-U9)</f>
        <v>1</v>
      </c>
      <c r="U10" s="87">
        <f>(H10+O10+R10)*I10</f>
        <v>448.36079589090917</v>
      </c>
      <c r="V10" s="85">
        <f>S8+S9+S10</f>
        <v>448.36079589090917</v>
      </c>
      <c r="X10" s="8" t="s">
        <v>124</v>
      </c>
      <c r="Y10" s="8" t="s">
        <v>134</v>
      </c>
      <c r="Z10" s="8" t="s">
        <v>136</v>
      </c>
    </row>
    <row r="11" spans="1:28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78"/>
      <c r="R11" s="26"/>
      <c r="S11" s="53"/>
      <c r="T11" s="26"/>
      <c r="U11" s="26"/>
      <c r="V11" s="78"/>
      <c r="X11" s="8" t="s">
        <v>125</v>
      </c>
      <c r="Y11" s="8" t="s">
        <v>135</v>
      </c>
      <c r="Z11" s="8" t="s">
        <v>137</v>
      </c>
    </row>
    <row r="12" spans="1:28" x14ac:dyDescent="0.25">
      <c r="A12" s="69" t="s">
        <v>24</v>
      </c>
      <c r="B12" s="31">
        <v>24</v>
      </c>
      <c r="C12" s="31">
        <v>1</v>
      </c>
      <c r="D12" s="31">
        <v>2</v>
      </c>
      <c r="E12" s="31">
        <v>1.7</v>
      </c>
      <c r="F12" s="31">
        <f>(2*B12+C12+D12)/(E12*2)</f>
        <v>15</v>
      </c>
      <c r="G12" s="31">
        <v>600</v>
      </c>
      <c r="H12" s="31">
        <f>F12*5.3544563483342</f>
        <v>80.316845225012997</v>
      </c>
      <c r="I12" s="32">
        <f>(500/F12)/((500/F12)-(G12/300))</f>
        <v>1.0638297872340425</v>
      </c>
      <c r="J12" s="33"/>
      <c r="K12" s="34">
        <v>190</v>
      </c>
      <c r="L12" s="31">
        <v>0</v>
      </c>
      <c r="M12" s="31">
        <v>0.06</v>
      </c>
      <c r="N12" s="31">
        <f>K12*(L12*M12+1)</f>
        <v>190</v>
      </c>
      <c r="O12" s="32">
        <f>N12*0.18159375101708</f>
        <v>34.502812693245197</v>
      </c>
      <c r="P12" s="33"/>
      <c r="Q12" s="74"/>
      <c r="R12" s="31">
        <v>67.55</v>
      </c>
      <c r="S12" s="54">
        <f>(H12+O12+R12)*I12</f>
        <v>194.01027438112575</v>
      </c>
      <c r="T12" s="31"/>
      <c r="U12" s="89">
        <f>(H12+O12+R12)*I12</f>
        <v>194.01027438112575</v>
      </c>
      <c r="V12" s="83"/>
      <c r="X12" s="8"/>
      <c r="Y12" s="8"/>
      <c r="Z12" s="8"/>
    </row>
    <row r="13" spans="1:28" x14ac:dyDescent="0.25">
      <c r="A13" s="69" t="s">
        <v>25</v>
      </c>
      <c r="B13" s="33">
        <v>36</v>
      </c>
      <c r="C13" s="33">
        <v>1</v>
      </c>
      <c r="D13" s="33">
        <v>1</v>
      </c>
      <c r="E13" s="33">
        <v>1.73</v>
      </c>
      <c r="F13" s="33">
        <f t="shared" ref="F13:F14" si="4">(2*B13+C13+D13)/(E13*2)</f>
        <v>21.387283236994222</v>
      </c>
      <c r="G13" s="33">
        <v>600</v>
      </c>
      <c r="H13" s="33">
        <f t="shared" ref="H13:H14" si="5">F13*5.3544563483342</f>
        <v>114.51727450194532</v>
      </c>
      <c r="I13" s="35">
        <f t="shared" ref="I13:I14" si="6">(500/F13)/((500/F13)-(G13/300))</f>
        <v>1.0935524652338813</v>
      </c>
      <c r="J13" s="33"/>
      <c r="K13" s="36">
        <v>273</v>
      </c>
      <c r="L13" s="33">
        <v>1</v>
      </c>
      <c r="M13" s="33">
        <v>0.06</v>
      </c>
      <c r="N13" s="33">
        <f>K13*(L13*M13+1)</f>
        <v>289.38</v>
      </c>
      <c r="O13" s="35">
        <f>N13*0.18159375101708</f>
        <v>52.54959966932261</v>
      </c>
      <c r="P13" s="33"/>
      <c r="Q13" s="75">
        <f>U12*1</f>
        <v>194.01027438112575</v>
      </c>
      <c r="R13" s="33">
        <v>85.6</v>
      </c>
      <c r="S13" s="55">
        <f>U13-Q13</f>
        <v>82.294208751803154</v>
      </c>
      <c r="T13" s="37">
        <f>S13/(U13-U12)</f>
        <v>1</v>
      </c>
      <c r="U13" s="88">
        <f>(H13+O13+R13)*I13</f>
        <v>276.30448313292891</v>
      </c>
      <c r="V13" s="84">
        <f>S12+S13</f>
        <v>276.30448313292891</v>
      </c>
      <c r="X13" s="80"/>
      <c r="Y13" s="8" t="s">
        <v>112</v>
      </c>
      <c r="Z13" s="8" t="s">
        <v>115</v>
      </c>
    </row>
    <row r="14" spans="1:28" x14ac:dyDescent="0.25">
      <c r="A14" s="69" t="s">
        <v>26</v>
      </c>
      <c r="B14" s="38">
        <v>40</v>
      </c>
      <c r="C14" s="38">
        <v>1</v>
      </c>
      <c r="D14" s="38">
        <v>1</v>
      </c>
      <c r="E14" s="38">
        <v>1.74</v>
      </c>
      <c r="F14" s="38">
        <f t="shared" si="4"/>
        <v>23.563218390804597</v>
      </c>
      <c r="G14" s="38">
        <v>600</v>
      </c>
      <c r="H14" s="38">
        <f t="shared" si="5"/>
        <v>126.16822429982884</v>
      </c>
      <c r="I14" s="39">
        <f t="shared" si="6"/>
        <v>1.1040609137055837</v>
      </c>
      <c r="J14" s="33"/>
      <c r="K14" s="40">
        <v>520</v>
      </c>
      <c r="L14" s="38">
        <v>2</v>
      </c>
      <c r="M14" s="38">
        <v>0.06</v>
      </c>
      <c r="N14" s="38">
        <f>K14*(L14*M14+1)</f>
        <v>582.40000000000009</v>
      </c>
      <c r="O14" s="39">
        <f>N14*0.18159375101708</f>
        <v>105.7602005923474</v>
      </c>
      <c r="P14" s="33"/>
      <c r="Q14" s="76">
        <f>U13*1</f>
        <v>276.30448313292891</v>
      </c>
      <c r="R14" s="38">
        <v>93.05</v>
      </c>
      <c r="S14" s="56">
        <f>U14-Q14</f>
        <v>82.491493588128606</v>
      </c>
      <c r="T14" s="41">
        <f>S14/(U14-U13)</f>
        <v>1</v>
      </c>
      <c r="U14" s="87">
        <f>(H14+O14+R14)*I14</f>
        <v>358.79597672105751</v>
      </c>
      <c r="V14" s="85">
        <f>S12+S13+S14</f>
        <v>358.79597672105751</v>
      </c>
      <c r="X14" s="8" t="s">
        <v>123</v>
      </c>
      <c r="Y14" s="8" t="s">
        <v>141</v>
      </c>
      <c r="Z14" s="8" t="s">
        <v>144</v>
      </c>
    </row>
    <row r="15" spans="1:28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79"/>
      <c r="R15" s="26"/>
      <c r="S15" s="53"/>
      <c r="T15" s="26"/>
      <c r="U15" s="26"/>
      <c r="V15" s="78"/>
      <c r="X15" s="8" t="s">
        <v>124</v>
      </c>
      <c r="Y15" s="8" t="s">
        <v>142</v>
      </c>
      <c r="Z15" s="8" t="s">
        <v>145</v>
      </c>
    </row>
    <row r="16" spans="1:28" x14ac:dyDescent="0.25">
      <c r="A16" s="67" t="s">
        <v>34</v>
      </c>
      <c r="B16" s="31">
        <v>38</v>
      </c>
      <c r="C16" s="31">
        <v>1</v>
      </c>
      <c r="D16" s="31">
        <v>5</v>
      </c>
      <c r="E16" s="31">
        <v>2.2000000000000002</v>
      </c>
      <c r="F16" s="31">
        <f>(2*B16+C16+D16)/(E16*2)</f>
        <v>18.636363636363633</v>
      </c>
      <c r="G16" s="31"/>
      <c r="H16" s="31">
        <f>F16*5.3544563483342</f>
        <v>99.787595582591891</v>
      </c>
      <c r="I16" s="32">
        <v>1</v>
      </c>
      <c r="J16" s="33"/>
      <c r="K16" s="34">
        <v>490</v>
      </c>
      <c r="L16" s="31">
        <v>3</v>
      </c>
      <c r="M16" s="31">
        <v>0.06</v>
      </c>
      <c r="N16" s="31">
        <f>K16*(L16*M16+1)</f>
        <v>578.19999999999993</v>
      </c>
      <c r="O16" s="32">
        <f>N16*0.18159375101708</f>
        <v>104.99750683807565</v>
      </c>
      <c r="P16" s="33"/>
      <c r="Q16" s="74">
        <f>U15*1</f>
        <v>0</v>
      </c>
      <c r="R16" s="31">
        <f>U4</f>
        <v>107.28914976083018</v>
      </c>
      <c r="S16" s="54">
        <f>(H16+O16+R16)*I16</f>
        <v>312.07425218149774</v>
      </c>
      <c r="T16" s="31"/>
      <c r="U16" s="89">
        <f>(H16+O16+R16)*I16</f>
        <v>312.07425218149774</v>
      </c>
      <c r="V16" s="83"/>
      <c r="X16" s="8" t="s">
        <v>125</v>
      </c>
      <c r="Y16" s="8" t="s">
        <v>143</v>
      </c>
      <c r="Z16" s="8" t="s">
        <v>146</v>
      </c>
    </row>
    <row r="17" spans="1:39" x14ac:dyDescent="0.25">
      <c r="A17" s="67" t="s">
        <v>33</v>
      </c>
      <c r="B17" s="33">
        <v>70</v>
      </c>
      <c r="C17" s="33">
        <v>1</v>
      </c>
      <c r="D17" s="33">
        <v>8</v>
      </c>
      <c r="E17" s="33">
        <v>2</v>
      </c>
      <c r="F17" s="33">
        <f t="shared" ref="F17" si="7">(2*B17+C17+D17)/(E17*2)</f>
        <v>37.25</v>
      </c>
      <c r="G17" s="33"/>
      <c r="H17" s="33">
        <f t="shared" ref="H17:H18" si="8">F17*5.3544563483342</f>
        <v>199.45349897544892</v>
      </c>
      <c r="I17" s="35">
        <v>1</v>
      </c>
      <c r="J17" s="33"/>
      <c r="K17" s="36">
        <v>817</v>
      </c>
      <c r="L17" s="33">
        <v>7</v>
      </c>
      <c r="M17" s="33">
        <v>0.06</v>
      </c>
      <c r="N17" s="33">
        <f>K17*(L17*M17+1)</f>
        <v>1160.1399999999999</v>
      </c>
      <c r="O17" s="35">
        <f>N17*0.18159375101708</f>
        <v>210.67417430495516</v>
      </c>
      <c r="P17" s="33"/>
      <c r="Q17" s="75">
        <f>U16*1</f>
        <v>312.07425218149774</v>
      </c>
      <c r="R17" s="33">
        <f>U5</f>
        <v>173.14695610436229</v>
      </c>
      <c r="S17" s="55">
        <f>U17-Q17</f>
        <v>271.20037720326866</v>
      </c>
      <c r="T17" s="37">
        <f>S17/(U17-U16)</f>
        <v>1</v>
      </c>
      <c r="U17" s="88">
        <f>(H17+O17+R17)*I17</f>
        <v>583.2746293847664</v>
      </c>
      <c r="V17" s="84">
        <f>S16+S17</f>
        <v>583.2746293847664</v>
      </c>
    </row>
    <row r="18" spans="1:39" x14ac:dyDescent="0.25">
      <c r="A18" s="67" t="s">
        <v>35</v>
      </c>
      <c r="B18" s="38">
        <v>76</v>
      </c>
      <c r="C18" s="38">
        <v>1</v>
      </c>
      <c r="D18" s="38">
        <v>7</v>
      </c>
      <c r="E18" s="38">
        <v>1.79</v>
      </c>
      <c r="F18" s="38">
        <f>(2*B18+C18+D18)/(E18*2)</f>
        <v>44.692737430167597</v>
      </c>
      <c r="G18" s="38"/>
      <c r="H18" s="38">
        <f t="shared" si="8"/>
        <v>239.30531165739438</v>
      </c>
      <c r="I18" s="39">
        <v>1</v>
      </c>
      <c r="J18" s="33"/>
      <c r="K18" s="40">
        <v>1009</v>
      </c>
      <c r="L18" s="38">
        <v>12</v>
      </c>
      <c r="M18" s="38">
        <v>0.06</v>
      </c>
      <c r="N18" s="38">
        <f>K18*(L18*M18+1)</f>
        <v>1735.48</v>
      </c>
      <c r="O18" s="39">
        <f>N18*0.18159375101708</f>
        <v>315.15232301512202</v>
      </c>
      <c r="P18" s="33"/>
      <c r="Q18" s="76">
        <f>U17*1</f>
        <v>583.2746293847664</v>
      </c>
      <c r="R18" s="38">
        <f>U6</f>
        <v>329.72240974246381</v>
      </c>
      <c r="S18" s="56">
        <f>U18-Q18</f>
        <v>300.90541503021382</v>
      </c>
      <c r="T18" s="41">
        <f>S18/(U18-U17)</f>
        <v>1</v>
      </c>
      <c r="U18" s="87">
        <f>(H18+O18+R18)*I18</f>
        <v>884.18004441498022</v>
      </c>
      <c r="V18" s="85">
        <f>S16+S17+S18</f>
        <v>884.18004441498022</v>
      </c>
      <c r="X18" s="81"/>
      <c r="Y18" s="82" t="s">
        <v>148</v>
      </c>
    </row>
    <row r="19" spans="1:39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79"/>
      <c r="R19" s="26"/>
      <c r="S19" s="53"/>
      <c r="T19" s="26"/>
      <c r="U19" s="26"/>
      <c r="V19" s="86"/>
      <c r="X19" s="110"/>
      <c r="Y19" s="82" t="s">
        <v>149</v>
      </c>
    </row>
    <row r="20" spans="1:39" x14ac:dyDescent="0.25">
      <c r="A20" s="69" t="s">
        <v>51</v>
      </c>
      <c r="B20" s="31">
        <v>34</v>
      </c>
      <c r="C20" s="31">
        <v>1</v>
      </c>
      <c r="D20" s="31">
        <v>2</v>
      </c>
      <c r="E20" s="31">
        <v>1.5</v>
      </c>
      <c r="F20" s="31">
        <f>(2*B20+C20+D20)/(E20*2)</f>
        <v>23.666666666666668</v>
      </c>
      <c r="G20" s="31">
        <v>575</v>
      </c>
      <c r="H20" s="31">
        <f>F20*5.3544563483342</f>
        <v>126.72213357724273</v>
      </c>
      <c r="I20" s="32">
        <v>1</v>
      </c>
      <c r="J20" s="33"/>
      <c r="K20" s="34">
        <v>400</v>
      </c>
      <c r="L20" s="31">
        <v>1</v>
      </c>
      <c r="M20" s="31">
        <v>0.06</v>
      </c>
      <c r="N20" s="31">
        <f>K20*(L20*M20+1)</f>
        <v>424</v>
      </c>
      <c r="O20" s="32">
        <f>N20*0.18159375101708</f>
        <v>76.995750431241916</v>
      </c>
      <c r="P20" s="33"/>
      <c r="Q20" s="74">
        <f>U19*1</f>
        <v>0</v>
      </c>
      <c r="R20" s="31">
        <v>30</v>
      </c>
      <c r="S20" s="54">
        <f>(H20+O20+R20)*I20</f>
        <v>233.71788400848465</v>
      </c>
      <c r="T20" s="31"/>
      <c r="U20" s="89">
        <f>(H20+O20+R20)*I20</f>
        <v>233.71788400848465</v>
      </c>
      <c r="V20" s="83"/>
    </row>
    <row r="21" spans="1:39" x14ac:dyDescent="0.25">
      <c r="A21" s="69" t="s">
        <v>52</v>
      </c>
      <c r="B21" s="33">
        <v>39</v>
      </c>
      <c r="C21" s="33">
        <v>1</v>
      </c>
      <c r="D21" s="33">
        <v>2</v>
      </c>
      <c r="E21" s="33">
        <v>1.45</v>
      </c>
      <c r="F21" s="33">
        <f t="shared" ref="F21:F22" si="9">(2*B21+C21+D21)/(E21*2)</f>
        <v>27.931034482758623</v>
      </c>
      <c r="G21" s="33">
        <v>575</v>
      </c>
      <c r="H21" s="33">
        <f t="shared" ref="H21:H22" si="10">F21*5.3544563483342</f>
        <v>149.55550490174835</v>
      </c>
      <c r="I21" s="35">
        <v>1</v>
      </c>
      <c r="J21" s="33"/>
      <c r="K21" s="36">
        <v>480</v>
      </c>
      <c r="L21" s="33">
        <v>2</v>
      </c>
      <c r="M21" s="33">
        <v>0.06</v>
      </c>
      <c r="N21" s="33">
        <f>K21*(L21*M21+1)</f>
        <v>537.6</v>
      </c>
      <c r="O21" s="35">
        <f>N21*0.18159375101708</f>
        <v>97.624800546782211</v>
      </c>
      <c r="P21" s="33"/>
      <c r="Q21" s="75">
        <f>U20*1</f>
        <v>233.71788400848465</v>
      </c>
      <c r="R21" s="33">
        <v>70</v>
      </c>
      <c r="S21" s="55">
        <f>U21-Q21</f>
        <v>83.462421440045944</v>
      </c>
      <c r="T21" s="37">
        <f>S21/(U21-U20)</f>
        <v>1</v>
      </c>
      <c r="U21" s="88">
        <f>(H21+O21+R21)*I21</f>
        <v>317.18030544853059</v>
      </c>
      <c r="V21" s="84">
        <f>S20+S21</f>
        <v>317.18030544853059</v>
      </c>
    </row>
    <row r="22" spans="1:39" x14ac:dyDescent="0.25">
      <c r="A22" s="69" t="s">
        <v>50</v>
      </c>
      <c r="B22" s="38">
        <v>74</v>
      </c>
      <c r="C22" s="38">
        <v>1</v>
      </c>
      <c r="D22" s="38">
        <v>2</v>
      </c>
      <c r="E22" s="38">
        <v>1.2</v>
      </c>
      <c r="F22" s="38">
        <f t="shared" si="9"/>
        <v>62.916666666666671</v>
      </c>
      <c r="G22" s="38">
        <v>575</v>
      </c>
      <c r="H22" s="38">
        <f t="shared" si="10"/>
        <v>336.88454524936009</v>
      </c>
      <c r="I22" s="39">
        <v>1</v>
      </c>
      <c r="J22" s="33"/>
      <c r="K22" s="40">
        <v>1200</v>
      </c>
      <c r="L22" s="38">
        <v>5</v>
      </c>
      <c r="M22" s="38">
        <v>0.06</v>
      </c>
      <c r="N22" s="38">
        <f>K22*(L22*M22+1)</f>
        <v>1560</v>
      </c>
      <c r="O22" s="39">
        <f>N22*0.18159375101708</f>
        <v>283.28625158664482</v>
      </c>
      <c r="P22" s="33"/>
      <c r="Q22" s="76">
        <f>U21*1</f>
        <v>317.18030544853059</v>
      </c>
      <c r="R22" s="38">
        <v>100</v>
      </c>
      <c r="S22" s="56">
        <f>U22-Q22</f>
        <v>402.99049138747432</v>
      </c>
      <c r="T22" s="41">
        <f>S22/(U22-U21)</f>
        <v>1</v>
      </c>
      <c r="U22" s="87">
        <f>(H22+O22+R22)*I22</f>
        <v>720.17079683600491</v>
      </c>
      <c r="V22" s="85">
        <f>S20+S21+S22</f>
        <v>720.17079683600491</v>
      </c>
    </row>
    <row r="23" spans="1:39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79"/>
      <c r="R23" s="26"/>
      <c r="S23" s="53"/>
      <c r="T23" s="26"/>
      <c r="U23" s="26"/>
      <c r="V23" s="86"/>
    </row>
    <row r="24" spans="1:39" x14ac:dyDescent="0.25">
      <c r="A24" s="68" t="s">
        <v>53</v>
      </c>
      <c r="B24" s="34">
        <v>26</v>
      </c>
      <c r="C24" s="31">
        <v>1</v>
      </c>
      <c r="D24" s="31">
        <v>9</v>
      </c>
      <c r="E24" s="31">
        <v>0.9</v>
      </c>
      <c r="F24" s="31">
        <f>(2*B24+C24+D24)/(E24*2)</f>
        <v>34.444444444444443</v>
      </c>
      <c r="G24" s="31"/>
      <c r="H24" s="31">
        <f>(F24*5.3544563483342)*1.33</f>
        <v>245.29359471313231</v>
      </c>
      <c r="I24" s="32">
        <v>1</v>
      </c>
      <c r="J24" s="33"/>
      <c r="K24" s="34">
        <v>350</v>
      </c>
      <c r="L24" s="31">
        <v>2</v>
      </c>
      <c r="M24" s="31">
        <v>0.06</v>
      </c>
      <c r="N24" s="31">
        <f>K24*(L24*M24+1)</f>
        <v>392.00000000000006</v>
      </c>
      <c r="O24" s="32">
        <f>N24*0.18159375101708</f>
        <v>71.184750398695371</v>
      </c>
      <c r="P24" s="33"/>
      <c r="Q24" s="74">
        <f>U23*1</f>
        <v>0</v>
      </c>
      <c r="R24" s="31">
        <v>0</v>
      </c>
      <c r="S24" s="54">
        <f>(H24+O24+R24)*I24</f>
        <v>316.47834511182771</v>
      </c>
      <c r="T24" s="31"/>
      <c r="U24" s="89">
        <f>(H24+O24+R24)*I24</f>
        <v>316.47834511182771</v>
      </c>
      <c r="V24" s="83"/>
    </row>
    <row r="25" spans="1:39" x14ac:dyDescent="0.25">
      <c r="A25" s="68" t="s">
        <v>54</v>
      </c>
      <c r="B25" s="36">
        <v>52</v>
      </c>
      <c r="C25" s="33">
        <v>1</v>
      </c>
      <c r="D25" s="33">
        <v>9</v>
      </c>
      <c r="E25" s="33">
        <v>0.87</v>
      </c>
      <c r="F25" s="33">
        <f t="shared" ref="F25:F26" si="11">(2*B25+C25+D25)/(E25*2)</f>
        <v>65.517241379310349</v>
      </c>
      <c r="G25" s="33"/>
      <c r="H25" s="33">
        <f>(F25*5.3544563483342)*1.33</f>
        <v>466.57624800829393</v>
      </c>
      <c r="I25" s="35">
        <v>1</v>
      </c>
      <c r="J25" s="33"/>
      <c r="K25" s="36">
        <v>588</v>
      </c>
      <c r="L25" s="33">
        <v>2</v>
      </c>
      <c r="M25" s="33">
        <v>0.06</v>
      </c>
      <c r="N25" s="33">
        <f>K25*(L25*M25+1)</f>
        <v>658.56000000000006</v>
      </c>
      <c r="O25" s="35">
        <f>N25*0.18159375101708</f>
        <v>119.59038066980821</v>
      </c>
      <c r="P25" s="33"/>
      <c r="Q25" s="75">
        <f>U24*1</f>
        <v>316.47834511182771</v>
      </c>
      <c r="R25" s="33">
        <v>0</v>
      </c>
      <c r="S25" s="55">
        <f>U25-Q25</f>
        <v>269.68828356627444</v>
      </c>
      <c r="T25" s="37">
        <f>S25/(U25-U24)</f>
        <v>1</v>
      </c>
      <c r="U25" s="88">
        <f>(H25+O25+R25)*I25</f>
        <v>586.16662867810214</v>
      </c>
      <c r="V25" s="84">
        <f>S24+S25</f>
        <v>586.16662867810214</v>
      </c>
    </row>
    <row r="26" spans="1:39" x14ac:dyDescent="0.25">
      <c r="A26" s="68" t="s">
        <v>55</v>
      </c>
      <c r="B26" s="40">
        <v>63</v>
      </c>
      <c r="C26" s="38">
        <v>1</v>
      </c>
      <c r="D26" s="38">
        <v>9</v>
      </c>
      <c r="E26" s="38">
        <v>0.86</v>
      </c>
      <c r="F26" s="38">
        <f t="shared" si="11"/>
        <v>79.069767441860463</v>
      </c>
      <c r="G26" s="38"/>
      <c r="H26" s="38">
        <f>(F26*5.3544563483342)*1.33</f>
        <v>563.08957225970357</v>
      </c>
      <c r="I26" s="39">
        <v>1</v>
      </c>
      <c r="J26" s="33"/>
      <c r="K26" s="40">
        <v>797</v>
      </c>
      <c r="L26" s="38">
        <v>4</v>
      </c>
      <c r="M26" s="38">
        <v>0.06</v>
      </c>
      <c r="N26" s="38">
        <f>K26*(L26*M26+1)</f>
        <v>988.28</v>
      </c>
      <c r="O26" s="39">
        <f>N26*0.18159375101708</f>
        <v>179.46547225515982</v>
      </c>
      <c r="P26" s="33"/>
      <c r="Q26" s="76">
        <f>U25*1</f>
        <v>586.16662867810214</v>
      </c>
      <c r="R26" s="38">
        <v>75</v>
      </c>
      <c r="S26" s="56">
        <f>U26-Q26</f>
        <v>231.38841583676128</v>
      </c>
      <c r="T26" s="41">
        <f>S26/(U26-U25)</f>
        <v>1</v>
      </c>
      <c r="U26" s="87">
        <f>(H26+O26+R26)*I26</f>
        <v>817.55504451486343</v>
      </c>
      <c r="V26" s="85">
        <f>S24+S25+S26</f>
        <v>817.55504451486343</v>
      </c>
    </row>
    <row r="27" spans="1:39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79"/>
      <c r="R27" s="26"/>
      <c r="S27" s="53"/>
      <c r="T27" s="26"/>
      <c r="U27" s="26"/>
      <c r="V27" s="86"/>
    </row>
    <row r="28" spans="1:39" x14ac:dyDescent="0.25">
      <c r="A28" s="70" t="s">
        <v>56</v>
      </c>
      <c r="B28" s="34">
        <v>32</v>
      </c>
      <c r="C28" s="31">
        <v>1</v>
      </c>
      <c r="D28" s="31">
        <v>3</v>
      </c>
      <c r="E28" s="31">
        <v>1.62</v>
      </c>
      <c r="F28" s="31">
        <f>(2*B28+C28+D28)/(E28*2)</f>
        <v>20.987654320987652</v>
      </c>
      <c r="G28" s="31">
        <v>325</v>
      </c>
      <c r="H28" s="31">
        <f>F28*5.3544563483342</f>
        <v>112.37747891565603</v>
      </c>
      <c r="I28" s="32">
        <f>(500/F28)/((500/F28)-(G28/300))</f>
        <v>1.0476395774951497</v>
      </c>
      <c r="J28" s="33"/>
      <c r="K28" s="34">
        <v>340</v>
      </c>
      <c r="L28" s="31">
        <v>3</v>
      </c>
      <c r="M28" s="31">
        <v>0.06</v>
      </c>
      <c r="N28" s="31">
        <f>K28*(L28*M28+1)</f>
        <v>401.2</v>
      </c>
      <c r="O28" s="32">
        <f>N28*0.18159375101708*1.33</f>
        <v>96.897699167709831</v>
      </c>
      <c r="P28" s="33"/>
      <c r="Q28" s="74">
        <f>U27*1</f>
        <v>0</v>
      </c>
      <c r="R28" s="31">
        <v>75</v>
      </c>
      <c r="S28" s="54">
        <f>(H28+O28+R28)*I28</f>
        <v>297.81792745961582</v>
      </c>
      <c r="T28" s="31"/>
      <c r="U28" s="89">
        <f>(H28+O28+R28)*I28</f>
        <v>297.81792745961582</v>
      </c>
      <c r="V28" s="83"/>
      <c r="AM28" t="s">
        <v>37</v>
      </c>
    </row>
    <row r="29" spans="1:39" x14ac:dyDescent="0.25">
      <c r="A29" s="70" t="s">
        <v>58</v>
      </c>
      <c r="B29" s="36">
        <v>53</v>
      </c>
      <c r="C29" s="33">
        <v>1</v>
      </c>
      <c r="D29" s="33">
        <v>2</v>
      </c>
      <c r="E29" s="33">
        <v>1.69</v>
      </c>
      <c r="F29" s="33">
        <f t="shared" ref="F29:F30" si="12">(2*B29+C29+D29)/(E29*2)</f>
        <v>32.248520710059175</v>
      </c>
      <c r="G29" s="33">
        <v>510</v>
      </c>
      <c r="H29" s="33">
        <f t="shared" ref="H29:H30" si="13">F29*5.3544563483342</f>
        <v>172.67329644036326</v>
      </c>
      <c r="I29" s="35">
        <f>(500/F29)/((500/F29)-(G29/300))</f>
        <v>1.1231474712567289</v>
      </c>
      <c r="J29" s="33"/>
      <c r="K29" s="36">
        <v>340</v>
      </c>
      <c r="L29" s="33">
        <v>21</v>
      </c>
      <c r="M29" s="33">
        <v>0.06</v>
      </c>
      <c r="N29" s="33">
        <f>K29*(L29*M29+1)</f>
        <v>768.4</v>
      </c>
      <c r="O29" s="35">
        <f>N29*0.18159375101708*1.33</f>
        <v>185.58372891442727</v>
      </c>
      <c r="P29" s="33"/>
      <c r="Q29" s="75">
        <f>U28*1</f>
        <v>297.81792745961582</v>
      </c>
      <c r="R29" s="33">
        <v>36</v>
      </c>
      <c r="S29" s="55">
        <f>U29-Q29</f>
        <v>144.99085359281719</v>
      </c>
      <c r="T29" s="37">
        <f>S29/(U29-U28)</f>
        <v>1</v>
      </c>
      <c r="U29" s="88">
        <f>(H29+O29+R29)*I29</f>
        <v>442.80878105243301</v>
      </c>
      <c r="V29" s="84">
        <f>S28+S29</f>
        <v>442.80878105243301</v>
      </c>
    </row>
    <row r="30" spans="1:39" x14ac:dyDescent="0.25">
      <c r="A30" s="70" t="s">
        <v>57</v>
      </c>
      <c r="B30" s="40">
        <v>97</v>
      </c>
      <c r="C30" s="38">
        <v>1</v>
      </c>
      <c r="D30" s="38">
        <v>4</v>
      </c>
      <c r="E30" s="38">
        <v>1.36</v>
      </c>
      <c r="F30" s="38">
        <f t="shared" si="12"/>
        <v>73.161764705882348</v>
      </c>
      <c r="G30" s="38">
        <v>745</v>
      </c>
      <c r="H30" s="38">
        <f t="shared" si="13"/>
        <v>391.74147548474474</v>
      </c>
      <c r="I30" s="39">
        <f>(500/F30)/((500/F30)-(G30/300))</f>
        <v>1.570771333423165</v>
      </c>
      <c r="J30" s="33"/>
      <c r="K30" s="40">
        <v>1000</v>
      </c>
      <c r="L30" s="38">
        <v>21</v>
      </c>
      <c r="M30" s="38">
        <v>0.06</v>
      </c>
      <c r="N30" s="38">
        <f>K30*(L30*M30+1)</f>
        <v>2260</v>
      </c>
      <c r="O30" s="39">
        <f>N30*0.18159375101708*1.33</f>
        <v>545.83449680713909</v>
      </c>
      <c r="P30" s="33"/>
      <c r="Q30" s="76">
        <f>U29*1</f>
        <v>442.80878105243301</v>
      </c>
      <c r="R30" s="38">
        <v>34</v>
      </c>
      <c r="S30" s="56">
        <f>U30-Q30</f>
        <v>1083.3149044663974</v>
      </c>
      <c r="T30" s="41">
        <f>S30/(U30-U29)</f>
        <v>1</v>
      </c>
      <c r="U30" s="87">
        <f>(H30+O30+R30)*I30</f>
        <v>1526.1236855188304</v>
      </c>
      <c r="V30" s="85">
        <f>S28+S29+S30</f>
        <v>1526.1236855188304</v>
      </c>
    </row>
    <row r="31" spans="1:39" x14ac:dyDescent="0.25">
      <c r="A31" s="4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79"/>
      <c r="R31" s="33"/>
      <c r="S31" s="55"/>
      <c r="T31" s="37"/>
      <c r="U31" s="26"/>
      <c r="V31" s="78"/>
    </row>
    <row r="32" spans="1:39" x14ac:dyDescent="0.25">
      <c r="A32" s="70" t="s">
        <v>60</v>
      </c>
      <c r="B32" s="34">
        <v>41</v>
      </c>
      <c r="C32" s="31">
        <v>1</v>
      </c>
      <c r="D32" s="31">
        <v>4</v>
      </c>
      <c r="E32" s="31">
        <v>2.44</v>
      </c>
      <c r="F32" s="31">
        <f>(2*B32+C32+D32)/(E32*2)</f>
        <v>17.827868852459016</v>
      </c>
      <c r="G32" s="31">
        <v>325</v>
      </c>
      <c r="H32" s="31">
        <f>F32*5.3544563483342</f>
        <v>95.458545554318718</v>
      </c>
      <c r="I32" s="32">
        <f>(500/F32)/((500/F32)-(G32/300))</f>
        <v>1.0401790472130448</v>
      </c>
      <c r="J32" s="33"/>
      <c r="K32" s="34">
        <v>500</v>
      </c>
      <c r="L32" s="31">
        <v>6</v>
      </c>
      <c r="M32" s="31">
        <v>0.06</v>
      </c>
      <c r="N32" s="31">
        <f>K32*(L32*M32+1)</f>
        <v>679.99999999999989</v>
      </c>
      <c r="O32" s="32">
        <f>N32*0.18159375101708</f>
        <v>123.48375069161438</v>
      </c>
      <c r="P32" s="33"/>
      <c r="Q32" s="74">
        <f>U31*1</f>
        <v>0</v>
      </c>
      <c r="R32" s="31">
        <v>75</v>
      </c>
      <c r="S32" s="54">
        <f>(H32+O32+R32)*I32</f>
        <v>305.75261764470923</v>
      </c>
      <c r="T32" s="31"/>
      <c r="U32" s="89">
        <f>(H32+O32+R32)*I32</f>
        <v>305.75261764470923</v>
      </c>
      <c r="V32" s="83"/>
    </row>
    <row r="33" spans="1:24" x14ac:dyDescent="0.25">
      <c r="A33" s="70" t="s">
        <v>61</v>
      </c>
      <c r="B33" s="36">
        <v>86</v>
      </c>
      <c r="C33" s="33">
        <v>1</v>
      </c>
      <c r="D33" s="33">
        <v>5</v>
      </c>
      <c r="E33" s="33">
        <v>2.4</v>
      </c>
      <c r="F33" s="33">
        <f t="shared" ref="F33:F34" si="14">(2*B33+C33+D33)/(E33*2)</f>
        <v>37.083333333333336</v>
      </c>
      <c r="G33" s="33">
        <v>350</v>
      </c>
      <c r="H33" s="33">
        <f t="shared" ref="H33:H34" si="15">F33*5.3544563483342</f>
        <v>198.56108958405991</v>
      </c>
      <c r="I33" s="35">
        <f>(500/F33)/((500/F33)-(G33/300))</f>
        <v>1.0947240383153414</v>
      </c>
      <c r="J33" s="33"/>
      <c r="K33" s="36">
        <v>500</v>
      </c>
      <c r="L33" s="33">
        <v>31</v>
      </c>
      <c r="M33" s="33">
        <v>0.06</v>
      </c>
      <c r="N33" s="33">
        <f>K33*(L33*M33+1)</f>
        <v>1430</v>
      </c>
      <c r="O33" s="35">
        <f>N33*0.18159375101708</f>
        <v>259.67906395442441</v>
      </c>
      <c r="P33" s="33"/>
      <c r="Q33" s="75">
        <f>U32*1</f>
        <v>305.75261764470923</v>
      </c>
      <c r="R33" s="33">
        <v>303</v>
      </c>
      <c r="S33" s="55">
        <f>U33-Q33</f>
        <v>527.59527736473069</v>
      </c>
      <c r="T33" s="37">
        <f>S33/(U33-U32)</f>
        <v>1</v>
      </c>
      <c r="U33" s="88">
        <f>(H33+O33+R33)*I33</f>
        <v>833.34789500943998</v>
      </c>
      <c r="V33" s="84">
        <f>S32+S33</f>
        <v>833.34789500943998</v>
      </c>
    </row>
    <row r="34" spans="1:24" x14ac:dyDescent="0.25">
      <c r="A34" s="70" t="s">
        <v>62</v>
      </c>
      <c r="B34" s="40">
        <v>212</v>
      </c>
      <c r="C34" s="38">
        <v>1</v>
      </c>
      <c r="D34" s="38">
        <v>6</v>
      </c>
      <c r="E34" s="38">
        <v>2.36</v>
      </c>
      <c r="F34" s="38">
        <f t="shared" si="14"/>
        <v>91.313559322033896</v>
      </c>
      <c r="G34" s="38">
        <v>375</v>
      </c>
      <c r="H34" s="38">
        <f t="shared" si="15"/>
        <v>488.93446740085591</v>
      </c>
      <c r="I34" s="39">
        <f>(500/F34)/((500/F34)-(G34/300))</f>
        <v>1.2958133150308855</v>
      </c>
      <c r="J34" s="33"/>
      <c r="K34" s="40">
        <v>1040</v>
      </c>
      <c r="L34" s="38">
        <v>31</v>
      </c>
      <c r="M34" s="38">
        <v>0.06</v>
      </c>
      <c r="N34" s="38">
        <f>K34*(L34*M34+1)</f>
        <v>2974.4</v>
      </c>
      <c r="O34" s="39">
        <f>N34*0.18159375101708</f>
        <v>540.13245302520272</v>
      </c>
      <c r="P34" s="33"/>
      <c r="Q34" s="76">
        <f>U33*1</f>
        <v>833.34789500943998</v>
      </c>
      <c r="R34" s="38">
        <v>404</v>
      </c>
      <c r="S34" s="56">
        <f>U34-Q34</f>
        <v>1023.6393018089534</v>
      </c>
      <c r="T34" s="41">
        <f>S34/(U34-U33)</f>
        <v>1</v>
      </c>
      <c r="U34" s="87">
        <f>(H34+O34+R34)*I34</f>
        <v>1856.9871968183934</v>
      </c>
      <c r="V34" s="85">
        <f>S32+S33+S34</f>
        <v>1856.9871968183934</v>
      </c>
    </row>
    <row r="35" spans="1:24" x14ac:dyDescent="0.25">
      <c r="A35" s="4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55"/>
      <c r="T35" s="37"/>
      <c r="U35" s="26"/>
      <c r="V35" s="26"/>
    </row>
    <row r="36" spans="1:24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57"/>
      <c r="T36" s="42"/>
      <c r="U36" s="62"/>
      <c r="V36" s="62"/>
    </row>
    <row r="37" spans="1:24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57"/>
      <c r="T37" s="61"/>
      <c r="U37" s="62"/>
      <c r="V37" s="62"/>
    </row>
    <row r="38" spans="1:24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57"/>
      <c r="T38" s="61"/>
      <c r="U38" s="62"/>
      <c r="V38" s="62"/>
    </row>
    <row r="39" spans="1:24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3"/>
      <c r="T39" s="62"/>
      <c r="U39" s="62"/>
      <c r="V39" s="62"/>
    </row>
    <row r="41" spans="1:24" x14ac:dyDescent="0.25">
      <c r="A41" s="26"/>
      <c r="B41" s="118"/>
      <c r="C41" s="119"/>
      <c r="D41" s="119"/>
      <c r="E41" s="119"/>
      <c r="F41" s="119"/>
      <c r="G41" s="119"/>
      <c r="H41" s="119"/>
      <c r="I41" s="120"/>
      <c r="J41" s="26"/>
      <c r="K41" s="117"/>
      <c r="L41" s="117"/>
      <c r="M41" s="117"/>
      <c r="N41" s="117"/>
      <c r="O41" s="117"/>
      <c r="P41" s="26"/>
      <c r="Q41" s="126"/>
      <c r="R41" s="127"/>
      <c r="T41" s="71"/>
      <c r="U41" s="8" t="s">
        <v>112</v>
      </c>
      <c r="V41" s="8" t="s">
        <v>115</v>
      </c>
      <c r="X41" s="73" t="s">
        <v>152</v>
      </c>
    </row>
    <row r="42" spans="1:24" ht="15.75" x14ac:dyDescent="0.25">
      <c r="A42" s="50" t="s">
        <v>63</v>
      </c>
      <c r="B42" s="49" t="s">
        <v>115</v>
      </c>
      <c r="C42" s="27" t="s">
        <v>109</v>
      </c>
      <c r="D42" s="27" t="s">
        <v>110</v>
      </c>
      <c r="E42" s="27" t="s">
        <v>3</v>
      </c>
      <c r="F42" s="27" t="s">
        <v>114</v>
      </c>
      <c r="G42" s="27" t="s">
        <v>122</v>
      </c>
      <c r="H42" s="28" t="s">
        <v>116</v>
      </c>
      <c r="I42" s="28" t="s">
        <v>117</v>
      </c>
      <c r="J42" s="29"/>
      <c r="K42" s="27" t="s">
        <v>112</v>
      </c>
      <c r="L42" s="27" t="s">
        <v>111</v>
      </c>
      <c r="M42" s="27"/>
      <c r="N42" s="27" t="s">
        <v>113</v>
      </c>
      <c r="O42" s="28" t="s">
        <v>116</v>
      </c>
      <c r="P42" s="26"/>
      <c r="Q42" s="28" t="s">
        <v>118</v>
      </c>
      <c r="R42" s="52" t="s">
        <v>116</v>
      </c>
      <c r="T42" s="8" t="s">
        <v>123</v>
      </c>
      <c r="U42" s="8" t="s">
        <v>126</v>
      </c>
      <c r="V42" s="8" t="s">
        <v>127</v>
      </c>
      <c r="X42" s="8" t="s">
        <v>151</v>
      </c>
    </row>
    <row r="43" spans="1:24" ht="15.75" thickBot="1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53"/>
      <c r="T43" s="8" t="s">
        <v>124</v>
      </c>
      <c r="U43" s="8" t="s">
        <v>132</v>
      </c>
      <c r="V43" s="8" t="s">
        <v>128</v>
      </c>
      <c r="X43" s="8"/>
    </row>
    <row r="44" spans="1:24" x14ac:dyDescent="0.25">
      <c r="A44" s="90" t="s">
        <v>65</v>
      </c>
      <c r="B44" s="91">
        <v>22</v>
      </c>
      <c r="C44" s="92">
        <v>1</v>
      </c>
      <c r="D44" s="92">
        <v>3</v>
      </c>
      <c r="E44" s="92">
        <v>1.2</v>
      </c>
      <c r="F44" s="92">
        <f>(2*B44+C44+D44)/(E44*2)</f>
        <v>20</v>
      </c>
      <c r="G44" s="92"/>
      <c r="H44" s="92">
        <f t="shared" ref="H44:H53" si="16">F44*5.3544563483342</f>
        <v>107.08912696668399</v>
      </c>
      <c r="I44" s="93">
        <v>1</v>
      </c>
      <c r="J44" s="2"/>
      <c r="K44" s="91">
        <v>615</v>
      </c>
      <c r="L44" s="92">
        <v>1</v>
      </c>
      <c r="M44" s="92">
        <v>0.06</v>
      </c>
      <c r="N44" s="92">
        <f t="shared" ref="N44:N53" si="17">K44*(L44*M44+1)</f>
        <v>651.9</v>
      </c>
      <c r="O44" s="93">
        <f t="shared" ref="O44:O52" si="18">N44*0.18159375101708</f>
        <v>118.38096628803444</v>
      </c>
      <c r="P44" s="2"/>
      <c r="Q44" s="91">
        <f>H44*0.11</f>
        <v>11.779803966335239</v>
      </c>
      <c r="R44" s="94">
        <f>(H44+O44+Q44)*I44</f>
        <v>237.24989722105369</v>
      </c>
      <c r="T44" s="8" t="s">
        <v>125</v>
      </c>
      <c r="U44" s="8" t="s">
        <v>133</v>
      </c>
      <c r="V44" s="8" t="s">
        <v>129</v>
      </c>
      <c r="X44" s="8"/>
    </row>
    <row r="45" spans="1:24" x14ac:dyDescent="0.25">
      <c r="A45" s="95" t="s">
        <v>68</v>
      </c>
      <c r="B45" s="36">
        <v>54</v>
      </c>
      <c r="C45" s="33">
        <v>1</v>
      </c>
      <c r="D45" s="33">
        <v>7</v>
      </c>
      <c r="E45" s="33">
        <v>1.62</v>
      </c>
      <c r="F45" s="33">
        <f t="shared" ref="F45:F46" si="19">(2*B45+C45+D45)/(E45*2)</f>
        <v>35.802469135802468</v>
      </c>
      <c r="G45" s="33">
        <v>560</v>
      </c>
      <c r="H45" s="33">
        <f t="shared" si="16"/>
        <v>191.70275815023678</v>
      </c>
      <c r="I45" s="35">
        <f t="shared" ref="I45" si="20">(500/F45)/((500/F45)-(G45/300))</f>
        <v>1.1542846285388562</v>
      </c>
      <c r="J45" s="2"/>
      <c r="K45" s="36">
        <v>500</v>
      </c>
      <c r="L45" s="33">
        <v>1</v>
      </c>
      <c r="M45" s="33">
        <v>0.06</v>
      </c>
      <c r="N45" s="33">
        <f t="shared" si="17"/>
        <v>530</v>
      </c>
      <c r="O45" s="35">
        <f t="shared" si="18"/>
        <v>96.244688039052406</v>
      </c>
      <c r="P45" s="2"/>
      <c r="Q45" s="36">
        <v>66</v>
      </c>
      <c r="R45" s="96">
        <f t="shared" ref="R45:R53" si="21">(H45+O45+Q45)*I45</f>
        <v>408.55609644688042</v>
      </c>
      <c r="T45" s="72"/>
      <c r="U45" s="8" t="s">
        <v>112</v>
      </c>
      <c r="V45" s="8" t="s">
        <v>115</v>
      </c>
    </row>
    <row r="46" spans="1:24" ht="15.75" thickBot="1" x14ac:dyDescent="0.3">
      <c r="A46" s="97" t="s">
        <v>73</v>
      </c>
      <c r="B46" s="98">
        <v>26</v>
      </c>
      <c r="C46" s="99">
        <v>1</v>
      </c>
      <c r="D46" s="99">
        <v>3</v>
      </c>
      <c r="E46" s="99">
        <v>0.91</v>
      </c>
      <c r="F46" s="99">
        <f t="shared" si="19"/>
        <v>30.769230769230766</v>
      </c>
      <c r="G46" s="99"/>
      <c r="H46" s="99">
        <f t="shared" si="16"/>
        <v>164.75250302566766</v>
      </c>
      <c r="I46" s="100">
        <v>1</v>
      </c>
      <c r="J46" s="2"/>
      <c r="K46" s="98">
        <v>500</v>
      </c>
      <c r="L46" s="99">
        <v>2</v>
      </c>
      <c r="M46" s="99">
        <v>0.06</v>
      </c>
      <c r="N46" s="99">
        <f t="shared" si="17"/>
        <v>560</v>
      </c>
      <c r="O46" s="100">
        <f t="shared" si="18"/>
        <v>101.6925005695648</v>
      </c>
      <c r="P46" s="2"/>
      <c r="Q46" s="98">
        <v>104.16679999999999</v>
      </c>
      <c r="R46" s="101">
        <f t="shared" si="21"/>
        <v>370.61180359523246</v>
      </c>
      <c r="T46" s="8" t="s">
        <v>123</v>
      </c>
      <c r="U46" s="8" t="s">
        <v>130</v>
      </c>
      <c r="V46" s="8" t="s">
        <v>131</v>
      </c>
    </row>
    <row r="47" spans="1:24" x14ac:dyDescent="0.25">
      <c r="A47" s="102" t="s">
        <v>66</v>
      </c>
      <c r="B47" s="91">
        <v>88</v>
      </c>
      <c r="C47" s="92">
        <v>1</v>
      </c>
      <c r="D47" s="92">
        <v>4</v>
      </c>
      <c r="E47" s="92">
        <v>1.81</v>
      </c>
      <c r="F47" s="92">
        <f t="shared" ref="F47" si="22">(2*B47+C47+D47)/(E47*2)</f>
        <v>50</v>
      </c>
      <c r="G47" s="92">
        <v>515</v>
      </c>
      <c r="H47" s="92">
        <f t="shared" si="16"/>
        <v>267.72281741670997</v>
      </c>
      <c r="I47" s="93">
        <f t="shared" ref="I47" si="23">(500/F47)/((500/F47)-(G47/300))</f>
        <v>1.2072434607645874</v>
      </c>
      <c r="J47" s="2"/>
      <c r="K47" s="91">
        <v>770</v>
      </c>
      <c r="L47" s="92">
        <v>1</v>
      </c>
      <c r="M47" s="92">
        <v>0.06</v>
      </c>
      <c r="N47" s="92">
        <f t="shared" si="17"/>
        <v>816.2</v>
      </c>
      <c r="O47" s="93">
        <f t="shared" si="18"/>
        <v>148.21681958014071</v>
      </c>
      <c r="P47" s="2"/>
      <c r="Q47" s="91">
        <f>R44+R45</f>
        <v>645.8059936679341</v>
      </c>
      <c r="R47" s="94">
        <f t="shared" si="21"/>
        <v>1281.7854696154343</v>
      </c>
      <c r="T47" s="8" t="s">
        <v>124</v>
      </c>
      <c r="U47" s="8" t="s">
        <v>134</v>
      </c>
      <c r="V47" s="8" t="s">
        <v>136</v>
      </c>
    </row>
    <row r="48" spans="1:24" x14ac:dyDescent="0.25">
      <c r="A48" s="95" t="s">
        <v>64</v>
      </c>
      <c r="B48" s="36">
        <v>66</v>
      </c>
      <c r="C48" s="33">
        <v>1</v>
      </c>
      <c r="D48" s="33">
        <v>4</v>
      </c>
      <c r="E48" s="33">
        <v>0.99</v>
      </c>
      <c r="F48" s="33">
        <f>(2*B48+C48+D48)/(E48*2)</f>
        <v>69.191919191919197</v>
      </c>
      <c r="G48" s="33"/>
      <c r="H48" s="33">
        <f t="shared" si="16"/>
        <v>370.48511097059867</v>
      </c>
      <c r="I48" s="35">
        <v>1</v>
      </c>
      <c r="J48" s="2"/>
      <c r="K48" s="36">
        <v>1010</v>
      </c>
      <c r="L48" s="33">
        <v>4</v>
      </c>
      <c r="M48" s="33">
        <v>0.06</v>
      </c>
      <c r="N48" s="33">
        <f t="shared" si="17"/>
        <v>1252.4000000000001</v>
      </c>
      <c r="O48" s="35">
        <f t="shared" si="18"/>
        <v>227.42801377379101</v>
      </c>
      <c r="P48" s="2"/>
      <c r="Q48" s="36">
        <v>123</v>
      </c>
      <c r="R48" s="96">
        <f t="shared" si="21"/>
        <v>720.91312474438973</v>
      </c>
      <c r="T48" s="8" t="s">
        <v>125</v>
      </c>
      <c r="U48" s="8" t="s">
        <v>135</v>
      </c>
      <c r="V48" s="8" t="s">
        <v>137</v>
      </c>
    </row>
    <row r="49" spans="1:24" x14ac:dyDescent="0.25">
      <c r="A49" s="103" t="s">
        <v>71</v>
      </c>
      <c r="B49" s="36">
        <v>81</v>
      </c>
      <c r="C49" s="33">
        <v>1</v>
      </c>
      <c r="D49" s="33">
        <v>7</v>
      </c>
      <c r="E49" s="33">
        <v>1.64</v>
      </c>
      <c r="F49" s="33">
        <f t="shared" ref="F49" si="24">(2*B49+C49+D49)/(E49*2)</f>
        <v>51.829268292682933</v>
      </c>
      <c r="G49" s="33">
        <v>425</v>
      </c>
      <c r="H49" s="33">
        <f t="shared" si="16"/>
        <v>277.51755463927259</v>
      </c>
      <c r="I49" s="35">
        <f t="shared" ref="I49" si="25">(500/F49)/((500/F49)-(G49/300))</f>
        <v>1.1721262656343061</v>
      </c>
      <c r="J49" s="2"/>
      <c r="K49" s="36">
        <v>933</v>
      </c>
      <c r="L49" s="33">
        <v>3</v>
      </c>
      <c r="M49" s="33">
        <v>0.06</v>
      </c>
      <c r="N49" s="33">
        <f t="shared" si="17"/>
        <v>1100.94</v>
      </c>
      <c r="O49" s="35">
        <f t="shared" si="18"/>
        <v>199.92382424474405</v>
      </c>
      <c r="P49" s="2"/>
      <c r="Q49" s="36">
        <v>0</v>
      </c>
      <c r="R49" s="96">
        <f t="shared" si="21"/>
        <v>559.62158049061634</v>
      </c>
      <c r="T49" s="80"/>
      <c r="U49" s="8" t="s">
        <v>112</v>
      </c>
      <c r="V49" s="8" t="s">
        <v>115</v>
      </c>
    </row>
    <row r="50" spans="1:24" x14ac:dyDescent="0.25">
      <c r="A50" s="104" t="s">
        <v>72</v>
      </c>
      <c r="B50" s="36">
        <v>108</v>
      </c>
      <c r="C50" s="33">
        <v>1</v>
      </c>
      <c r="D50" s="33">
        <v>2</v>
      </c>
      <c r="E50" s="33">
        <v>1.85</v>
      </c>
      <c r="F50" s="33">
        <f>(2*B50+C50+D50)/(E50*2)</f>
        <v>59.189189189189186</v>
      </c>
      <c r="G50" s="33"/>
      <c r="H50" s="33">
        <f t="shared" si="16"/>
        <v>316.92592980680803</v>
      </c>
      <c r="I50" s="35">
        <v>1</v>
      </c>
      <c r="J50" s="2"/>
      <c r="K50" s="36">
        <v>1775</v>
      </c>
      <c r="L50" s="33">
        <v>4</v>
      </c>
      <c r="M50" s="33">
        <v>0.06</v>
      </c>
      <c r="N50" s="33">
        <f t="shared" si="17"/>
        <v>2201</v>
      </c>
      <c r="O50" s="35">
        <f t="shared" si="18"/>
        <v>399.6878459885931</v>
      </c>
      <c r="P50" s="2"/>
      <c r="Q50" s="36">
        <v>142.83000000000001</v>
      </c>
      <c r="R50" s="96">
        <f t="shared" si="21"/>
        <v>859.44377579540117</v>
      </c>
      <c r="T50" s="8" t="s">
        <v>123</v>
      </c>
      <c r="U50" s="8" t="s">
        <v>141</v>
      </c>
      <c r="V50" s="8" t="s">
        <v>144</v>
      </c>
    </row>
    <row r="51" spans="1:24" ht="15.75" thickBot="1" x14ac:dyDescent="0.3">
      <c r="A51" s="105" t="s">
        <v>70</v>
      </c>
      <c r="B51" s="98">
        <v>68</v>
      </c>
      <c r="C51" s="99">
        <v>1</v>
      </c>
      <c r="D51" s="99">
        <v>2</v>
      </c>
      <c r="E51" s="99">
        <v>1.64</v>
      </c>
      <c r="F51" s="99">
        <f t="shared" ref="F51" si="26">(2*B51+C51+D51)/(E51*2)</f>
        <v>42.378048780487809</v>
      </c>
      <c r="G51" s="99">
        <v>400</v>
      </c>
      <c r="H51" s="99">
        <f t="shared" si="16"/>
        <v>226.91141232269933</v>
      </c>
      <c r="I51" s="100">
        <f t="shared" ref="I51" si="27">(500/F51)/((500/F51)-(G51/300))</f>
        <v>1.1274060494958753</v>
      </c>
      <c r="J51" s="2"/>
      <c r="K51" s="98">
        <v>660</v>
      </c>
      <c r="L51" s="99">
        <v>1</v>
      </c>
      <c r="M51" s="99">
        <v>0.06</v>
      </c>
      <c r="N51" s="99">
        <f t="shared" si="17"/>
        <v>699.6</v>
      </c>
      <c r="O51" s="100">
        <f t="shared" si="18"/>
        <v>127.04298821154917</v>
      </c>
      <c r="P51" s="2"/>
      <c r="Q51" s="98">
        <f>(H51*0.33)+82</f>
        <v>156.88076606649076</v>
      </c>
      <c r="R51" s="101">
        <f t="shared" si="21"/>
        <v>575.9186571209068</v>
      </c>
      <c r="T51" s="8" t="s">
        <v>124</v>
      </c>
      <c r="U51" s="8" t="s">
        <v>142</v>
      </c>
      <c r="V51" s="8" t="s">
        <v>145</v>
      </c>
    </row>
    <row r="52" spans="1:24" x14ac:dyDescent="0.25">
      <c r="A52" s="108" t="s">
        <v>74</v>
      </c>
      <c r="B52" s="91">
        <v>261</v>
      </c>
      <c r="C52" s="92">
        <v>1</v>
      </c>
      <c r="D52" s="92">
        <v>1</v>
      </c>
      <c r="E52" s="92">
        <v>2.5099999999999998</v>
      </c>
      <c r="F52" s="92">
        <f>(2*B52+C52+D52)/(E52*2)</f>
        <v>104.38247011952193</v>
      </c>
      <c r="G52" s="92"/>
      <c r="H52" s="92">
        <f t="shared" si="16"/>
        <v>558.9113797862791</v>
      </c>
      <c r="I52" s="93">
        <v>1</v>
      </c>
      <c r="J52" s="2"/>
      <c r="K52" s="91">
        <v>1555</v>
      </c>
      <c r="L52" s="92">
        <v>12</v>
      </c>
      <c r="M52" s="92">
        <v>0.06</v>
      </c>
      <c r="N52" s="92">
        <f t="shared" si="17"/>
        <v>2674.6</v>
      </c>
      <c r="O52" s="93">
        <f t="shared" si="18"/>
        <v>485.69064647028216</v>
      </c>
      <c r="P52" s="2"/>
      <c r="Q52" s="91">
        <f>((50+H52)*0.33)+7.45+98</f>
        <v>306.39075532947209</v>
      </c>
      <c r="R52" s="94">
        <f t="shared" si="21"/>
        <v>1350.9927815860333</v>
      </c>
      <c r="T52" s="8" t="s">
        <v>125</v>
      </c>
      <c r="U52" s="8" t="s">
        <v>143</v>
      </c>
      <c r="V52" s="8" t="s">
        <v>146</v>
      </c>
    </row>
    <row r="53" spans="1:24" ht="15.75" thickBot="1" x14ac:dyDescent="0.3">
      <c r="A53" s="107" t="s">
        <v>69</v>
      </c>
      <c r="B53" s="98">
        <v>162</v>
      </c>
      <c r="C53" s="99">
        <v>1</v>
      </c>
      <c r="D53" s="99">
        <v>3</v>
      </c>
      <c r="E53" s="99">
        <v>1.76</v>
      </c>
      <c r="F53" s="99">
        <f t="shared" ref="F53" si="28">(2*B53+C53+D53)/(E53*2)</f>
        <v>93.181818181818187</v>
      </c>
      <c r="G53" s="99">
        <v>475</v>
      </c>
      <c r="H53" s="99">
        <f t="shared" si="16"/>
        <v>498.93797791295952</v>
      </c>
      <c r="I53" s="100">
        <f t="shared" ref="I53" si="29">(500/F53)/((500/F53)-(G53/300))</f>
        <v>1.4185921547555078</v>
      </c>
      <c r="J53" s="2"/>
      <c r="K53" s="98">
        <v>1320</v>
      </c>
      <c r="L53" s="99">
        <v>8</v>
      </c>
      <c r="M53" s="99">
        <v>0.06</v>
      </c>
      <c r="N53" s="99">
        <f t="shared" si="17"/>
        <v>1953.6</v>
      </c>
      <c r="O53" s="100">
        <f>N53*0.18159375101708*1.33</f>
        <v>471.83286414266672</v>
      </c>
      <c r="P53" s="2"/>
      <c r="Q53" s="98">
        <v>274</v>
      </c>
      <c r="R53" s="101">
        <f t="shared" si="21"/>
        <v>1765.8221510085186</v>
      </c>
      <c r="T53" s="81"/>
      <c r="U53" s="82" t="s">
        <v>148</v>
      </c>
    </row>
    <row r="54" spans="1:24" x14ac:dyDescent="0.25">
      <c r="T54" s="110"/>
      <c r="U54" s="82" t="s">
        <v>150</v>
      </c>
    </row>
    <row r="56" spans="1:24" x14ac:dyDescent="0.25">
      <c r="A56" s="26"/>
      <c r="B56" s="118"/>
      <c r="C56" s="119"/>
      <c r="D56" s="119"/>
      <c r="E56" s="119"/>
      <c r="F56" s="119"/>
      <c r="G56" s="119"/>
      <c r="H56" s="119"/>
      <c r="I56" s="120"/>
      <c r="J56" s="26"/>
      <c r="K56" s="117"/>
      <c r="L56" s="117"/>
      <c r="M56" s="117"/>
      <c r="N56" s="117"/>
      <c r="O56" s="117"/>
      <c r="P56" s="26"/>
      <c r="Q56" s="126"/>
      <c r="R56" s="127"/>
      <c r="T56" s="71"/>
      <c r="U56" s="8" t="s">
        <v>112</v>
      </c>
      <c r="V56" s="8" t="s">
        <v>115</v>
      </c>
      <c r="X56" s="73" t="s">
        <v>147</v>
      </c>
    </row>
    <row r="57" spans="1:24" x14ac:dyDescent="0.25">
      <c r="A57" s="64" t="s">
        <v>75</v>
      </c>
      <c r="B57" s="49" t="s">
        <v>115</v>
      </c>
      <c r="C57" s="27" t="s">
        <v>109</v>
      </c>
      <c r="D57" s="27" t="s">
        <v>110</v>
      </c>
      <c r="E57" s="27" t="s">
        <v>3</v>
      </c>
      <c r="F57" s="27" t="s">
        <v>114</v>
      </c>
      <c r="G57" s="27" t="s">
        <v>122</v>
      </c>
      <c r="H57" s="28" t="s">
        <v>116</v>
      </c>
      <c r="I57" s="28" t="s">
        <v>117</v>
      </c>
      <c r="J57" s="29"/>
      <c r="K57" s="27" t="s">
        <v>112</v>
      </c>
      <c r="L57" s="27" t="s">
        <v>111</v>
      </c>
      <c r="M57" s="27"/>
      <c r="N57" s="27" t="s">
        <v>113</v>
      </c>
      <c r="O57" s="28" t="s">
        <v>116</v>
      </c>
      <c r="P57" s="26"/>
      <c r="Q57" s="28" t="s">
        <v>118</v>
      </c>
      <c r="R57" s="52" t="s">
        <v>116</v>
      </c>
      <c r="T57" s="8" t="s">
        <v>123</v>
      </c>
      <c r="U57" s="8" t="s">
        <v>126</v>
      </c>
      <c r="V57" s="8" t="s">
        <v>127</v>
      </c>
      <c r="X57" s="8" t="s">
        <v>140</v>
      </c>
    </row>
    <row r="58" spans="1:24" ht="15.75" thickBot="1" x14ac:dyDescent="0.3">
      <c r="A58" s="26"/>
      <c r="B58" s="26"/>
      <c r="C58" s="26"/>
      <c r="T58" s="8" t="s">
        <v>124</v>
      </c>
      <c r="U58" s="8" t="s">
        <v>132</v>
      </c>
      <c r="V58" s="8" t="s">
        <v>128</v>
      </c>
      <c r="X58" s="8" t="s">
        <v>138</v>
      </c>
    </row>
    <row r="59" spans="1:24" x14ac:dyDescent="0.25">
      <c r="A59" s="90" t="s">
        <v>77</v>
      </c>
      <c r="B59" s="91">
        <v>33</v>
      </c>
      <c r="C59" s="92">
        <v>1</v>
      </c>
      <c r="D59" s="92">
        <v>4</v>
      </c>
      <c r="E59" s="92">
        <v>1.6</v>
      </c>
      <c r="F59" s="92">
        <f>(2*B59+C59+D59)/(E59*2)</f>
        <v>22.1875</v>
      </c>
      <c r="G59" s="92">
        <v>225</v>
      </c>
      <c r="H59" s="92">
        <f t="shared" ref="H59:H68" si="30">F59*5.3544563483342</f>
        <v>118.80200022866505</v>
      </c>
      <c r="I59" s="93">
        <f t="shared" ref="I59:I61" si="31">(500/F59)/((500/F59)-(G59/300))</f>
        <v>1.0344270244060125</v>
      </c>
      <c r="J59" s="2"/>
      <c r="K59" s="91">
        <v>740</v>
      </c>
      <c r="L59" s="92">
        <v>2</v>
      </c>
      <c r="M59" s="92">
        <v>0.06</v>
      </c>
      <c r="N59" s="92">
        <f t="shared" ref="N59:N68" si="32">K59*(L59*M59+1)</f>
        <v>828.80000000000007</v>
      </c>
      <c r="O59" s="93">
        <f t="shared" ref="O59:O67" si="33">N59*0.18159375101708</f>
        <v>150.50490084295592</v>
      </c>
      <c r="P59" s="2"/>
      <c r="Q59" s="91">
        <f>H59</f>
        <v>118.80200022866505</v>
      </c>
      <c r="R59" s="94">
        <f>(H59+O59+Q59)*I59</f>
        <v>401.47033591754172</v>
      </c>
      <c r="T59" s="8" t="s">
        <v>125</v>
      </c>
      <c r="U59" s="8" t="s">
        <v>133</v>
      </c>
      <c r="V59" s="8" t="s">
        <v>129</v>
      </c>
      <c r="X59" s="8" t="s">
        <v>139</v>
      </c>
    </row>
    <row r="60" spans="1:24" x14ac:dyDescent="0.25">
      <c r="A60" s="95" t="s">
        <v>76</v>
      </c>
      <c r="B60" s="36">
        <v>76</v>
      </c>
      <c r="C60" s="33">
        <v>1</v>
      </c>
      <c r="D60" s="33">
        <v>5</v>
      </c>
      <c r="E60" s="33">
        <v>1.77</v>
      </c>
      <c r="F60" s="33">
        <f t="shared" ref="F60:F62" si="34">(2*B60+C60+D60)/(E60*2)</f>
        <v>44.632768361581924</v>
      </c>
      <c r="G60" s="33">
        <v>690</v>
      </c>
      <c r="H60" s="33">
        <f t="shared" si="30"/>
        <v>238.98420989740214</v>
      </c>
      <c r="I60" s="35">
        <f t="shared" si="31"/>
        <v>1.2583534764680788</v>
      </c>
      <c r="J60" s="2"/>
      <c r="K60" s="36">
        <v>500</v>
      </c>
      <c r="L60" s="33">
        <v>0</v>
      </c>
      <c r="M60" s="33">
        <v>0.06</v>
      </c>
      <c r="N60" s="33">
        <f t="shared" si="32"/>
        <v>500</v>
      </c>
      <c r="O60" s="35">
        <f t="shared" si="33"/>
        <v>90.796875508539998</v>
      </c>
      <c r="P60" s="2"/>
      <c r="Q60" s="36">
        <f>H60*0.1</f>
        <v>23.898420989740217</v>
      </c>
      <c r="R60" s="96">
        <f t="shared" ref="R60:R68" si="35">(H60+O60+Q60)*I60</f>
        <v>445.05383642852098</v>
      </c>
      <c r="T60" s="72"/>
      <c r="U60" s="8" t="s">
        <v>112</v>
      </c>
      <c r="V60" s="8" t="s">
        <v>115</v>
      </c>
    </row>
    <row r="61" spans="1:24" ht="15.75" thickBot="1" x14ac:dyDescent="0.3">
      <c r="A61" s="97" t="s">
        <v>79</v>
      </c>
      <c r="B61" s="98">
        <v>62</v>
      </c>
      <c r="C61" s="99">
        <v>1</v>
      </c>
      <c r="D61" s="99">
        <v>1</v>
      </c>
      <c r="E61" s="99">
        <v>1.72</v>
      </c>
      <c r="F61" s="99">
        <f t="shared" si="34"/>
        <v>36.627906976744185</v>
      </c>
      <c r="G61" s="99">
        <v>220</v>
      </c>
      <c r="H61" s="99">
        <f t="shared" si="30"/>
        <v>196.12252903782243</v>
      </c>
      <c r="I61" s="100">
        <f t="shared" si="31"/>
        <v>1.0567707053330055</v>
      </c>
      <c r="J61" s="2"/>
      <c r="K61" s="98">
        <v>500</v>
      </c>
      <c r="L61" s="99">
        <v>5</v>
      </c>
      <c r="M61" s="99">
        <v>0.06</v>
      </c>
      <c r="N61" s="99">
        <f t="shared" si="32"/>
        <v>650</v>
      </c>
      <c r="O61" s="100">
        <f t="shared" si="33"/>
        <v>118.035938161102</v>
      </c>
      <c r="P61" s="2"/>
      <c r="Q61" s="98">
        <v>80</v>
      </c>
      <c r="R61" s="101">
        <f t="shared" si="35"/>
        <v>416.53512139478369</v>
      </c>
      <c r="T61" s="8" t="s">
        <v>123</v>
      </c>
      <c r="U61" s="8" t="s">
        <v>130</v>
      </c>
      <c r="V61" s="8" t="s">
        <v>131</v>
      </c>
    </row>
    <row r="62" spans="1:24" x14ac:dyDescent="0.25">
      <c r="A62" s="102" t="s">
        <v>78</v>
      </c>
      <c r="B62" s="91">
        <v>88</v>
      </c>
      <c r="C62" s="92">
        <v>1</v>
      </c>
      <c r="D62" s="92">
        <v>3</v>
      </c>
      <c r="E62" s="92">
        <v>1.67</v>
      </c>
      <c r="F62" s="92">
        <f t="shared" si="34"/>
        <v>53.892215568862277</v>
      </c>
      <c r="G62" s="92">
        <v>475</v>
      </c>
      <c r="H62" s="92">
        <f>F62*5.3544563483342</f>
        <v>288.56351577848983</v>
      </c>
      <c r="I62" s="93">
        <f t="shared" ref="I62:I63" si="36">(500/F62)/((500/F62)-(G62/300))</f>
        <v>1.2057761732851986</v>
      </c>
      <c r="J62" s="2"/>
      <c r="K62" s="91">
        <v>835</v>
      </c>
      <c r="L62" s="92">
        <v>1</v>
      </c>
      <c r="M62" s="92">
        <v>0.06</v>
      </c>
      <c r="N62" s="92">
        <f t="shared" si="32"/>
        <v>885.1</v>
      </c>
      <c r="O62" s="93">
        <f t="shared" si="33"/>
        <v>160.72862902521751</v>
      </c>
      <c r="P62" s="2"/>
      <c r="Q62" s="91">
        <v>234</v>
      </c>
      <c r="R62" s="94">
        <f t="shared" si="35"/>
        <v>823.89738759724992</v>
      </c>
      <c r="T62" s="8" t="s">
        <v>124</v>
      </c>
      <c r="U62" s="8" t="s">
        <v>134</v>
      </c>
      <c r="V62" s="8" t="s">
        <v>136</v>
      </c>
    </row>
    <row r="63" spans="1:24" x14ac:dyDescent="0.25">
      <c r="A63" s="95" t="s">
        <v>80</v>
      </c>
      <c r="B63" s="36">
        <v>60</v>
      </c>
      <c r="C63" s="33">
        <v>1</v>
      </c>
      <c r="D63" s="33">
        <v>1</v>
      </c>
      <c r="E63" s="33">
        <v>1.2</v>
      </c>
      <c r="F63" s="33">
        <f>(2*B63+C63+D63)/(E63*2)</f>
        <v>50.833333333333336</v>
      </c>
      <c r="G63" s="33">
        <v>500</v>
      </c>
      <c r="H63" s="33">
        <f>F63*5.3544563483342</f>
        <v>272.18486437365516</v>
      </c>
      <c r="I63" s="35">
        <f t="shared" si="36"/>
        <v>1.2040133779264213</v>
      </c>
      <c r="J63" s="2"/>
      <c r="K63" s="36">
        <v>1045</v>
      </c>
      <c r="L63" s="33">
        <v>4</v>
      </c>
      <c r="M63" s="33">
        <v>0.06</v>
      </c>
      <c r="N63" s="33">
        <f t="shared" si="32"/>
        <v>1295.8</v>
      </c>
      <c r="O63" s="35">
        <f t="shared" si="33"/>
        <v>235.30918256793225</v>
      </c>
      <c r="P63" s="2"/>
      <c r="Q63" s="36">
        <f>225+(0.49*H63)</f>
        <v>358.37058354309102</v>
      </c>
      <c r="R63" s="96">
        <f t="shared" si="35"/>
        <v>1042.5125985768702</v>
      </c>
      <c r="T63" s="8" t="s">
        <v>125</v>
      </c>
      <c r="U63" s="8" t="s">
        <v>135</v>
      </c>
      <c r="V63" s="8" t="s">
        <v>137</v>
      </c>
    </row>
    <row r="64" spans="1:24" x14ac:dyDescent="0.25">
      <c r="A64" s="103" t="s">
        <v>81</v>
      </c>
      <c r="B64" s="36">
        <v>72</v>
      </c>
      <c r="C64" s="33">
        <v>1</v>
      </c>
      <c r="D64" s="33">
        <v>4</v>
      </c>
      <c r="E64" s="33">
        <v>1.48</v>
      </c>
      <c r="F64" s="33">
        <f t="shared" ref="F64" si="37">(2*B64+C64+D64)/(E64*2)</f>
        <v>50.337837837837839</v>
      </c>
      <c r="G64" s="33">
        <v>380</v>
      </c>
      <c r="H64" s="33">
        <f t="shared" si="30"/>
        <v>269.5317553722283</v>
      </c>
      <c r="I64" s="35">
        <f t="shared" ref="I64" si="38">(500/F64)/((500/F64)-(G64/300))</f>
        <v>1.1461613919149156</v>
      </c>
      <c r="J64" s="2"/>
      <c r="K64" s="36">
        <v>990</v>
      </c>
      <c r="L64" s="33">
        <v>2</v>
      </c>
      <c r="M64" s="33">
        <v>0.06</v>
      </c>
      <c r="N64" s="33">
        <f t="shared" si="32"/>
        <v>1108.8000000000002</v>
      </c>
      <c r="O64" s="35">
        <f t="shared" si="33"/>
        <v>201.35115112773835</v>
      </c>
      <c r="P64" s="2"/>
      <c r="Q64" s="36">
        <v>200</v>
      </c>
      <c r="R64" s="96">
        <f t="shared" si="35"/>
        <v>768.94008592592604</v>
      </c>
      <c r="T64" s="80"/>
      <c r="U64" s="8" t="s">
        <v>112</v>
      </c>
      <c r="V64" s="8" t="s">
        <v>115</v>
      </c>
    </row>
    <row r="65" spans="1:24" x14ac:dyDescent="0.25">
      <c r="A65" s="104" t="s">
        <v>82</v>
      </c>
      <c r="B65" s="36">
        <v>64</v>
      </c>
      <c r="C65" s="33">
        <v>1</v>
      </c>
      <c r="D65" s="33">
        <v>8</v>
      </c>
      <c r="E65" s="33">
        <v>1.55</v>
      </c>
      <c r="F65" s="33">
        <f>(2*B65+C65+D65)/(E65*2)</f>
        <v>44.193548387096776</v>
      </c>
      <c r="G65" s="33"/>
      <c r="H65" s="33">
        <f t="shared" si="30"/>
        <v>236.63242571670497</v>
      </c>
      <c r="I65" s="35">
        <v>1</v>
      </c>
      <c r="J65" s="2"/>
      <c r="K65" s="36">
        <v>1690</v>
      </c>
      <c r="L65" s="33">
        <v>5</v>
      </c>
      <c r="M65" s="33">
        <v>0.06</v>
      </c>
      <c r="N65" s="33">
        <f t="shared" si="32"/>
        <v>2197</v>
      </c>
      <c r="O65" s="35">
        <f t="shared" si="33"/>
        <v>398.96147098452474</v>
      </c>
      <c r="P65" s="2"/>
      <c r="Q65" s="36">
        <v>115</v>
      </c>
      <c r="R65" s="96">
        <f t="shared" si="35"/>
        <v>750.59389670122971</v>
      </c>
      <c r="T65" s="8" t="s">
        <v>123</v>
      </c>
      <c r="U65" s="8" t="s">
        <v>141</v>
      </c>
      <c r="V65" s="8" t="s">
        <v>144</v>
      </c>
    </row>
    <row r="66" spans="1:24" ht="15.75" thickBot="1" x14ac:dyDescent="0.3">
      <c r="A66" s="107" t="s">
        <v>85</v>
      </c>
      <c r="B66" s="98">
        <v>172</v>
      </c>
      <c r="C66" s="99">
        <v>1</v>
      </c>
      <c r="D66" s="99">
        <v>3</v>
      </c>
      <c r="E66" s="99">
        <v>3.15</v>
      </c>
      <c r="F66" s="99">
        <f t="shared" ref="F66" si="39">(2*B66+C66+D66)/(E66*2)</f>
        <v>55.238095238095241</v>
      </c>
      <c r="G66" s="99">
        <v>840</v>
      </c>
      <c r="H66" s="99">
        <f t="shared" si="30"/>
        <v>295.76996971750816</v>
      </c>
      <c r="I66" s="100">
        <f t="shared" ref="I66" si="40">(500/F66)/((500/F66)-(G66/300))</f>
        <v>1.4478764478764479</v>
      </c>
      <c r="J66" s="2"/>
      <c r="K66" s="98">
        <v>945</v>
      </c>
      <c r="L66" s="99">
        <v>15</v>
      </c>
      <c r="M66" s="99">
        <v>0.06</v>
      </c>
      <c r="N66" s="99">
        <f t="shared" si="32"/>
        <v>1795.5</v>
      </c>
      <c r="O66" s="100">
        <f t="shared" si="33"/>
        <v>326.05157995116713</v>
      </c>
      <c r="P66" s="2"/>
      <c r="Q66" s="98">
        <f>75+(H66*0.49)</f>
        <v>219.92728516157899</v>
      </c>
      <c r="R66" s="101">
        <f t="shared" si="35"/>
        <v>1218.7483129781674</v>
      </c>
      <c r="T66" s="8" t="s">
        <v>124</v>
      </c>
      <c r="U66" s="8" t="s">
        <v>142</v>
      </c>
      <c r="V66" s="8" t="s">
        <v>145</v>
      </c>
    </row>
    <row r="67" spans="1:24" x14ac:dyDescent="0.25">
      <c r="A67" s="106" t="s">
        <v>84</v>
      </c>
      <c r="B67" s="91">
        <v>162</v>
      </c>
      <c r="C67" s="92">
        <v>1</v>
      </c>
      <c r="D67" s="92">
        <v>9</v>
      </c>
      <c r="E67" s="92">
        <v>2.5</v>
      </c>
      <c r="F67" s="92">
        <f>(2*B67+C67+D67)/(E67*2)</f>
        <v>66.8</v>
      </c>
      <c r="G67" s="92"/>
      <c r="H67" s="92">
        <f t="shared" si="30"/>
        <v>357.67768406872455</v>
      </c>
      <c r="I67" s="93">
        <v>1</v>
      </c>
      <c r="J67" s="2"/>
      <c r="K67" s="91">
        <v>3077</v>
      </c>
      <c r="L67" s="92">
        <v>5</v>
      </c>
      <c r="M67" s="92">
        <v>0.06</v>
      </c>
      <c r="N67" s="92">
        <f t="shared" si="32"/>
        <v>4000.1000000000004</v>
      </c>
      <c r="O67" s="93">
        <f t="shared" si="33"/>
        <v>726.39316344342183</v>
      </c>
      <c r="P67" s="2"/>
      <c r="Q67" s="91">
        <f>434-H67+50+75+100</f>
        <v>301.32231593127545</v>
      </c>
      <c r="R67" s="94">
        <f t="shared" si="35"/>
        <v>1385.3931634434218</v>
      </c>
      <c r="T67" s="8" t="s">
        <v>125</v>
      </c>
      <c r="U67" s="8" t="s">
        <v>143</v>
      </c>
      <c r="V67" s="8" t="s">
        <v>146</v>
      </c>
    </row>
    <row r="68" spans="1:24" ht="15.75" thickBot="1" x14ac:dyDescent="0.3">
      <c r="A68" s="107" t="s">
        <v>83</v>
      </c>
      <c r="B68" s="98">
        <v>76</v>
      </c>
      <c r="C68" s="99">
        <v>1</v>
      </c>
      <c r="D68" s="99">
        <v>23</v>
      </c>
      <c r="E68" s="99">
        <v>1.81</v>
      </c>
      <c r="F68" s="99">
        <f t="shared" ref="F68" si="41">(2*B68+C68+D68)/(E68*2)</f>
        <v>48.618784530386741</v>
      </c>
      <c r="G68" s="99">
        <v>850</v>
      </c>
      <c r="H68" s="99">
        <f t="shared" si="30"/>
        <v>260.32715947702184</v>
      </c>
      <c r="I68" s="100">
        <f t="shared" ref="I68" si="42">(500/F68)/((500/F68)-(G68/300))</f>
        <v>1.380274529740722</v>
      </c>
      <c r="J68" s="2"/>
      <c r="K68" s="98">
        <v>1490</v>
      </c>
      <c r="L68" s="99">
        <v>8</v>
      </c>
      <c r="M68" s="99">
        <v>0.06</v>
      </c>
      <c r="N68" s="99">
        <f t="shared" si="32"/>
        <v>2205.1999999999998</v>
      </c>
      <c r="O68" s="100">
        <f>N68*0.18159375101708*1.33</f>
        <v>532.59921785801021</v>
      </c>
      <c r="P68" s="2"/>
      <c r="Q68" s="98">
        <f>H68*2</f>
        <v>520.65431895404367</v>
      </c>
      <c r="R68" s="101">
        <f t="shared" si="35"/>
        <v>1813.101977846894</v>
      </c>
      <c r="S68" s="65" t="s">
        <v>97</v>
      </c>
      <c r="T68" s="81"/>
      <c r="U68" s="82" t="s">
        <v>154</v>
      </c>
    </row>
    <row r="69" spans="1:24" x14ac:dyDescent="0.25">
      <c r="T69" s="110"/>
      <c r="U69" s="82" t="s">
        <v>153</v>
      </c>
    </row>
    <row r="70" spans="1:24" ht="15" customHeight="1" x14ac:dyDescent="0.25"/>
    <row r="71" spans="1:24" x14ac:dyDescent="0.25">
      <c r="A71" s="26"/>
      <c r="B71" s="118"/>
      <c r="C71" s="119"/>
      <c r="D71" s="119"/>
      <c r="E71" s="119"/>
      <c r="F71" s="119"/>
      <c r="G71" s="119"/>
      <c r="H71" s="119"/>
      <c r="I71" s="120"/>
      <c r="J71" s="26"/>
      <c r="K71" s="117"/>
      <c r="L71" s="117"/>
      <c r="M71" s="117"/>
      <c r="N71" s="117"/>
      <c r="O71" s="117"/>
      <c r="P71" s="26"/>
      <c r="Q71" s="126"/>
      <c r="R71" s="127"/>
      <c r="T71" s="71"/>
      <c r="U71" s="8" t="s">
        <v>112</v>
      </c>
      <c r="V71" s="8" t="s">
        <v>115</v>
      </c>
      <c r="X71" s="73" t="s">
        <v>147</v>
      </c>
    </row>
    <row r="72" spans="1:24" ht="15.75" x14ac:dyDescent="0.25">
      <c r="A72" s="50" t="s">
        <v>86</v>
      </c>
      <c r="B72" s="49" t="s">
        <v>115</v>
      </c>
      <c r="C72" s="27" t="s">
        <v>109</v>
      </c>
      <c r="D72" s="27" t="s">
        <v>110</v>
      </c>
      <c r="E72" s="27" t="s">
        <v>3</v>
      </c>
      <c r="F72" s="27" t="s">
        <v>114</v>
      </c>
      <c r="G72" s="27" t="s">
        <v>122</v>
      </c>
      <c r="H72" s="28" t="s">
        <v>116</v>
      </c>
      <c r="I72" s="28" t="s">
        <v>117</v>
      </c>
      <c r="J72" s="29"/>
      <c r="K72" s="27" t="s">
        <v>112</v>
      </c>
      <c r="L72" s="27" t="s">
        <v>111</v>
      </c>
      <c r="M72" s="27"/>
      <c r="N72" s="27" t="s">
        <v>113</v>
      </c>
      <c r="O72" s="28" t="s">
        <v>116</v>
      </c>
      <c r="P72" s="26"/>
      <c r="Q72" s="28" t="s">
        <v>118</v>
      </c>
      <c r="R72" s="52" t="s">
        <v>116</v>
      </c>
      <c r="T72" s="8" t="s">
        <v>123</v>
      </c>
      <c r="U72" s="8" t="s">
        <v>126</v>
      </c>
      <c r="V72" s="8" t="s">
        <v>127</v>
      </c>
      <c r="X72" s="8" t="s">
        <v>140</v>
      </c>
    </row>
    <row r="73" spans="1:24" ht="15.75" thickBo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53"/>
      <c r="T73" s="8" t="s">
        <v>124</v>
      </c>
      <c r="U73" s="8" t="s">
        <v>132</v>
      </c>
      <c r="V73" s="8" t="s">
        <v>128</v>
      </c>
      <c r="X73" s="8" t="s">
        <v>138</v>
      </c>
    </row>
    <row r="74" spans="1:24" x14ac:dyDescent="0.25">
      <c r="A74" s="90" t="s">
        <v>87</v>
      </c>
      <c r="B74" s="91">
        <v>34</v>
      </c>
      <c r="C74" s="92">
        <v>1</v>
      </c>
      <c r="D74" s="92">
        <v>2</v>
      </c>
      <c r="E74" s="92">
        <v>1.42</v>
      </c>
      <c r="F74" s="92">
        <f>(2*B74+C74+D74)/(E74*2)</f>
        <v>25</v>
      </c>
      <c r="G74" s="92"/>
      <c r="H74" s="92">
        <f t="shared" ref="H74:H76" si="43">F74*5.3544563483342</f>
        <v>133.86140870835499</v>
      </c>
      <c r="I74" s="93">
        <v>1</v>
      </c>
      <c r="J74" s="2"/>
      <c r="K74" s="91">
        <v>763</v>
      </c>
      <c r="L74" s="92">
        <v>3</v>
      </c>
      <c r="M74" s="92">
        <v>0.06</v>
      </c>
      <c r="N74" s="92">
        <f t="shared" ref="N74:N83" si="44">K74*(L74*M74+1)</f>
        <v>900.33999999999992</v>
      </c>
      <c r="O74" s="93">
        <f t="shared" ref="O74:O82" si="45">N74*0.18159375101708</f>
        <v>163.49611779071779</v>
      </c>
      <c r="P74" s="2"/>
      <c r="Q74" s="91">
        <v>72</v>
      </c>
      <c r="R74" s="94">
        <f>(H74+O74+Q74)*I74</f>
        <v>369.35752649907278</v>
      </c>
      <c r="S74" s="65"/>
      <c r="T74" s="8" t="s">
        <v>125</v>
      </c>
      <c r="U74" s="8" t="s">
        <v>133</v>
      </c>
      <c r="V74" s="8" t="s">
        <v>129</v>
      </c>
      <c r="X74" s="8" t="s">
        <v>139</v>
      </c>
    </row>
    <row r="75" spans="1:24" x14ac:dyDescent="0.25">
      <c r="A75" s="95" t="s">
        <v>88</v>
      </c>
      <c r="B75" s="36">
        <v>54</v>
      </c>
      <c r="C75" s="33">
        <v>1</v>
      </c>
      <c r="D75" s="33">
        <v>4</v>
      </c>
      <c r="E75" s="33">
        <v>1.33</v>
      </c>
      <c r="F75" s="33">
        <f t="shared" ref="F75:F77" si="46">(2*B75+C75+D75)/(E75*2)</f>
        <v>42.481203007518793</v>
      </c>
      <c r="G75" s="33">
        <v>550</v>
      </c>
      <c r="H75" s="33">
        <f t="shared" si="43"/>
        <v>227.46374712848291</v>
      </c>
      <c r="I75" s="35">
        <f t="shared" ref="I75:I80" si="47">(500/F75)/((500/F75)-(G75/300))</f>
        <v>1.1845034881994954</v>
      </c>
      <c r="J75" s="2"/>
      <c r="K75" s="36">
        <v>530</v>
      </c>
      <c r="L75" s="33">
        <v>2</v>
      </c>
      <c r="M75" s="33">
        <v>0.06</v>
      </c>
      <c r="N75" s="33">
        <f t="shared" si="44"/>
        <v>593.6</v>
      </c>
      <c r="O75" s="35">
        <f t="shared" si="45"/>
        <v>107.7940506037387</v>
      </c>
      <c r="P75" s="2"/>
      <c r="Q75" s="36">
        <f>H75*0.11</f>
        <v>25.02101218413312</v>
      </c>
      <c r="R75" s="96">
        <f t="shared" ref="R75:R83" si="48">(H75+O75+Q75)*I75</f>
        <v>426.75150707028507</v>
      </c>
      <c r="T75" s="72"/>
      <c r="U75" s="8" t="s">
        <v>112</v>
      </c>
      <c r="V75" s="8" t="s">
        <v>115</v>
      </c>
    </row>
    <row r="76" spans="1:24" ht="15.75" thickBot="1" x14ac:dyDescent="0.3">
      <c r="A76" s="97" t="s">
        <v>96</v>
      </c>
      <c r="B76" s="98">
        <v>71</v>
      </c>
      <c r="C76" s="99">
        <v>1</v>
      </c>
      <c r="D76" s="99">
        <v>5</v>
      </c>
      <c r="E76" s="99">
        <v>2.12</v>
      </c>
      <c r="F76" s="99">
        <f t="shared" si="46"/>
        <v>34.905660377358487</v>
      </c>
      <c r="G76" s="99">
        <v>325</v>
      </c>
      <c r="H76" s="99">
        <f t="shared" si="43"/>
        <v>186.90083480034468</v>
      </c>
      <c r="I76" s="100">
        <f t="shared" si="47"/>
        <v>1.081816635482225</v>
      </c>
      <c r="J76" s="2"/>
      <c r="K76" s="98">
        <v>660</v>
      </c>
      <c r="L76" s="99">
        <v>2</v>
      </c>
      <c r="M76" s="99">
        <v>0.06</v>
      </c>
      <c r="N76" s="99">
        <f t="shared" si="44"/>
        <v>739.2</v>
      </c>
      <c r="O76" s="100">
        <f t="shared" si="45"/>
        <v>134.23410075182554</v>
      </c>
      <c r="P76" s="2"/>
      <c r="Q76" s="98">
        <v>50</v>
      </c>
      <c r="R76" s="101">
        <f t="shared" si="48"/>
        <v>401.49994728896115</v>
      </c>
      <c r="T76" s="8" t="s">
        <v>123</v>
      </c>
      <c r="U76" s="8" t="s">
        <v>130</v>
      </c>
      <c r="V76" s="8" t="s">
        <v>131</v>
      </c>
    </row>
    <row r="77" spans="1:24" x14ac:dyDescent="0.25">
      <c r="A77" s="102" t="s">
        <v>89</v>
      </c>
      <c r="B77" s="91">
        <v>79</v>
      </c>
      <c r="C77" s="92">
        <v>1</v>
      </c>
      <c r="D77" s="92">
        <v>4</v>
      </c>
      <c r="E77" s="92">
        <v>1.32</v>
      </c>
      <c r="F77" s="92">
        <f t="shared" si="46"/>
        <v>61.742424242424242</v>
      </c>
      <c r="G77" s="92">
        <v>475</v>
      </c>
      <c r="H77" s="92">
        <f>F77*5.3544563483342</f>
        <v>330.59711544639185</v>
      </c>
      <c r="I77" s="93">
        <f t="shared" si="47"/>
        <v>1.2430353919799104</v>
      </c>
      <c r="J77" s="2"/>
      <c r="K77" s="91">
        <v>1000</v>
      </c>
      <c r="L77" s="92">
        <v>2</v>
      </c>
      <c r="M77" s="92">
        <v>0.06</v>
      </c>
      <c r="N77" s="92">
        <f t="shared" si="44"/>
        <v>1120</v>
      </c>
      <c r="O77" s="93">
        <f t="shared" si="45"/>
        <v>203.3850011391296</v>
      </c>
      <c r="P77" s="2"/>
      <c r="Q77" s="91">
        <v>200</v>
      </c>
      <c r="R77" s="94">
        <f t="shared" si="48"/>
        <v>912.36574799612799</v>
      </c>
      <c r="T77" s="8" t="s">
        <v>124</v>
      </c>
      <c r="U77" s="8" t="s">
        <v>134</v>
      </c>
      <c r="V77" s="8" t="s">
        <v>136</v>
      </c>
    </row>
    <row r="78" spans="1:24" x14ac:dyDescent="0.25">
      <c r="A78" s="104" t="s">
        <v>92</v>
      </c>
      <c r="B78" s="36">
        <v>51</v>
      </c>
      <c r="C78" s="33">
        <v>1</v>
      </c>
      <c r="D78" s="33">
        <v>1</v>
      </c>
      <c r="E78" s="33">
        <v>1.2</v>
      </c>
      <c r="F78" s="33">
        <f>(2*B78+C78+D78)/(E78*2)</f>
        <v>43.333333333333336</v>
      </c>
      <c r="G78" s="33"/>
      <c r="H78" s="33">
        <f>F78*5.3544563483342</f>
        <v>232.02644176114867</v>
      </c>
      <c r="I78" s="35">
        <f t="shared" si="47"/>
        <v>1</v>
      </c>
      <c r="J78" s="2"/>
      <c r="K78" s="36">
        <v>1618</v>
      </c>
      <c r="L78" s="33">
        <v>6</v>
      </c>
      <c r="M78" s="33">
        <v>0.06</v>
      </c>
      <c r="N78" s="33">
        <f t="shared" si="44"/>
        <v>2200.48</v>
      </c>
      <c r="O78" s="35">
        <f t="shared" si="45"/>
        <v>399.59341723806421</v>
      </c>
      <c r="P78" s="2"/>
      <c r="Q78" s="36">
        <f>H78*0.11</f>
        <v>25.522908593726353</v>
      </c>
      <c r="R78" s="96">
        <f t="shared" si="48"/>
        <v>657.14276759293921</v>
      </c>
      <c r="T78" s="8" t="s">
        <v>125</v>
      </c>
      <c r="U78" s="8" t="s">
        <v>135</v>
      </c>
      <c r="V78" s="8" t="s">
        <v>137</v>
      </c>
    </row>
    <row r="79" spans="1:24" x14ac:dyDescent="0.25">
      <c r="A79" s="95" t="s">
        <v>90</v>
      </c>
      <c r="B79" s="36">
        <v>87</v>
      </c>
      <c r="C79" s="33">
        <v>1</v>
      </c>
      <c r="D79" s="33">
        <v>4</v>
      </c>
      <c r="E79" s="33">
        <v>1.1200000000000001</v>
      </c>
      <c r="F79" s="33">
        <f t="shared" ref="F79" si="49">(2*B79+C79+D79)/(E79*2)</f>
        <v>79.910714285714278</v>
      </c>
      <c r="G79" s="33">
        <v>500</v>
      </c>
      <c r="H79" s="33">
        <f t="shared" ref="H79:H83" si="50">F79*5.3544563483342</f>
        <v>427.8784314070632</v>
      </c>
      <c r="I79" s="35">
        <f t="shared" si="47"/>
        <v>1.3630831643002028</v>
      </c>
      <c r="J79" s="2"/>
      <c r="K79" s="36">
        <v>890</v>
      </c>
      <c r="L79" s="33">
        <v>3</v>
      </c>
      <c r="M79" s="33">
        <v>0.06</v>
      </c>
      <c r="N79" s="33">
        <f t="shared" si="44"/>
        <v>1050.2</v>
      </c>
      <c r="O79" s="35">
        <f t="shared" si="45"/>
        <v>190.70975731813743</v>
      </c>
      <c r="P79" s="2"/>
      <c r="Q79" s="36">
        <v>66</v>
      </c>
      <c r="R79" s="96">
        <f t="shared" si="48"/>
        <v>933.150634530091</v>
      </c>
      <c r="T79" s="80"/>
      <c r="U79" s="8" t="s">
        <v>112</v>
      </c>
      <c r="V79" s="8" t="s">
        <v>115</v>
      </c>
    </row>
    <row r="80" spans="1:24" x14ac:dyDescent="0.25">
      <c r="A80" s="103" t="s">
        <v>93</v>
      </c>
      <c r="B80" s="36">
        <v>66</v>
      </c>
      <c r="C80" s="33">
        <v>1</v>
      </c>
      <c r="D80" s="33">
        <v>1</v>
      </c>
      <c r="E80" s="33">
        <v>1.55</v>
      </c>
      <c r="F80" s="33">
        <f>(2*B80+C80+D80)/(E80*2)</f>
        <v>43.225806451612904</v>
      </c>
      <c r="G80" s="33">
        <v>650</v>
      </c>
      <c r="H80" s="33">
        <f t="shared" si="50"/>
        <v>231.45069376670412</v>
      </c>
      <c r="I80" s="35">
        <f t="shared" si="47"/>
        <v>1.2304842550939401</v>
      </c>
      <c r="J80" s="2"/>
      <c r="K80" s="36">
        <v>1280</v>
      </c>
      <c r="L80" s="33">
        <v>3</v>
      </c>
      <c r="M80" s="33">
        <v>0.06</v>
      </c>
      <c r="N80" s="33">
        <f t="shared" si="44"/>
        <v>1510.3999999999999</v>
      </c>
      <c r="O80" s="35">
        <f>N80*0.18159375101708*1.33</f>
        <v>364.79133804314284</v>
      </c>
      <c r="P80" s="2"/>
      <c r="Q80" s="36">
        <f>H80*0.33</f>
        <v>76.378728943012362</v>
      </c>
      <c r="R80" s="96">
        <f t="shared" si="48"/>
        <v>827.64925575570135</v>
      </c>
      <c r="T80" s="8" t="s">
        <v>123</v>
      </c>
      <c r="U80" s="8" t="s">
        <v>141</v>
      </c>
      <c r="V80" s="8" t="s">
        <v>144</v>
      </c>
    </row>
    <row r="81" spans="1:24" ht="15.75" thickBot="1" x14ac:dyDescent="0.3">
      <c r="A81" s="105" t="s">
        <v>91</v>
      </c>
      <c r="B81" s="98">
        <v>51</v>
      </c>
      <c r="C81" s="99">
        <v>1</v>
      </c>
      <c r="D81" s="99">
        <v>4</v>
      </c>
      <c r="E81" s="99">
        <v>1.68</v>
      </c>
      <c r="F81" s="99">
        <f t="shared" ref="F81" si="51">(2*B81+C81+D81)/(E81*2)</f>
        <v>31.845238095238095</v>
      </c>
      <c r="G81" s="99">
        <v>425</v>
      </c>
      <c r="H81" s="99">
        <f t="shared" si="50"/>
        <v>170.51393728326173</v>
      </c>
      <c r="I81" s="100">
        <f t="shared" ref="I81" si="52">(500/F81)/((500/F81)-(G81/300))</f>
        <v>1.0991767079221415</v>
      </c>
      <c r="J81" s="2"/>
      <c r="K81" s="98">
        <v>780</v>
      </c>
      <c r="L81" s="99">
        <v>3</v>
      </c>
      <c r="M81" s="99">
        <v>0.06</v>
      </c>
      <c r="N81" s="99">
        <f t="shared" si="44"/>
        <v>920.4</v>
      </c>
      <c r="O81" s="100">
        <f t="shared" si="45"/>
        <v>167.13888843612042</v>
      </c>
      <c r="P81" s="2"/>
      <c r="Q81" s="98">
        <v>440</v>
      </c>
      <c r="R81" s="101">
        <f t="shared" si="48"/>
        <v>854.7778728805813</v>
      </c>
      <c r="T81" s="8" t="s">
        <v>124</v>
      </c>
      <c r="U81" s="8" t="s">
        <v>142</v>
      </c>
      <c r="V81" s="8" t="s">
        <v>145</v>
      </c>
    </row>
    <row r="82" spans="1:24" x14ac:dyDescent="0.25">
      <c r="A82" s="106" t="s">
        <v>95</v>
      </c>
      <c r="B82" s="91">
        <v>121</v>
      </c>
      <c r="C82" s="92">
        <v>1</v>
      </c>
      <c r="D82" s="92">
        <v>22</v>
      </c>
      <c r="E82" s="92">
        <v>1.9</v>
      </c>
      <c r="F82" s="92">
        <f>(2*B82+C82+D82)/(E82*2)</f>
        <v>69.736842105263165</v>
      </c>
      <c r="G82" s="92"/>
      <c r="H82" s="92">
        <f t="shared" si="50"/>
        <v>373.40287692330605</v>
      </c>
      <c r="I82" s="93">
        <v>1</v>
      </c>
      <c r="J82" s="2"/>
      <c r="K82" s="91">
        <v>3240</v>
      </c>
      <c r="L82" s="92">
        <v>4</v>
      </c>
      <c r="M82" s="92">
        <v>0.06</v>
      </c>
      <c r="N82" s="92">
        <f t="shared" si="44"/>
        <v>4017.6</v>
      </c>
      <c r="O82" s="93">
        <f t="shared" si="45"/>
        <v>729.57105408622056</v>
      </c>
      <c r="P82" s="2"/>
      <c r="Q82" s="91">
        <v>400</v>
      </c>
      <c r="R82" s="94">
        <f t="shared" si="48"/>
        <v>1502.9739310095265</v>
      </c>
      <c r="T82" s="8" t="s">
        <v>125</v>
      </c>
      <c r="U82" s="8" t="s">
        <v>143</v>
      </c>
      <c r="V82" s="8" t="s">
        <v>146</v>
      </c>
    </row>
    <row r="83" spans="1:24" ht="15.75" thickBot="1" x14ac:dyDescent="0.3">
      <c r="A83" s="107" t="s">
        <v>94</v>
      </c>
      <c r="B83" s="98">
        <v>199</v>
      </c>
      <c r="C83" s="99">
        <v>1</v>
      </c>
      <c r="D83" s="99">
        <v>33</v>
      </c>
      <c r="E83" s="99">
        <v>2.2400000000000002</v>
      </c>
      <c r="F83" s="99">
        <f t="shared" ref="F83" si="53">(2*B83+C83+D83)/(E83*2)</f>
        <v>96.428571428571416</v>
      </c>
      <c r="G83" s="99">
        <v>600</v>
      </c>
      <c r="H83" s="99">
        <f t="shared" si="50"/>
        <v>516.32257644651202</v>
      </c>
      <c r="I83" s="100">
        <f t="shared" ref="I83" si="54">(500/F83)/((500/F83)-(G83/300))</f>
        <v>1.6279069767441858</v>
      </c>
      <c r="J83" s="2"/>
      <c r="K83" s="98">
        <v>2620</v>
      </c>
      <c r="L83" s="99">
        <v>2</v>
      </c>
      <c r="M83" s="99">
        <v>0.06</v>
      </c>
      <c r="N83" s="99">
        <f t="shared" si="44"/>
        <v>2934.4</v>
      </c>
      <c r="O83" s="100">
        <f>N83*0.18159375101708*1.33</f>
        <v>708.71537496941107</v>
      </c>
      <c r="P83" s="2"/>
      <c r="Q83" s="98">
        <v>150</v>
      </c>
      <c r="R83" s="101">
        <f t="shared" si="48"/>
        <v>2238.4338743980138</v>
      </c>
      <c r="T83" s="81"/>
      <c r="U83" s="82" t="s">
        <v>148</v>
      </c>
    </row>
    <row r="84" spans="1:24" ht="15" customHeight="1" x14ac:dyDescent="0.25">
      <c r="J84" s="2"/>
      <c r="T84" s="110"/>
      <c r="U84" s="82" t="s">
        <v>153</v>
      </c>
      <c r="X84" s="8" t="s">
        <v>155</v>
      </c>
    </row>
    <row r="86" spans="1:24" x14ac:dyDescent="0.25">
      <c r="A86" s="26"/>
      <c r="B86" s="118"/>
      <c r="C86" s="119"/>
      <c r="D86" s="119"/>
      <c r="E86" s="119"/>
      <c r="F86" s="119"/>
      <c r="G86" s="119"/>
      <c r="H86" s="119"/>
      <c r="I86" s="120"/>
      <c r="J86" s="26"/>
      <c r="K86" s="117"/>
      <c r="L86" s="117"/>
      <c r="M86" s="117"/>
      <c r="N86" s="117"/>
      <c r="O86" s="117"/>
      <c r="P86" s="26"/>
      <c r="Q86" s="126"/>
      <c r="R86" s="127"/>
      <c r="T86" s="71"/>
      <c r="U86" s="8" t="s">
        <v>112</v>
      </c>
      <c r="V86" s="8" t="s">
        <v>115</v>
      </c>
      <c r="X86" s="73" t="s">
        <v>147</v>
      </c>
    </row>
    <row r="87" spans="1:24" x14ac:dyDescent="0.25">
      <c r="A87" s="64" t="s">
        <v>98</v>
      </c>
      <c r="B87" s="49" t="s">
        <v>115</v>
      </c>
      <c r="C87" s="27" t="s">
        <v>109</v>
      </c>
      <c r="D87" s="27" t="s">
        <v>110</v>
      </c>
      <c r="E87" s="27" t="s">
        <v>3</v>
      </c>
      <c r="F87" s="27" t="s">
        <v>114</v>
      </c>
      <c r="G87" s="27" t="s">
        <v>122</v>
      </c>
      <c r="H87" s="28" t="s">
        <v>116</v>
      </c>
      <c r="I87" s="28" t="s">
        <v>117</v>
      </c>
      <c r="J87" s="29"/>
      <c r="K87" s="27" t="s">
        <v>112</v>
      </c>
      <c r="L87" s="27" t="s">
        <v>111</v>
      </c>
      <c r="M87" s="27"/>
      <c r="N87" s="27" t="s">
        <v>113</v>
      </c>
      <c r="O87" s="28" t="s">
        <v>116</v>
      </c>
      <c r="P87" s="26"/>
      <c r="Q87" s="28" t="s">
        <v>118</v>
      </c>
      <c r="R87" s="52" t="s">
        <v>116</v>
      </c>
      <c r="T87" s="8" t="s">
        <v>123</v>
      </c>
      <c r="U87" s="8" t="s">
        <v>126</v>
      </c>
      <c r="V87" s="8" t="s">
        <v>127</v>
      </c>
      <c r="X87" s="8" t="s">
        <v>140</v>
      </c>
    </row>
    <row r="88" spans="1:24" ht="15.75" thickBo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"/>
      <c r="K88" s="26"/>
      <c r="L88" s="26"/>
      <c r="M88" s="26"/>
      <c r="N88" s="26"/>
      <c r="O88" s="26"/>
      <c r="P88" s="26"/>
      <c r="Q88" s="26"/>
      <c r="R88" s="53"/>
      <c r="T88" s="8" t="s">
        <v>124</v>
      </c>
      <c r="U88" s="8" t="s">
        <v>132</v>
      </c>
      <c r="V88" s="8" t="s">
        <v>128</v>
      </c>
      <c r="X88" s="8" t="s">
        <v>138</v>
      </c>
    </row>
    <row r="89" spans="1:24" x14ac:dyDescent="0.25">
      <c r="A89" s="106" t="s">
        <v>99</v>
      </c>
      <c r="B89" s="91">
        <v>32</v>
      </c>
      <c r="C89" s="92">
        <v>1</v>
      </c>
      <c r="D89" s="92">
        <v>2</v>
      </c>
      <c r="E89" s="92">
        <v>1.45</v>
      </c>
      <c r="F89" s="92">
        <f>(2*B89+C89+D89)/(E89*2)</f>
        <v>23.103448275862071</v>
      </c>
      <c r="G89" s="92"/>
      <c r="H89" s="92">
        <f>F89*5.3544563483342</f>
        <v>123.70640528910049</v>
      </c>
      <c r="I89" s="93">
        <v>1</v>
      </c>
      <c r="J89" s="2"/>
      <c r="K89" s="91">
        <v>715</v>
      </c>
      <c r="L89" s="92">
        <v>2</v>
      </c>
      <c r="M89" s="92">
        <v>0.06</v>
      </c>
      <c r="N89" s="92">
        <f t="shared" ref="N89:N98" si="55">K89*(L89*M89+1)</f>
        <v>800.80000000000007</v>
      </c>
      <c r="O89" s="93">
        <f t="shared" ref="O89:O97" si="56">N89*0.18159375101708</f>
        <v>145.42027581447769</v>
      </c>
      <c r="P89" s="2"/>
      <c r="Q89" s="91">
        <f>H89*0.18+9</f>
        <v>31.267152952038089</v>
      </c>
      <c r="R89" s="94">
        <f>(H89+O89+Q89)*I89</f>
        <v>300.39383405561625</v>
      </c>
      <c r="T89" s="8" t="s">
        <v>125</v>
      </c>
      <c r="U89" s="8" t="s">
        <v>133</v>
      </c>
      <c r="V89" s="8" t="s">
        <v>129</v>
      </c>
      <c r="X89" s="8" t="s">
        <v>139</v>
      </c>
    </row>
    <row r="90" spans="1:24" ht="15.75" thickBot="1" x14ac:dyDescent="0.3">
      <c r="A90" s="107" t="s">
        <v>102</v>
      </c>
      <c r="B90" s="98">
        <v>41</v>
      </c>
      <c r="C90" s="99">
        <v>1</v>
      </c>
      <c r="D90" s="99">
        <v>6</v>
      </c>
      <c r="E90" s="99">
        <v>1.1200000000000001</v>
      </c>
      <c r="F90" s="99">
        <f t="shared" ref="F90:F92" si="57">(2*B90+C90+D90)/(E90*2)</f>
        <v>39.732142857142854</v>
      </c>
      <c r="G90" s="99">
        <v>530</v>
      </c>
      <c r="H90" s="99">
        <f>F90*5.3544563483342</f>
        <v>212.74402455434989</v>
      </c>
      <c r="I90" s="100">
        <f t="shared" ref="I90:I94" si="58">(500/F90)/((500/F90)-(G90/300))</f>
        <v>1.1633140601738048</v>
      </c>
      <c r="J90" s="2"/>
      <c r="K90" s="98">
        <v>655</v>
      </c>
      <c r="L90" s="99">
        <v>1</v>
      </c>
      <c r="M90" s="99">
        <v>0.06</v>
      </c>
      <c r="N90" s="99">
        <f t="shared" si="55"/>
        <v>694.30000000000007</v>
      </c>
      <c r="O90" s="100">
        <f t="shared" si="56"/>
        <v>126.08054133115866</v>
      </c>
      <c r="P90" s="2"/>
      <c r="Q90" s="98">
        <f>H90*0.26</f>
        <v>55.313446384130977</v>
      </c>
      <c r="R90" s="101">
        <f t="shared" ref="R90:R98" si="59">(H90+O90+Q90)*I90</f>
        <v>458.50629132222724</v>
      </c>
      <c r="T90" s="72"/>
      <c r="U90" s="8" t="s">
        <v>112</v>
      </c>
      <c r="V90" s="8" t="s">
        <v>115</v>
      </c>
    </row>
    <row r="91" spans="1:24" x14ac:dyDescent="0.25">
      <c r="A91" s="108" t="s">
        <v>105</v>
      </c>
      <c r="B91" s="91">
        <v>42</v>
      </c>
      <c r="C91" s="92">
        <v>1</v>
      </c>
      <c r="D91" s="92">
        <v>3</v>
      </c>
      <c r="E91" s="92">
        <v>1.41</v>
      </c>
      <c r="F91" s="92">
        <f t="shared" si="57"/>
        <v>31.205673758865249</v>
      </c>
      <c r="G91" s="92">
        <v>300</v>
      </c>
      <c r="H91" s="92">
        <f t="shared" ref="H91" si="60">F91*5.3544563483342</f>
        <v>167.08941796220196</v>
      </c>
      <c r="I91" s="93">
        <f t="shared" si="58"/>
        <v>1.0665658093797277</v>
      </c>
      <c r="J91" s="2"/>
      <c r="K91" s="91">
        <v>540</v>
      </c>
      <c r="L91" s="92">
        <v>3</v>
      </c>
      <c r="M91" s="92">
        <v>0.06</v>
      </c>
      <c r="N91" s="92">
        <f t="shared" si="55"/>
        <v>637.19999999999993</v>
      </c>
      <c r="O91" s="93">
        <f t="shared" si="56"/>
        <v>115.71153814808336</v>
      </c>
      <c r="P91" s="2"/>
      <c r="Q91" s="91">
        <f>O91*0.1</f>
        <v>11.571153814808337</v>
      </c>
      <c r="R91" s="94">
        <f t="shared" si="59"/>
        <v>313.96722768107566</v>
      </c>
      <c r="T91" s="8" t="s">
        <v>123</v>
      </c>
      <c r="U91" s="8" t="s">
        <v>130</v>
      </c>
      <c r="V91" s="8" t="s">
        <v>131</v>
      </c>
    </row>
    <row r="92" spans="1:24" x14ac:dyDescent="0.25">
      <c r="A92" s="109" t="s">
        <v>101</v>
      </c>
      <c r="B92" s="36">
        <v>67</v>
      </c>
      <c r="C92" s="33">
        <v>1</v>
      </c>
      <c r="D92" s="33">
        <v>4</v>
      </c>
      <c r="E92" s="33">
        <v>1.1200000000000001</v>
      </c>
      <c r="F92" s="33">
        <f t="shared" si="57"/>
        <v>62.053571428571423</v>
      </c>
      <c r="G92" s="33">
        <v>640</v>
      </c>
      <c r="H92" s="33">
        <f>F92*5.3544563483342</f>
        <v>332.26313947252396</v>
      </c>
      <c r="I92" s="35">
        <f t="shared" si="58"/>
        <v>1.3601036269430049</v>
      </c>
      <c r="J92" s="2"/>
      <c r="K92" s="36">
        <v>980</v>
      </c>
      <c r="L92" s="33">
        <v>3</v>
      </c>
      <c r="M92" s="33">
        <v>0.06</v>
      </c>
      <c r="N92" s="33">
        <f t="shared" si="55"/>
        <v>1156.3999999999999</v>
      </c>
      <c r="O92" s="35">
        <f t="shared" si="56"/>
        <v>209.9950136761513</v>
      </c>
      <c r="P92" s="2"/>
      <c r="Q92" s="36">
        <v>80</v>
      </c>
      <c r="R92" s="96">
        <f t="shared" si="59"/>
        <v>846.33557099236907</v>
      </c>
      <c r="T92" s="8" t="s">
        <v>124</v>
      </c>
      <c r="U92" s="8" t="s">
        <v>134</v>
      </c>
      <c r="V92" s="8" t="s">
        <v>136</v>
      </c>
    </row>
    <row r="93" spans="1:24" x14ac:dyDescent="0.25">
      <c r="A93" s="103" t="s">
        <v>100</v>
      </c>
      <c r="B93" s="36">
        <v>80</v>
      </c>
      <c r="C93" s="33">
        <v>1</v>
      </c>
      <c r="D93" s="33">
        <v>3</v>
      </c>
      <c r="E93" s="33">
        <v>1.26</v>
      </c>
      <c r="F93" s="33">
        <f>(2*B93+C93+D93)/(E93*2)</f>
        <v>65.079365079365076</v>
      </c>
      <c r="G93" s="33"/>
      <c r="H93" s="33">
        <f t="shared" ref="H93:H98" si="61">F93*5.3544563483342</f>
        <v>348.46461949476537</v>
      </c>
      <c r="I93" s="35">
        <v>1</v>
      </c>
      <c r="J93" s="2"/>
      <c r="K93" s="36">
        <v>1400</v>
      </c>
      <c r="L93" s="33">
        <v>5</v>
      </c>
      <c r="M93" s="33">
        <v>0.06</v>
      </c>
      <c r="N93" s="33">
        <f t="shared" si="55"/>
        <v>1820</v>
      </c>
      <c r="O93" s="35">
        <f t="shared" si="56"/>
        <v>330.5006268510856</v>
      </c>
      <c r="P93" s="2"/>
      <c r="Q93" s="36">
        <f>H93*0.18</f>
        <v>62.723631509057768</v>
      </c>
      <c r="R93" s="96">
        <f t="shared" si="59"/>
        <v>741.68887785490881</v>
      </c>
      <c r="T93" s="8" t="s">
        <v>125</v>
      </c>
      <c r="U93" s="8" t="s">
        <v>135</v>
      </c>
      <c r="V93" s="8" t="s">
        <v>137</v>
      </c>
    </row>
    <row r="94" spans="1:24" x14ac:dyDescent="0.25">
      <c r="A94" s="111" t="s">
        <v>108</v>
      </c>
      <c r="B94" s="36">
        <v>78</v>
      </c>
      <c r="C94" s="33">
        <v>1</v>
      </c>
      <c r="D94" s="33">
        <v>4</v>
      </c>
      <c r="E94" s="33">
        <v>2</v>
      </c>
      <c r="F94" s="33">
        <f t="shared" ref="F94" si="62">(2*B94+C94+D94)/(E94*2)</f>
        <v>40.25</v>
      </c>
      <c r="G94" s="33">
        <v>360</v>
      </c>
      <c r="H94" s="33">
        <f t="shared" si="61"/>
        <v>215.51686802045154</v>
      </c>
      <c r="I94" s="35">
        <f t="shared" si="58"/>
        <v>1.1069293779056895</v>
      </c>
      <c r="J94" s="2"/>
      <c r="K94" s="36">
        <v>1700</v>
      </c>
      <c r="L94" s="33">
        <v>3</v>
      </c>
      <c r="M94" s="33">
        <v>0.06</v>
      </c>
      <c r="N94" s="33">
        <f t="shared" si="55"/>
        <v>2006</v>
      </c>
      <c r="O94" s="35">
        <f t="shared" si="56"/>
        <v>364.27706454026247</v>
      </c>
      <c r="P94" s="2"/>
      <c r="Q94" s="36">
        <v>45</v>
      </c>
      <c r="R94" s="96">
        <f t="shared" si="59"/>
        <v>691.60275908868039</v>
      </c>
      <c r="T94" s="80"/>
      <c r="U94" s="8" t="s">
        <v>112</v>
      </c>
      <c r="V94" s="8" t="s">
        <v>115</v>
      </c>
    </row>
    <row r="95" spans="1:24" x14ac:dyDescent="0.25">
      <c r="A95" s="95" t="s">
        <v>103</v>
      </c>
      <c r="B95" s="36">
        <v>138</v>
      </c>
      <c r="C95" s="33">
        <v>1</v>
      </c>
      <c r="D95" s="33">
        <v>9</v>
      </c>
      <c r="E95" s="33">
        <v>1.9</v>
      </c>
      <c r="F95" s="33">
        <f>(2*B95+C95+D95)/(E95*2)</f>
        <v>75.26315789473685</v>
      </c>
      <c r="G95" s="33">
        <v>630</v>
      </c>
      <c r="H95" s="33">
        <f t="shared" si="61"/>
        <v>402.99329358515297</v>
      </c>
      <c r="I95" s="35">
        <f t="shared" ref="I95:I96" si="63">(500/F95)/((500/F95)-(G95/300))</f>
        <v>1.462213329228875</v>
      </c>
      <c r="J95" s="2"/>
      <c r="K95" s="36">
        <v>1240</v>
      </c>
      <c r="L95" s="33">
        <v>3</v>
      </c>
      <c r="M95" s="33">
        <v>0.06</v>
      </c>
      <c r="N95" s="33">
        <f t="shared" si="55"/>
        <v>1463.1999999999998</v>
      </c>
      <c r="O95" s="35">
        <f>N95*0.18159375101708*1.33</f>
        <v>353.3916087292946</v>
      </c>
      <c r="P95" s="2"/>
      <c r="Q95" s="36">
        <v>190</v>
      </c>
      <c r="R95" s="96">
        <f t="shared" si="59"/>
        <v>1383.816618745152</v>
      </c>
      <c r="T95" s="8" t="s">
        <v>123</v>
      </c>
      <c r="U95" s="8" t="s">
        <v>141</v>
      </c>
      <c r="V95" s="8" t="s">
        <v>144</v>
      </c>
    </row>
    <row r="96" spans="1:24" ht="15.75" thickBot="1" x14ac:dyDescent="0.3">
      <c r="A96" s="105" t="s">
        <v>104</v>
      </c>
      <c r="B96" s="98">
        <v>69</v>
      </c>
      <c r="C96" s="99">
        <v>1</v>
      </c>
      <c r="D96" s="99">
        <v>1</v>
      </c>
      <c r="E96" s="99">
        <v>1.08</v>
      </c>
      <c r="F96" s="99">
        <f t="shared" ref="F96" si="64">(2*B96+C96+D96)/(E96*2)</f>
        <v>64.81481481481481</v>
      </c>
      <c r="G96" s="99">
        <v>600</v>
      </c>
      <c r="H96" s="99">
        <f t="shared" si="61"/>
        <v>347.04809665129068</v>
      </c>
      <c r="I96" s="100">
        <f t="shared" si="63"/>
        <v>1.3499999999999999</v>
      </c>
      <c r="J96" s="2"/>
      <c r="K96" s="98">
        <v>1100</v>
      </c>
      <c r="L96" s="99">
        <v>2</v>
      </c>
      <c r="M96" s="99">
        <v>0.06</v>
      </c>
      <c r="N96" s="99">
        <f t="shared" si="55"/>
        <v>1232.0000000000002</v>
      </c>
      <c r="O96" s="100">
        <f t="shared" si="56"/>
        <v>223.7235012530426</v>
      </c>
      <c r="P96" s="2"/>
      <c r="Q96" s="98">
        <v>130</v>
      </c>
      <c r="R96" s="101">
        <f t="shared" si="59"/>
        <v>946.04165717084982</v>
      </c>
      <c r="T96" s="8" t="s">
        <v>124</v>
      </c>
      <c r="U96" s="8" t="s">
        <v>142</v>
      </c>
      <c r="V96" s="8" t="s">
        <v>145</v>
      </c>
    </row>
    <row r="97" spans="1:22" x14ac:dyDescent="0.25">
      <c r="A97" s="106" t="s">
        <v>107</v>
      </c>
      <c r="B97" s="91">
        <v>148</v>
      </c>
      <c r="C97" s="92">
        <v>1</v>
      </c>
      <c r="D97" s="92">
        <v>1</v>
      </c>
      <c r="E97" s="92">
        <v>2.5</v>
      </c>
      <c r="F97" s="92">
        <f>(2*B97+C97+D97)/(E97*2)</f>
        <v>59.6</v>
      </c>
      <c r="G97" s="92"/>
      <c r="H97" s="92">
        <f t="shared" si="61"/>
        <v>319.1255983607183</v>
      </c>
      <c r="I97" s="93">
        <v>1</v>
      </c>
      <c r="J97" s="2"/>
      <c r="K97" s="91">
        <v>2840</v>
      </c>
      <c r="L97" s="92">
        <v>5</v>
      </c>
      <c r="M97" s="92">
        <v>0.06</v>
      </c>
      <c r="N97" s="92">
        <f t="shared" si="55"/>
        <v>3692</v>
      </c>
      <c r="O97" s="93">
        <f t="shared" si="56"/>
        <v>670.44412875505941</v>
      </c>
      <c r="P97" s="2"/>
      <c r="Q97" s="91">
        <f>H97*0.43+160</f>
        <v>297.22400729510889</v>
      </c>
      <c r="R97" s="94">
        <f t="shared" si="59"/>
        <v>1286.7937344108866</v>
      </c>
      <c r="T97" s="8" t="s">
        <v>125</v>
      </c>
      <c r="U97" s="8" t="s">
        <v>143</v>
      </c>
      <c r="V97" s="8" t="s">
        <v>146</v>
      </c>
    </row>
    <row r="98" spans="1:22" ht="15.75" thickBot="1" x14ac:dyDescent="0.3">
      <c r="A98" s="107" t="s">
        <v>106</v>
      </c>
      <c r="B98" s="98">
        <v>161</v>
      </c>
      <c r="C98" s="99">
        <v>1</v>
      </c>
      <c r="D98" s="99">
        <v>1</v>
      </c>
      <c r="E98" s="99">
        <v>2.21</v>
      </c>
      <c r="F98" s="99">
        <f t="shared" ref="F98" si="65">(2*B98+C98+D98)/(E98*2)</f>
        <v>73.303167420814475</v>
      </c>
      <c r="G98" s="99">
        <v>550</v>
      </c>
      <c r="H98" s="99">
        <f t="shared" si="61"/>
        <v>392.49861014938472</v>
      </c>
      <c r="I98" s="100">
        <f t="shared" ref="I98" si="66">(500/F98)/((500/F98)-(G98/300))</f>
        <v>1.3675742574257423</v>
      </c>
      <c r="J98" s="2"/>
      <c r="K98" s="98">
        <v>2240</v>
      </c>
      <c r="L98" s="99">
        <v>5</v>
      </c>
      <c r="M98" s="99">
        <v>0.06</v>
      </c>
      <c r="N98" s="99">
        <f t="shared" si="55"/>
        <v>2912</v>
      </c>
      <c r="O98" s="100">
        <f>N98*0.18159375101708</f>
        <v>528.80100296173691</v>
      </c>
      <c r="P98" s="2"/>
      <c r="Q98" s="98">
        <f>H98*2</f>
        <v>784.99722029876943</v>
      </c>
      <c r="R98" s="101">
        <f t="shared" si="59"/>
        <v>2333.4876248984274</v>
      </c>
      <c r="T98" s="81"/>
      <c r="U98" s="82" t="s">
        <v>148</v>
      </c>
    </row>
    <row r="99" spans="1:22" x14ac:dyDescent="0.25">
      <c r="J99" s="2"/>
      <c r="T99" s="110"/>
      <c r="U99" s="82" t="s">
        <v>153</v>
      </c>
    </row>
    <row r="100" spans="1:22" x14ac:dyDescent="0.25">
      <c r="F100" s="6"/>
      <c r="G100" s="6"/>
      <c r="M100" s="59"/>
    </row>
    <row r="101" spans="1:22" x14ac:dyDescent="0.25">
      <c r="F101" s="6"/>
      <c r="M101" s="59"/>
    </row>
    <row r="102" spans="1:22" x14ac:dyDescent="0.25">
      <c r="M102" s="59"/>
    </row>
    <row r="103" spans="1:22" x14ac:dyDescent="0.25">
      <c r="F103" s="6"/>
      <c r="M103" s="59"/>
    </row>
    <row r="104" spans="1:22" x14ac:dyDescent="0.25">
      <c r="F104" s="6"/>
      <c r="M104" s="59"/>
    </row>
    <row r="105" spans="1:22" x14ac:dyDescent="0.25">
      <c r="F105" s="6"/>
      <c r="K105" s="59"/>
    </row>
    <row r="106" spans="1:22" x14ac:dyDescent="0.25">
      <c r="A106" s="115">
        <v>9</v>
      </c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</row>
    <row r="107" spans="1:22" ht="24" x14ac:dyDescent="0.25">
      <c r="A107" s="124" t="s">
        <v>17</v>
      </c>
      <c r="B107" s="125"/>
      <c r="C107" s="60" t="s">
        <v>18</v>
      </c>
      <c r="D107" s="44" t="s">
        <v>15</v>
      </c>
      <c r="E107" s="45"/>
      <c r="F107" s="121" t="s">
        <v>27</v>
      </c>
      <c r="G107" s="46" t="s">
        <v>28</v>
      </c>
      <c r="H107" s="43" t="s">
        <v>30</v>
      </c>
      <c r="I107" s="43" t="s">
        <v>31</v>
      </c>
      <c r="J107" s="43" t="s">
        <v>4</v>
      </c>
      <c r="K107" s="43" t="s">
        <v>29</v>
      </c>
      <c r="L107" s="43" t="s">
        <v>32</v>
      </c>
      <c r="M107" s="44" t="s">
        <v>15</v>
      </c>
      <c r="N107" s="45"/>
      <c r="O107" s="45"/>
      <c r="P107" s="45"/>
      <c r="Q107" s="45"/>
      <c r="R107" s="45"/>
      <c r="S107" s="58"/>
      <c r="T107" s="45"/>
      <c r="U107" s="45"/>
      <c r="V107" s="45"/>
    </row>
    <row r="108" spans="1:22" x14ac:dyDescent="0.25">
      <c r="A108" s="122" t="s">
        <v>19</v>
      </c>
      <c r="B108" s="123"/>
      <c r="C108" s="130">
        <v>30</v>
      </c>
      <c r="D108" s="133">
        <f>(100/(100-C108)*C108+100)/100</f>
        <v>1.4285714285714286</v>
      </c>
      <c r="E108" s="45"/>
      <c r="F108" s="121"/>
      <c r="G108" s="47">
        <v>265</v>
      </c>
      <c r="H108" s="48">
        <v>75</v>
      </c>
      <c r="I108" s="48">
        <v>12</v>
      </c>
      <c r="J108" s="48">
        <v>150</v>
      </c>
      <c r="K108" s="48">
        <v>5</v>
      </c>
      <c r="L108" s="48">
        <f>(((G108/H108)*K108)*J108)/I108</f>
        <v>220.83333333333329</v>
      </c>
      <c r="M108" s="48">
        <f>((((500+L108)*(4*$M$4+1))-(500*(4*$M$4+1)))*0.18159375101708)*0.75</f>
        <v>37.294816615132795</v>
      </c>
      <c r="N108" s="45"/>
      <c r="O108" s="45"/>
      <c r="P108" s="45"/>
      <c r="Q108" s="45"/>
      <c r="R108" s="45"/>
      <c r="S108" s="58"/>
      <c r="T108" s="45"/>
      <c r="U108" s="45"/>
      <c r="V108" s="45"/>
    </row>
    <row r="109" spans="1:22" x14ac:dyDescent="0.25">
      <c r="A109" s="122" t="s">
        <v>23</v>
      </c>
      <c r="B109" s="123"/>
      <c r="C109" s="131"/>
      <c r="D109" s="134"/>
      <c r="E109" s="45"/>
      <c r="F109" s="121"/>
      <c r="G109" s="47">
        <v>300</v>
      </c>
      <c r="H109" s="48">
        <v>49</v>
      </c>
      <c r="I109" s="48">
        <v>1</v>
      </c>
      <c r="J109" s="48">
        <v>90</v>
      </c>
      <c r="K109" s="48">
        <v>1</v>
      </c>
      <c r="L109" s="48">
        <f>(((G109/H109)*K109)*J109)/I109</f>
        <v>551.0204081632653</v>
      </c>
      <c r="M109" s="48">
        <f>((((500+L109)*(4*$M$4+1))-(500*(4*$M$4+1)))*0.18159375101708)*0.75</f>
        <v>93.057532408956703</v>
      </c>
      <c r="N109" s="45"/>
      <c r="O109" s="51"/>
      <c r="P109" s="45"/>
    </row>
    <row r="110" spans="1:22" x14ac:dyDescent="0.25">
      <c r="A110" s="128" t="s">
        <v>67</v>
      </c>
      <c r="B110" s="129"/>
      <c r="C110" s="132"/>
      <c r="D110" s="135"/>
      <c r="F110" s="6"/>
      <c r="G110" s="6"/>
    </row>
    <row r="111" spans="1:22" x14ac:dyDescent="0.25">
      <c r="F111" s="6"/>
      <c r="G111" s="6"/>
    </row>
    <row r="112" spans="1:22" x14ac:dyDescent="0.25">
      <c r="F112" s="6"/>
      <c r="G112" s="6"/>
    </row>
    <row r="113" spans="6:7" x14ac:dyDescent="0.25">
      <c r="F113" s="6"/>
      <c r="G113" s="6"/>
    </row>
    <row r="114" spans="6:7" x14ac:dyDescent="0.25">
      <c r="F114" s="6"/>
      <c r="G114" s="6"/>
    </row>
    <row r="115" spans="6:7" x14ac:dyDescent="0.25">
      <c r="F115" s="6"/>
      <c r="G115" s="6"/>
    </row>
    <row r="116" spans="6:7" x14ac:dyDescent="0.25">
      <c r="F116" s="6"/>
      <c r="G116" s="6"/>
    </row>
    <row r="117" spans="6:7" x14ac:dyDescent="0.25">
      <c r="F117" s="6"/>
      <c r="G117" s="6"/>
    </row>
    <row r="118" spans="6:7" x14ac:dyDescent="0.25">
      <c r="F118" s="6"/>
      <c r="G118" s="6"/>
    </row>
    <row r="119" spans="6:7" x14ac:dyDescent="0.25">
      <c r="F119" s="6"/>
      <c r="G119" s="6"/>
    </row>
    <row r="120" spans="6:7" x14ac:dyDescent="0.25">
      <c r="F120" s="6"/>
      <c r="G120" s="6"/>
    </row>
    <row r="121" spans="6:7" x14ac:dyDescent="0.25">
      <c r="F121" s="6"/>
      <c r="G121" s="6"/>
    </row>
    <row r="122" spans="6:7" x14ac:dyDescent="0.25">
      <c r="F122" s="6"/>
      <c r="G122" s="6"/>
    </row>
    <row r="123" spans="6:7" x14ac:dyDescent="0.25">
      <c r="F123" s="6"/>
      <c r="G123" s="6"/>
    </row>
    <row r="124" spans="6:7" x14ac:dyDescent="0.25">
      <c r="F124" s="6"/>
      <c r="G124" s="6"/>
    </row>
    <row r="125" spans="6:7" x14ac:dyDescent="0.25">
      <c r="F125" s="6"/>
      <c r="G125" s="6"/>
    </row>
    <row r="126" spans="6:7" x14ac:dyDescent="0.25">
      <c r="F126" s="6"/>
      <c r="G126" s="6"/>
    </row>
    <row r="127" spans="6:7" x14ac:dyDescent="0.25">
      <c r="F127" s="6"/>
      <c r="G127" s="6"/>
    </row>
    <row r="128" spans="6:7" x14ac:dyDescent="0.25">
      <c r="F128" s="6"/>
      <c r="G128" s="6"/>
    </row>
    <row r="129" spans="6:7" x14ac:dyDescent="0.25">
      <c r="F129" s="6"/>
      <c r="G129" s="6"/>
    </row>
    <row r="130" spans="6:7" x14ac:dyDescent="0.25">
      <c r="F130" s="6"/>
      <c r="G130" s="6"/>
    </row>
    <row r="131" spans="6:7" x14ac:dyDescent="0.25">
      <c r="F131" s="6"/>
      <c r="G131" s="6"/>
    </row>
    <row r="132" spans="6:7" x14ac:dyDescent="0.25">
      <c r="F132" s="6"/>
      <c r="G132" s="6"/>
    </row>
    <row r="133" spans="6:7" x14ac:dyDescent="0.25">
      <c r="F133" s="6"/>
      <c r="G133" s="6"/>
    </row>
    <row r="134" spans="6:7" x14ac:dyDescent="0.25">
      <c r="F134" s="6"/>
      <c r="G134" s="6"/>
    </row>
    <row r="135" spans="6:7" x14ac:dyDescent="0.25">
      <c r="F135" s="6"/>
      <c r="G135" s="6"/>
    </row>
    <row r="136" spans="6:7" x14ac:dyDescent="0.25">
      <c r="F136" s="6"/>
      <c r="G136" s="6"/>
    </row>
    <row r="137" spans="6:7" x14ac:dyDescent="0.25">
      <c r="F137" s="6"/>
      <c r="G137" s="6"/>
    </row>
    <row r="138" spans="6:7" x14ac:dyDescent="0.25">
      <c r="F138" s="6"/>
      <c r="G138" s="6"/>
    </row>
    <row r="139" spans="6:7" x14ac:dyDescent="0.25">
      <c r="F139" s="6"/>
      <c r="G139" s="6"/>
    </row>
    <row r="140" spans="6:7" x14ac:dyDescent="0.25">
      <c r="F140" s="6"/>
      <c r="G140" s="6"/>
    </row>
  </sheetData>
  <mergeCells count="23">
    <mergeCell ref="K56:O56"/>
    <mergeCell ref="Q56:R56"/>
    <mergeCell ref="A110:B110"/>
    <mergeCell ref="C108:C110"/>
    <mergeCell ref="D108:D110"/>
    <mergeCell ref="K86:O86"/>
    <mergeCell ref="Q86:R86"/>
    <mergeCell ref="Q1:V1"/>
    <mergeCell ref="A106:V106"/>
    <mergeCell ref="K1:O1"/>
    <mergeCell ref="B1:I1"/>
    <mergeCell ref="F107:F109"/>
    <mergeCell ref="A109:B109"/>
    <mergeCell ref="A107:B107"/>
    <mergeCell ref="A108:B108"/>
    <mergeCell ref="B41:I41"/>
    <mergeCell ref="K41:O41"/>
    <mergeCell ref="Q41:R41"/>
    <mergeCell ref="B56:I56"/>
    <mergeCell ref="B71:I71"/>
    <mergeCell ref="K71:O71"/>
    <mergeCell ref="Q71:R71"/>
    <mergeCell ref="B86:I86"/>
  </mergeCells>
  <conditionalFormatting sqref="R44:R56 V6 V10 V14 V18 V22 V26 V30 V34 R59:R69 R73:R83 R88:R98 R85:R86 R7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{FCC65475-B7E2-4F29-8370-6C3320D789D4}</x14:id>
        </ext>
      </extLst>
    </cfRule>
  </conditionalFormatting>
  <conditionalFormatting sqref="F1:F57 F59:F69 F85:F100 F71:F83 F102:F1048576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{008C3925-61FF-4A95-8472-3F95FC6AE119}</x14:id>
        </ext>
      </extLst>
    </cfRule>
  </conditionalFormatting>
  <conditionalFormatting sqref="N1:N57 N59:N69 N85:N100 N71:N83 N102:N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{D3F636F5-429E-4A92-A042-C0EC7051C612}</x14:id>
        </ext>
      </extLst>
    </cfRule>
  </conditionalFormatting>
  <conditionalFormatting sqref="R5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{EE4B7616-3B79-491B-962D-200887102E03}</x14:id>
        </ext>
      </extLst>
    </cfRule>
  </conditionalFormatting>
  <conditionalFormatting sqref="F5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{8B61C089-219B-44B8-940D-379B0A060C26}</x14:id>
        </ext>
      </extLst>
    </cfRule>
  </conditionalFormatting>
  <conditionalFormatting sqref="N5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{999F950E-7ECE-4D99-B7FC-18E9BE6A1428}</x14:id>
        </ext>
      </extLst>
    </cfRule>
  </conditionalFormatting>
  <conditionalFormatting sqref="F8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{CF3861E5-27C3-46B2-98EE-01BE45F2D8DE}</x14:id>
        </ext>
      </extLst>
    </cfRule>
  </conditionalFormatting>
  <conditionalFormatting sqref="N8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{0E089EA8-71CC-48C0-B6BB-8AEDB443180A}</x14:id>
        </ext>
      </extLst>
    </cfRule>
  </conditionalFormatting>
  <conditionalFormatting sqref="R7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{06545ECD-6CC8-4C87-AD7C-835CB605141A}</x14:id>
        </ext>
      </extLst>
    </cfRule>
  </conditionalFormatting>
  <conditionalFormatting sqref="F7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{2DD5AB51-9237-4CFE-9E4D-0CB4C4B14465}</x14:id>
        </ext>
      </extLst>
    </cfRule>
  </conditionalFormatting>
  <conditionalFormatting sqref="N7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{284CC0BB-C4CD-4FE0-B3A2-FC00AE60F0BF}</x14:id>
        </ext>
      </extLst>
    </cfRule>
  </conditionalFormatting>
  <conditionalFormatting sqref="F1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{590C70CD-3F0D-4BDF-9EEC-9A1502D3D06D}</x14:id>
        </ext>
      </extLst>
    </cfRule>
  </conditionalFormatting>
  <conditionalFormatting sqref="N10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{A5D6A732-B07E-4A71-9D45-E722CAE6150F}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C65475-B7E2-4F29-8370-6C3320D78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R44:R56 V6 V10 V14 V18 V22 V26 V30 V34 R59:R69 R73:R83 R88:R98 R85:R86 R71</xm:sqref>
        </x14:conditionalFormatting>
        <x14:conditionalFormatting xmlns:xm="http://schemas.microsoft.com/office/excel/2006/main">
          <x14:cfRule type="dataBar" id="{008C3925-61FF-4A95-8472-3F95FC6AE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F1:F57 F59:F69 F85:F100 F71:F83 F102:F1048576</xm:sqref>
        </x14:conditionalFormatting>
        <x14:conditionalFormatting xmlns:xm="http://schemas.microsoft.com/office/excel/2006/main">
          <x14:cfRule type="dataBar" id="{D3F636F5-429E-4A92-A042-C0EC7051C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N1:N57 N59:N69 N85:N100 N71:N83 N102:N1048576</xm:sqref>
        </x14:conditionalFormatting>
        <x14:conditionalFormatting xmlns:xm="http://schemas.microsoft.com/office/excel/2006/main">
          <x14:cfRule type="dataBar" id="{EE4B7616-3B79-491B-962D-200887102E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R58</xm:sqref>
        </x14:conditionalFormatting>
        <x14:conditionalFormatting xmlns:xm="http://schemas.microsoft.com/office/excel/2006/main">
          <x14:cfRule type="dataBar" id="{8B61C089-219B-44B8-940D-379B0A060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999F950E-7ECE-4D99-B7FC-18E9BE6A1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N58</xm:sqref>
        </x14:conditionalFormatting>
        <x14:conditionalFormatting xmlns:xm="http://schemas.microsoft.com/office/excel/2006/main">
          <x14:cfRule type="dataBar" id="{CF3861E5-27C3-46B2-98EE-01BE45F2D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0E089EA8-71CC-48C0-B6BB-8AEDB4431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N84</xm:sqref>
        </x14:conditionalFormatting>
        <x14:conditionalFormatting xmlns:xm="http://schemas.microsoft.com/office/excel/2006/main">
          <x14:cfRule type="dataBar" id="{06545ECD-6CC8-4C87-AD7C-835CB6051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R70</xm:sqref>
        </x14:conditionalFormatting>
        <x14:conditionalFormatting xmlns:xm="http://schemas.microsoft.com/office/excel/2006/main">
          <x14:cfRule type="dataBar" id="{2DD5AB51-9237-4CFE-9E4D-0CB4C4B14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284CC0BB-C4CD-4FE0-B3A2-FC00AE60F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N70</xm:sqref>
        </x14:conditionalFormatting>
        <x14:conditionalFormatting xmlns:xm="http://schemas.microsoft.com/office/excel/2006/main">
          <x14:cfRule type="dataBar" id="{590C70CD-3F0D-4BDF-9EEC-9A1502D3D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F101</xm:sqref>
        </x14:conditionalFormatting>
        <x14:conditionalFormatting xmlns:xm="http://schemas.microsoft.com/office/excel/2006/main">
          <x14:cfRule type="dataBar" id="{A5D6A732-B07E-4A71-9D45-E722CAE61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B2" sqref="B2"/>
    </sheetView>
  </sheetViews>
  <sheetFormatPr defaultRowHeight="15" x14ac:dyDescent="0.25"/>
  <cols>
    <col min="1" max="1" width="8" customWidth="1"/>
    <col min="2" max="2" width="13.85546875" customWidth="1"/>
    <col min="3" max="3" width="7.85546875" customWidth="1"/>
    <col min="4" max="4" width="7.140625" customWidth="1"/>
    <col min="5" max="5" width="9.42578125" customWidth="1"/>
    <col min="6" max="6" width="9.85546875" customWidth="1"/>
    <col min="7" max="7" width="10.7109375" customWidth="1"/>
    <col min="13" max="13" width="11.140625" customWidth="1"/>
    <col min="14" max="14" width="20.7109375" customWidth="1"/>
    <col min="15" max="15" width="7.42578125" customWidth="1"/>
  </cols>
  <sheetData>
    <row r="1" spans="1:19" x14ac:dyDescent="0.25">
      <c r="A1" s="8" t="s">
        <v>41</v>
      </c>
      <c r="B1" s="8" t="s">
        <v>44</v>
      </c>
      <c r="C1" s="8" t="s">
        <v>38</v>
      </c>
      <c r="D1" s="8" t="s">
        <v>39</v>
      </c>
    </row>
    <row r="2" spans="1:19" x14ac:dyDescent="0.25">
      <c r="A2" s="8">
        <v>8</v>
      </c>
      <c r="B2" s="8">
        <f>A2*0.4</f>
        <v>3.2</v>
      </c>
      <c r="C2" s="8">
        <v>120</v>
      </c>
      <c r="D2" s="8">
        <v>3</v>
      </c>
      <c r="E2" s="8"/>
    </row>
    <row r="3" spans="1:19" ht="15.75" thickBot="1" x14ac:dyDescent="0.3"/>
    <row r="4" spans="1:19" ht="15.75" thickBot="1" x14ac:dyDescent="0.3">
      <c r="B4" s="19" t="s">
        <v>45</v>
      </c>
      <c r="C4" s="8"/>
      <c r="D4" s="8"/>
      <c r="E4" s="19" t="s">
        <v>40</v>
      </c>
      <c r="F4" s="19" t="s">
        <v>49</v>
      </c>
      <c r="G4" s="19" t="s">
        <v>48</v>
      </c>
      <c r="H4" s="8"/>
      <c r="I4" s="19" t="s">
        <v>42</v>
      </c>
      <c r="J4" s="19" t="s">
        <v>43</v>
      </c>
      <c r="K4" s="8"/>
      <c r="L4" s="19" t="s">
        <v>47</v>
      </c>
      <c r="M4" s="8"/>
      <c r="N4" s="8"/>
      <c r="O4" s="8"/>
      <c r="P4" s="8"/>
      <c r="Q4" s="8"/>
      <c r="R4" s="8"/>
      <c r="S4" s="8"/>
    </row>
    <row r="5" spans="1:19" x14ac:dyDescent="0.25">
      <c r="B5" s="16">
        <v>1</v>
      </c>
      <c r="C5" s="8"/>
      <c r="D5" s="8"/>
      <c r="E5" s="16">
        <v>50</v>
      </c>
      <c r="F5" s="16">
        <f t="shared" ref="F5:F19" si="0">E5*$B$2</f>
        <v>160</v>
      </c>
      <c r="G5" s="16">
        <f t="shared" ref="G5:G19" si="1">$C$2*$D$2+E5</f>
        <v>410</v>
      </c>
      <c r="H5" s="8"/>
      <c r="I5" s="16">
        <f t="shared" ref="I5:I19" si="2">(F5/5.3544563483342)*5</f>
        <v>149.40825883264213</v>
      </c>
      <c r="J5" s="16">
        <f t="shared" ref="J5:J19" si="3">(F5/0.18159375101708)*5</f>
        <v>4405.4379378107296</v>
      </c>
      <c r="K5" s="8"/>
      <c r="L5" s="16">
        <f t="shared" ref="L5:L19" si="4">F5*10</f>
        <v>1600</v>
      </c>
      <c r="M5" s="8"/>
      <c r="N5" s="8"/>
      <c r="O5" s="8"/>
      <c r="P5" s="8"/>
      <c r="Q5" s="8"/>
      <c r="R5" s="8"/>
      <c r="S5" s="8"/>
    </row>
    <row r="6" spans="1:19" x14ac:dyDescent="0.25">
      <c r="B6" s="7">
        <v>2</v>
      </c>
      <c r="C6" s="8"/>
      <c r="D6" s="8"/>
      <c r="E6" s="7">
        <f t="shared" ref="E6:E19" si="5">E5+(G5/10)</f>
        <v>91</v>
      </c>
      <c r="F6" s="7">
        <f t="shared" si="0"/>
        <v>291.2</v>
      </c>
      <c r="G6" s="7">
        <f t="shared" si="1"/>
        <v>451</v>
      </c>
      <c r="H6" s="8"/>
      <c r="I6" s="7">
        <f t="shared" si="2"/>
        <v>271.92303107540869</v>
      </c>
      <c r="J6" s="7">
        <f t="shared" si="3"/>
        <v>8017.8970468155276</v>
      </c>
      <c r="K6" s="8"/>
      <c r="L6" s="7">
        <f t="shared" si="4"/>
        <v>2912</v>
      </c>
      <c r="M6" s="8"/>
      <c r="N6" s="8"/>
      <c r="O6" s="8"/>
      <c r="P6" s="8"/>
      <c r="Q6" s="8"/>
      <c r="R6" s="8"/>
      <c r="S6" s="8"/>
    </row>
    <row r="7" spans="1:19" ht="15.75" thickBot="1" x14ac:dyDescent="0.3">
      <c r="B7" s="15">
        <v>3</v>
      </c>
      <c r="C7" s="8"/>
      <c r="D7" s="8"/>
      <c r="E7" s="15">
        <f t="shared" si="5"/>
        <v>136.1</v>
      </c>
      <c r="F7" s="15">
        <f t="shared" si="0"/>
        <v>435.52</v>
      </c>
      <c r="G7" s="15">
        <f t="shared" si="1"/>
        <v>496.1</v>
      </c>
      <c r="H7" s="8"/>
      <c r="I7" s="15">
        <f t="shared" si="2"/>
        <v>406.68928054245191</v>
      </c>
      <c r="J7" s="15">
        <f t="shared" si="3"/>
        <v>11991.602066720805</v>
      </c>
      <c r="K7" s="8"/>
      <c r="L7" s="15">
        <f t="shared" si="4"/>
        <v>4355.2</v>
      </c>
      <c r="M7" s="8"/>
      <c r="N7" s="8"/>
      <c r="O7" s="8"/>
      <c r="P7" s="8"/>
      <c r="Q7" s="8"/>
      <c r="R7" s="8"/>
      <c r="S7" s="8"/>
    </row>
    <row r="8" spans="1:19" ht="15.75" thickBot="1" x14ac:dyDescent="0.3">
      <c r="B8" s="17">
        <v>4</v>
      </c>
      <c r="C8" s="1"/>
      <c r="D8" s="1"/>
      <c r="E8" s="20">
        <f t="shared" si="5"/>
        <v>185.70999999999998</v>
      </c>
      <c r="F8" s="21">
        <f t="shared" si="0"/>
        <v>594.27199999999993</v>
      </c>
      <c r="G8" s="22">
        <f t="shared" si="1"/>
        <v>545.71</v>
      </c>
      <c r="H8" s="1"/>
      <c r="I8" s="20">
        <f t="shared" si="2"/>
        <v>554.93215495619938</v>
      </c>
      <c r="J8" s="22">
        <f t="shared" si="3"/>
        <v>16362.677588616609</v>
      </c>
      <c r="K8" s="1"/>
      <c r="L8" s="23">
        <f t="shared" si="4"/>
        <v>5942.7199999999993</v>
      </c>
      <c r="M8" s="8"/>
      <c r="N8" s="8"/>
      <c r="O8" s="8"/>
      <c r="P8" s="8"/>
      <c r="Q8" s="8"/>
      <c r="R8" s="8"/>
      <c r="S8" s="8"/>
    </row>
    <row r="9" spans="1:19" x14ac:dyDescent="0.25">
      <c r="B9" s="16">
        <v>5</v>
      </c>
      <c r="C9" s="1"/>
      <c r="D9" s="1"/>
      <c r="E9" s="16">
        <f t="shared" si="5"/>
        <v>240.28099999999998</v>
      </c>
      <c r="F9" s="16">
        <f t="shared" si="0"/>
        <v>768.89919999999995</v>
      </c>
      <c r="G9" s="16">
        <f t="shared" si="1"/>
        <v>600.28099999999995</v>
      </c>
      <c r="H9" s="1"/>
      <c r="I9" s="16">
        <f t="shared" si="2"/>
        <v>717.99931681132171</v>
      </c>
      <c r="J9" s="16">
        <f t="shared" si="3"/>
        <v>21170.860662701998</v>
      </c>
      <c r="K9" s="1"/>
      <c r="L9" s="16">
        <f t="shared" si="4"/>
        <v>7688.9919999999993</v>
      </c>
      <c r="M9" s="8"/>
      <c r="N9" s="8"/>
      <c r="O9" s="8"/>
      <c r="P9" s="8"/>
      <c r="Q9" s="8"/>
      <c r="R9" s="8"/>
      <c r="S9" s="8"/>
    </row>
    <row r="10" spans="1:19" x14ac:dyDescent="0.25">
      <c r="B10" s="7">
        <v>6</v>
      </c>
      <c r="C10" s="1"/>
      <c r="D10" s="1"/>
      <c r="E10" s="7">
        <f t="shared" si="5"/>
        <v>300.30909999999994</v>
      </c>
      <c r="F10" s="7">
        <f t="shared" si="0"/>
        <v>960.98911999999984</v>
      </c>
      <c r="G10" s="7">
        <f t="shared" si="1"/>
        <v>660.30909999999994</v>
      </c>
      <c r="H10" s="1"/>
      <c r="I10" s="7">
        <f t="shared" si="2"/>
        <v>897.3731948519561</v>
      </c>
      <c r="J10" s="7">
        <f t="shared" si="3"/>
        <v>26459.862044195921</v>
      </c>
      <c r="K10" s="1"/>
      <c r="L10" s="7">
        <f t="shared" si="4"/>
        <v>9609.8911999999982</v>
      </c>
      <c r="M10" s="8"/>
      <c r="N10" s="8"/>
      <c r="O10" s="8"/>
      <c r="P10" s="8"/>
      <c r="Q10" s="8"/>
      <c r="R10" s="8"/>
      <c r="S10" s="8"/>
    </row>
    <row r="11" spans="1:19" ht="15.75" thickBot="1" x14ac:dyDescent="0.3">
      <c r="B11" s="15">
        <v>7</v>
      </c>
      <c r="C11" s="1"/>
      <c r="D11" s="1"/>
      <c r="E11" s="15">
        <f t="shared" si="5"/>
        <v>366.34000999999995</v>
      </c>
      <c r="F11" s="15">
        <f t="shared" si="0"/>
        <v>1172.2880319999999</v>
      </c>
      <c r="G11" s="15">
        <f t="shared" si="1"/>
        <v>726.34000999999989</v>
      </c>
      <c r="H11" s="1"/>
      <c r="I11" s="15">
        <f t="shared" si="2"/>
        <v>1094.6844606966542</v>
      </c>
      <c r="J11" s="15">
        <f t="shared" si="3"/>
        <v>32277.763563839238</v>
      </c>
      <c r="K11" s="1"/>
      <c r="L11" s="15">
        <f t="shared" si="4"/>
        <v>11722.88032</v>
      </c>
      <c r="M11" s="8"/>
      <c r="N11" s="8"/>
      <c r="O11" s="8"/>
      <c r="P11" s="8"/>
      <c r="Q11" s="8"/>
      <c r="R11" s="8"/>
      <c r="S11" s="8"/>
    </row>
    <row r="12" spans="1:19" ht="15.75" thickBot="1" x14ac:dyDescent="0.3">
      <c r="B12" s="17">
        <v>8</v>
      </c>
      <c r="C12" s="1"/>
      <c r="D12" s="1"/>
      <c r="E12" s="20">
        <f t="shared" si="5"/>
        <v>438.9740109999999</v>
      </c>
      <c r="F12" s="21">
        <f t="shared" si="0"/>
        <v>1404.7168351999999</v>
      </c>
      <c r="G12" s="22">
        <f t="shared" si="1"/>
        <v>798.9740109999999</v>
      </c>
      <c r="H12" s="1"/>
      <c r="I12" s="20">
        <f t="shared" si="2"/>
        <v>1311.7268531258219</v>
      </c>
      <c r="J12" s="22">
        <f t="shared" si="3"/>
        <v>38677.455235446891</v>
      </c>
      <c r="K12" s="1"/>
      <c r="L12" s="23">
        <f t="shared" si="4"/>
        <v>14047.168351999999</v>
      </c>
      <c r="M12" s="8"/>
      <c r="N12" s="8"/>
      <c r="O12" s="8"/>
      <c r="P12" s="8"/>
      <c r="Q12" s="8"/>
      <c r="R12" s="8"/>
      <c r="S12" s="8"/>
    </row>
    <row r="13" spans="1:19" x14ac:dyDescent="0.25">
      <c r="B13" s="16">
        <v>9</v>
      </c>
      <c r="C13" s="1"/>
      <c r="D13" s="1"/>
      <c r="E13" s="16">
        <f t="shared" si="5"/>
        <v>518.87141209999993</v>
      </c>
      <c r="F13" s="16">
        <f t="shared" si="0"/>
        <v>1660.3885187199999</v>
      </c>
      <c r="G13" s="16">
        <f t="shared" si="1"/>
        <v>878.87141209999993</v>
      </c>
      <c r="H13" s="1"/>
      <c r="I13" s="16">
        <f t="shared" si="2"/>
        <v>1550.4734847979066</v>
      </c>
      <c r="J13" s="16">
        <f t="shared" si="3"/>
        <v>45717.116074215301</v>
      </c>
      <c r="K13" s="1"/>
      <c r="L13" s="16">
        <f t="shared" si="4"/>
        <v>16603.885187199998</v>
      </c>
      <c r="M13" s="1"/>
      <c r="N13" s="1"/>
      <c r="O13" s="1"/>
      <c r="P13" s="1"/>
      <c r="Q13" s="1"/>
      <c r="R13" s="8"/>
      <c r="S13" s="8"/>
    </row>
    <row r="14" spans="1:19" x14ac:dyDescent="0.25">
      <c r="B14" s="7">
        <v>10</v>
      </c>
      <c r="C14" s="1"/>
      <c r="D14" s="1"/>
      <c r="E14" s="7">
        <f t="shared" si="5"/>
        <v>606.75855330999991</v>
      </c>
      <c r="F14" s="7">
        <f t="shared" si="0"/>
        <v>1941.6273705919998</v>
      </c>
      <c r="G14" s="7">
        <f t="shared" si="1"/>
        <v>966.75855330999991</v>
      </c>
      <c r="H14" s="1"/>
      <c r="I14" s="7">
        <f t="shared" si="2"/>
        <v>1813.0947796371993</v>
      </c>
      <c r="J14" s="7">
        <f t="shared" si="3"/>
        <v>53460.742996860557</v>
      </c>
      <c r="K14" s="1"/>
      <c r="L14" s="7">
        <f t="shared" si="4"/>
        <v>19416.273705919997</v>
      </c>
      <c r="M14" s="1"/>
      <c r="N14" s="1"/>
      <c r="O14" s="1"/>
      <c r="P14" s="1"/>
      <c r="Q14" s="1"/>
      <c r="R14" s="8"/>
      <c r="S14" s="8"/>
    </row>
    <row r="15" spans="1:19" ht="15.75" thickBot="1" x14ac:dyDescent="0.3">
      <c r="B15" s="15">
        <v>11</v>
      </c>
      <c r="C15" s="1"/>
      <c r="D15" s="1"/>
      <c r="E15" s="15">
        <f t="shared" si="5"/>
        <v>703.43440864099989</v>
      </c>
      <c r="F15" s="15">
        <f t="shared" si="0"/>
        <v>2250.9901076511997</v>
      </c>
      <c r="G15" s="15">
        <f t="shared" si="1"/>
        <v>1063.4344086409999</v>
      </c>
      <c r="H15" s="1"/>
      <c r="I15" s="15">
        <f t="shared" si="2"/>
        <v>2101.9782039604215</v>
      </c>
      <c r="J15" s="15">
        <f t="shared" si="3"/>
        <v>61978.732611770327</v>
      </c>
      <c r="K15" s="1"/>
      <c r="L15" s="15">
        <f t="shared" si="4"/>
        <v>22509.901076511997</v>
      </c>
      <c r="M15" s="1"/>
      <c r="N15" s="1"/>
      <c r="O15" s="1"/>
      <c r="P15" s="1"/>
      <c r="Q15" s="1"/>
      <c r="R15" s="8"/>
      <c r="S15" s="8"/>
    </row>
    <row r="16" spans="1:19" ht="15.75" thickBot="1" x14ac:dyDescent="0.3">
      <c r="B16" s="17">
        <v>12</v>
      </c>
      <c r="C16" s="1"/>
      <c r="D16" s="1"/>
      <c r="E16" s="20">
        <f t="shared" si="5"/>
        <v>809.77784950509988</v>
      </c>
      <c r="F16" s="21">
        <f t="shared" si="0"/>
        <v>2591.28911841632</v>
      </c>
      <c r="G16" s="22">
        <f t="shared" si="1"/>
        <v>1169.7778495050998</v>
      </c>
      <c r="H16" s="1"/>
      <c r="I16" s="20">
        <f t="shared" si="2"/>
        <v>2419.7499707159664</v>
      </c>
      <c r="J16" s="22">
        <f t="shared" si="3"/>
        <v>71348.5211881711</v>
      </c>
      <c r="K16" s="1"/>
      <c r="L16" s="23">
        <f t="shared" si="4"/>
        <v>25912.8911841632</v>
      </c>
      <c r="M16" s="1"/>
      <c r="N16" s="1"/>
      <c r="O16" s="1"/>
      <c r="P16" s="1"/>
      <c r="Q16" s="1"/>
      <c r="R16" s="8"/>
      <c r="S16" s="8"/>
    </row>
    <row r="17" spans="1:21" x14ac:dyDescent="0.25">
      <c r="B17" s="16">
        <v>13</v>
      </c>
      <c r="C17" s="8"/>
      <c r="D17" s="8"/>
      <c r="E17" s="16">
        <f t="shared" si="5"/>
        <v>926.75563445560988</v>
      </c>
      <c r="F17" s="16">
        <f t="shared" si="0"/>
        <v>2965.6180302579519</v>
      </c>
      <c r="G17" s="16">
        <f t="shared" si="1"/>
        <v>1286.7556344556099</v>
      </c>
      <c r="H17" s="1"/>
      <c r="I17" s="16">
        <f t="shared" si="2"/>
        <v>2769.2989141470653</v>
      </c>
      <c r="J17" s="16">
        <f t="shared" si="3"/>
        <v>81655.288622211941</v>
      </c>
      <c r="K17" s="1"/>
      <c r="L17" s="16">
        <f t="shared" si="4"/>
        <v>29656.18030257952</v>
      </c>
      <c r="M17" s="1"/>
      <c r="N17" s="1"/>
      <c r="O17" s="1"/>
      <c r="P17" s="1"/>
      <c r="Q17" s="1"/>
      <c r="R17" s="8"/>
      <c r="S17" s="8"/>
    </row>
    <row r="18" spans="1:21" x14ac:dyDescent="0.25">
      <c r="B18" s="7">
        <v>14</v>
      </c>
      <c r="C18" s="8"/>
      <c r="D18" s="8"/>
      <c r="E18" s="7">
        <f t="shared" si="5"/>
        <v>1055.4311979011709</v>
      </c>
      <c r="F18" s="7">
        <f t="shared" si="0"/>
        <v>3377.3798332837468</v>
      </c>
      <c r="G18" s="7">
        <f t="shared" si="1"/>
        <v>1415.4311979011709</v>
      </c>
      <c r="H18" s="1"/>
      <c r="I18" s="7">
        <f t="shared" si="2"/>
        <v>3153.8027519212737</v>
      </c>
      <c r="J18" s="7">
        <f t="shared" si="3"/>
        <v>92992.732799656835</v>
      </c>
      <c r="K18" s="1"/>
      <c r="L18" s="7">
        <f t="shared" si="4"/>
        <v>33773.798332837468</v>
      </c>
      <c r="M18" s="1"/>
      <c r="N18" s="1"/>
      <c r="O18" s="1"/>
      <c r="P18" s="1"/>
      <c r="Q18" s="1"/>
      <c r="R18" s="8"/>
      <c r="S18" s="8"/>
    </row>
    <row r="19" spans="1:21" x14ac:dyDescent="0.25">
      <c r="B19" s="7">
        <v>15</v>
      </c>
      <c r="C19" s="8"/>
      <c r="D19" s="8"/>
      <c r="E19" s="7">
        <f t="shared" si="5"/>
        <v>1196.974317691288</v>
      </c>
      <c r="F19" s="7">
        <f t="shared" si="0"/>
        <v>3830.3178166121215</v>
      </c>
      <c r="G19" s="7">
        <f t="shared" si="1"/>
        <v>1556.974317691288</v>
      </c>
      <c r="H19" s="1"/>
      <c r="I19" s="7">
        <f t="shared" si="2"/>
        <v>3576.7569734729041</v>
      </c>
      <c r="J19" s="7">
        <f t="shared" si="3"/>
        <v>105463.92139484626</v>
      </c>
      <c r="K19" s="1"/>
      <c r="L19" s="7">
        <f t="shared" si="4"/>
        <v>38303.178166121215</v>
      </c>
      <c r="M19" s="1"/>
      <c r="N19" s="1"/>
      <c r="O19" s="1"/>
      <c r="P19" s="1"/>
      <c r="Q19" s="1"/>
      <c r="R19" s="8"/>
      <c r="S19" s="8"/>
    </row>
    <row r="20" spans="1:21" x14ac:dyDescent="0.25">
      <c r="B20" s="8"/>
      <c r="C20" s="8"/>
      <c r="D20" s="8"/>
      <c r="E20" s="8"/>
      <c r="F20" s="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8"/>
      <c r="S20" s="8"/>
    </row>
    <row r="21" spans="1:21" x14ac:dyDescent="0.25">
      <c r="B21" s="8"/>
      <c r="C21" s="8"/>
      <c r="D21" s="8"/>
      <c r="E21" s="8"/>
      <c r="F21" s="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8"/>
      <c r="S21" s="8"/>
    </row>
    <row r="26" spans="1:21" x14ac:dyDescent="0.25">
      <c r="S26" s="8"/>
    </row>
    <row r="27" spans="1:21" x14ac:dyDescent="0.25">
      <c r="B27" s="136"/>
      <c r="C27" s="137"/>
      <c r="D27" s="137"/>
      <c r="E27" s="137"/>
      <c r="F27" s="137"/>
      <c r="G27" s="137"/>
      <c r="H27" s="137"/>
      <c r="I27" s="138"/>
      <c r="J27" s="2"/>
      <c r="K27" s="139"/>
      <c r="L27" s="139"/>
      <c r="M27" s="139"/>
      <c r="N27" s="139"/>
      <c r="O27" s="139"/>
      <c r="P27" s="2"/>
      <c r="Q27" s="140"/>
      <c r="R27" s="140"/>
      <c r="S27" s="8"/>
      <c r="U27" s="24"/>
    </row>
    <row r="28" spans="1:21" x14ac:dyDescent="0.25">
      <c r="B28" s="3" t="s">
        <v>0</v>
      </c>
      <c r="C28" s="3" t="s">
        <v>1</v>
      </c>
      <c r="D28" s="3" t="s">
        <v>2</v>
      </c>
      <c r="E28" s="3" t="s">
        <v>3</v>
      </c>
      <c r="F28" s="3" t="s">
        <v>46</v>
      </c>
      <c r="G28" s="3" t="s">
        <v>20</v>
      </c>
      <c r="H28" s="4" t="s">
        <v>13</v>
      </c>
      <c r="I28" s="4" t="s">
        <v>12</v>
      </c>
      <c r="K28" s="3" t="s">
        <v>4</v>
      </c>
      <c r="L28" s="3" t="s">
        <v>5</v>
      </c>
      <c r="M28" s="3" t="s">
        <v>7</v>
      </c>
      <c r="N28" s="3" t="s">
        <v>6</v>
      </c>
      <c r="O28" s="4" t="s">
        <v>14</v>
      </c>
      <c r="P28" s="2"/>
      <c r="Q28" s="4" t="s">
        <v>15</v>
      </c>
      <c r="R28" s="4" t="s">
        <v>8</v>
      </c>
      <c r="S28" s="8"/>
      <c r="U28" s="5" t="s">
        <v>36</v>
      </c>
    </row>
    <row r="29" spans="1:21" ht="15.75" thickBot="1" x14ac:dyDescent="0.3">
      <c r="A29" s="8"/>
      <c r="B29" s="8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8"/>
      <c r="R29" s="8"/>
      <c r="S29" s="8"/>
    </row>
    <row r="30" spans="1:21" ht="15.75" thickBot="1" x14ac:dyDescent="0.3">
      <c r="A30" s="25">
        <f>R30/L8</f>
        <v>0.98301064885805356</v>
      </c>
      <c r="B30" s="9">
        <v>381</v>
      </c>
      <c r="C30" s="10">
        <v>1</v>
      </c>
      <c r="D30" s="10">
        <v>9</v>
      </c>
      <c r="E30" s="10">
        <v>1.92</v>
      </c>
      <c r="F30" s="10">
        <f>(2*B30+C30+D30)/(E30*2)</f>
        <v>201.04166666666669</v>
      </c>
      <c r="G30" s="10">
        <v>600</v>
      </c>
      <c r="H30" s="13">
        <f>F30*5.3544563483342</f>
        <v>1076.4688283630214</v>
      </c>
      <c r="I30" s="12">
        <f>(10000/F30)/((10000/F30)-(G30/300))</f>
        <v>1.0418927718688951</v>
      </c>
      <c r="J30" s="1"/>
      <c r="K30" s="14">
        <v>16200</v>
      </c>
      <c r="L30" s="11">
        <v>9</v>
      </c>
      <c r="M30" s="11">
        <v>0.06</v>
      </c>
      <c r="N30" s="11">
        <f>K30*(L30*M30+1)</f>
        <v>24948</v>
      </c>
      <c r="O30" s="12">
        <f>N30*0.18159375101708</f>
        <v>4530.4009003741121</v>
      </c>
      <c r="P30" s="1"/>
      <c r="Q30" s="18">
        <v>0</v>
      </c>
      <c r="R30" s="12">
        <f>(H30+O30+Q30)*I30</f>
        <v>5841.7570431817312</v>
      </c>
      <c r="S30" s="8">
        <f>(R30/300)</f>
        <v>19.472523477272436</v>
      </c>
    </row>
    <row r="31" spans="1:21" x14ac:dyDescent="0.25">
      <c r="S31" s="8"/>
    </row>
  </sheetData>
  <mergeCells count="3">
    <mergeCell ref="B27:I27"/>
    <mergeCell ref="K27:O27"/>
    <mergeCell ref="Q27:R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2019-05-11T14:20:40Z</dcterms:modified>
</cp:coreProperties>
</file>