
<file path=[Content_Types].xml><?xml version="1.0" encoding="utf-8"?>
<Types xmlns="http://schemas.openxmlformats.org/package/2006/content-types">
  <Default Extension="emf" ContentType="image/x-emf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wmbe\Desktop\"/>
    </mc:Choice>
  </mc:AlternateContent>
  <xr:revisionPtr revIDLastSave="0" documentId="8_{CF6B2A23-1A88-4F4A-910C-DBD4ABD108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nu" sheetId="1" r:id="rId1"/>
    <sheet name="Despesas" sheetId="2" r:id="rId2"/>
    <sheet name="Compra de Mercadorias" sheetId="6" r:id="rId3"/>
    <sheet name="Investimentos" sheetId="7" r:id="rId4"/>
    <sheet name="Controle de Estoque" sheetId="8" r:id="rId5"/>
    <sheet name="Vendas" sheetId="3" r:id="rId6"/>
    <sheet name="Semana 1" sheetId="9" r:id="rId7"/>
    <sheet name="Resultados" sheetId="4" r:id="rId8"/>
    <sheet name="cálculos" sheetId="5" r:id="rId9"/>
  </sheets>
  <definedNames>
    <definedName name="_xlnm._FilterDatabase" localSheetId="8" hidden="1">cálculos!$R$6:$U$6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9" l="1"/>
  <c r="N17" i="9"/>
  <c r="N16" i="9"/>
  <c r="N15" i="9"/>
  <c r="N14" i="9"/>
  <c r="N13" i="9"/>
  <c r="N12" i="9"/>
  <c r="N11" i="9"/>
  <c r="N10" i="9"/>
  <c r="N9" i="9"/>
  <c r="N8" i="9"/>
  <c r="N7" i="9"/>
  <c r="F7" i="9"/>
  <c r="H7" i="9"/>
  <c r="I7" i="9" s="1"/>
  <c r="M7" i="9" s="1"/>
  <c r="L7" i="9"/>
  <c r="L18" i="9"/>
  <c r="L17" i="9"/>
  <c r="L16" i="9"/>
  <c r="L15" i="9"/>
  <c r="L14" i="9"/>
  <c r="L13" i="9"/>
  <c r="L12" i="9"/>
  <c r="L11" i="9"/>
  <c r="L10" i="9"/>
  <c r="L9" i="9"/>
  <c r="L8" i="9"/>
  <c r="F18" i="9"/>
  <c r="F17" i="9"/>
  <c r="F16" i="9"/>
  <c r="F15" i="9"/>
  <c r="F14" i="9"/>
  <c r="F13" i="9"/>
  <c r="F12" i="9"/>
  <c r="F11" i="9"/>
  <c r="F10" i="9"/>
  <c r="F9" i="9"/>
  <c r="H8" i="9"/>
  <c r="I8" i="9" s="1"/>
  <c r="H9" i="9"/>
  <c r="I9" i="9" s="1"/>
  <c r="H10" i="9"/>
  <c r="I10" i="9" s="1"/>
  <c r="H11" i="9"/>
  <c r="I11" i="9" s="1"/>
  <c r="M11" i="9" s="1"/>
  <c r="H12" i="9"/>
  <c r="I12" i="9" s="1"/>
  <c r="H13" i="9"/>
  <c r="I13" i="9" s="1"/>
  <c r="H14" i="9"/>
  <c r="I14" i="9" s="1"/>
  <c r="H15" i="9"/>
  <c r="I15" i="9" s="1"/>
  <c r="M15" i="9" s="1"/>
  <c r="H16" i="9"/>
  <c r="I16" i="9" s="1"/>
  <c r="M16" i="9" s="1"/>
  <c r="H17" i="9"/>
  <c r="I17" i="9" s="1"/>
  <c r="H18" i="9"/>
  <c r="I18" i="9" s="1"/>
  <c r="F8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G10" i="8"/>
  <c r="H10" i="8" s="1"/>
  <c r="H6" i="8"/>
  <c r="H7" i="8"/>
  <c r="H8" i="8"/>
  <c r="H9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7" i="8"/>
  <c r="G6" i="8"/>
  <c r="G8" i="8"/>
  <c r="G9" i="8"/>
  <c r="G11" i="8"/>
  <c r="H11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7" i="8"/>
  <c r="E6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M14" i="9" l="1"/>
  <c r="M13" i="9"/>
  <c r="M12" i="9"/>
  <c r="M18" i="9"/>
  <c r="M17" i="9"/>
  <c r="M9" i="9"/>
  <c r="M10" i="9"/>
  <c r="M8" i="9"/>
  <c r="E11" i="7" l="1"/>
  <c r="E28" i="6"/>
  <c r="G28" i="6"/>
  <c r="I28" i="6" s="1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G6" i="6"/>
  <c r="E9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I23" i="2"/>
  <c r="I16" i="2"/>
  <c r="I8" i="2"/>
  <c r="I6" i="6" l="1"/>
  <c r="I35" i="2" s="1"/>
  <c r="I36" i="2" s="1"/>
  <c r="I34" i="2"/>
  <c r="I30" i="6"/>
</calcChain>
</file>

<file path=xl/sharedStrings.xml><?xml version="1.0" encoding="utf-8"?>
<sst xmlns="http://schemas.openxmlformats.org/spreadsheetml/2006/main" count="215" uniqueCount="123">
  <si>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</si>
  <si>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</si>
  <si>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</si>
  <si>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</si>
  <si>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</si>
  <si>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</si>
  <si>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</si>
  <si>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</si>
  <si>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</si>
  <si>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</si>
  <si>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</si>
  <si>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</si>
  <si>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</si>
  <si>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</si>
  <si>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</si>
  <si>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</si>
  <si>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</si>
  <si>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</si>
  <si>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</si>
  <si>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</si>
  <si>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</si>
  <si>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</si>
  <si>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</si>
  <si>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</si>
  <si>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</si>
  <si>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</si>
  <si>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</si>
  <si>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</si>
  <si>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</si>
  <si>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</si>
  <si>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</si>
  <si>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</si>
  <si>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</si>
  <si>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</si>
  <si>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</si>
  <si>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</si>
  <si>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</si>
  <si>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</si>
  <si>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</si>
  <si>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</si>
  <si>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</si>
  <si>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</si>
  <si>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 de Funcionamento</t>
  </si>
  <si>
    <t>Itens Despesa</t>
  </si>
  <si>
    <t>Data</t>
  </si>
  <si>
    <t>Observação</t>
  </si>
  <si>
    <t>Valor Intermediário</t>
  </si>
  <si>
    <t>Valor Final</t>
  </si>
  <si>
    <t>Funcionários</t>
  </si>
  <si>
    <t>Água</t>
  </si>
  <si>
    <t>Energia</t>
  </si>
  <si>
    <t>Gás</t>
  </si>
  <si>
    <t>Telefone</t>
  </si>
  <si>
    <t xml:space="preserve"> </t>
  </si>
  <si>
    <t>Férias, Licença Maternidade</t>
  </si>
  <si>
    <t xml:space="preserve">Despesas Funcionamento </t>
  </si>
  <si>
    <t>Total de Despesas de Funcionamento</t>
  </si>
  <si>
    <t>Despesas</t>
  </si>
  <si>
    <t>Compra de Mercadorias</t>
  </si>
  <si>
    <t>Fornecedor</t>
  </si>
  <si>
    <t>Mercadoria</t>
  </si>
  <si>
    <t>Medida</t>
  </si>
  <si>
    <t>Quantidade</t>
  </si>
  <si>
    <t xml:space="preserve">Preço Unitário </t>
  </si>
  <si>
    <t>Desconto</t>
  </si>
  <si>
    <t>Valor Pago</t>
  </si>
  <si>
    <t>Produtos</t>
  </si>
  <si>
    <t>Preço de Compra Unitário</t>
  </si>
  <si>
    <t>Preço de Venda Unitário</t>
  </si>
  <si>
    <t>Unidade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</si>
  <si>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</si>
  <si>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</si>
  <si>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</si>
  <si>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</si>
  <si>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</si>
  <si>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</si>
  <si>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</si>
  <si>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</si>
  <si>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</si>
  <si>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</si>
  <si>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</si>
  <si>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</si>
  <si>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</si>
  <si>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</si>
  <si>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</si>
  <si>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</si>
  <si>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</si>
  <si>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</si>
  <si>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</si>
  <si>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</si>
  <si>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Compras de Mercadorias</t>
  </si>
  <si>
    <t>Total de Despesas</t>
  </si>
  <si>
    <t>Investimentos</t>
  </si>
  <si>
    <t>Investimento</t>
  </si>
  <si>
    <t>Descrição</t>
  </si>
  <si>
    <t>Valor</t>
  </si>
  <si>
    <t>Investimento Inicial</t>
  </si>
  <si>
    <t>Estrutura (estantes, prateleiras, etc.)</t>
  </si>
  <si>
    <t>Equipamentos (carrinhos, balanças, cortador de queijo, etc.)</t>
  </si>
  <si>
    <t>Documentação, Sistema de Informação, Estrutura Inicial, Sistema de Refrigeração, Equipamentos</t>
  </si>
  <si>
    <t>Controle de Estoque</t>
  </si>
  <si>
    <t>Produto</t>
  </si>
  <si>
    <t>Data da ùltima Compra</t>
  </si>
  <si>
    <t>Quantidade Inicial</t>
  </si>
  <si>
    <t>Quantidade Comprada</t>
  </si>
  <si>
    <t>Quantidade Vendida</t>
  </si>
  <si>
    <t>Quantidade Atual</t>
  </si>
  <si>
    <t>Situação</t>
  </si>
  <si>
    <t>Vendas Semana 1</t>
  </si>
  <si>
    <t xml:space="preserve">ID Venda </t>
  </si>
  <si>
    <t>Preço Unitário</t>
  </si>
  <si>
    <t>Subtotal</t>
  </si>
  <si>
    <t>Entrega</t>
  </si>
  <si>
    <t>Valor de Entrega</t>
  </si>
  <si>
    <t>Total</t>
  </si>
  <si>
    <t>Total Cliente</t>
  </si>
  <si>
    <t>Regiões de Entrega</t>
  </si>
  <si>
    <t>Preço</t>
  </si>
  <si>
    <t>Centro</t>
  </si>
  <si>
    <t>Loja</t>
  </si>
  <si>
    <t>Zona Norte</t>
  </si>
  <si>
    <t>Zona Oeste</t>
  </si>
  <si>
    <t>Zona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</si>
</sst>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" vertical="center"/>
    </xf>
    <xf numFmtId="44" fontId="0" fillId="0" borderId="0" xfId="0" applyNumberFormat="1"/>
    <xf numFmtId="9" fontId="0" fillId="0" borderId="0" xfId="2" applyFont="1"/>
    <xf numFmtId="14" fontId="0" fillId="0" borderId="0" xfId="0" applyNumberFormat="1"/>
    <xf numFmtId="0" fontId="2" fillId="0" borderId="0" xfId="0" applyFont="1"/>
    <xf numFmtId="44" fontId="0" fillId="0" borderId="0" xfId="1" applyFont="1"/>
    <xf numFmtId="0" fontId="7" fillId="0" borderId="0" xfId="0" applyFont="1"/>
    <xf numFmtId="0" fontId="0" fillId="0" borderId="2" xfId="0" applyBorder="1"/>
    <xf numFmtId="44" fontId="7" fillId="0" borderId="3" xfId="0" applyNumberFormat="1" applyFont="1" applyBorder="1"/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/>
    <xf numFmtId="164" fontId="4" fillId="0" borderId="3" xfId="0" applyNumberFormat="1" applyFont="1" applyBorder="1"/>
    <xf numFmtId="44" fontId="4" fillId="0" borderId="3" xfId="0" applyNumberFormat="1" applyFont="1" applyBorder="1" applyAlignment="1">
      <alignment vertical="center"/>
    </xf>
    <xf numFmtId="164" fontId="7" fillId="0" borderId="0" xfId="0" applyNumberFormat="1" applyFont="1"/>
    <xf numFmtId="0" fontId="0" fillId="0" borderId="0" xfId="0" applyAlignment="1">
      <alignment wrapText="1"/>
    </xf>
    <xf numFmtId="1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  <dxf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Investimentos!A1"/><Relationship Id="rId1" Type="http://schemas.openxmlformats.org/officeDocument/2006/relationships/image" Target="../media/image1.jpg"/><Relationship Id="rId6" Type="http://schemas.openxmlformats.org/officeDocument/2006/relationships/hyperlink" Target="#'Controle Mercadorias'!A1"/><Relationship Id="rId5" Type="http://schemas.openxmlformats.org/officeDocument/2006/relationships/hyperlink" Target="#Despesas!A1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9526</xdr:rowOff>
    </xdr:from>
    <xdr:to>
      <xdr:col>30</xdr:col>
      <xdr:colOff>38100</xdr:colOff>
      <xdr:row>38</xdr:row>
      <xdr:rowOff>129693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FCD106B-50FB-0D4A-C860-EE58BBAB7F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0" b="18518"/>
        <a:stretch/>
      </xdr:blipFill>
      <xdr:spPr>
        <a:xfrm>
          <a:off x="19050" y="9526"/>
          <a:ext cx="18307050" cy="7359167"/>
        </a:xfrm>
        <a:prstGeom prst="rect">
          <a:avLst/>
        </a:prstGeom>
        <a:solidFill>
          <a:sysClr val="window" lastClr="FFFFFF"/>
        </a:solidFill>
        <a:ln w="28575"/>
      </xdr:spPr>
    </xdr:pic>
    <xdr:clientData/>
  </xdr:twoCellAnchor>
  <xdr:twoCellAnchor>
    <xdr:from>
      <xdr:col>12</xdr:col>
      <xdr:colOff>342900</xdr:colOff>
      <xdr:row>30</xdr:row>
      <xdr:rowOff>180974</xdr:rowOff>
    </xdr:from>
    <xdr:to>
      <xdr:col>15</xdr:col>
      <xdr:colOff>266700</xdr:colOff>
      <xdr:row>33</xdr:row>
      <xdr:rowOff>142873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A81562-59F8-4116-97B4-9F61FA957247}"/>
            </a:ext>
          </a:extLst>
        </xdr:cNvPr>
        <xdr:cNvSpPr/>
      </xdr:nvSpPr>
      <xdr:spPr>
        <a:xfrm>
          <a:off x="7658100" y="5895974"/>
          <a:ext cx="1752600" cy="533399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Investimentos</a:t>
          </a:r>
        </a:p>
      </xdr:txBody>
    </xdr:sp>
    <xdr:clientData/>
  </xdr:twoCellAnchor>
  <xdr:twoCellAnchor>
    <xdr:from>
      <xdr:col>19</xdr:col>
      <xdr:colOff>66675</xdr:colOff>
      <xdr:row>31</xdr:row>
      <xdr:rowOff>9525</xdr:rowOff>
    </xdr:from>
    <xdr:to>
      <xdr:col>22</xdr:col>
      <xdr:colOff>38100</xdr:colOff>
      <xdr:row>33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3DC9118-562D-4C54-81F1-B20F96C19AA9}"/>
            </a:ext>
          </a:extLst>
        </xdr:cNvPr>
        <xdr:cNvSpPr/>
      </xdr:nvSpPr>
      <xdr:spPr>
        <a:xfrm>
          <a:off x="11649075" y="5915025"/>
          <a:ext cx="1800225" cy="514350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lvl="0" indent="0" algn="ctr"/>
          <a:r>
            <a:rPr lang="pt-BR" sz="1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15</xdr:col>
      <xdr:colOff>485775</xdr:colOff>
      <xdr:row>31</xdr:row>
      <xdr:rowOff>0</xdr:rowOff>
    </xdr:from>
    <xdr:to>
      <xdr:col>18</xdr:col>
      <xdr:colOff>438150</xdr:colOff>
      <xdr:row>33</xdr:row>
      <xdr:rowOff>152399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1C48CD-A1AC-4890-8175-6C7BF8435159}"/>
            </a:ext>
          </a:extLst>
        </xdr:cNvPr>
        <xdr:cNvSpPr/>
      </xdr:nvSpPr>
      <xdr:spPr>
        <a:xfrm>
          <a:off x="9629775" y="5905500"/>
          <a:ext cx="1781175" cy="533399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lvl="0" indent="0" algn="ctr"/>
          <a:r>
            <a:rPr lang="pt-BR" sz="1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9525</xdr:colOff>
      <xdr:row>12</xdr:row>
      <xdr:rowOff>9525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F30F800-8B51-2A91-FA9B-3BF786E6D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955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209549</xdr:colOff>
      <xdr:row>31</xdr:row>
      <xdr:rowOff>0</xdr:rowOff>
    </xdr:from>
    <xdr:to>
      <xdr:col>9</xdr:col>
      <xdr:colOff>9524</xdr:colOff>
      <xdr:row>33</xdr:row>
      <xdr:rowOff>152399</xdr:rowOff>
    </xdr:to>
    <xdr:sp macro="" textlink="">
      <xdr:nvSpPr>
        <xdr:cNvPr id="13" name="Retângulo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4D7934-14D0-8E82-DFCC-0FCD115FBFDE}"/>
            </a:ext>
          </a:extLst>
        </xdr:cNvPr>
        <xdr:cNvSpPr/>
      </xdr:nvSpPr>
      <xdr:spPr>
        <a:xfrm>
          <a:off x="3867149" y="5905500"/>
          <a:ext cx="1628775" cy="533399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Despesas</a:t>
          </a:r>
        </a:p>
      </xdr:txBody>
    </xdr:sp>
    <xdr:clientData/>
  </xdr:twoCellAnchor>
  <xdr:twoCellAnchor>
    <xdr:from>
      <xdr:col>9</xdr:col>
      <xdr:colOff>200025</xdr:colOff>
      <xdr:row>30</xdr:row>
      <xdr:rowOff>180974</xdr:rowOff>
    </xdr:from>
    <xdr:to>
      <xdr:col>12</xdr:col>
      <xdr:colOff>133350</xdr:colOff>
      <xdr:row>33</xdr:row>
      <xdr:rowOff>142873</xdr:rowOff>
    </xdr:to>
    <xdr:sp macro="" textlink="">
      <xdr:nvSpPr>
        <xdr:cNvPr id="14" name="Retângulo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B68505A-F423-428B-5503-71245B803185}"/>
            </a:ext>
          </a:extLst>
        </xdr:cNvPr>
        <xdr:cNvSpPr/>
      </xdr:nvSpPr>
      <xdr:spPr>
        <a:xfrm>
          <a:off x="5686425" y="5895974"/>
          <a:ext cx="1762125" cy="533399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Compra Mercadorias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6</xdr:col>
      <xdr:colOff>1638300</xdr:colOff>
      <xdr:row>1</xdr:row>
      <xdr:rowOff>495300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46A776-E866-4F9C-23A1-44705912AA3B}"/>
            </a:ext>
          </a:extLst>
        </xdr:cNvPr>
        <xdr:cNvSpPr/>
      </xdr:nvSpPr>
      <xdr:spPr>
        <a:xfrm>
          <a:off x="9667875" y="200025"/>
          <a:ext cx="1362075" cy="485775"/>
        </a:xfrm>
        <a:prstGeom prst="rect">
          <a:avLst/>
        </a:prstGeom>
        <a:solidFill>
          <a:schemeClr val="accent1">
            <a:lumMod val="75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19050</xdr:rowOff>
    </xdr:from>
    <xdr:to>
      <xdr:col>7</xdr:col>
      <xdr:colOff>1447800</xdr:colOff>
      <xdr:row>1</xdr:row>
      <xdr:rowOff>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549BC4-95EC-4768-8606-CFDE490E973D}"/>
            </a:ext>
          </a:extLst>
        </xdr:cNvPr>
        <xdr:cNvSpPr/>
      </xdr:nvSpPr>
      <xdr:spPr>
        <a:xfrm>
          <a:off x="12011025" y="19050"/>
          <a:ext cx="1362075" cy="485775"/>
        </a:xfrm>
        <a:prstGeom prst="rect">
          <a:avLst/>
        </a:prstGeom>
        <a:solidFill>
          <a:schemeClr val="accent1">
            <a:lumMod val="75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1</xdr:row>
      <xdr:rowOff>0</xdr:rowOff>
    </xdr:from>
    <xdr:to>
      <xdr:col>9</xdr:col>
      <xdr:colOff>209549</xdr:colOff>
      <xdr:row>2</xdr:row>
      <xdr:rowOff>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BEEE22-C088-4AE2-B8D4-BDB38D10D73B}"/>
            </a:ext>
          </a:extLst>
        </xdr:cNvPr>
        <xdr:cNvSpPr/>
      </xdr:nvSpPr>
      <xdr:spPr>
        <a:xfrm>
          <a:off x="10334624" y="190500"/>
          <a:ext cx="1381125" cy="438150"/>
        </a:xfrm>
        <a:prstGeom prst="rect">
          <a:avLst/>
        </a:prstGeom>
        <a:solidFill>
          <a:schemeClr val="accent1">
            <a:lumMod val="75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0</xdr:rowOff>
    </xdr:from>
    <xdr:to>
      <xdr:col>12</xdr:col>
      <xdr:colOff>542924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FAC98D-ECCE-477F-AE39-8B58F7E9F6D6}"/>
            </a:ext>
          </a:extLst>
        </xdr:cNvPr>
        <xdr:cNvSpPr/>
      </xdr:nvSpPr>
      <xdr:spPr>
        <a:xfrm>
          <a:off x="8058149" y="190500"/>
          <a:ext cx="1381125" cy="438150"/>
        </a:xfrm>
        <a:prstGeom prst="rect">
          <a:avLst/>
        </a:prstGeom>
        <a:solidFill>
          <a:schemeClr val="accent1">
            <a:lumMod val="75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0</xdr:rowOff>
    </xdr:from>
    <xdr:to>
      <xdr:col>12</xdr:col>
      <xdr:colOff>542924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5C216-804D-4A9E-B332-06D0398D2290}"/>
            </a:ext>
          </a:extLst>
        </xdr:cNvPr>
        <xdr:cNvSpPr/>
      </xdr:nvSpPr>
      <xdr:spPr>
        <a:xfrm>
          <a:off x="12706349" y="190500"/>
          <a:ext cx="1381125" cy="381000"/>
        </a:xfrm>
        <a:prstGeom prst="rect">
          <a:avLst/>
        </a:prstGeom>
        <a:solidFill>
          <a:schemeClr val="accent1">
            <a:lumMod val="75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5FC11-9BE4-419B-BEF9-7CC8C0AFD90A}" name="Tabela1" displayName="Tabela1" ref="D6:I31" totalsRowShown="0">
  <autoFilter ref="D6:I31" xr:uid="{2DD5FC11-9BE4-419B-BEF9-7CC8C0AFD90A}"/>
  <tableColumns count="6">
    <tableColumn id="1" xr3:uid="{81EE8539-FFEF-4E87-B260-7870A96E4520}" name="Despesa de Funcionamento"/>
    <tableColumn id="2" xr3:uid="{87915811-DB21-4CCB-9231-FE230505A4FA}" name="Itens Despesa"/>
    <tableColumn id="3" xr3:uid="{0D0E7FA9-0DC2-40B8-B4DA-29D8880C89EB}" name="Data"/>
    <tableColumn id="4" xr3:uid="{4772C640-72A8-4405-A3F6-F5ABAC62BFC5}" name="Observação"/>
    <tableColumn id="5" xr3:uid="{C09C8DF3-584B-4D9F-9AAE-CDEF5EB57199}" name="Valor Intermediário" dataDxfId="21"/>
    <tableColumn id="6" xr3:uid="{D7F8EBF5-9526-4BBC-ABDA-4E4012766830}" name="Valor Final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EEF4C-2B3D-4671-BD3A-CB88B08D9198}" name="Tabela2" displayName="Tabela2" ref="B5:I28" totalsRowShown="0">
  <autoFilter ref="B5:I28" xr:uid="{33AEEF4C-2B3D-4671-BD3A-CB88B08D9198}"/>
  <sortState xmlns:xlrd2="http://schemas.microsoft.com/office/spreadsheetml/2017/richdata2" ref="B6:I27">
    <sortCondition descending="1" ref="B5:B27"/>
  </sortState>
  <tableColumns count="8">
    <tableColumn id="1" xr3:uid="{47D1C229-B999-4A0F-9736-C4E6E3FA944F}" name="Data" dataDxfId="19"/>
    <tableColumn id="2" xr3:uid="{FEC3B6FF-602B-40E0-8FA7-3BB06E656741}" name="Fornecedor"/>
    <tableColumn id="3" xr3:uid="{39708E69-179A-4E5F-B80E-709EA0BE86CC}" name="Mercadoria"/>
    <tableColumn id="4" xr3:uid="{00DD327E-CFE9-4914-8B6C-FAC66A77C47B}" name="Medida" dataDxfId="18">
      <calculatedColumnFormula>IFERROR(VLOOKUP(Tabela2[[#This Row],[Mercadoria]],cálculos!$R$6:$U$30,4,0),"")</calculatedColumnFormula>
    </tableColumn>
    <tableColumn id="5" xr3:uid="{0B71AB5B-BC05-4F26-9A57-CA8AA1B164D9}" name="Quantidade"/>
    <tableColumn id="6" xr3:uid="{12AE18F2-E5BB-495F-82D6-A95C28B26AA1}" name="Preço Unitário " dataDxfId="17">
      <calculatedColumnFormula>IFERROR(VLOOKUP(Tabela2[[#This Row],[Mercadoria]],cálculos!$R$6:$U$30,2,0),"")</calculatedColumnFormula>
    </tableColumn>
    <tableColumn id="7" xr3:uid="{2C18D101-BA3C-44FC-8B33-60E5AE56E17B}" name="Desconto" dataCellStyle="Porcentagem"/>
    <tableColumn id="8" xr3:uid="{0AF564A6-1837-46FC-BA8E-E437DC05D32E}" name="Valor Pago" dataDxfId="16">
      <calculatedColumnFormula>H5*Tabela2[[#This Row],[Preço Unitário ]]*(1-Tabela2[[#This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7062E9-E632-4098-83B1-CCB7CA6B4CC9}" name="Tabela3" displayName="Tabela3" ref="B4:E9" totalsRowShown="0">
  <autoFilter ref="B4:E9" xr:uid="{AE7062E9-E632-4098-83B1-CCB7CA6B4CC9}"/>
  <tableColumns count="4">
    <tableColumn id="1" xr3:uid="{2819E680-0818-43C6-B9E1-AC6216C4856C}" name="Investimento"/>
    <tableColumn id="2" xr3:uid="{31C9FC2D-784B-4270-B773-AA698425EAE7}" name="Data"/>
    <tableColumn id="3" xr3:uid="{68823910-74C2-4FDB-B277-31E2859E38DA}" name="Descrição" dataDxfId="15"/>
    <tableColumn id="4" xr3:uid="{2C659364-BE47-43F8-B6B3-F543AE9AD69F}" name="Valor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61AB0D-5156-4E27-89B1-22D53ED83FA7}" name="Tabela4" displayName="Tabela4" ref="B5:H29" totalsRowShown="0">
  <autoFilter ref="B5:H29" xr:uid="{4D61AB0D-5156-4E27-89B1-22D53ED83FA7}"/>
  <tableColumns count="7">
    <tableColumn id="1" xr3:uid="{82317EF9-BC8E-4834-BA55-2A7ABBD1CDE5}" name="Produto"/>
    <tableColumn id="2" xr3:uid="{DAA9D3C7-EE34-4138-B41C-A5CA631F2CA9}" name="Data da ùltima Compra" dataDxfId="13">
      <calculatedColumnFormula>IFERROR(INDEX(Tabela2[],MATCH(B6,Tabela2[Mercadoria],0),1),"")</calculatedColumnFormula>
    </tableColumn>
    <tableColumn id="3" xr3:uid="{E42725F7-6E77-4A54-8BFE-14748F91CADE}" name="Quantidade Inicial"/>
    <tableColumn id="4" xr3:uid="{7C92A290-D2C3-4789-A39D-609DBD9C6962}" name="Quantidade Comprada" dataDxfId="12">
      <calculatedColumnFormula>SUMIF(Tabela2[Mercadoria], Tabela4[[#This Row],[Produto]],Tabela2[Quantidade])</calculatedColumnFormula>
    </tableColumn>
    <tableColumn id="5" xr3:uid="{1CD2F781-44F9-4CD1-B3A7-DE1A28CE85C2}" name="Quantidade Vendida"/>
    <tableColumn id="6" xr3:uid="{B15A5625-DB7A-4CD5-A992-B7D8EB0B709A}" name="Quantidade Atual" dataDxfId="11">
      <calculatedColumnFormula>(Tabela4[[#This Row],[Quantidade Inicial]]+Tabela4[[#This Row],[Quantidade Comprada]]-Tabela4[[#This Row],[Quantidade Vendida]])</calculatedColumnFormula>
    </tableColumn>
    <tableColumn id="7" xr3:uid="{C3373801-0D95-40BF-9DC1-6E557D6B6554}" name="Situação" dataDxfId="10">
      <calculatedColumnFormula>IF(Tabela4[[#This Row],[Quantidade Atual]]&lt;50,IF(Tabela4[[#This Row],[Quantidade Atual]]&gt;21,"Comprar","Atenção"),"OK")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10435F-086A-4FB9-8351-B831935FECBE}" name="Tabela5" displayName="Tabela5" ref="C6:N18" totalsRowShown="0">
  <autoFilter ref="C6:N18" xr:uid="{9C10435F-086A-4FB9-8351-B831935FECBE}"/>
  <tableColumns count="12">
    <tableColumn id="1" xr3:uid="{3D517608-22C4-40BF-AD06-023F78FE3448}" name="ID Venda "/>
    <tableColumn id="2" xr3:uid="{F7E99E25-E931-47A9-B5D2-BF020D98927B}" name="Data"/>
    <tableColumn id="3" xr3:uid="{7B0C950E-1817-45E3-8C3D-865399C16371}" name="Produto"/>
    <tableColumn id="4" xr3:uid="{AA1D1CE7-B4D7-4DEA-BF98-DC233998549D}" name="Medida" dataDxfId="9">
      <calculatedColumnFormula>IFERROR(VLOOKUP(Tabela5[[#This Row],[Produto]],cálculos!$R$7:$U$30,4,FALSE),"")</calculatedColumnFormula>
    </tableColumn>
    <tableColumn id="5" xr3:uid="{41391921-F83D-47AB-9654-E0DA2899E82B}" name="Quantidade"/>
    <tableColumn id="6" xr3:uid="{C0DAE574-E292-4041-BD89-C4FEE463A47A}" name="Preço Unitário" dataDxfId="8">
      <calculatedColumnFormula>IFERROR(VLOOKUP(Tabela5[[#This Row],[Produto]],cálculos!$R$7:$U$30,3,FALSE),0)</calculatedColumnFormula>
    </tableColumn>
    <tableColumn id="7" xr3:uid="{D8A6785D-8B08-404F-B96E-ACD01CD9CDA1}" name="Subtotal" dataDxfId="7">
      <calculatedColumnFormula>Tabela5[[#This Row],[Quantidade]]*Tabela5[[#This Row],[Preço Unitário]]</calculatedColumnFormula>
    </tableColumn>
    <tableColumn id="8" xr3:uid="{1CF885DF-1166-4532-B815-FF927595E583}" name="Desconto" dataDxfId="6"/>
    <tableColumn id="9" xr3:uid="{5A475AE1-1318-4B63-96C5-B0D95AE1D3FB}" name="Entrega"/>
    <tableColumn id="10" xr3:uid="{3EF15677-7272-401C-9FB8-101D5BAE0EC5}" name="Valor de Entrega" dataDxfId="5">
      <calculatedColumnFormula>IFERROR(VLOOKUP(Tabela5[[#This Row],[Entrega]],cálculos!K7:L11,2,FALSE),0)</calculatedColumnFormula>
    </tableColumn>
    <tableColumn id="11" xr3:uid="{4ABBA458-B3F5-4015-A4F5-36F28ECD7665}" name="Total" dataDxfId="4">
      <calculatedColumnFormula>Tabela5[[#This Row],[Subtotal]]*(1-Tabela5[[#This Row],[Desconto]])+Tabela5[[#This Row],[Valor de Entrega]]</calculatedColumnFormula>
    </tableColumn>
    <tableColumn id="12" xr3:uid="{0DE99286-2F20-4BAE-90F4-2962F57E4FA1}" name="Total Cliente" dataDxfId="3">
      <calculatedColumnFormula>IF(Tabela5[[#This Row],[ID Venda ]]=C8,"",SUMIF(Tabela5[[ID Venda ]],C9,Tabela5[Total]))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6"/>
  <sheetViews>
    <sheetView showGridLines="0" workbookViewId="0">
      <selection activeCell="A2" sqref="A2:XFD2"/>
    </sheetView>
  </sheetViews>
  <sheetFormatPr defaultRowHeight="15" x14ac:dyDescent="0.25"/>
  <cols>
    <col min="3" max="3" width="30.85546875" customWidth="1"/>
    <col min="4" max="4" width="51.42578125" bestFit="1" customWidth="1"/>
    <col min="5" max="5" width="26.5703125" bestFit="1" customWidth="1"/>
    <col min="6" max="6" width="13.7109375" customWidth="1"/>
    <col min="7" max="7" width="26.140625" bestFit="1" customWidth="1"/>
    <col min="8" max="8" width="25.28515625" customWidth="1"/>
    <col min="9" max="9" width="18.28515625" bestFit="1" customWidth="1"/>
    <col min="10" max="10" width="11.42578125" customWidth="1"/>
    <col min="11" max="11" width="13.28515625" bestFit="1" customWidth="1"/>
  </cols>
  <sheetData>
    <row r="2" spans="1:9" s="2" customFormat="1" ht="39.75" customHeight="1" x14ac:dyDescent="0.25">
      <c r="C2" s="5" t="s">
        <v>57</v>
      </c>
      <c r="G2" s="5"/>
    </row>
    <row r="3" spans="1:9" s="4" customFormat="1" x14ac:dyDescent="0.25">
      <c r="A3" s="3"/>
    </row>
    <row r="6" spans="1:9" x14ac:dyDescent="0.25"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</row>
    <row r="7" spans="1:9" x14ac:dyDescent="0.25">
      <c r="D7" t="s">
        <v>3</v>
      </c>
      <c r="H7" s="1"/>
      <c r="I7" s="1">
        <v>1000</v>
      </c>
    </row>
    <row r="8" spans="1:9" x14ac:dyDescent="0.25">
      <c r="D8" t="s">
        <v>48</v>
      </c>
      <c r="H8" s="1"/>
      <c r="I8" s="1">
        <f>SUM(H9:H13)</f>
        <v>17500</v>
      </c>
    </row>
    <row r="9" spans="1:9" x14ac:dyDescent="0.25">
      <c r="E9" t="s">
        <v>12</v>
      </c>
      <c r="H9" s="1">
        <v>10000</v>
      </c>
      <c r="I9" s="1"/>
    </row>
    <row r="10" spans="1:9" x14ac:dyDescent="0.25">
      <c r="E10" t="s">
        <v>13</v>
      </c>
      <c r="H10" s="1">
        <v>500</v>
      </c>
      <c r="I10" s="1"/>
    </row>
    <row r="11" spans="1:9" x14ac:dyDescent="0.25">
      <c r="E11" t="s">
        <v>1</v>
      </c>
      <c r="H11" s="1">
        <v>3000</v>
      </c>
      <c r="I11" s="1"/>
    </row>
    <row r="12" spans="1:9" x14ac:dyDescent="0.25">
      <c r="E12" t="s">
        <v>14</v>
      </c>
      <c r="H12" s="1">
        <v>2500</v>
      </c>
      <c r="I12" s="1"/>
    </row>
    <row r="13" spans="1:9" x14ac:dyDescent="0.25">
      <c r="E13" t="s">
        <v>5</v>
      </c>
      <c r="G13" t="s">
        <v>54</v>
      </c>
      <c r="H13" s="1">
        <v>1500</v>
      </c>
      <c r="I13" s="1"/>
    </row>
    <row r="14" spans="1:9" x14ac:dyDescent="0.25">
      <c r="D14" t="s">
        <v>0</v>
      </c>
      <c r="H14" s="1"/>
      <c r="I14" s="1">
        <v>900</v>
      </c>
    </row>
    <row r="15" spans="1:9" x14ac:dyDescent="0.25">
      <c r="D15" t="s">
        <v>1</v>
      </c>
      <c r="H15" s="1"/>
      <c r="I15" s="1">
        <v>6000</v>
      </c>
    </row>
    <row r="16" spans="1:9" x14ac:dyDescent="0.25">
      <c r="D16" t="s">
        <v>55</v>
      </c>
      <c r="H16" s="1"/>
      <c r="I16" s="1">
        <f>SUM(H17:H21)</f>
        <v>5300</v>
      </c>
    </row>
    <row r="17" spans="4:9" x14ac:dyDescent="0.25">
      <c r="E17" t="s">
        <v>49</v>
      </c>
      <c r="H17" s="1">
        <v>800</v>
      </c>
      <c r="I17" s="1"/>
    </row>
    <row r="18" spans="4:9" x14ac:dyDescent="0.25">
      <c r="E18" t="s">
        <v>50</v>
      </c>
      <c r="H18" s="1">
        <v>3200</v>
      </c>
      <c r="I18" s="1"/>
    </row>
    <row r="19" spans="4:9" x14ac:dyDescent="0.25">
      <c r="E19" t="s">
        <v>51</v>
      </c>
      <c r="H19" s="1">
        <v>500</v>
      </c>
      <c r="I19" s="1"/>
    </row>
    <row r="20" spans="4:9" x14ac:dyDescent="0.25">
      <c r="E20" t="s">
        <v>52</v>
      </c>
      <c r="H20" s="1">
        <v>800</v>
      </c>
      <c r="I20" s="1"/>
    </row>
    <row r="21" spans="4:9" x14ac:dyDescent="0.25">
      <c r="E21" t="s">
        <v>5</v>
      </c>
      <c r="H21" s="1">
        <v>0</v>
      </c>
      <c r="I21" s="1"/>
    </row>
    <row r="22" spans="4:9" x14ac:dyDescent="0.25">
      <c r="D22" t="s">
        <v>2</v>
      </c>
      <c r="H22" s="1"/>
      <c r="I22" s="1">
        <v>300</v>
      </c>
    </row>
    <row r="23" spans="4:9" x14ac:dyDescent="0.25">
      <c r="D23" t="s">
        <v>16</v>
      </c>
      <c r="H23" s="1"/>
      <c r="I23" s="1">
        <f>SUM(H24:H29)</f>
        <v>11950</v>
      </c>
    </row>
    <row r="24" spans="4:9" x14ac:dyDescent="0.25">
      <c r="E24" t="s">
        <v>17</v>
      </c>
      <c r="F24" t="s">
        <v>53</v>
      </c>
      <c r="H24" s="1">
        <v>1650</v>
      </c>
      <c r="I24" s="1"/>
    </row>
    <row r="25" spans="4:9" x14ac:dyDescent="0.25">
      <c r="E25" t="s">
        <v>18</v>
      </c>
      <c r="H25" s="1">
        <v>3000</v>
      </c>
      <c r="I25" s="1"/>
    </row>
    <row r="26" spans="4:9" x14ac:dyDescent="0.25">
      <c r="E26" t="s">
        <v>19</v>
      </c>
      <c r="H26" s="1">
        <v>3000</v>
      </c>
      <c r="I26" s="1"/>
    </row>
    <row r="27" spans="4:9" x14ac:dyDescent="0.25">
      <c r="E27" t="s">
        <v>20</v>
      </c>
      <c r="H27" s="1">
        <v>2700</v>
      </c>
      <c r="I27" s="1"/>
    </row>
    <row r="28" spans="4:9" x14ac:dyDescent="0.25">
      <c r="E28" t="s">
        <v>15</v>
      </c>
      <c r="H28" s="1">
        <v>1500</v>
      </c>
      <c r="I28" s="1"/>
    </row>
    <row r="29" spans="4:9" x14ac:dyDescent="0.25">
      <c r="E29" t="s">
        <v>5</v>
      </c>
      <c r="H29" s="1">
        <v>100</v>
      </c>
      <c r="I29" s="1"/>
    </row>
    <row r="30" spans="4:9" x14ac:dyDescent="0.25">
      <c r="D30" t="s">
        <v>4</v>
      </c>
      <c r="H30" s="1"/>
      <c r="I30" s="1">
        <v>1500</v>
      </c>
    </row>
    <row r="31" spans="4:9" x14ac:dyDescent="0.25">
      <c r="H31" s="1"/>
      <c r="I31" s="1">
        <v>957</v>
      </c>
    </row>
    <row r="34" spans="4:9" ht="18.75" x14ac:dyDescent="0.3">
      <c r="D34" s="15" t="s">
        <v>56</v>
      </c>
      <c r="E34" s="16"/>
      <c r="F34" s="16"/>
      <c r="G34" s="16"/>
      <c r="H34" s="16"/>
      <c r="I34" s="17">
        <f>SUM(Tabela1[Valor Final])</f>
        <v>45407</v>
      </c>
    </row>
    <row r="35" spans="4:9" ht="18.75" x14ac:dyDescent="0.25">
      <c r="D35" s="15" t="s">
        <v>90</v>
      </c>
      <c r="E35" s="12"/>
      <c r="F35" s="12"/>
      <c r="G35" s="12"/>
      <c r="H35" s="12"/>
      <c r="I35" s="18">
        <f>SUM(Tabela2[Valor Pago])</f>
        <v>13999.922</v>
      </c>
    </row>
    <row r="36" spans="4:9" x14ac:dyDescent="0.25">
      <c r="D36" s="11" t="s">
        <v>91</v>
      </c>
      <c r="I36" s="19">
        <f>SUM(I34:I35)</f>
        <v>59406.921999999999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0"/>
  <sheetViews>
    <sheetView showGridLines="0" workbookViewId="0">
      <selection activeCell="E6" sqref="E6"/>
    </sheetView>
  </sheetViews>
  <sheetFormatPr defaultRowHeight="15" x14ac:dyDescent="0.25"/>
  <cols>
    <col min="2" max="2" width="31" bestFit="1" customWidth="1"/>
    <col min="3" max="3" width="41.140625" bestFit="1" customWidth="1"/>
    <col min="4" max="9" width="28.28515625" customWidth="1"/>
    <col min="10" max="11" width="19.140625" customWidth="1"/>
  </cols>
  <sheetData>
    <row r="1" spans="2:9" s="2" customFormat="1" ht="39.75" customHeight="1" x14ac:dyDescent="0.25">
      <c r="C1" s="5" t="s">
        <v>58</v>
      </c>
    </row>
    <row r="5" spans="2:9" x14ac:dyDescent="0.25">
      <c r="B5" t="s">
        <v>44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</row>
    <row r="6" spans="2:9" x14ac:dyDescent="0.25">
      <c r="B6" s="8">
        <v>42190</v>
      </c>
      <c r="C6" t="s">
        <v>80</v>
      </c>
      <c r="D6" t="s">
        <v>36</v>
      </c>
      <c r="E6" t="str">
        <f>IFERROR(VLOOKUP(Tabela2[[#This Row],[Mercadoria]],cálculos!$R$6:$U$30,4,0),"")</f>
        <v>Unidade</v>
      </c>
      <c r="F6">
        <v>50</v>
      </c>
      <c r="G6" s="6">
        <f>IFERROR(VLOOKUP(Tabela2[[#This Row],[Mercadoria]],cálculos!$R$6:$U$30,2,0),"")</f>
        <v>2.3660000000000001</v>
      </c>
      <c r="H6" s="7">
        <v>0.05</v>
      </c>
      <c r="I6" s="6">
        <f>IFERROR(Tabela2[[#This Row],[Quantidade]]*Tabela2[[#This Row],[Preço Unitário ]]*(1-Tabela2[[#This Row],[Desconto]]),"")</f>
        <v>112.38500000000001</v>
      </c>
    </row>
    <row r="7" spans="2:9" x14ac:dyDescent="0.25">
      <c r="B7" s="8">
        <v>42190</v>
      </c>
      <c r="C7" t="s">
        <v>81</v>
      </c>
      <c r="D7" t="s">
        <v>22</v>
      </c>
      <c r="E7" t="str">
        <f>IFERROR(VLOOKUP(Tabela2[[#This Row],[Mercadoria]],cálculos!$R$6:$U$30,4,0),"")</f>
        <v>Kg</v>
      </c>
      <c r="F7">
        <v>120</v>
      </c>
      <c r="G7" s="6">
        <f>IFERROR(VLOOKUP(Tabela2[[#This Row],[Mercadoria]],cálculos!$R$6:$U$30,2,0),"")</f>
        <v>4.0659999999999998</v>
      </c>
      <c r="H7" s="7"/>
      <c r="I7" s="6">
        <f>IFERROR(Tabela2[[#This Row],[Quantidade]]*Tabela2[[#This Row],[Preço Unitário ]]*(1-Tabela2[[#This Row],[Desconto]]),"")</f>
        <v>487.91999999999996</v>
      </c>
    </row>
    <row r="8" spans="2:9" x14ac:dyDescent="0.25">
      <c r="B8" s="8">
        <v>42189</v>
      </c>
      <c r="C8" t="s">
        <v>81</v>
      </c>
      <c r="D8" t="s">
        <v>22</v>
      </c>
      <c r="E8" t="str">
        <f>IFERROR(VLOOKUP(Tabela2[[#This Row],[Mercadoria]],cálculos!$R$6:$U$30,4,0),"")</f>
        <v>Kg</v>
      </c>
      <c r="F8">
        <v>150</v>
      </c>
      <c r="G8" s="6">
        <f>IFERROR(VLOOKUP(Tabela2[[#This Row],[Mercadoria]],cálculos!$R$6:$U$30,2,0),"")</f>
        <v>4.0659999999999998</v>
      </c>
      <c r="H8" s="7"/>
      <c r="I8" s="6">
        <f>IFERROR(Tabela2[[#This Row],[Quantidade]]*Tabela2[[#This Row],[Preço Unitário ]]*(1-Tabela2[[#This Row],[Desconto]]),"")</f>
        <v>609.9</v>
      </c>
    </row>
    <row r="9" spans="2:9" x14ac:dyDescent="0.25">
      <c r="B9" s="8">
        <v>42189</v>
      </c>
      <c r="C9" t="s">
        <v>81</v>
      </c>
      <c r="D9" t="s">
        <v>21</v>
      </c>
      <c r="E9" s="6">
        <f>G6</f>
        <v>2.3660000000000001</v>
      </c>
      <c r="F9">
        <v>150</v>
      </c>
      <c r="G9" s="6">
        <f>IFERROR(VLOOKUP(Tabela2[[#This Row],[Mercadoria]],cálculos!$R$6:$U$30,2,0),"")</f>
        <v>2.3406000000000002</v>
      </c>
      <c r="H9" s="7"/>
      <c r="I9" s="6">
        <f>IFERROR(Tabela2[[#This Row],[Quantidade]]*Tabela2[[#This Row],[Preço Unitário ]]*(1-Tabela2[[#This Row],[Desconto]]),"")</f>
        <v>351.09000000000003</v>
      </c>
    </row>
    <row r="10" spans="2:9" x14ac:dyDescent="0.25">
      <c r="B10" s="8">
        <v>42189</v>
      </c>
      <c r="C10" t="s">
        <v>82</v>
      </c>
      <c r="D10" t="s">
        <v>34</v>
      </c>
      <c r="E10" t="str">
        <f>IFERROR(VLOOKUP(Tabela2[[#This Row],[Mercadoria]],cálculos!$R$6:$U$30,4,0),"")</f>
        <v>Lata</v>
      </c>
      <c r="F10">
        <v>100</v>
      </c>
      <c r="G10" s="6">
        <f>IFERROR(VLOOKUP(Tabela2[[#This Row],[Mercadoria]],cálculos!$R$6:$U$30,2,0),"")</f>
        <v>2.1023999999999998</v>
      </c>
      <c r="H10" s="7"/>
      <c r="I10" s="6">
        <f>IFERROR(Tabela2[[#This Row],[Quantidade]]*Tabela2[[#This Row],[Preço Unitário ]]*(1-Tabela2[[#This Row],[Desconto]]),"")</f>
        <v>210.23999999999998</v>
      </c>
    </row>
    <row r="11" spans="2:9" x14ac:dyDescent="0.25">
      <c r="B11" s="8">
        <v>42189</v>
      </c>
      <c r="C11" t="s">
        <v>82</v>
      </c>
      <c r="D11" t="s">
        <v>30</v>
      </c>
      <c r="E11" t="str">
        <f>IFERROR(VLOOKUP(Tabela2[[#This Row],[Mercadoria]],cálculos!$R$6:$U$30,4,0),"")</f>
        <v>Litro</v>
      </c>
      <c r="F11">
        <v>200</v>
      </c>
      <c r="G11" s="6">
        <f>IFERROR(VLOOKUP(Tabela2[[#This Row],[Mercadoria]],cálculos!$R$6:$U$30,2,0),"")</f>
        <v>3.2084999999999999</v>
      </c>
      <c r="H11" s="7"/>
      <c r="I11" s="6">
        <f>IFERROR(Tabela2[[#This Row],[Quantidade]]*Tabela2[[#This Row],[Preço Unitário ]]*(1-Tabela2[[#This Row],[Desconto]]),"")</f>
        <v>641.69999999999993</v>
      </c>
    </row>
    <row r="12" spans="2:9" x14ac:dyDescent="0.25">
      <c r="B12" s="8">
        <v>42188</v>
      </c>
      <c r="C12" t="s">
        <v>83</v>
      </c>
      <c r="D12" t="s">
        <v>40</v>
      </c>
      <c r="E12" t="str">
        <f>IFERROR(VLOOKUP(Tabela2[[#This Row],[Mercadoria]],cálculos!$R$6:$U$30,4,0),"")</f>
        <v>Maço</v>
      </c>
      <c r="F12">
        <v>100</v>
      </c>
      <c r="G12" s="6">
        <f>IFERROR(VLOOKUP(Tabela2[[#This Row],[Mercadoria]],cálculos!$R$6:$U$30,2,0),"")</f>
        <v>6.3449999999999998</v>
      </c>
      <c r="H12" s="7"/>
      <c r="I12" s="6">
        <f>IFERROR(Tabela2[[#This Row],[Quantidade]]*Tabela2[[#This Row],[Preço Unitário ]]*(1-Tabela2[[#This Row],[Desconto]]),"")</f>
        <v>634.5</v>
      </c>
    </row>
    <row r="13" spans="2:9" x14ac:dyDescent="0.25">
      <c r="B13" s="8">
        <v>42188</v>
      </c>
      <c r="C13" t="s">
        <v>84</v>
      </c>
      <c r="D13" t="s">
        <v>39</v>
      </c>
      <c r="E13" t="str">
        <f>IFERROR(VLOOKUP(Tabela2[[#This Row],[Mercadoria]],cálculos!$R$6:$U$30,4,0),"")</f>
        <v>Barra</v>
      </c>
      <c r="F13">
        <v>100</v>
      </c>
      <c r="G13" s="6">
        <f>IFERROR(VLOOKUP(Tabela2[[#This Row],[Mercadoria]],cálculos!$R$6:$U$30,2,0),"")</f>
        <v>4.5409000000000006</v>
      </c>
      <c r="H13" s="7"/>
      <c r="I13" s="6">
        <f>IFERROR(Tabela2[[#This Row],[Quantidade]]*Tabela2[[#This Row],[Preço Unitário ]]*(1-Tabela2[[#This Row],[Desconto]]),"")</f>
        <v>454.09000000000003</v>
      </c>
    </row>
    <row r="14" spans="2:9" x14ac:dyDescent="0.25">
      <c r="B14" s="8">
        <v>42188</v>
      </c>
      <c r="C14" t="s">
        <v>81</v>
      </c>
      <c r="D14" t="s">
        <v>22</v>
      </c>
      <c r="E14" t="str">
        <f>IFERROR(VLOOKUP(Tabela2[[#This Row],[Mercadoria]],cálculos!$R$6:$U$30,4,0),"")</f>
        <v>Kg</v>
      </c>
      <c r="F14">
        <v>300</v>
      </c>
      <c r="G14" s="6">
        <f>IFERROR(VLOOKUP(Tabela2[[#This Row],[Mercadoria]],cálculos!$R$6:$U$30,2,0),"")</f>
        <v>4.0659999999999998</v>
      </c>
      <c r="H14" s="7">
        <v>0.03</v>
      </c>
      <c r="I14" s="6">
        <f>IFERROR(Tabela2[[#This Row],[Quantidade]]*Tabela2[[#This Row],[Preço Unitário ]]*(1-Tabela2[[#This Row],[Desconto]]),"")</f>
        <v>1183.2059999999999</v>
      </c>
    </row>
    <row r="15" spans="2:9" x14ac:dyDescent="0.25">
      <c r="B15" s="8">
        <v>42188</v>
      </c>
      <c r="C15" t="s">
        <v>81</v>
      </c>
      <c r="D15" t="s">
        <v>33</v>
      </c>
      <c r="E15" t="str">
        <f>IFERROR(VLOOKUP(Tabela2[[#This Row],[Mercadoria]],cálculos!$R$6:$U$30,4,0),"")</f>
        <v>Pacote</v>
      </c>
      <c r="F15">
        <v>50</v>
      </c>
      <c r="G15" s="6">
        <f>IFERROR(VLOOKUP(Tabela2[[#This Row],[Mercadoria]],cálculos!$R$6:$U$30,2,0),"")</f>
        <v>1.0580000000000001</v>
      </c>
      <c r="H15" s="7"/>
      <c r="I15" s="6">
        <f>IFERROR(Tabela2[[#This Row],[Quantidade]]*Tabela2[[#This Row],[Preço Unitário ]]*(1-Tabela2[[#This Row],[Desconto]]),"")</f>
        <v>52.900000000000006</v>
      </c>
    </row>
    <row r="16" spans="2:9" x14ac:dyDescent="0.25">
      <c r="B16" s="8">
        <v>42188</v>
      </c>
      <c r="C16" t="s">
        <v>85</v>
      </c>
      <c r="D16" t="s">
        <v>77</v>
      </c>
      <c r="E16" t="str">
        <f>IFERROR(VLOOKUP(Tabela2[[#This Row],[Mercadoria]],cálculos!$R$6:$U$30,4,0),"")</f>
        <v>Unidade</v>
      </c>
      <c r="F16">
        <v>300</v>
      </c>
      <c r="G16" s="6">
        <f>IFERROR(VLOOKUP(Tabela2[[#This Row],[Mercadoria]],cálculos!$R$6:$U$30,2,0),"")</f>
        <v>2.6299000000000001</v>
      </c>
      <c r="H16" s="7"/>
      <c r="I16" s="6">
        <f>IFERROR(Tabela2[[#This Row],[Quantidade]]*Tabela2[[#This Row],[Preço Unitário ]]*(1-Tabela2[[#This Row],[Desconto]]),"")</f>
        <v>788.97</v>
      </c>
    </row>
    <row r="17" spans="2:9" x14ac:dyDescent="0.25">
      <c r="B17" s="8">
        <v>42188</v>
      </c>
      <c r="C17" t="s">
        <v>84</v>
      </c>
      <c r="D17" t="s">
        <v>38</v>
      </c>
      <c r="E17" t="str">
        <f>IFERROR(VLOOKUP(Tabela2[[#This Row],[Mercadoria]],cálculos!$R$6:$U$30,4,0),"")</f>
        <v>Pacote</v>
      </c>
      <c r="F17">
        <v>100</v>
      </c>
      <c r="G17" s="6">
        <f>IFERROR(VLOOKUP(Tabela2[[#This Row],[Mercadoria]],cálculos!$R$6:$U$30,2,0),"")</f>
        <v>1.8506999999999998</v>
      </c>
      <c r="H17" s="7"/>
      <c r="I17" s="6">
        <f>IFERROR(Tabela2[[#This Row],[Quantidade]]*Tabela2[[#This Row],[Preço Unitário ]]*(1-Tabela2[[#This Row],[Desconto]]),"")</f>
        <v>185.07</v>
      </c>
    </row>
    <row r="18" spans="2:9" x14ac:dyDescent="0.25">
      <c r="B18" s="8">
        <v>42188</v>
      </c>
      <c r="C18" t="s">
        <v>82</v>
      </c>
      <c r="D18" t="s">
        <v>34</v>
      </c>
      <c r="E18" t="str">
        <f>IFERROR(VLOOKUP(Tabela2[[#This Row],[Mercadoria]],cálculos!$R$6:$U$30,4,0),"")</f>
        <v>Lata</v>
      </c>
      <c r="F18">
        <v>100</v>
      </c>
      <c r="G18" s="6">
        <f>IFERROR(VLOOKUP(Tabela2[[#This Row],[Mercadoria]],cálculos!$R$6:$U$30,2,0),"")</f>
        <v>2.1023999999999998</v>
      </c>
      <c r="H18" s="7"/>
      <c r="I18" s="6">
        <f>IFERROR(Tabela2[[#This Row],[Quantidade]]*Tabela2[[#This Row],[Preço Unitário ]]*(1-Tabela2[[#This Row],[Desconto]]),"")</f>
        <v>210.23999999999998</v>
      </c>
    </row>
    <row r="19" spans="2:9" x14ac:dyDescent="0.25">
      <c r="B19" s="8">
        <v>42188</v>
      </c>
      <c r="C19" t="s">
        <v>86</v>
      </c>
      <c r="D19" t="s">
        <v>26</v>
      </c>
      <c r="E19" t="str">
        <f>IFERROR(VLOOKUP(Tabela2[[#This Row],[Mercadoria]],cálculos!$R$6:$U$30,4,0),"")</f>
        <v>Kg</v>
      </c>
      <c r="F19">
        <v>110</v>
      </c>
      <c r="G19" s="6">
        <f>IFERROR(VLOOKUP(Tabela2[[#This Row],[Mercadoria]],cálculos!$R$6:$U$30,2,0),"")</f>
        <v>6.4216000000000006</v>
      </c>
      <c r="H19" s="7"/>
      <c r="I19" s="6">
        <f>IFERROR(Tabela2[[#This Row],[Quantidade]]*Tabela2[[#This Row],[Preço Unitário ]]*(1-Tabela2[[#This Row],[Desconto]]),"")</f>
        <v>706.37600000000009</v>
      </c>
    </row>
    <row r="20" spans="2:9" x14ac:dyDescent="0.25">
      <c r="B20" s="8">
        <v>42188</v>
      </c>
      <c r="C20" t="s">
        <v>87</v>
      </c>
      <c r="D20" t="s">
        <v>27</v>
      </c>
      <c r="E20" t="str">
        <f>IFERROR(VLOOKUP(Tabela2[[#This Row],[Mercadoria]],cálculos!$R$6:$U$30,4,0),"")</f>
        <v>Kg</v>
      </c>
      <c r="F20">
        <v>50</v>
      </c>
      <c r="G20" s="6">
        <f>IFERROR(VLOOKUP(Tabela2[[#This Row],[Mercadoria]],cálculos!$R$6:$U$30,2,0),"")</f>
        <v>22.226999999999997</v>
      </c>
      <c r="H20" s="7">
        <v>0.1</v>
      </c>
      <c r="I20" s="6">
        <f>IFERROR(Tabela2[[#This Row],[Quantidade]]*Tabela2[[#This Row],[Preço Unitário ]]*(1-Tabela2[[#This Row],[Desconto]]),"")</f>
        <v>1000.2149999999999</v>
      </c>
    </row>
    <row r="21" spans="2:9" x14ac:dyDescent="0.25">
      <c r="B21" s="8">
        <v>42187</v>
      </c>
      <c r="C21" t="s">
        <v>81</v>
      </c>
      <c r="D21" t="s">
        <v>21</v>
      </c>
      <c r="E21" t="str">
        <f>IFERROR(VLOOKUP(Tabela2[[#This Row],[Mercadoria]],cálculos!$R$6:$U$30,4,0),"")</f>
        <v>Kg</v>
      </c>
      <c r="F21">
        <v>300</v>
      </c>
      <c r="G21" s="6">
        <f>IFERROR(VLOOKUP(Tabela2[[#This Row],[Mercadoria]],cálculos!$R$6:$U$30,2,0),"")</f>
        <v>2.3406000000000002</v>
      </c>
      <c r="H21" s="7"/>
      <c r="I21" s="6">
        <f>IFERROR(Tabela2[[#This Row],[Quantidade]]*Tabela2[[#This Row],[Preço Unitário ]]*(1-Tabela2[[#This Row],[Desconto]]),"")</f>
        <v>702.18000000000006</v>
      </c>
    </row>
    <row r="22" spans="2:9" x14ac:dyDescent="0.25">
      <c r="B22" s="8">
        <v>42187</v>
      </c>
      <c r="C22" t="s">
        <v>80</v>
      </c>
      <c r="D22" t="s">
        <v>24</v>
      </c>
      <c r="E22" t="str">
        <f>IFERROR(VLOOKUP(Tabela2[[#This Row],[Mercadoria]],cálculos!$R$6:$U$30,4,0),"")</f>
        <v>Unidade</v>
      </c>
      <c r="F22">
        <v>150</v>
      </c>
      <c r="G22" s="6">
        <f>IFERROR(VLOOKUP(Tabela2[[#This Row],[Mercadoria]],cálculos!$R$6:$U$30,2,0),"")</f>
        <v>2.8405</v>
      </c>
      <c r="H22" s="7"/>
      <c r="I22" s="6">
        <f>IFERROR(Tabela2[[#This Row],[Quantidade]]*Tabela2[[#This Row],[Preço Unitário ]]*(1-Tabela2[[#This Row],[Desconto]]),"")</f>
        <v>426.07499999999999</v>
      </c>
    </row>
    <row r="23" spans="2:9" x14ac:dyDescent="0.25">
      <c r="B23" s="8">
        <v>42187</v>
      </c>
      <c r="C23" t="s">
        <v>88</v>
      </c>
      <c r="D23" t="s">
        <v>31</v>
      </c>
      <c r="E23" t="str">
        <f>IFERROR(VLOOKUP(Tabela2[[#This Row],[Mercadoria]],cálculos!$R$6:$U$30,4,0),"")</f>
        <v>Kg</v>
      </c>
      <c r="F23">
        <v>150</v>
      </c>
      <c r="G23" s="6">
        <f>IFERROR(VLOOKUP(Tabela2[[#This Row],[Mercadoria]],cálculos!$R$6:$U$30,2,0),"")</f>
        <v>3.6309000000000005</v>
      </c>
      <c r="H23" s="7"/>
      <c r="I23" s="6">
        <f>IFERROR(Tabela2[[#This Row],[Quantidade]]*Tabela2[[#This Row],[Preço Unitário ]]*(1-Tabela2[[#This Row],[Desconto]]),"")</f>
        <v>544.6350000000001</v>
      </c>
    </row>
    <row r="24" spans="2:9" x14ac:dyDescent="0.25">
      <c r="B24" s="8">
        <v>42187</v>
      </c>
      <c r="C24" t="s">
        <v>89</v>
      </c>
      <c r="D24" t="s">
        <v>25</v>
      </c>
      <c r="E24" t="str">
        <f>IFERROR(VLOOKUP(Tabela2[[#This Row],[Mercadoria]],cálculos!$R$6:$U$30,4,0),"")</f>
        <v>Kg</v>
      </c>
      <c r="F24">
        <v>150</v>
      </c>
      <c r="G24" s="6">
        <f>IFERROR(VLOOKUP(Tabela2[[#This Row],[Mercadoria]],cálculos!$R$6:$U$30,2,0),"")</f>
        <v>14.469000000000001</v>
      </c>
      <c r="H24" s="7"/>
      <c r="I24" s="6">
        <f>IFERROR(Tabela2[[#This Row],[Quantidade]]*Tabela2[[#This Row],[Preço Unitário ]]*(1-Tabela2[[#This Row],[Desconto]]),"")</f>
        <v>2170.3500000000004</v>
      </c>
    </row>
    <row r="25" spans="2:9" x14ac:dyDescent="0.25">
      <c r="B25" s="8">
        <v>42187</v>
      </c>
      <c r="C25" t="s">
        <v>82</v>
      </c>
      <c r="D25" t="s">
        <v>34</v>
      </c>
      <c r="E25" t="str">
        <f>IFERROR(VLOOKUP(Tabela2[[#This Row],[Mercadoria]],cálculos!$R$6:$U$30,4,0),"")</f>
        <v>Lata</v>
      </c>
      <c r="F25">
        <v>100</v>
      </c>
      <c r="G25" s="6">
        <f>IFERROR(VLOOKUP(Tabela2[[#This Row],[Mercadoria]],cálculos!$R$6:$U$30,2,0),"")</f>
        <v>2.1023999999999998</v>
      </c>
      <c r="H25" s="7"/>
      <c r="I25" s="6">
        <f>IFERROR(Tabela2[[#This Row],[Quantidade]]*Tabela2[[#This Row],[Preço Unitário ]]*(1-Tabela2[[#This Row],[Desconto]]),"")</f>
        <v>210.23999999999998</v>
      </c>
    </row>
    <row r="26" spans="2:9" x14ac:dyDescent="0.25">
      <c r="B26" s="8">
        <v>42187</v>
      </c>
      <c r="C26" t="s">
        <v>82</v>
      </c>
      <c r="D26" t="s">
        <v>29</v>
      </c>
      <c r="E26" t="str">
        <f>IFERROR(VLOOKUP(Tabela2[[#This Row],[Mercadoria]],cálculos!$R$6:$U$30,4,0),"")</f>
        <v>Garrafa</v>
      </c>
      <c r="F26">
        <v>80</v>
      </c>
      <c r="G26" s="6">
        <f>IFERROR(VLOOKUP(Tabela2[[#This Row],[Mercadoria]],cálculos!$R$6:$U$30,2,0),"")</f>
        <v>26.012999999999998</v>
      </c>
      <c r="H26" s="7"/>
      <c r="I26" s="6">
        <f>IFERROR(Tabela2[[#This Row],[Quantidade]]*Tabela2[[#This Row],[Preço Unitário ]]*(1-Tabela2[[#This Row],[Desconto]]),"")</f>
        <v>2081.04</v>
      </c>
    </row>
    <row r="27" spans="2:9" x14ac:dyDescent="0.25">
      <c r="B27" s="8">
        <v>42187</v>
      </c>
      <c r="C27" t="s">
        <v>80</v>
      </c>
      <c r="D27" t="s">
        <v>36</v>
      </c>
      <c r="E27" t="str">
        <f>IFERROR(VLOOKUP(Tabela2[[#This Row],[Mercadoria]],cálculos!$R$6:$U$30,4,0),"")</f>
        <v>Unidade</v>
      </c>
      <c r="F27">
        <v>100</v>
      </c>
      <c r="G27" s="6">
        <f>IFERROR(VLOOKUP(Tabela2[[#This Row],[Mercadoria]],cálculos!$R$6:$U$30,2,0),"")</f>
        <v>2.3660000000000001</v>
      </c>
      <c r="H27" s="7"/>
      <c r="I27" s="6">
        <f>IFERROR(Tabela2[[#This Row],[Quantidade]]*Tabela2[[#This Row],[Preço Unitário ]]*(1-Tabela2[[#This Row],[Desconto]]),"")</f>
        <v>236.60000000000002</v>
      </c>
    </row>
    <row r="28" spans="2:9" x14ac:dyDescent="0.25">
      <c r="B28" s="8"/>
      <c r="E28" t="str">
        <f>IFERROR(VLOOKUP(Tabela2[[#This Row],[Mercadoria]],cálculos!$R$6:$U$30,4,0),"")</f>
        <v/>
      </c>
      <c r="G28" s="6" t="str">
        <f>IFERROR(VLOOKUP(Tabela2[[#This Row],[Mercadoria]],cálculos!$R$6:$U$30,2,0),"")</f>
        <v/>
      </c>
      <c r="H28" s="7"/>
      <c r="I28" s="6" t="str">
        <f>IFERROR(Tabela2[[#This Row],[Quantidade]]*Tabela2[[#This Row],[Preço Unitário ]]*(1-Tabela2[[#This Row],[Desconto]]),"")</f>
        <v/>
      </c>
    </row>
    <row r="30" spans="2:9" ht="19.5" customHeight="1" x14ac:dyDescent="0.25">
      <c r="B30" s="14" t="s">
        <v>90</v>
      </c>
      <c r="C30" s="12"/>
      <c r="D30" s="12"/>
      <c r="E30" s="12"/>
      <c r="F30" s="12"/>
      <c r="G30" s="12"/>
      <c r="H30" s="12"/>
      <c r="I30" s="13">
        <f>SUM(Tabela2[Valor Pago])</f>
        <v>13999.922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1"/>
  <sheetViews>
    <sheetView workbookViewId="0">
      <selection activeCell="A2" sqref="A2:XFD2"/>
    </sheetView>
  </sheetViews>
  <sheetFormatPr defaultRowHeight="15" x14ac:dyDescent="0.25"/>
  <cols>
    <col min="2" max="2" width="54.5703125" customWidth="1"/>
    <col min="3" max="3" width="13.28515625" customWidth="1"/>
    <col min="4" max="4" width="52.140625" customWidth="1"/>
    <col min="5" max="5" width="14.28515625" bestFit="1" customWidth="1"/>
  </cols>
  <sheetData>
    <row r="2" spans="2:7" s="2" customFormat="1" ht="34.5" customHeight="1" x14ac:dyDescent="0.25">
      <c r="B2" s="5" t="s">
        <v>92</v>
      </c>
      <c r="C2" s="5"/>
      <c r="D2" s="5"/>
      <c r="G2" s="5"/>
    </row>
    <row r="3" spans="2:7" ht="28.5" customHeight="1" x14ac:dyDescent="0.25"/>
    <row r="4" spans="2:7" ht="30.75" customHeight="1" x14ac:dyDescent="0.25">
      <c r="B4" t="s">
        <v>93</v>
      </c>
      <c r="C4" t="s">
        <v>44</v>
      </c>
      <c r="D4" t="s">
        <v>94</v>
      </c>
      <c r="E4" t="s">
        <v>95</v>
      </c>
    </row>
    <row r="5" spans="2:7" ht="30.75" customHeight="1" x14ac:dyDescent="0.25">
      <c r="B5" t="s">
        <v>96</v>
      </c>
      <c r="C5" s="8">
        <v>42129</v>
      </c>
      <c r="D5" s="20" t="s">
        <v>99</v>
      </c>
      <c r="E5" s="6">
        <v>400000</v>
      </c>
    </row>
    <row r="6" spans="2:7" ht="30.75" customHeight="1" x14ac:dyDescent="0.25">
      <c r="B6" t="s">
        <v>15</v>
      </c>
      <c r="D6" s="20"/>
      <c r="E6" s="6">
        <v>0</v>
      </c>
    </row>
    <row r="7" spans="2:7" ht="30.75" customHeight="1" x14ac:dyDescent="0.25">
      <c r="B7" t="s">
        <v>98</v>
      </c>
      <c r="D7" s="20"/>
      <c r="E7" s="6">
        <v>0</v>
      </c>
    </row>
    <row r="8" spans="2:7" ht="30.75" customHeight="1" x14ac:dyDescent="0.25">
      <c r="B8" t="s">
        <v>97</v>
      </c>
      <c r="D8" s="20"/>
      <c r="E8" s="6">
        <v>0</v>
      </c>
    </row>
    <row r="9" spans="2:7" ht="30.75" customHeight="1" x14ac:dyDescent="0.25">
      <c r="B9" t="s">
        <v>5</v>
      </c>
      <c r="D9" s="20"/>
      <c r="E9" s="6">
        <v>0</v>
      </c>
    </row>
    <row r="11" spans="2:7" x14ac:dyDescent="0.25">
      <c r="B11" s="14" t="s">
        <v>90</v>
      </c>
      <c r="C11" s="12"/>
      <c r="D11" s="12"/>
      <c r="E11" s="13">
        <f>SUM(Tabela3[Valor])</f>
        <v>400000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workbookViewId="0">
      <selection activeCell="A2" sqref="A2:XFD2"/>
    </sheetView>
  </sheetViews>
  <sheetFormatPr defaultRowHeight="15" x14ac:dyDescent="0.25"/>
  <cols>
    <col min="2" max="2" width="32.85546875" bestFit="1" customWidth="1"/>
    <col min="3" max="3" width="23.140625" customWidth="1"/>
    <col min="4" max="4" width="21.42578125" bestFit="1" customWidth="1"/>
    <col min="5" max="5" width="23" customWidth="1"/>
    <col min="6" max="6" width="21.42578125" customWidth="1"/>
    <col min="7" max="7" width="19.5703125" bestFit="1" customWidth="1"/>
    <col min="8" max="8" width="16.7109375" bestFit="1" customWidth="1"/>
    <col min="9" max="9" width="8.42578125" bestFit="1" customWidth="1"/>
  </cols>
  <sheetData>
    <row r="2" spans="2:8" s="2" customFormat="1" ht="30" customHeight="1" x14ac:dyDescent="0.25">
      <c r="B2" s="5" t="s">
        <v>100</v>
      </c>
      <c r="C2" s="5"/>
      <c r="D2" s="5"/>
      <c r="G2" s="5"/>
    </row>
    <row r="5" spans="2:8" x14ac:dyDescent="0.25"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</row>
    <row r="6" spans="2:8" x14ac:dyDescent="0.25">
      <c r="B6" t="s">
        <v>24</v>
      </c>
      <c r="C6" s="8">
        <f>IFERROR(INDEX(Tabela2[],MATCH(B6,Tabela2[Mercadoria],0),1),"")</f>
        <v>42187</v>
      </c>
      <c r="D6">
        <v>15</v>
      </c>
      <c r="E6">
        <f>SUMIF(Tabela2[Mercadoria], Tabela4[[#This Row],[Produto]],Tabela2[Quantidade])</f>
        <v>150</v>
      </c>
      <c r="G6">
        <f>(Tabela4[[#This Row],[Quantidade Inicial]]+Tabela4[[#This Row],[Quantidade Comprada]]-Tabela4[[#This Row],[Quantidade Vendida]])</f>
        <v>165</v>
      </c>
      <c r="H6" t="str">
        <f>IF(Tabela4[[#This Row],[Quantidade Atual]]&lt;50,IF(Tabela4[[#This Row],[Quantidade Atual]]&gt;21,"Comprar","Atenção"),"OK")</f>
        <v>OK</v>
      </c>
    </row>
    <row r="7" spans="2:8" x14ac:dyDescent="0.25">
      <c r="B7" t="s">
        <v>33</v>
      </c>
      <c r="C7" s="8">
        <f>IFERROR(INDEX(Tabela2[],MATCH(B7,Tabela2[Mercadoria],0),1),"")</f>
        <v>42188</v>
      </c>
      <c r="D7">
        <v>10</v>
      </c>
      <c r="E7">
        <f>SUMIF(Tabela2[Mercadoria], Tabela4[[#This Row],[Produto]],Tabela2[Quantidade])</f>
        <v>50</v>
      </c>
      <c r="G7">
        <f>(Tabela4[[#This Row],[Quantidade Inicial]]+Tabela4[[#This Row],[Quantidade Comprada]]-Tabela4[[#This Row],[Quantidade Vendida]])</f>
        <v>60</v>
      </c>
      <c r="H7" t="str">
        <f>IF(Tabela4[[#This Row],[Quantidade Atual]]&lt;50,IF(Tabela4[[#This Row],[Quantidade Atual]]&gt;21,"Comprar","Atenção"),"OK")</f>
        <v>OK</v>
      </c>
    </row>
    <row r="8" spans="2:8" x14ac:dyDescent="0.25">
      <c r="B8" t="s">
        <v>21</v>
      </c>
      <c r="C8" s="8">
        <f>IFERROR(INDEX(Tabela2[],MATCH(B8,Tabela2[Mercadoria],0),1),"")</f>
        <v>42189</v>
      </c>
      <c r="D8">
        <v>0</v>
      </c>
      <c r="E8">
        <f>SUMIF(Tabela2[Mercadoria], Tabela4[[#This Row],[Produto]],Tabela2[Quantidade])</f>
        <v>450</v>
      </c>
      <c r="G8">
        <f>(Tabela4[[#This Row],[Quantidade Inicial]]+Tabela4[[#This Row],[Quantidade Comprada]]-Tabela4[[#This Row],[Quantidade Vendida]])</f>
        <v>450</v>
      </c>
      <c r="H8" t="str">
        <f>IF(Tabela4[[#This Row],[Quantidade Atual]]&lt;50,IF(Tabela4[[#This Row],[Quantidade Atual]]&gt;21,"Comprar","Atenção"),"OK")</f>
        <v>OK</v>
      </c>
    </row>
    <row r="9" spans="2:8" x14ac:dyDescent="0.25">
      <c r="B9" t="s">
        <v>38</v>
      </c>
      <c r="C9" s="8">
        <f>IFERROR(INDEX(Tabela2[],MATCH(B9,Tabela2[Mercadoria],0),1),"")</f>
        <v>42188</v>
      </c>
      <c r="D9">
        <v>0</v>
      </c>
      <c r="E9">
        <f>SUMIF(Tabela2[Mercadoria], Tabela4[[#This Row],[Produto]],Tabela2[Quantidade])</f>
        <v>100</v>
      </c>
      <c r="G9">
        <f>(Tabela4[[#This Row],[Quantidade Inicial]]+Tabela4[[#This Row],[Quantidade Comprada]]-Tabela4[[#This Row],[Quantidade Vendida]])</f>
        <v>100</v>
      </c>
      <c r="H9" t="str">
        <f>IF(Tabela4[[#This Row],[Quantidade Atual]]&lt;50,IF(Tabela4[[#This Row],[Quantidade Atual]]&gt;21,"Comprar","Atenção"),"OK")</f>
        <v>OK</v>
      </c>
    </row>
    <row r="10" spans="2:8" x14ac:dyDescent="0.25">
      <c r="B10" t="s">
        <v>41</v>
      </c>
      <c r="C10" s="8" t="str">
        <f>IFERROR(INDEX(Tabela2[],MATCH(B10,Tabela2[Mercadoria],0),1),"")</f>
        <v/>
      </c>
      <c r="D10">
        <v>150</v>
      </c>
      <c r="E10">
        <f>SUMIF(Tabela2[Mercadoria], Tabela4[[#This Row],[Produto]],Tabela2[Quantidade])</f>
        <v>0</v>
      </c>
      <c r="G10">
        <f>(Tabela4[[#This Row],[Quantidade Inicial]]+Tabela4[[#This Row],[Quantidade Comprada]]-Tabela4[[#This Row],[Quantidade Vendida]])</f>
        <v>150</v>
      </c>
      <c r="H10" t="str">
        <f>IF(Tabela4[[#This Row],[Quantidade Atual]]&lt;50,IF(Tabela4[[#This Row],[Quantidade Atual]]&gt;21,"Comprar","Atenção"),"OK")</f>
        <v>OK</v>
      </c>
    </row>
    <row r="11" spans="2:8" x14ac:dyDescent="0.25">
      <c r="B11" t="s">
        <v>37</v>
      </c>
      <c r="C11" s="8" t="str">
        <f>IFERROR(INDEX(Tabela2[],MATCH(B11,Tabela2[Mercadoria],0),1),"")</f>
        <v/>
      </c>
      <c r="D11">
        <v>15</v>
      </c>
      <c r="E11">
        <v>0</v>
      </c>
      <c r="G11">
        <f>(Tabela4[[#This Row],[Quantidade Inicial]]+Tabela4[[#This Row],[Quantidade Comprada]]-Tabela4[[#This Row],[Quantidade Vendida]])</f>
        <v>15</v>
      </c>
      <c r="H11" t="str">
        <f>IF(Tabela4[[#This Row],[Quantidade Atual]]&lt;50,IF(Tabela4[[#This Row],[Quantidade Atual]]&gt;21,"Comprar","Atenção"),"OK")</f>
        <v>Atenção</v>
      </c>
    </row>
    <row r="12" spans="2:8" x14ac:dyDescent="0.25">
      <c r="B12" t="s">
        <v>25</v>
      </c>
      <c r="C12" s="8">
        <f>IFERROR(INDEX(Tabela2[],MATCH(B12,Tabela2[Mercadoria],0),1),"")</f>
        <v>42187</v>
      </c>
      <c r="D12">
        <v>25</v>
      </c>
      <c r="E12">
        <f>SUMIF(Tabela2[Mercadoria], Tabela4[[#This Row],[Produto]],Tabela2[Quantidade])</f>
        <v>150</v>
      </c>
      <c r="G12">
        <f>(Tabela4[[#This Row],[Quantidade Inicial]]+Tabela4[[#This Row],[Quantidade Comprada]]-Tabela4[[#This Row],[Quantidade Vendida]])</f>
        <v>175</v>
      </c>
      <c r="H12" t="str">
        <f>IF(Tabela4[[#This Row],[Quantidade Atual]]&lt;50,IF(Tabela4[[#This Row],[Quantidade Atual]]&gt;21,"Comprar","Atenção"),"OK")</f>
        <v>OK</v>
      </c>
    </row>
    <row r="13" spans="2:8" x14ac:dyDescent="0.25">
      <c r="B13" t="s">
        <v>31</v>
      </c>
      <c r="C13" s="8">
        <f>IFERROR(INDEX(Tabela2[],MATCH(B13,Tabela2[Mercadoria],0),1),"")</f>
        <v>42187</v>
      </c>
      <c r="D13">
        <v>0</v>
      </c>
      <c r="E13">
        <f>SUMIF(Tabela2[Mercadoria], Tabela4[[#This Row],[Produto]],Tabela2[Quantidade])</f>
        <v>150</v>
      </c>
      <c r="G13">
        <f>(Tabela4[[#This Row],[Quantidade Inicial]]+Tabela4[[#This Row],[Quantidade Comprada]]-Tabela4[[#This Row],[Quantidade Vendida]])</f>
        <v>150</v>
      </c>
      <c r="H13" t="str">
        <f>IF(Tabela4[[#This Row],[Quantidade Atual]]&lt;50,IF(Tabela4[[#This Row],[Quantidade Atual]]&gt;21,"Comprar","Atenção"),"OK")</f>
        <v>OK</v>
      </c>
    </row>
    <row r="14" spans="2:8" x14ac:dyDescent="0.25">
      <c r="B14" t="s">
        <v>34</v>
      </c>
      <c r="C14" s="8">
        <f>IFERROR(INDEX(Tabela2[],MATCH(B14,Tabela2[Mercadoria],0),1),"")</f>
        <v>42189</v>
      </c>
      <c r="D14">
        <v>0</v>
      </c>
      <c r="E14">
        <f>SUMIF(Tabela2[Mercadoria], Tabela4[[#This Row],[Produto]],Tabela2[Quantidade])</f>
        <v>300</v>
      </c>
      <c r="G14">
        <f>(Tabela4[[#This Row],[Quantidade Inicial]]+Tabela4[[#This Row],[Quantidade Comprada]]-Tabela4[[#This Row],[Quantidade Vendida]])</f>
        <v>300</v>
      </c>
      <c r="H14" t="str">
        <f>IF(Tabela4[[#This Row],[Quantidade Atual]]&lt;50,IF(Tabela4[[#This Row],[Quantidade Atual]]&gt;21,"Comprar","Atenção"),"OK")</f>
        <v>OK</v>
      </c>
    </row>
    <row r="15" spans="2:8" x14ac:dyDescent="0.25">
      <c r="B15" t="s">
        <v>39</v>
      </c>
      <c r="C15" s="8">
        <f>IFERROR(INDEX(Tabela2[],MATCH(B15,Tabela2[Mercadoria],0),1),"")</f>
        <v>42188</v>
      </c>
      <c r="D15">
        <v>30</v>
      </c>
      <c r="E15">
        <f>SUMIF(Tabela2[Mercadoria], Tabela4[[#This Row],[Produto]],Tabela2[Quantidade])</f>
        <v>100</v>
      </c>
      <c r="G15">
        <f>(Tabela4[[#This Row],[Quantidade Inicial]]+Tabela4[[#This Row],[Quantidade Comprada]]-Tabela4[[#This Row],[Quantidade Vendida]])</f>
        <v>130</v>
      </c>
      <c r="H15" t="str">
        <f>IF(Tabela4[[#This Row],[Quantidade Atual]]&lt;50,IF(Tabela4[[#This Row],[Quantidade Atual]]&gt;21,"Comprar","Atenção"),"OK")</f>
        <v>OK</v>
      </c>
    </row>
    <row r="16" spans="2:8" x14ac:dyDescent="0.25">
      <c r="B16" t="s">
        <v>40</v>
      </c>
      <c r="C16" s="8">
        <f>IFERROR(INDEX(Tabela2[],MATCH(B16,Tabela2[Mercadoria],0),1),"")</f>
        <v>42188</v>
      </c>
      <c r="D16">
        <v>0</v>
      </c>
      <c r="E16">
        <f>SUMIF(Tabela2[Mercadoria], Tabela4[[#This Row],[Produto]],Tabela2[Quantidade])</f>
        <v>100</v>
      </c>
      <c r="G16">
        <f>(Tabela4[[#This Row],[Quantidade Inicial]]+Tabela4[[#This Row],[Quantidade Comprada]]-Tabela4[[#This Row],[Quantidade Vendida]])</f>
        <v>100</v>
      </c>
      <c r="H16" t="str">
        <f>IF(Tabela4[[#This Row],[Quantidade Atual]]&lt;50,IF(Tabela4[[#This Row],[Quantidade Atual]]&gt;21,"Comprar","Atenção"),"OK")</f>
        <v>OK</v>
      </c>
    </row>
    <row r="17" spans="2:8" x14ac:dyDescent="0.25">
      <c r="B17" t="s">
        <v>36</v>
      </c>
      <c r="C17" s="8">
        <f>IFERROR(INDEX(Tabela2[],MATCH(B17,Tabela2[Mercadoria],0),1),"")</f>
        <v>42190</v>
      </c>
      <c r="D17">
        <v>0</v>
      </c>
      <c r="E17">
        <f>SUMIF(Tabela2[Mercadoria], Tabela4[[#This Row],[Produto]],Tabela2[Quantidade])</f>
        <v>150</v>
      </c>
      <c r="G17">
        <f>(Tabela4[[#This Row],[Quantidade Inicial]]+Tabela4[[#This Row],[Quantidade Comprada]]-Tabela4[[#This Row],[Quantidade Vendida]])</f>
        <v>150</v>
      </c>
      <c r="H17" t="str">
        <f>IF(Tabela4[[#This Row],[Quantidade Atual]]&lt;50,IF(Tabela4[[#This Row],[Quantidade Atual]]&gt;21,"Comprar","Atenção"),"OK")</f>
        <v>OK</v>
      </c>
    </row>
    <row r="18" spans="2:8" x14ac:dyDescent="0.25">
      <c r="B18" t="s">
        <v>22</v>
      </c>
      <c r="C18" s="8">
        <f>IFERROR(INDEX(Tabela2[],MATCH(B18,Tabela2[Mercadoria],0),1),"")</f>
        <v>42190</v>
      </c>
      <c r="D18">
        <v>0</v>
      </c>
      <c r="E18">
        <f>SUMIF(Tabela2[Mercadoria], Tabela4[[#This Row],[Produto]],Tabela2[Quantidade])</f>
        <v>570</v>
      </c>
      <c r="G18">
        <f>(Tabela4[[#This Row],[Quantidade Inicial]]+Tabela4[[#This Row],[Quantidade Comprada]]-Tabela4[[#This Row],[Quantidade Vendida]])</f>
        <v>570</v>
      </c>
      <c r="H18" t="str">
        <f>IF(Tabela4[[#This Row],[Quantidade Atual]]&lt;50,IF(Tabela4[[#This Row],[Quantidade Atual]]&gt;21,"Comprar","Atenção"),"OK")</f>
        <v>OK</v>
      </c>
    </row>
    <row r="19" spans="2:8" x14ac:dyDescent="0.25">
      <c r="B19" t="s">
        <v>26</v>
      </c>
      <c r="C19" s="8">
        <f>IFERROR(INDEX(Tabela2[],MATCH(B19,Tabela2[Mercadoria],0),1),"")</f>
        <v>42188</v>
      </c>
      <c r="D19">
        <v>0</v>
      </c>
      <c r="E19">
        <f>SUMIF(Tabela2[Mercadoria], Tabela4[[#This Row],[Produto]],Tabela2[Quantidade])</f>
        <v>110</v>
      </c>
      <c r="G19">
        <f>(Tabela4[[#This Row],[Quantidade Inicial]]+Tabela4[[#This Row],[Quantidade Comprada]]-Tabela4[[#This Row],[Quantidade Vendida]])</f>
        <v>110</v>
      </c>
      <c r="H19" t="str">
        <f>IF(Tabela4[[#This Row],[Quantidade Atual]]&lt;50,IF(Tabela4[[#This Row],[Quantidade Atual]]&gt;21,"Comprar","Atenção"),"OK")</f>
        <v>OK</v>
      </c>
    </row>
    <row r="20" spans="2:8" x14ac:dyDescent="0.25">
      <c r="B20" t="s">
        <v>72</v>
      </c>
      <c r="C20" s="8" t="str">
        <f>IFERROR(INDEX(Tabela2[],MATCH(B20,Tabela2[Mercadoria],0),1),"")</f>
        <v/>
      </c>
      <c r="D20">
        <v>39</v>
      </c>
      <c r="E20">
        <f>SUMIF(Tabela2[Mercadoria], Tabela4[[#This Row],[Produto]],Tabela2[Quantidade])</f>
        <v>0</v>
      </c>
      <c r="G20">
        <f>(Tabela4[[#This Row],[Quantidade Inicial]]+Tabela4[[#This Row],[Quantidade Comprada]]-Tabela4[[#This Row],[Quantidade Vendida]])</f>
        <v>39</v>
      </c>
      <c r="H20" t="str">
        <f>IF(Tabela4[[#This Row],[Quantidade Atual]]&lt;50,IF(Tabela4[[#This Row],[Quantidade Atual]]&gt;21,"Comprar","Atenção"),"OK")</f>
        <v>Comprar</v>
      </c>
    </row>
    <row r="21" spans="2:8" x14ac:dyDescent="0.25">
      <c r="B21" t="s">
        <v>77</v>
      </c>
      <c r="C21" s="8">
        <f>IFERROR(INDEX(Tabela2[],MATCH(B21,Tabela2[Mercadoria],0),1),"")</f>
        <v>42188</v>
      </c>
      <c r="D21">
        <v>0</v>
      </c>
      <c r="E21">
        <f>SUMIF(Tabela2[Mercadoria], Tabela4[[#This Row],[Produto]],Tabela2[Quantidade])</f>
        <v>300</v>
      </c>
      <c r="G21">
        <f>(Tabela4[[#This Row],[Quantidade Inicial]]+Tabela4[[#This Row],[Quantidade Comprada]]-Tabela4[[#This Row],[Quantidade Vendida]])</f>
        <v>300</v>
      </c>
      <c r="H21" t="str">
        <f>IF(Tabela4[[#This Row],[Quantidade Atual]]&lt;50,IF(Tabela4[[#This Row],[Quantidade Atual]]&gt;21,"Comprar","Atenção"),"OK")</f>
        <v>OK</v>
      </c>
    </row>
    <row r="22" spans="2:8" x14ac:dyDescent="0.25">
      <c r="B22" t="s">
        <v>27</v>
      </c>
      <c r="C22" s="8">
        <f>IFERROR(INDEX(Tabela2[],MATCH(B22,Tabela2[Mercadoria],0),1),"")</f>
        <v>42188</v>
      </c>
      <c r="D22">
        <v>0</v>
      </c>
      <c r="E22">
        <f>SUMIF(Tabela2[Mercadoria], Tabela4[[#This Row],[Produto]],Tabela2[Quantidade])</f>
        <v>50</v>
      </c>
      <c r="G22">
        <f>(Tabela4[[#This Row],[Quantidade Inicial]]+Tabela4[[#This Row],[Quantidade Comprada]]-Tabela4[[#This Row],[Quantidade Vendida]])</f>
        <v>50</v>
      </c>
      <c r="H22" t="str">
        <f>IF(Tabela4[[#This Row],[Quantidade Atual]]&lt;50,IF(Tabela4[[#This Row],[Quantidade Atual]]&gt;21,"Comprar","Atenção"),"OK")</f>
        <v>OK</v>
      </c>
    </row>
    <row r="23" spans="2:8" x14ac:dyDescent="0.25">
      <c r="B23" t="s">
        <v>28</v>
      </c>
      <c r="C23" s="8" t="str">
        <f>IFERROR(INDEX(Tabela2[],MATCH(B23,Tabela2[Mercadoria],0),1),"")</f>
        <v/>
      </c>
      <c r="D23">
        <v>10</v>
      </c>
      <c r="E23">
        <f>SUMIF(Tabela2[Mercadoria], Tabela4[[#This Row],[Produto]],Tabela2[Quantidade])</f>
        <v>0</v>
      </c>
      <c r="G23">
        <f>(Tabela4[[#This Row],[Quantidade Inicial]]+Tabela4[[#This Row],[Quantidade Comprada]]-Tabela4[[#This Row],[Quantidade Vendida]])</f>
        <v>10</v>
      </c>
      <c r="H23" t="str">
        <f>IF(Tabela4[[#This Row],[Quantidade Atual]]&lt;50,IF(Tabela4[[#This Row],[Quantidade Atual]]&gt;21,"Comprar","Atenção"),"OK")</f>
        <v>Atenção</v>
      </c>
    </row>
    <row r="24" spans="2:8" x14ac:dyDescent="0.25">
      <c r="B24" t="s">
        <v>78</v>
      </c>
      <c r="C24" s="8" t="str">
        <f>IFERROR(INDEX(Tabela2[],MATCH(B24,Tabela2[Mercadoria],0),1),"")</f>
        <v/>
      </c>
      <c r="D24">
        <v>100</v>
      </c>
      <c r="E24">
        <f>SUMIF(Tabela2[Mercadoria], Tabela4[[#This Row],[Produto]],Tabela2[Quantidade])</f>
        <v>0</v>
      </c>
      <c r="G24">
        <f>(Tabela4[[#This Row],[Quantidade Inicial]]+Tabela4[[#This Row],[Quantidade Comprada]]-Tabela4[[#This Row],[Quantidade Vendida]])</f>
        <v>100</v>
      </c>
      <c r="H24" t="str">
        <f>IF(Tabela4[[#This Row],[Quantidade Atual]]&lt;50,IF(Tabela4[[#This Row],[Quantidade Atual]]&gt;21,"Comprar","Atenção"),"OK")</f>
        <v>OK</v>
      </c>
    </row>
    <row r="25" spans="2:8" x14ac:dyDescent="0.25">
      <c r="B25" t="s">
        <v>30</v>
      </c>
      <c r="C25" s="8">
        <f>IFERROR(INDEX(Tabela2[],MATCH(B25,Tabela2[Mercadoria],0),1),"")</f>
        <v>42189</v>
      </c>
      <c r="D25">
        <v>0</v>
      </c>
      <c r="E25">
        <f>SUMIF(Tabela2[Mercadoria], Tabela4[[#This Row],[Produto]],Tabela2[Quantidade])</f>
        <v>200</v>
      </c>
      <c r="G25">
        <f>(Tabela4[[#This Row],[Quantidade Inicial]]+Tabela4[[#This Row],[Quantidade Comprada]]-Tabela4[[#This Row],[Quantidade Vendida]])</f>
        <v>200</v>
      </c>
      <c r="H25" t="str">
        <f>IF(Tabela4[[#This Row],[Quantidade Atual]]&lt;50,IF(Tabela4[[#This Row],[Quantidade Atual]]&gt;21,"Comprar","Atenção"),"OK")</f>
        <v>OK</v>
      </c>
    </row>
    <row r="26" spans="2:8" x14ac:dyDescent="0.25">
      <c r="B26" t="s">
        <v>23</v>
      </c>
      <c r="C26" s="8" t="str">
        <f>IFERROR(INDEX(Tabela2[],MATCH(B26,Tabela2[Mercadoria],0),1),"")</f>
        <v/>
      </c>
      <c r="D26">
        <v>30</v>
      </c>
      <c r="E26">
        <f>SUMIF(Tabela2[Mercadoria], Tabela4[[#This Row],[Produto]],Tabela2[Quantidade])</f>
        <v>0</v>
      </c>
      <c r="G26">
        <f>(Tabela4[[#This Row],[Quantidade Inicial]]+Tabela4[[#This Row],[Quantidade Comprada]]-Tabela4[[#This Row],[Quantidade Vendida]])</f>
        <v>30</v>
      </c>
      <c r="H26" t="str">
        <f>IF(Tabela4[[#This Row],[Quantidade Atual]]&lt;50,IF(Tabela4[[#This Row],[Quantidade Atual]]&gt;21,"Comprar","Atenção"),"OK")</f>
        <v>Comprar</v>
      </c>
    </row>
    <row r="27" spans="2:8" x14ac:dyDescent="0.25">
      <c r="B27" t="s">
        <v>32</v>
      </c>
      <c r="C27" s="8" t="str">
        <f>IFERROR(INDEX(Tabela2[],MATCH(B27,Tabela2[Mercadoria],0),1),"")</f>
        <v/>
      </c>
      <c r="D27">
        <v>50</v>
      </c>
      <c r="E27">
        <f>SUMIF(Tabela2[Mercadoria], Tabela4[[#This Row],[Produto]],Tabela2[Quantidade])</f>
        <v>0</v>
      </c>
      <c r="G27">
        <f>(Tabela4[[#This Row],[Quantidade Inicial]]+Tabela4[[#This Row],[Quantidade Comprada]]-Tabela4[[#This Row],[Quantidade Vendida]])</f>
        <v>50</v>
      </c>
      <c r="H27" t="str">
        <f>IF(Tabela4[[#This Row],[Quantidade Atual]]&lt;50,IF(Tabela4[[#This Row],[Quantidade Atual]]&gt;21,"Comprar","Atenção"),"OK")</f>
        <v>OK</v>
      </c>
    </row>
    <row r="28" spans="2:8" x14ac:dyDescent="0.25">
      <c r="B28" t="s">
        <v>29</v>
      </c>
      <c r="C28" s="8">
        <f>IFERROR(INDEX(Tabela2[],MATCH(B28,Tabela2[Mercadoria],0),1),"")</f>
        <v>42187</v>
      </c>
      <c r="D28">
        <v>0</v>
      </c>
      <c r="E28">
        <f>SUMIF(Tabela2[Mercadoria], Tabela4[[#This Row],[Produto]],Tabela2[Quantidade])</f>
        <v>80</v>
      </c>
      <c r="G28">
        <f>(Tabela4[[#This Row],[Quantidade Inicial]]+Tabela4[[#This Row],[Quantidade Comprada]]-Tabela4[[#This Row],[Quantidade Vendida]])</f>
        <v>80</v>
      </c>
      <c r="H28" t="str">
        <f>IF(Tabela4[[#This Row],[Quantidade Atual]]&lt;50,IF(Tabela4[[#This Row],[Quantidade Atual]]&gt;21,"Comprar","Atenção"),"OK")</f>
        <v>OK</v>
      </c>
    </row>
    <row r="29" spans="2:8" x14ac:dyDescent="0.25">
      <c r="B29" t="s">
        <v>35</v>
      </c>
      <c r="C29" s="8" t="str">
        <f>IFERROR(INDEX(Tabela2[],MATCH(B29,Tabela2[Mercadoria],0),1),"")</f>
        <v/>
      </c>
      <c r="D29">
        <v>20</v>
      </c>
      <c r="E29">
        <f>SUMIF(Tabela2[Mercadoria], Tabela4[[#This Row],[Produto]],Tabela2[Quantidade])</f>
        <v>0</v>
      </c>
      <c r="G29">
        <f>(Tabela4[[#This Row],[Quantidade Inicial]]+Tabela4[[#This Row],[Quantidade Comprada]]-Tabela4[[#This Row],[Quantidade Vendida]])</f>
        <v>20</v>
      </c>
      <c r="H29" t="str">
        <f>IF(Tabela4[[#This Row],[Quantidade Atual]]&lt;50,IF(Tabela4[[#This Row],[Quantidade Atual]]&gt;21,"Comprar","Atenção"),"OK")</f>
        <v>Atenção</v>
      </c>
    </row>
  </sheetData>
  <conditionalFormatting sqref="H6:H29">
    <cfRule type="containsText" dxfId="2" priority="1" operator="containsText" text="Atenção">
      <formula>NOT(ISERROR(SEARCH("Atenção",H6)))</formula>
    </cfRule>
    <cfRule type="containsText" dxfId="1" priority="2" operator="containsText" text="Ok">
      <formula>NOT(ISERROR(SEARCH("Ok",H6)))</formula>
    </cfRule>
    <cfRule type="containsText" dxfId="0" priority="3" operator="containsText" text="Comprar">
      <formula>NOT(ISERROR(SEARCH("Comprar",H6)))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5" x14ac:dyDescent="0.25"/>
  <sheetData>
    <row r="3" spans="2:2" x14ac:dyDescent="0.25">
      <c r="B3" t="s">
        <v>6</v>
      </c>
    </row>
    <row r="5" spans="2:2" x14ac:dyDescent="0.25">
      <c r="B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A895-368A-4067-9FCE-5DBA7105CDC2}">
  <dimension ref="B2:N18"/>
  <sheetViews>
    <sheetView workbookViewId="0">
      <selection activeCell="C8" sqref="C8"/>
    </sheetView>
  </sheetViews>
  <sheetFormatPr defaultRowHeight="15" x14ac:dyDescent="0.25"/>
  <cols>
    <col min="2" max="2" width="35" bestFit="1" customWidth="1"/>
    <col min="3" max="3" width="21.140625" customWidth="1"/>
    <col min="4" max="4" width="10.7109375" bestFit="1" customWidth="1"/>
    <col min="5" max="5" width="14.7109375" customWidth="1"/>
    <col min="6" max="6" width="10.140625" bestFit="1" customWidth="1"/>
    <col min="7" max="7" width="13.5703125" customWidth="1"/>
    <col min="8" max="8" width="15.7109375" customWidth="1"/>
    <col min="9" max="9" width="10.5703125" customWidth="1"/>
    <col min="10" max="10" width="11.42578125" customWidth="1"/>
    <col min="11" max="11" width="9.85546875" customWidth="1"/>
    <col min="12" max="12" width="17.7109375" customWidth="1"/>
    <col min="13" max="13" width="9.5703125" bestFit="1" customWidth="1"/>
    <col min="14" max="14" width="14.42578125" customWidth="1"/>
  </cols>
  <sheetData>
    <row r="2" spans="2:14" s="2" customFormat="1" ht="30" customHeight="1" x14ac:dyDescent="0.25">
      <c r="B2" s="5" t="s">
        <v>108</v>
      </c>
      <c r="C2" s="5"/>
      <c r="D2" s="5"/>
      <c r="G2" s="5"/>
    </row>
    <row r="6" spans="2:14" x14ac:dyDescent="0.25">
      <c r="C6" t="s">
        <v>109</v>
      </c>
      <c r="D6" t="s">
        <v>44</v>
      </c>
      <c r="E6" t="s">
        <v>101</v>
      </c>
      <c r="F6" t="s">
        <v>61</v>
      </c>
      <c r="G6" t="s">
        <v>62</v>
      </c>
      <c r="H6" t="s">
        <v>110</v>
      </c>
      <c r="I6" t="s">
        <v>111</v>
      </c>
      <c r="J6" t="s">
        <v>64</v>
      </c>
      <c r="K6" t="s">
        <v>112</v>
      </c>
      <c r="L6" t="s">
        <v>113</v>
      </c>
      <c r="M6" t="s">
        <v>114</v>
      </c>
      <c r="N6" t="s">
        <v>115</v>
      </c>
    </row>
    <row r="7" spans="2:14" x14ac:dyDescent="0.25">
      <c r="C7">
        <v>1</v>
      </c>
      <c r="F7" t="str">
        <f>IFERROR(VLOOKUP(Tabela5[[#This Row],[Produto]],cálculos!$R$7:$U$30,4,FALSE),"")</f>
        <v/>
      </c>
      <c r="H7" s="6">
        <f>IFERROR(VLOOKUP(Tabela5[[#This Row],[Produto]],cálculos!$R$7:$U$30,3,FALSE),0)</f>
        <v>0</v>
      </c>
      <c r="I7" s="6">
        <f>Tabela5[[#This Row],[Quantidade]]*Tabela5[[#This Row],[Preço Unitário]]</f>
        <v>0</v>
      </c>
      <c r="J7" s="21"/>
      <c r="L7" s="6">
        <f>IFERROR(VLOOKUP(Tabela5[[#This Row],[Entrega]],cálculos!K7:L11,2,FALSE),0)</f>
        <v>0</v>
      </c>
      <c r="M7" s="6">
        <f>Tabela5[[#This Row],[Subtotal]]*(1-Tabela5[[#This Row],[Desconto]])+Tabela5[[#This Row],[Valor de Entrega]]</f>
        <v>0</v>
      </c>
      <c r="N7" s="6" t="str">
        <f>IF(Tabela5[[#This Row],[ID Venda ]]=C8,"",SUMIF(Tabela5[[ID Venda ]],C9,Tabela5[Total]))</f>
        <v/>
      </c>
    </row>
    <row r="8" spans="2:14" x14ac:dyDescent="0.25">
      <c r="C8">
        <v>1</v>
      </c>
      <c r="D8" s="8">
        <v>42126</v>
      </c>
      <c r="E8" t="s">
        <v>21</v>
      </c>
      <c r="F8" t="str">
        <f>IFERROR(VLOOKUP(Tabela5[[#This Row],[Produto]],cálculos!$R$7:$U$30,4,FALSE),"")</f>
        <v>Kg</v>
      </c>
      <c r="G8">
        <v>10</v>
      </c>
      <c r="H8" s="6">
        <f>IFERROR(VLOOKUP(Tabela5[[#This Row],[Produto]],cálculos!$R$7:$U$30,3,FALSE),0)</f>
        <v>2.4900000000000002</v>
      </c>
      <c r="I8" s="6">
        <f>Tabela5[[#This Row],[Quantidade]]*Tabela5[[#This Row],[Preço Unitário]]</f>
        <v>24.900000000000002</v>
      </c>
      <c r="J8" s="21">
        <v>0.03</v>
      </c>
      <c r="L8" s="6">
        <f>IFERROR(VLOOKUP(Tabela5[[#This Row],[Entrega]],cálculos!K8:L12,2,FALSE),0)</f>
        <v>0</v>
      </c>
      <c r="M8" s="6">
        <f>Tabela5[[#This Row],[Subtotal]]*(1-Tabela5[[#This Row],[Desconto]])+Tabela5[[#This Row],[Valor de Entrega]]</f>
        <v>24.153000000000002</v>
      </c>
      <c r="N8" s="6" t="str">
        <f>IF(Tabela5[[#This Row],[ID Venda ]]=C9,"",SUMIF(Tabela5[[ID Venda ]],C10,Tabela5[Total]))</f>
        <v/>
      </c>
    </row>
    <row r="9" spans="2:14" x14ac:dyDescent="0.25">
      <c r="C9">
        <v>1</v>
      </c>
      <c r="D9" s="8">
        <v>42127</v>
      </c>
      <c r="E9" t="s">
        <v>26</v>
      </c>
      <c r="F9" t="str">
        <f>IFERROR(VLOOKUP(Tabela5[[#This Row],[Produto]],cálculos!$R$7:$U$30,4,FALSE),"")</f>
        <v>Kg</v>
      </c>
      <c r="G9">
        <v>3</v>
      </c>
      <c r="H9" s="6">
        <f>IFERROR(VLOOKUP(Tabela5[[#This Row],[Produto]],cálculos!$R$7:$U$30,3,FALSE),0)</f>
        <v>6.98</v>
      </c>
      <c r="I9" s="6">
        <f>Tabela5[[#This Row],[Quantidade]]*Tabela5[[#This Row],[Preço Unitário]]</f>
        <v>20.94</v>
      </c>
      <c r="J9" s="21"/>
      <c r="K9" t="s">
        <v>122</v>
      </c>
      <c r="L9" s="6">
        <f>IFERROR(VLOOKUP(Tabela5[[#This Row],[Entrega]],cálculos!K9:L13,2,FALSE),0)</f>
        <v>6.5</v>
      </c>
      <c r="M9" s="6">
        <f>Tabela5[[#This Row],[Subtotal]]*(1-Tabela5[[#This Row],[Desconto]])+Tabela5[[#This Row],[Valor de Entrega]]</f>
        <v>27.44</v>
      </c>
      <c r="N9" s="6">
        <f>IF(Tabela5[[#This Row],[ID Venda ]]=C10,"",SUMIF(Tabela5[[ID Venda ]],C11,Tabela5[Total]))</f>
        <v>0</v>
      </c>
    </row>
    <row r="10" spans="2:14" x14ac:dyDescent="0.25">
      <c r="F10" t="str">
        <f>IFERROR(VLOOKUP(Tabela5[[#This Row],[Produto]],cálculos!$R$7:$U$30,4,FALSE),"")</f>
        <v/>
      </c>
      <c r="H10" s="6">
        <f>IFERROR(VLOOKUP(Tabela5[[#This Row],[Produto]],cálculos!$R$7:$U$30,3,FALSE),0)</f>
        <v>0</v>
      </c>
      <c r="I10" s="6">
        <f>Tabela5[[#This Row],[Quantidade]]*Tabela5[[#This Row],[Preço Unitário]]</f>
        <v>0</v>
      </c>
      <c r="J10" s="21"/>
      <c r="L10" s="6">
        <f>IFERROR(VLOOKUP(Tabela5[[#This Row],[Entrega]],cálculos!K10:L14,2,FALSE),0)</f>
        <v>0</v>
      </c>
      <c r="M10" s="6">
        <f>Tabela5[[#This Row],[Subtotal]]*(1-Tabela5[[#This Row],[Desconto]])+Tabela5[[#This Row],[Valor de Entrega]]</f>
        <v>0</v>
      </c>
      <c r="N10" s="6" t="str">
        <f>IF(Tabela5[[#This Row],[ID Venda ]]=C11,"",SUMIF(Tabela5[[ID Venda ]],C12,Tabela5[Total]))</f>
        <v/>
      </c>
    </row>
    <row r="11" spans="2:14" x14ac:dyDescent="0.25">
      <c r="F11" t="str">
        <f>IFERROR(VLOOKUP(Tabela5[[#This Row],[Produto]],cálculos!$R$7:$U$30,4,FALSE),"")</f>
        <v/>
      </c>
      <c r="H11" s="6">
        <f>IFERROR(VLOOKUP(Tabela5[[#This Row],[Produto]],cálculos!$R$7:$U$30,3,FALSE),0)</f>
        <v>0</v>
      </c>
      <c r="I11" s="6">
        <f>Tabela5[[#This Row],[Quantidade]]*Tabela5[[#This Row],[Preço Unitário]]</f>
        <v>0</v>
      </c>
      <c r="J11" s="21"/>
      <c r="L11" s="6">
        <f>IFERROR(VLOOKUP(Tabela5[[#This Row],[Entrega]],cálculos!K11:L15,2,FALSE),0)</f>
        <v>0</v>
      </c>
      <c r="M11" s="6">
        <f>Tabela5[[#This Row],[Subtotal]]*(1-Tabela5[[#This Row],[Desconto]])+Tabela5[[#This Row],[Valor de Entrega]]</f>
        <v>0</v>
      </c>
      <c r="N11" s="6" t="str">
        <f>IF(Tabela5[[#This Row],[ID Venda ]]=C12,"",SUMIF(Tabela5[[ID Venda ]],C13,Tabela5[Total]))</f>
        <v/>
      </c>
    </row>
    <row r="12" spans="2:14" x14ac:dyDescent="0.25">
      <c r="F12" t="str">
        <f>IFERROR(VLOOKUP(Tabela5[[#This Row],[Produto]],cálculos!$R$7:$U$30,4,FALSE),"")</f>
        <v/>
      </c>
      <c r="H12" s="6">
        <f>IFERROR(VLOOKUP(Tabela5[[#This Row],[Produto]],cálculos!$R$7:$U$30,3,FALSE),0)</f>
        <v>0</v>
      </c>
      <c r="I12" s="6">
        <f>Tabela5[[#This Row],[Quantidade]]*Tabela5[[#This Row],[Preço Unitário]]</f>
        <v>0</v>
      </c>
      <c r="J12" s="21"/>
      <c r="L12" s="6">
        <f>IFERROR(VLOOKUP(Tabela5[[#This Row],[Entrega]],cálculos!K12:L16,2,FALSE),0)</f>
        <v>0</v>
      </c>
      <c r="M12" s="6">
        <f>Tabela5[[#This Row],[Subtotal]]*(1-Tabela5[[#This Row],[Desconto]])+Tabela5[[#This Row],[Valor de Entrega]]</f>
        <v>0</v>
      </c>
      <c r="N12" s="6" t="str">
        <f>IF(Tabela5[[#This Row],[ID Venda ]]=C13,"",SUMIF(Tabela5[[ID Venda ]],C14,Tabela5[Total]))</f>
        <v/>
      </c>
    </row>
    <row r="13" spans="2:14" x14ac:dyDescent="0.25">
      <c r="F13" t="str">
        <f>IFERROR(VLOOKUP(Tabela5[[#This Row],[Produto]],cálculos!$R$7:$U$30,4,FALSE),"")</f>
        <v/>
      </c>
      <c r="H13" s="6">
        <f>IFERROR(VLOOKUP(Tabela5[[#This Row],[Produto]],cálculos!$R$7:$U$30,3,FALSE),0)</f>
        <v>0</v>
      </c>
      <c r="I13" s="6">
        <f>Tabela5[[#This Row],[Quantidade]]*Tabela5[[#This Row],[Preço Unitário]]</f>
        <v>0</v>
      </c>
      <c r="J13" s="21"/>
      <c r="L13" s="6">
        <f>IFERROR(VLOOKUP(Tabela5[[#This Row],[Entrega]],cálculos!K13:L17,2,FALSE),0)</f>
        <v>0</v>
      </c>
      <c r="M13" s="6">
        <f>Tabela5[[#This Row],[Subtotal]]*(1-Tabela5[[#This Row],[Desconto]])+Tabela5[[#This Row],[Valor de Entrega]]</f>
        <v>0</v>
      </c>
      <c r="N13" s="6" t="str">
        <f>IF(Tabela5[[#This Row],[ID Venda ]]=C14,"",SUMIF(Tabela5[[ID Venda ]],C15,Tabela5[Total]))</f>
        <v/>
      </c>
    </row>
    <row r="14" spans="2:14" x14ac:dyDescent="0.25">
      <c r="F14" t="str">
        <f>IFERROR(VLOOKUP(Tabela5[[#This Row],[Produto]],cálculos!$R$7:$U$30,4,FALSE),"")</f>
        <v/>
      </c>
      <c r="H14" s="6">
        <f>IFERROR(VLOOKUP(Tabela5[[#This Row],[Produto]],cálculos!$R$7:$U$30,3,FALSE),0)</f>
        <v>0</v>
      </c>
      <c r="I14" s="6">
        <f>Tabela5[[#This Row],[Quantidade]]*Tabela5[[#This Row],[Preço Unitário]]</f>
        <v>0</v>
      </c>
      <c r="J14" s="21"/>
      <c r="L14" s="6">
        <f>IFERROR(VLOOKUP(Tabela5[[#This Row],[Entrega]],cálculos!K14:L18,2,FALSE),0)</f>
        <v>0</v>
      </c>
      <c r="M14" s="6">
        <f>Tabela5[[#This Row],[Subtotal]]*(1-Tabela5[[#This Row],[Desconto]])+Tabela5[[#This Row],[Valor de Entrega]]</f>
        <v>0</v>
      </c>
      <c r="N14" s="6" t="str">
        <f>IF(Tabela5[[#This Row],[ID Venda ]]=C15,"",SUMIF(Tabela5[[ID Venda ]],C16,Tabela5[Total]))</f>
        <v/>
      </c>
    </row>
    <row r="15" spans="2:14" x14ac:dyDescent="0.25">
      <c r="F15" t="str">
        <f>IFERROR(VLOOKUP(Tabela5[[#This Row],[Produto]],cálculos!$R$7:$U$30,4,FALSE),"")</f>
        <v/>
      </c>
      <c r="H15" s="6">
        <f>IFERROR(VLOOKUP(Tabela5[[#This Row],[Produto]],cálculos!$R$7:$U$30,3,FALSE),0)</f>
        <v>0</v>
      </c>
      <c r="I15" s="6">
        <f>Tabela5[[#This Row],[Quantidade]]*Tabela5[[#This Row],[Preço Unitário]]</f>
        <v>0</v>
      </c>
      <c r="J15" s="21"/>
      <c r="L15" s="6">
        <f>IFERROR(VLOOKUP(Tabela5[[#This Row],[Entrega]],cálculos!K15:L19,2,FALSE),0)</f>
        <v>0</v>
      </c>
      <c r="M15" s="6">
        <f>Tabela5[[#This Row],[Subtotal]]*(1-Tabela5[[#This Row],[Desconto]])+Tabela5[[#This Row],[Valor de Entrega]]</f>
        <v>0</v>
      </c>
      <c r="N15" s="6" t="str">
        <f>IF(Tabela5[[#This Row],[ID Venda ]]=C16,"",SUMIF(Tabela5[[ID Venda ]],C17,Tabela5[Total]))</f>
        <v/>
      </c>
    </row>
    <row r="16" spans="2:14" x14ac:dyDescent="0.25">
      <c r="F16" t="str">
        <f>IFERROR(VLOOKUP(Tabela5[[#This Row],[Produto]],cálculos!$R$7:$U$30,4,FALSE),"")</f>
        <v/>
      </c>
      <c r="H16" s="6">
        <f>IFERROR(VLOOKUP(Tabela5[[#This Row],[Produto]],cálculos!$R$7:$U$30,3,FALSE),0)</f>
        <v>0</v>
      </c>
      <c r="I16" s="6">
        <f>Tabela5[[#This Row],[Quantidade]]*Tabela5[[#This Row],[Preço Unitário]]</f>
        <v>0</v>
      </c>
      <c r="J16" s="21"/>
      <c r="L16" s="6">
        <f>IFERROR(VLOOKUP(Tabela5[[#This Row],[Entrega]],cálculos!K16:L20,2,FALSE),0)</f>
        <v>0</v>
      </c>
      <c r="M16" s="6">
        <f>Tabela5[[#This Row],[Subtotal]]*(1-Tabela5[[#This Row],[Desconto]])+Tabela5[[#This Row],[Valor de Entrega]]</f>
        <v>0</v>
      </c>
      <c r="N16" s="6" t="str">
        <f>IF(Tabela5[[#This Row],[ID Venda ]]=C17,"",SUMIF(Tabela5[[ID Venda ]],C18,Tabela5[Total]))</f>
        <v/>
      </c>
    </row>
    <row r="17" spans="6:14" x14ac:dyDescent="0.25">
      <c r="F17" t="str">
        <f>IFERROR(VLOOKUP(Tabela5[[#This Row],[Produto]],cálculos!$R$7:$U$30,4,FALSE),"")</f>
        <v/>
      </c>
      <c r="H17" s="6">
        <f>IFERROR(VLOOKUP(Tabela5[[#This Row],[Produto]],cálculos!$R$7:$U$30,3,FALSE),0)</f>
        <v>0</v>
      </c>
      <c r="I17" s="6">
        <f>Tabela5[[#This Row],[Quantidade]]*Tabela5[[#This Row],[Preço Unitário]]</f>
        <v>0</v>
      </c>
      <c r="J17" s="21"/>
      <c r="L17" s="6">
        <f>IFERROR(VLOOKUP(Tabela5[[#This Row],[Entrega]],cálculos!K17:L21,2,FALSE),0)</f>
        <v>0</v>
      </c>
      <c r="M17" s="6">
        <f>Tabela5[[#This Row],[Subtotal]]*(1-Tabela5[[#This Row],[Desconto]])+Tabela5[[#This Row],[Valor de Entrega]]</f>
        <v>0</v>
      </c>
      <c r="N17" s="6" t="str">
        <f>IF(Tabela5[[#This Row],[ID Venda ]]=C18,"",SUMIF(Tabela5[[ID Venda ]],C19,Tabela5[Total]))</f>
        <v/>
      </c>
    </row>
    <row r="18" spans="6:14" x14ac:dyDescent="0.25">
      <c r="F18" t="str">
        <f>IFERROR(VLOOKUP(Tabela5[[#This Row],[Produto]],cálculos!$R$7:$U$30,4,FALSE),"")</f>
        <v/>
      </c>
      <c r="H18" s="6">
        <f>IFERROR(VLOOKUP(Tabela5[[#This Row],[Produto]],cálculos!$R$7:$U$30,3,FALSE),0)</f>
        <v>0</v>
      </c>
      <c r="I18" s="6">
        <f>Tabela5[[#This Row],[Quantidade]]*Tabela5[[#This Row],[Preço Unitário]]</f>
        <v>0</v>
      </c>
      <c r="J18" s="21"/>
      <c r="L18" s="6">
        <f>IFERROR(VLOOKUP(Tabela5[[#This Row],[Entrega]],cálculos!K18:L22,2,FALSE),0)</f>
        <v>0</v>
      </c>
      <c r="M18" s="6">
        <f>Tabela5[[#This Row],[Subtotal]]*(1-Tabela5[[#This Row],[Desconto]])+Tabela5[[#This Row],[Valor de Entrega]]</f>
        <v>0</v>
      </c>
      <c r="N18" s="6" t="str">
        <f>IF(Tabela5[[#This Row],[ID Venda ]]=C19,"",SUMIF(Tabela5[[ID Venda ]],C20,Tabela5[Total]))</f>
        <v/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7DD7F5-6847-40E8-96D4-9437A801CC2B}">
          <x14:formula1>
            <xm:f>cálculos!$R$7:$R$30</xm:f>
          </x14:formula1>
          <xm:sqref>E7:E18</xm:sqref>
        </x14:dataValidation>
        <x14:dataValidation type="list" allowBlank="1" showInputMessage="1" showErrorMessage="1" xr:uid="{0B958930-855F-4CB7-86B7-2A7EAA26B744}">
          <x14:formula1>
            <xm:f>cálculos!$K$7:$K$11</xm:f>
          </x14:formula1>
          <xm:sqref>K7:K18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>
      <selection activeCell="B13" sqref="B13"/>
    </sheetView>
  </sheetViews>
  <sheetFormatPr defaultRowHeight="15" x14ac:dyDescent="0.25"/>
  <sheetData>
    <row r="3" spans="2:2" x14ac:dyDescent="0.25">
      <c r="B3" t="s">
        <v>10</v>
      </c>
    </row>
    <row r="6" spans="2:2" x14ac:dyDescent="0.25">
      <c r="B6" t="s">
        <v>8</v>
      </c>
    </row>
    <row r="9" spans="2:2" x14ac:dyDescent="0.25">
      <c r="B9" t="s">
        <v>9</v>
      </c>
    </row>
    <row r="12" spans="2:2" x14ac:dyDescent="0.25">
      <c r="B1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6:U30"/>
  <sheetViews>
    <sheetView workbookViewId="0">
      <selection activeCell="K7" sqref="K7:L11"/>
    </sheetView>
  </sheetViews>
  <sheetFormatPr defaultRowHeight="15" x14ac:dyDescent="0.25"/>
  <cols>
    <col min="11" max="11" width="18.140625" bestFit="1" customWidth="1"/>
    <col min="12" max="12" width="10.5703125" bestFit="1" customWidth="1"/>
    <col min="18" max="18" width="15.7109375" bestFit="1" customWidth="1"/>
    <col min="19" max="19" width="24.140625" bestFit="1" customWidth="1"/>
    <col min="20" max="20" width="23" bestFit="1" customWidth="1"/>
    <col min="21" max="21" width="8.42578125" bestFit="1" customWidth="1"/>
  </cols>
  <sheetData>
    <row r="6" spans="11:21" x14ac:dyDescent="0.25">
      <c r="K6" s="9" t="s">
        <v>116</v>
      </c>
      <c r="L6" s="9" t="s">
        <v>117</v>
      </c>
      <c r="R6" s="9" t="s">
        <v>66</v>
      </c>
      <c r="S6" s="9" t="s">
        <v>67</v>
      </c>
      <c r="T6" s="9" t="s">
        <v>68</v>
      </c>
      <c r="U6" s="9" t="s">
        <v>61</v>
      </c>
    </row>
    <row r="7" spans="11:21" x14ac:dyDescent="0.25">
      <c r="K7" t="s">
        <v>118</v>
      </c>
      <c r="L7" s="6">
        <v>5</v>
      </c>
      <c r="R7" t="s">
        <v>24</v>
      </c>
      <c r="S7" s="10">
        <v>2.8405</v>
      </c>
      <c r="T7" s="10">
        <v>2.99</v>
      </c>
      <c r="U7" t="s">
        <v>69</v>
      </c>
    </row>
    <row r="8" spans="11:21" x14ac:dyDescent="0.25">
      <c r="K8" t="s">
        <v>119</v>
      </c>
      <c r="L8" s="6">
        <v>0</v>
      </c>
      <c r="R8" t="s">
        <v>33</v>
      </c>
      <c r="S8" s="10">
        <v>1.0580000000000001</v>
      </c>
      <c r="T8" s="10">
        <v>1.1499999999999999</v>
      </c>
      <c r="U8" t="s">
        <v>70</v>
      </c>
    </row>
    <row r="9" spans="11:21" x14ac:dyDescent="0.25">
      <c r="K9" t="s">
        <v>120</v>
      </c>
      <c r="L9" s="6">
        <v>6.5</v>
      </c>
      <c r="R9" t="s">
        <v>21</v>
      </c>
      <c r="S9" s="10">
        <v>2.3406000000000002</v>
      </c>
      <c r="T9" s="10">
        <v>2.4900000000000002</v>
      </c>
      <c r="U9" t="s">
        <v>71</v>
      </c>
    </row>
    <row r="10" spans="11:21" x14ac:dyDescent="0.25">
      <c r="K10" t="s">
        <v>121</v>
      </c>
      <c r="L10" s="6">
        <v>8</v>
      </c>
      <c r="R10" t="s">
        <v>38</v>
      </c>
      <c r="S10" s="10">
        <v>1.8506999999999998</v>
      </c>
      <c r="T10" s="10">
        <v>1.99</v>
      </c>
      <c r="U10" t="s">
        <v>70</v>
      </c>
    </row>
    <row r="11" spans="11:21" x14ac:dyDescent="0.25">
      <c r="K11" t="s">
        <v>122</v>
      </c>
      <c r="L11" s="6">
        <v>6.5</v>
      </c>
      <c r="R11" t="s">
        <v>41</v>
      </c>
      <c r="S11" s="10">
        <v>1.0924999999999998</v>
      </c>
      <c r="T11" s="10">
        <v>1.1499999999999999</v>
      </c>
      <c r="U11" t="s">
        <v>70</v>
      </c>
    </row>
    <row r="12" spans="11:21" x14ac:dyDescent="0.25">
      <c r="R12" t="s">
        <v>37</v>
      </c>
      <c r="S12" s="10">
        <v>0.74260000000000004</v>
      </c>
      <c r="T12" s="10">
        <v>0.79</v>
      </c>
      <c r="U12" t="s">
        <v>70</v>
      </c>
    </row>
    <row r="13" spans="11:21" x14ac:dyDescent="0.25">
      <c r="R13" t="s">
        <v>25</v>
      </c>
      <c r="S13" s="10">
        <v>14.469000000000001</v>
      </c>
      <c r="T13" s="10">
        <v>15.9</v>
      </c>
      <c r="U13" t="s">
        <v>71</v>
      </c>
    </row>
    <row r="14" spans="11:21" x14ac:dyDescent="0.25">
      <c r="R14" t="s">
        <v>31</v>
      </c>
      <c r="S14" s="10">
        <v>3.6309000000000005</v>
      </c>
      <c r="T14" s="10">
        <v>3.99</v>
      </c>
      <c r="U14" t="s">
        <v>71</v>
      </c>
    </row>
    <row r="15" spans="11:21" x14ac:dyDescent="0.25">
      <c r="R15" t="s">
        <v>34</v>
      </c>
      <c r="S15" s="10">
        <v>2.1023999999999998</v>
      </c>
      <c r="T15" s="10">
        <v>2.19</v>
      </c>
      <c r="U15" t="s">
        <v>74</v>
      </c>
    </row>
    <row r="16" spans="11:21" x14ac:dyDescent="0.25">
      <c r="R16" t="s">
        <v>39</v>
      </c>
      <c r="S16" s="10">
        <v>4.5409000000000006</v>
      </c>
      <c r="T16" s="10">
        <v>4.99</v>
      </c>
      <c r="U16" t="s">
        <v>75</v>
      </c>
    </row>
    <row r="17" spans="18:21" x14ac:dyDescent="0.25">
      <c r="R17" t="s">
        <v>40</v>
      </c>
      <c r="S17" s="10">
        <v>6.3449999999999998</v>
      </c>
      <c r="T17" s="10">
        <v>6.75</v>
      </c>
      <c r="U17" t="s">
        <v>76</v>
      </c>
    </row>
    <row r="18" spans="18:21" x14ac:dyDescent="0.25">
      <c r="R18" t="s">
        <v>36</v>
      </c>
      <c r="S18" s="10">
        <v>2.3660000000000001</v>
      </c>
      <c r="T18" s="10">
        <v>2.6</v>
      </c>
      <c r="U18" t="s">
        <v>69</v>
      </c>
    </row>
    <row r="19" spans="18:21" x14ac:dyDescent="0.25">
      <c r="R19" t="s">
        <v>22</v>
      </c>
      <c r="S19" s="10">
        <v>4.0659999999999998</v>
      </c>
      <c r="T19" s="10">
        <v>4.28</v>
      </c>
      <c r="U19" t="s">
        <v>71</v>
      </c>
    </row>
    <row r="20" spans="18:21" x14ac:dyDescent="0.25">
      <c r="R20" t="s">
        <v>26</v>
      </c>
      <c r="S20" s="10">
        <v>6.4216000000000006</v>
      </c>
      <c r="T20" s="10">
        <v>6.98</v>
      </c>
      <c r="U20" t="s">
        <v>71</v>
      </c>
    </row>
    <row r="21" spans="18:21" x14ac:dyDescent="0.25">
      <c r="R21" t="s">
        <v>72</v>
      </c>
      <c r="S21" s="10">
        <v>1.3708</v>
      </c>
      <c r="T21" s="10">
        <v>1.49</v>
      </c>
      <c r="U21" t="s">
        <v>73</v>
      </c>
    </row>
    <row r="22" spans="18:21" x14ac:dyDescent="0.25">
      <c r="R22" t="s">
        <v>77</v>
      </c>
      <c r="S22" s="10">
        <v>2.6299000000000001</v>
      </c>
      <c r="T22" s="10">
        <v>2.89</v>
      </c>
      <c r="U22" t="s">
        <v>69</v>
      </c>
    </row>
    <row r="23" spans="18:21" x14ac:dyDescent="0.25">
      <c r="R23" t="s">
        <v>27</v>
      </c>
      <c r="S23" s="10">
        <v>22.226999999999997</v>
      </c>
      <c r="T23" s="10">
        <v>23.9</v>
      </c>
      <c r="U23" t="s">
        <v>71</v>
      </c>
    </row>
    <row r="24" spans="18:21" x14ac:dyDescent="0.25">
      <c r="R24" t="s">
        <v>28</v>
      </c>
      <c r="S24" s="10">
        <v>23.827999999999999</v>
      </c>
      <c r="T24" s="10">
        <v>25.9</v>
      </c>
      <c r="U24" t="s">
        <v>71</v>
      </c>
    </row>
    <row r="25" spans="18:21" x14ac:dyDescent="0.25">
      <c r="R25" t="s">
        <v>78</v>
      </c>
      <c r="S25" s="10">
        <v>2.1749000000000001</v>
      </c>
      <c r="T25" s="10">
        <v>2.39</v>
      </c>
      <c r="U25" t="s">
        <v>73</v>
      </c>
    </row>
    <row r="26" spans="18:21" x14ac:dyDescent="0.25">
      <c r="R26" t="s">
        <v>30</v>
      </c>
      <c r="S26" s="10">
        <v>3.2084999999999999</v>
      </c>
      <c r="T26" s="10">
        <v>3.45</v>
      </c>
      <c r="U26" t="s">
        <v>73</v>
      </c>
    </row>
    <row r="27" spans="18:21" x14ac:dyDescent="0.25">
      <c r="R27" t="s">
        <v>23</v>
      </c>
      <c r="S27" s="10">
        <v>5.3544000000000009</v>
      </c>
      <c r="T27" s="10">
        <v>5.82</v>
      </c>
      <c r="U27" t="s">
        <v>71</v>
      </c>
    </row>
    <row r="28" spans="18:21" x14ac:dyDescent="0.25">
      <c r="R28" t="s">
        <v>32</v>
      </c>
      <c r="S28" s="10">
        <v>9.1009999999999991</v>
      </c>
      <c r="T28" s="10">
        <v>9.58</v>
      </c>
      <c r="U28" t="s">
        <v>71</v>
      </c>
    </row>
    <row r="29" spans="18:21" x14ac:dyDescent="0.25">
      <c r="R29" t="s">
        <v>29</v>
      </c>
      <c r="S29" s="10">
        <v>26.012999999999998</v>
      </c>
      <c r="T29" s="10">
        <v>29.9</v>
      </c>
      <c r="U29" t="s">
        <v>79</v>
      </c>
    </row>
    <row r="30" spans="18:21" x14ac:dyDescent="0.25">
      <c r="R30" t="s">
        <v>35</v>
      </c>
      <c r="S30" s="10">
        <v>46.664999999999999</v>
      </c>
      <c r="T30" s="10">
        <v>54.9</v>
      </c>
      <c r="U30" t="s">
        <v>79</v>
      </c>
    </row>
  </sheetData>
  <autoFilter ref="R6:U6" xr:uid="{00000000-0001-0000-0700-000000000000}">
    <sortState xmlns:xlrd2="http://schemas.microsoft.com/office/spreadsheetml/2017/richdata2" ref="R7:U30">
      <sortCondition ref="R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Menu</vt:lpstr>
      <vt:lpstr>Despesas</vt:lpstr>
      <vt:lpstr>Compra de Mercadorias</vt:lpstr>
      <vt:lpstr>Investimentos</vt:lpstr>
      <vt:lpstr>Controle de Estoque</vt:lpstr>
      <vt:lpstr>Vendas</vt:lpstr>
      <vt:lpstr>Semana 1</vt:lpstr>
      <vt:lpstr>Resultados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Gladston Moraes</cp:lastModifiedBy>
  <dcterms:created xsi:type="dcterms:W3CDTF">2015-06-24T19:21:22Z</dcterms:created>
  <dcterms:modified xsi:type="dcterms:W3CDTF">2024-06-02T16:42:38Z</dcterms:modified>
</cp:coreProperties>
</file>