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54\Desktop\Carear Opportunities\"/>
    </mc:Choice>
  </mc:AlternateContent>
  <xr:revisionPtr revIDLastSave="0" documentId="13_ncr:1_{8E834EE7-2203-4121-B43A-3449DE7C32F8}" xr6:coauthVersionLast="45" xr6:coauthVersionMax="45" xr10:uidLastSave="{00000000-0000-0000-0000-000000000000}"/>
  <bookViews>
    <workbookView xWindow="-108" yWindow="-108" windowWidth="23256" windowHeight="12576" activeTab="5" xr2:uid="{E524B8CF-9432-4910-97CE-DC89A172DB21}"/>
  </bookViews>
  <sheets>
    <sheet name="Dashboard" sheetId="2" r:id="rId1"/>
    <sheet name="Player Stats" sheetId="5" r:id="rId2"/>
    <sheet name="SEC Tournament" sheetId="8" r:id="rId3"/>
    <sheet name="Court Diagram" sheetId="6" r:id="rId4"/>
    <sheet name="Dashboard Calculations" sheetId="3" r:id="rId5"/>
    <sheet name="Raw Data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" i="5" l="1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B55" i="5"/>
  <c r="C37" i="5"/>
  <c r="C55" i="5" s="1"/>
  <c r="D37" i="5"/>
  <c r="E37" i="5"/>
  <c r="E55" i="5" s="1"/>
  <c r="F37" i="5"/>
  <c r="G37" i="5"/>
  <c r="G55" i="5" s="1"/>
  <c r="H37" i="5"/>
  <c r="I37" i="5"/>
  <c r="J37" i="5"/>
  <c r="K37" i="5"/>
  <c r="L37" i="5"/>
  <c r="L55" i="5" s="1"/>
  <c r="M37" i="5"/>
  <c r="M55" i="5" s="1"/>
  <c r="N37" i="5"/>
  <c r="O37" i="5"/>
  <c r="O55" i="5" s="1"/>
  <c r="P37" i="5"/>
  <c r="Q37" i="5"/>
  <c r="B37" i="5"/>
  <c r="L41" i="2"/>
  <c r="L42" i="2"/>
  <c r="L40" i="2"/>
  <c r="L37" i="2"/>
  <c r="L38" i="2"/>
  <c r="L36" i="2"/>
  <c r="F37" i="2"/>
  <c r="G37" i="2"/>
  <c r="H37" i="2"/>
  <c r="I37" i="2"/>
  <c r="D55" i="5" l="1"/>
  <c r="J55" i="5"/>
  <c r="Q55" i="5"/>
  <c r="I55" i="5"/>
  <c r="K55" i="5"/>
  <c r="P55" i="5"/>
  <c r="H55" i="5"/>
  <c r="N55" i="5"/>
  <c r="F55" i="5"/>
  <c r="K4" i="8"/>
  <c r="K5" i="8"/>
  <c r="K7" i="8"/>
  <c r="K6" i="8"/>
  <c r="K8" i="8"/>
  <c r="K9" i="8"/>
  <c r="K11" i="8"/>
  <c r="K10" i="8"/>
  <c r="K12" i="8"/>
  <c r="K13" i="8"/>
  <c r="K14" i="8"/>
  <c r="K15" i="8"/>
  <c r="K16" i="8"/>
  <c r="K3" i="8"/>
  <c r="J5" i="8"/>
  <c r="J7" i="8"/>
  <c r="J6" i="8"/>
  <c r="J8" i="8"/>
  <c r="J9" i="8"/>
  <c r="J11" i="8"/>
  <c r="J10" i="8"/>
  <c r="J12" i="8"/>
  <c r="J13" i="8"/>
  <c r="J14" i="8"/>
  <c r="J15" i="8"/>
  <c r="J16" i="8"/>
  <c r="J4" i="8"/>
  <c r="G4" i="8"/>
  <c r="G5" i="8"/>
  <c r="G7" i="8"/>
  <c r="G6" i="8"/>
  <c r="G8" i="8"/>
  <c r="G9" i="8"/>
  <c r="G11" i="8"/>
  <c r="G10" i="8"/>
  <c r="G12" i="8"/>
  <c r="G13" i="8"/>
  <c r="G14" i="8"/>
  <c r="G15" i="8"/>
  <c r="G16" i="8"/>
  <c r="G3" i="8"/>
  <c r="V15" i="8"/>
  <c r="W15" i="8" s="1"/>
  <c r="R14" i="8"/>
  <c r="S14" i="8" s="1"/>
  <c r="M1" i="8"/>
  <c r="M2" i="8"/>
  <c r="L4" i="8"/>
  <c r="M4" i="8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M3" i="8"/>
  <c r="L3" i="8"/>
  <c r="W30" i="8"/>
  <c r="W22" i="8"/>
  <c r="W13" i="8"/>
  <c r="W5" i="8"/>
  <c r="Z25" i="8"/>
  <c r="AA25" i="8" s="1"/>
  <c r="Z23" i="8"/>
  <c r="AA23" i="8" s="1"/>
  <c r="Z12" i="8"/>
  <c r="AA12" i="8" s="1"/>
  <c r="Z10" i="8"/>
  <c r="AD16" i="8" s="1"/>
  <c r="AE16" i="8" s="1"/>
  <c r="V28" i="8"/>
  <c r="W28" i="8" s="1"/>
  <c r="V20" i="8"/>
  <c r="W20" i="8" s="1"/>
  <c r="V7" i="8"/>
  <c r="W7" i="8" s="1"/>
  <c r="S31" i="8"/>
  <c r="S29" i="8"/>
  <c r="S23" i="8"/>
  <c r="S21" i="8"/>
  <c r="S12" i="8"/>
  <c r="S6" i="8"/>
  <c r="S4" i="8"/>
  <c r="O18" i="8"/>
  <c r="O16" i="8"/>
  <c r="AA10" i="8" l="1"/>
  <c r="AD18" i="8"/>
  <c r="AE18" i="8" s="1"/>
  <c r="F7" i="8"/>
  <c r="F5" i="8"/>
  <c r="F6" i="8"/>
  <c r="F8" i="8"/>
  <c r="F9" i="8"/>
  <c r="F11" i="8"/>
  <c r="F10" i="8"/>
  <c r="F12" i="8"/>
  <c r="F16" i="8"/>
  <c r="F13" i="8"/>
  <c r="F14" i="8"/>
  <c r="F15" i="8"/>
  <c r="F4" i="8"/>
  <c r="M34" i="2"/>
  <c r="L34" i="2"/>
  <c r="E31" i="3" l="1"/>
  <c r="H28" i="5" l="1"/>
  <c r="H29" i="5"/>
  <c r="H30" i="5"/>
  <c r="H31" i="5"/>
  <c r="H27" i="5"/>
  <c r="D23" i="5"/>
  <c r="M22" i="5"/>
  <c r="N22" i="5" s="1"/>
  <c r="D22" i="5"/>
  <c r="B16" i="5"/>
  <c r="E26" i="3"/>
  <c r="E27" i="3"/>
  <c r="E28" i="3"/>
  <c r="E29" i="3"/>
  <c r="E30" i="3"/>
  <c r="M32" i="2"/>
  <c r="N5" i="5" l="1"/>
  <c r="N6" i="5"/>
  <c r="N7" i="5"/>
  <c r="N8" i="5"/>
  <c r="N9" i="5"/>
  <c r="N10" i="5"/>
  <c r="N11" i="5"/>
  <c r="N12" i="5"/>
  <c r="N13" i="5"/>
  <c r="N14" i="5"/>
  <c r="N17" i="5"/>
  <c r="N4" i="5"/>
  <c r="M5" i="5"/>
  <c r="M6" i="5"/>
  <c r="M7" i="5"/>
  <c r="M8" i="5"/>
  <c r="M9" i="5"/>
  <c r="M10" i="5"/>
  <c r="M11" i="5"/>
  <c r="M12" i="5"/>
  <c r="M13" i="5"/>
  <c r="M14" i="5"/>
  <c r="M19" i="5"/>
  <c r="M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21" i="5"/>
  <c r="L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4" i="5"/>
  <c r="AI36" i="5" s="1"/>
  <c r="B21" i="5"/>
  <c r="B5" i="5"/>
  <c r="B6" i="5"/>
  <c r="B7" i="5"/>
  <c r="B8" i="5"/>
  <c r="B9" i="5"/>
  <c r="B10" i="5"/>
  <c r="B11" i="5"/>
  <c r="B12" i="5"/>
  <c r="B13" i="5"/>
  <c r="B14" i="5"/>
  <c r="B15" i="5"/>
  <c r="B17" i="5"/>
  <c r="B18" i="5"/>
  <c r="B19" i="5"/>
  <c r="B20" i="5"/>
  <c r="B4" i="5"/>
  <c r="E28" i="5"/>
  <c r="E29" i="5"/>
  <c r="C28" i="5"/>
  <c r="C29" i="5"/>
  <c r="C15" i="5" l="1"/>
  <c r="AI47" i="5"/>
  <c r="C4" i="5"/>
  <c r="C14" i="5"/>
  <c r="AI46" i="5"/>
  <c r="C6" i="5"/>
  <c r="AI38" i="5"/>
  <c r="C8" i="5"/>
  <c r="AI40" i="5"/>
  <c r="Q56" i="5" s="1"/>
  <c r="C21" i="5"/>
  <c r="AI53" i="5"/>
  <c r="C13" i="5"/>
  <c r="AI45" i="5"/>
  <c r="C5" i="5"/>
  <c r="AI37" i="5"/>
  <c r="C20" i="5"/>
  <c r="AI52" i="5"/>
  <c r="C19" i="5"/>
  <c r="AI51" i="5"/>
  <c r="C11" i="5"/>
  <c r="AI43" i="5"/>
  <c r="C18" i="5"/>
  <c r="AI50" i="5"/>
  <c r="C10" i="5"/>
  <c r="AI42" i="5"/>
  <c r="C16" i="5"/>
  <c r="AI48" i="5"/>
  <c r="C7" i="5"/>
  <c r="AI39" i="5"/>
  <c r="C12" i="5"/>
  <c r="AI44" i="5"/>
  <c r="C17" i="5"/>
  <c r="AI49" i="5"/>
  <c r="C9" i="5"/>
  <c r="AI41" i="5"/>
  <c r="D29" i="5"/>
  <c r="D28" i="5"/>
  <c r="E30" i="5"/>
  <c r="E31" i="5" s="1"/>
  <c r="L23" i="5"/>
  <c r="M23" i="5"/>
  <c r="C30" i="5"/>
  <c r="C31" i="5" s="1"/>
  <c r="H22" i="5"/>
  <c r="H23" i="5"/>
  <c r="E23" i="5"/>
  <c r="E22" i="5"/>
  <c r="I22" i="5"/>
  <c r="I23" i="5"/>
  <c r="F23" i="5"/>
  <c r="F22" i="5"/>
  <c r="J22" i="5"/>
  <c r="J23" i="5"/>
  <c r="N23" i="5"/>
  <c r="G23" i="5"/>
  <c r="G22" i="5"/>
  <c r="K22" i="5"/>
  <c r="K23" i="5"/>
  <c r="E56" i="5" l="1"/>
  <c r="L56" i="5"/>
  <c r="P56" i="5"/>
  <c r="D56" i="5"/>
  <c r="N56" i="5"/>
  <c r="F56" i="5"/>
  <c r="N28" i="5" s="1"/>
  <c r="K56" i="5"/>
  <c r="J56" i="5"/>
  <c r="O56" i="5"/>
  <c r="I56" i="5"/>
  <c r="L29" i="5" s="1"/>
  <c r="G56" i="5"/>
  <c r="N29" i="5" s="1"/>
  <c r="C56" i="5"/>
  <c r="M56" i="5"/>
  <c r="H56" i="5"/>
  <c r="L28" i="5" s="1"/>
  <c r="D30" i="5"/>
  <c r="D31" i="5" s="1"/>
  <c r="E25" i="3"/>
  <c r="M28" i="5" l="1"/>
  <c r="N30" i="5"/>
  <c r="N31" i="5" s="1"/>
  <c r="L30" i="5"/>
  <c r="L31" i="5" s="1"/>
  <c r="M29" i="5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9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E22" i="3"/>
  <c r="E23" i="3"/>
  <c r="E24" i="3"/>
  <c r="M33" i="2"/>
  <c r="I34" i="3" s="1"/>
  <c r="M31" i="2"/>
  <c r="I32" i="3" s="1"/>
  <c r="M26" i="2"/>
  <c r="I27" i="3" s="1"/>
  <c r="M24" i="2"/>
  <c r="I25" i="3" s="1"/>
  <c r="M30" i="5" l="1"/>
  <c r="M31" i="5" s="1"/>
  <c r="L33" i="2"/>
  <c r="C20" i="2" l="1"/>
  <c r="L20" i="2" s="1"/>
  <c r="D20" i="2"/>
  <c r="E20" i="2"/>
  <c r="J20" i="2"/>
  <c r="F21" i="3" s="1"/>
  <c r="K20" i="2"/>
  <c r="G21" i="3" s="1"/>
  <c r="E21" i="3" l="1"/>
  <c r="P16" i="3"/>
  <c r="O16" i="3"/>
  <c r="H34" i="3" l="1"/>
  <c r="H21" i="3"/>
  <c r="J21" i="3" s="1"/>
  <c r="C9" i="2"/>
  <c r="L9" i="2" s="1"/>
  <c r="H10" i="3" s="1"/>
  <c r="C10" i="2"/>
  <c r="L10" i="2" s="1"/>
  <c r="H11" i="3" s="1"/>
  <c r="C11" i="2"/>
  <c r="L11" i="2" s="1"/>
  <c r="H12" i="3" s="1"/>
  <c r="C12" i="2"/>
  <c r="L12" i="2" s="1"/>
  <c r="H13" i="3" s="1"/>
  <c r="C13" i="2"/>
  <c r="L13" i="2" s="1"/>
  <c r="H14" i="3" s="1"/>
  <c r="C14" i="2"/>
  <c r="L14" i="2" s="1"/>
  <c r="H15" i="3" s="1"/>
  <c r="C15" i="2"/>
  <c r="L15" i="2" s="1"/>
  <c r="H16" i="3" s="1"/>
  <c r="C16" i="2"/>
  <c r="L16" i="2" s="1"/>
  <c r="H17" i="3" s="1"/>
  <c r="C17" i="2"/>
  <c r="L17" i="2" s="1"/>
  <c r="H18" i="3" s="1"/>
  <c r="C18" i="2"/>
  <c r="L18" i="2" s="1"/>
  <c r="H19" i="3" s="1"/>
  <c r="C19" i="2"/>
  <c r="L19" i="2" s="1"/>
  <c r="H20" i="3" s="1"/>
  <c r="C21" i="2"/>
  <c r="L21" i="2" s="1"/>
  <c r="H22" i="3" s="1"/>
  <c r="J22" i="3" s="1"/>
  <c r="C22" i="2"/>
  <c r="L22" i="2" s="1"/>
  <c r="H23" i="3" s="1"/>
  <c r="J23" i="3" s="1"/>
  <c r="C23" i="2"/>
  <c r="L23" i="2" s="1"/>
  <c r="H24" i="3" s="1"/>
  <c r="J24" i="3" s="1"/>
  <c r="C24" i="2"/>
  <c r="L24" i="2" s="1"/>
  <c r="H25" i="3" s="1"/>
  <c r="J25" i="3" s="1"/>
  <c r="C25" i="2"/>
  <c r="L25" i="2" s="1"/>
  <c r="H26" i="3" s="1"/>
  <c r="J26" i="3" s="1"/>
  <c r="C26" i="2"/>
  <c r="L26" i="2" s="1"/>
  <c r="H27" i="3" s="1"/>
  <c r="J27" i="3" s="1"/>
  <c r="C27" i="2"/>
  <c r="L27" i="2" s="1"/>
  <c r="H28" i="3" s="1"/>
  <c r="J28" i="3" s="1"/>
  <c r="C28" i="2"/>
  <c r="L28" i="2" s="1"/>
  <c r="H29" i="3" s="1"/>
  <c r="J29" i="3" s="1"/>
  <c r="C29" i="2"/>
  <c r="L29" i="2" s="1"/>
  <c r="H30" i="3" s="1"/>
  <c r="J30" i="3" s="1"/>
  <c r="C30" i="2"/>
  <c r="L30" i="2" s="1"/>
  <c r="H31" i="3" s="1"/>
  <c r="J31" i="3" s="1"/>
  <c r="C31" i="2"/>
  <c r="L31" i="2" s="1"/>
  <c r="H32" i="3" s="1"/>
  <c r="J32" i="3" s="1"/>
  <c r="C32" i="2"/>
  <c r="C8" i="2"/>
  <c r="L8" i="2" s="1"/>
  <c r="H9" i="3" s="1"/>
  <c r="J2" i="2"/>
  <c r="L2" i="2" s="1"/>
  <c r="N2" i="2" s="1"/>
  <c r="P2" i="2" s="1"/>
  <c r="I2" i="2"/>
  <c r="K2" i="2" s="1"/>
  <c r="M2" i="2" s="1"/>
  <c r="O2" i="2" s="1"/>
  <c r="E12" i="2"/>
  <c r="E13" i="3" s="1"/>
  <c r="E13" i="2"/>
  <c r="E14" i="3" s="1"/>
  <c r="E14" i="2"/>
  <c r="E15" i="3" s="1"/>
  <c r="D33" i="2"/>
  <c r="D32" i="2"/>
  <c r="D36" i="2" s="1"/>
  <c r="D31" i="2"/>
  <c r="D30" i="2"/>
  <c r="D29" i="2"/>
  <c r="D8" i="2"/>
  <c r="D9" i="2"/>
  <c r="D10" i="2"/>
  <c r="D11" i="2"/>
  <c r="D12" i="2"/>
  <c r="D13" i="2"/>
  <c r="D14" i="2"/>
  <c r="D15" i="2"/>
  <c r="D16" i="2"/>
  <c r="D17" i="2"/>
  <c r="D18" i="2"/>
  <c r="D19" i="2"/>
  <c r="D21" i="2"/>
  <c r="D22" i="2"/>
  <c r="D23" i="2"/>
  <c r="D24" i="2"/>
  <c r="D25" i="2"/>
  <c r="D26" i="2"/>
  <c r="D27" i="2"/>
  <c r="D28" i="2"/>
  <c r="D7" i="2"/>
  <c r="F9" i="1"/>
  <c r="J9" i="1" s="1"/>
  <c r="F10" i="1"/>
  <c r="J10" i="1" s="1"/>
  <c r="F11" i="1"/>
  <c r="K11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" i="1"/>
  <c r="I33" i="3" l="1"/>
  <c r="L32" i="2"/>
  <c r="H33" i="3" s="1"/>
  <c r="J33" i="3" s="1"/>
  <c r="J14" i="2"/>
  <c r="F15" i="3" s="1"/>
  <c r="K16" i="2"/>
  <c r="G17" i="3" s="1"/>
  <c r="J15" i="2"/>
  <c r="F16" i="3" s="1"/>
  <c r="E8" i="2"/>
  <c r="K9" i="1"/>
  <c r="F3" i="1"/>
  <c r="F8" i="1"/>
  <c r="E19" i="2"/>
  <c r="E20" i="3" s="1"/>
  <c r="E11" i="2"/>
  <c r="J11" i="1"/>
  <c r="K10" i="1"/>
  <c r="F15" i="1"/>
  <c r="F7" i="1"/>
  <c r="E18" i="2"/>
  <c r="E19" i="3" s="1"/>
  <c r="E10" i="2"/>
  <c r="F14" i="1"/>
  <c r="F6" i="1"/>
  <c r="E17" i="2"/>
  <c r="E18" i="3" s="1"/>
  <c r="E9" i="2"/>
  <c r="E10" i="3" s="1"/>
  <c r="F13" i="1"/>
  <c r="F5" i="1"/>
  <c r="E16" i="2"/>
  <c r="F12" i="1"/>
  <c r="F4" i="1"/>
  <c r="E15" i="2"/>
  <c r="E16" i="3" s="1"/>
  <c r="F3" i="2"/>
  <c r="J3" i="2"/>
  <c r="H16" i="2"/>
  <c r="H17" i="2" s="1"/>
  <c r="I3" i="2" l="1"/>
  <c r="I4" i="2" s="1"/>
  <c r="M3" i="2"/>
  <c r="L3" i="2"/>
  <c r="E12" i="3"/>
  <c r="N3" i="2"/>
  <c r="E11" i="3"/>
  <c r="I16" i="2"/>
  <c r="I17" i="2" s="1"/>
  <c r="E17" i="3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E9" i="3"/>
  <c r="G3" i="2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J15" i="1"/>
  <c r="K15" i="1"/>
  <c r="I18" i="2"/>
  <c r="I19" i="2" s="1"/>
  <c r="K3" i="2"/>
  <c r="K15" i="2"/>
  <c r="G16" i="3" s="1"/>
  <c r="J16" i="3" s="1"/>
  <c r="J8" i="1"/>
  <c r="K8" i="1"/>
  <c r="O3" i="2"/>
  <c r="P3" i="2"/>
  <c r="K4" i="1"/>
  <c r="J4" i="1"/>
  <c r="E3" i="2"/>
  <c r="P21" i="2" s="1"/>
  <c r="P23" i="2" s="1"/>
  <c r="J7" i="1"/>
  <c r="K7" i="1"/>
  <c r="H18" i="2"/>
  <c r="H19" i="2" s="1"/>
  <c r="H3" i="2"/>
  <c r="K12" i="1"/>
  <c r="J12" i="1"/>
  <c r="J5" i="1"/>
  <c r="K5" i="1"/>
  <c r="K6" i="1"/>
  <c r="J6" i="1"/>
  <c r="D5" i="2"/>
  <c r="J3" i="1"/>
  <c r="K3" i="1"/>
  <c r="C5" i="2"/>
  <c r="K13" i="1"/>
  <c r="J13" i="1"/>
  <c r="K14" i="1"/>
  <c r="J14" i="1"/>
  <c r="J16" i="2"/>
  <c r="F17" i="3" s="1"/>
  <c r="K14" i="2"/>
  <c r="G15" i="3" s="1"/>
  <c r="J15" i="3" s="1"/>
  <c r="G4" i="2" l="1"/>
  <c r="Q2" i="2"/>
  <c r="M4" i="2"/>
  <c r="Q4" i="2"/>
  <c r="J17" i="3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6" i="2" s="1"/>
  <c r="I38" i="2" s="1"/>
  <c r="I40" i="2" s="1"/>
  <c r="I41" i="2" s="1"/>
  <c r="I42" i="2" s="1"/>
  <c r="I20" i="2"/>
  <c r="F20" i="2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6" i="2" s="1"/>
  <c r="F38" i="2" s="1"/>
  <c r="F40" i="2" s="1"/>
  <c r="H20" i="2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6" i="2" s="1"/>
  <c r="H38" i="2" s="1"/>
  <c r="H40" i="2" s="1"/>
  <c r="H41" i="2" s="1"/>
  <c r="H42" i="2" s="1"/>
  <c r="G20" i="2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6" i="2" s="1"/>
  <c r="G38" i="2" s="1"/>
  <c r="G40" i="2" s="1"/>
  <c r="E4" i="2"/>
  <c r="O4" i="2"/>
  <c r="K4" i="2"/>
  <c r="J9" i="2"/>
  <c r="F10" i="3" s="1"/>
  <c r="J10" i="2"/>
  <c r="F11" i="3" s="1"/>
  <c r="K8" i="2"/>
  <c r="K18" i="2"/>
  <c r="G19" i="3" s="1"/>
  <c r="J17" i="2"/>
  <c r="F18" i="3" s="1"/>
  <c r="K17" i="2"/>
  <c r="G18" i="3" s="1"/>
  <c r="J8" i="2"/>
  <c r="J19" i="2"/>
  <c r="F20" i="3" s="1"/>
  <c r="J11" i="2"/>
  <c r="F12" i="3" s="1"/>
  <c r="K12" i="2"/>
  <c r="G13" i="3" s="1"/>
  <c r="K19" i="2"/>
  <c r="G20" i="3" s="1"/>
  <c r="K11" i="2"/>
  <c r="G12" i="3" s="1"/>
  <c r="J12" i="2"/>
  <c r="F13" i="3" s="1"/>
  <c r="K13" i="2"/>
  <c r="G14" i="3" s="1"/>
  <c r="K9" i="2"/>
  <c r="G10" i="3" s="1"/>
  <c r="J18" i="2"/>
  <c r="F19" i="3" s="1"/>
  <c r="K10" i="2"/>
  <c r="G11" i="3" s="1"/>
  <c r="J13" i="2"/>
  <c r="F14" i="3" s="1"/>
  <c r="J14" i="3" s="1"/>
  <c r="J13" i="3" l="1"/>
  <c r="J10" i="3"/>
  <c r="J11" i="3"/>
  <c r="J12" i="3"/>
  <c r="J19" i="3"/>
  <c r="J18" i="3"/>
  <c r="G9" i="3"/>
  <c r="P28" i="2"/>
  <c r="J20" i="3"/>
  <c r="F9" i="3"/>
  <c r="P30" i="2"/>
  <c r="P26" i="2"/>
  <c r="P32" i="2" s="1"/>
  <c r="J9" i="3" l="1"/>
  <c r="P8" i="2" s="1"/>
</calcChain>
</file>

<file path=xl/sharedStrings.xml><?xml version="1.0" encoding="utf-8"?>
<sst xmlns="http://schemas.openxmlformats.org/spreadsheetml/2006/main" count="367" uniqueCount="222">
  <si>
    <t>Jksnville St</t>
  </si>
  <si>
    <t>W 81-57</t>
  </si>
  <si>
    <t>Home</t>
  </si>
  <si>
    <t>Stanford</t>
  </si>
  <si>
    <t>L 64-82</t>
  </si>
  <si>
    <t>Neutral</t>
  </si>
  <si>
    <t>UNLV</t>
  </si>
  <si>
    <t>W 86-74</t>
  </si>
  <si>
    <t>Providence</t>
  </si>
  <si>
    <t>W 88-71</t>
  </si>
  <si>
    <t>Clemson</t>
  </si>
  <si>
    <t>L 56-64</t>
  </si>
  <si>
    <t>Furman</t>
  </si>
  <si>
    <t>W 83-80</t>
  </si>
  <si>
    <t>W Kentucky</t>
  </si>
  <si>
    <t>L 71-73</t>
  </si>
  <si>
    <t>E Tenn St</t>
  </si>
  <si>
    <t>W 85-69</t>
  </si>
  <si>
    <t>Mississippi</t>
  </si>
  <si>
    <t>W 82-64</t>
  </si>
  <si>
    <t>Tennessee</t>
  </si>
  <si>
    <t>W 71-63</t>
  </si>
  <si>
    <t>Away</t>
  </si>
  <si>
    <t>Florida</t>
  </si>
  <si>
    <t>W 86-71</t>
  </si>
  <si>
    <t>Auburn</t>
  </si>
  <si>
    <t>W 94-90</t>
  </si>
  <si>
    <t>Kentucky</t>
  </si>
  <si>
    <t>W 85-65</t>
  </si>
  <si>
    <t>Arkansas</t>
  </si>
  <si>
    <t>LSU</t>
  </si>
  <si>
    <t>Miss State</t>
  </si>
  <si>
    <t>Oklahoma</t>
  </si>
  <si>
    <t>Missouri</t>
  </si>
  <si>
    <t>S Carolina</t>
  </si>
  <si>
    <t>Georgia</t>
  </si>
  <si>
    <t>Texas A&amp;M</t>
  </si>
  <si>
    <t>Vanderbilt</t>
  </si>
  <si>
    <t>Opponent</t>
  </si>
  <si>
    <t>Result</t>
  </si>
  <si>
    <t>Score</t>
  </si>
  <si>
    <t>Raw</t>
  </si>
  <si>
    <t>Location</t>
  </si>
  <si>
    <t>Date</t>
  </si>
  <si>
    <t>PF</t>
  </si>
  <si>
    <t>PA</t>
  </si>
  <si>
    <t>Quadrent</t>
  </si>
  <si>
    <t>Overall Record</t>
  </si>
  <si>
    <t>Conf Record</t>
  </si>
  <si>
    <t>Index</t>
  </si>
  <si>
    <t>Opp Rank</t>
  </si>
  <si>
    <t>Alabama Crimson Tide</t>
  </si>
  <si>
    <t>Conference</t>
  </si>
  <si>
    <t>Overall</t>
  </si>
  <si>
    <t>w</t>
  </si>
  <si>
    <t>l</t>
  </si>
  <si>
    <t>Quadrant 1</t>
  </si>
  <si>
    <t>Quandrant 2</t>
  </si>
  <si>
    <t>Quadrant 3</t>
  </si>
  <si>
    <t>Quadrant 4</t>
  </si>
  <si>
    <t>Quadrant</t>
  </si>
  <si>
    <t>I</t>
  </si>
  <si>
    <t>II</t>
  </si>
  <si>
    <t>III</t>
  </si>
  <si>
    <t>IV</t>
  </si>
  <si>
    <t>241+</t>
  </si>
  <si>
    <t>201+</t>
  </si>
  <si>
    <t>161+</t>
  </si>
  <si>
    <t>H</t>
  </si>
  <si>
    <t>Nate Oats</t>
  </si>
  <si>
    <t>AP</t>
  </si>
  <si>
    <t>Coaches</t>
  </si>
  <si>
    <t>NET</t>
  </si>
  <si>
    <t>BPI</t>
  </si>
  <si>
    <t>SEC Champ Odds</t>
  </si>
  <si>
    <t>Poll</t>
  </si>
  <si>
    <t>Ranking</t>
  </si>
  <si>
    <t>Projected Wins</t>
  </si>
  <si>
    <t>Projected Losses</t>
  </si>
  <si>
    <t>Q Wins</t>
  </si>
  <si>
    <t>Qudrant opponent NET ranking ranges</t>
  </si>
  <si>
    <t>Win</t>
  </si>
  <si>
    <t>Loss</t>
  </si>
  <si>
    <t>Expected</t>
  </si>
  <si>
    <t>Close: minor, Blowout: major deduction</t>
  </si>
  <si>
    <t>Quality Win</t>
  </si>
  <si>
    <t>Close: none, Blowout: minor deduction</t>
  </si>
  <si>
    <t>B Losses</t>
  </si>
  <si>
    <t>Quality Points</t>
  </si>
  <si>
    <t>=</t>
  </si>
  <si>
    <t>Seed</t>
  </si>
  <si>
    <t>ESPN</t>
  </si>
  <si>
    <t>Bracketology Name</t>
  </si>
  <si>
    <t>Team Ranker</t>
  </si>
  <si>
    <t>ESPN 2</t>
  </si>
  <si>
    <t>CBS Sports</t>
  </si>
  <si>
    <t>Joe Lunardi</t>
  </si>
  <si>
    <t>AQ</t>
  </si>
  <si>
    <t>Bloggin the Bracket</t>
  </si>
  <si>
    <t>Average/odds</t>
  </si>
  <si>
    <t>NAME</t>
  </si>
  <si>
    <t>Jaden Shackelford G</t>
  </si>
  <si>
    <t>John Petty Jr. G</t>
  </si>
  <si>
    <t>Jahvon Quinerly G</t>
  </si>
  <si>
    <t>Herbert Jones F</t>
  </si>
  <si>
    <t>Joshua Primo G</t>
  </si>
  <si>
    <t>Jordan Bruner F</t>
  </si>
  <si>
    <t>Alex Reese F</t>
  </si>
  <si>
    <t>James Rojas F</t>
  </si>
  <si>
    <t>Keon Ellis G</t>
  </si>
  <si>
    <t>Jaden Quinerly G</t>
  </si>
  <si>
    <t>Juwan Gary F</t>
  </si>
  <si>
    <t>Darius Miles F</t>
  </si>
  <si>
    <t>Britton Johnson G</t>
  </si>
  <si>
    <t>Kendall Wall F</t>
  </si>
  <si>
    <t>Tyler Barnes F</t>
  </si>
  <si>
    <t>Delaney Heard G</t>
  </si>
  <si>
    <t>GP</t>
  </si>
  <si>
    <t>MIN</t>
  </si>
  <si>
    <t>PTS</t>
  </si>
  <si>
    <t>REB</t>
  </si>
  <si>
    <t>AST</t>
  </si>
  <si>
    <t>STL</t>
  </si>
  <si>
    <t>BLK</t>
  </si>
  <si>
    <t>TO</t>
  </si>
  <si>
    <t>FG%</t>
  </si>
  <si>
    <t>FT%</t>
  </si>
  <si>
    <t>3P%</t>
  </si>
  <si>
    <t>SEC</t>
  </si>
  <si>
    <t>A</t>
  </si>
  <si>
    <t>L</t>
  </si>
  <si>
    <t>B</t>
  </si>
  <si>
    <t>M</t>
  </si>
  <si>
    <t>C</t>
  </si>
  <si>
    <t>R</t>
  </si>
  <si>
    <t>S</t>
  </si>
  <si>
    <t>O</t>
  </si>
  <si>
    <t>N</t>
  </si>
  <si>
    <t>T</t>
  </si>
  <si>
    <t>D</t>
  </si>
  <si>
    <t>E</t>
  </si>
  <si>
    <t>Bad Loss</t>
  </si>
  <si>
    <t>A. Johnson</t>
  </si>
  <si>
    <t>Point Differential</t>
  </si>
  <si>
    <t>PA Per Game</t>
  </si>
  <si>
    <t>PF Per Game</t>
  </si>
  <si>
    <t>Point Dif Per Game</t>
  </si>
  <si>
    <t>FGM</t>
  </si>
  <si>
    <t>FGA</t>
  </si>
  <si>
    <t>FTM</t>
  </si>
  <si>
    <t>FTA</t>
  </si>
  <si>
    <t>3PM</t>
  </si>
  <si>
    <t>3PA</t>
  </si>
  <si>
    <t>OR</t>
  </si>
  <si>
    <t>DR</t>
  </si>
  <si>
    <t>Player</t>
  </si>
  <si>
    <t>Season Totals</t>
  </si>
  <si>
    <t>Per Game Statistics</t>
  </si>
  <si>
    <t>Quality Score</t>
  </si>
  <si>
    <t>Tournament Seed</t>
  </si>
  <si>
    <t>Adam Cottrell G</t>
  </si>
  <si>
    <t>NA</t>
  </si>
  <si>
    <t>Odds</t>
  </si>
  <si>
    <t>Team Total</t>
  </si>
  <si>
    <t>Team Average</t>
  </si>
  <si>
    <t>Made</t>
  </si>
  <si>
    <t>Attempted</t>
  </si>
  <si>
    <t>Expected Points Per</t>
  </si>
  <si>
    <t>Percentage</t>
  </si>
  <si>
    <t>Shot Value</t>
  </si>
  <si>
    <t>MC</t>
  </si>
  <si>
    <t>All Player Analytics</t>
  </si>
  <si>
    <t>Major Contributiors Analytics</t>
  </si>
  <si>
    <t>Keon Ambrose-Hylton F</t>
  </si>
  <si>
    <t>Major Contributor</t>
  </si>
  <si>
    <t>Rank</t>
  </si>
  <si>
    <t>GB</t>
  </si>
  <si>
    <t>TEAM</t>
  </si>
  <si>
    <t>Alabama</t>
  </si>
  <si>
    <t>-</t>
  </si>
  <si>
    <t>Ole Miss</t>
  </si>
  <si>
    <t>Mississippi State</t>
  </si>
  <si>
    <t>South Carolina</t>
  </si>
  <si>
    <t>W</t>
  </si>
  <si>
    <t>First Round</t>
  </si>
  <si>
    <t>Second Round</t>
  </si>
  <si>
    <t>Quarter Finals</t>
  </si>
  <si>
    <t>Semifinals</t>
  </si>
  <si>
    <t>Championship</t>
  </si>
  <si>
    <t>Wed, March 10</t>
  </si>
  <si>
    <t>Thurs, March 11</t>
  </si>
  <si>
    <t>Fir, March 12</t>
  </si>
  <si>
    <t>Sat, March 13</t>
  </si>
  <si>
    <t>Sun, March 14</t>
  </si>
  <si>
    <t>Game 1 - SECN 7 p.m.</t>
  </si>
  <si>
    <t>Game 7 - ESPN 1 p.m.</t>
  </si>
  <si>
    <t>Game 2 - SECN 11 a.m.</t>
  </si>
  <si>
    <t>Game 6 - ESPN 11 a.m.</t>
  </si>
  <si>
    <t>Game 3 - SECN 1 p.m.</t>
  </si>
  <si>
    <t>Game 4 - SECN 6 p.m.</t>
  </si>
  <si>
    <t>Game 5 - SECN 8 p.m.</t>
  </si>
  <si>
    <t>Game 8 - SECN 6 p.m.</t>
  </si>
  <si>
    <t>Game 9 - SECN 8 p.m.</t>
  </si>
  <si>
    <t>Game 10 - ESPN 12 p.m.</t>
  </si>
  <si>
    <t>Game 11 - ESPN 2 p.n.</t>
  </si>
  <si>
    <t>Bridgestone Arena</t>
  </si>
  <si>
    <t>Game 12 - ESPN 11 a.m.</t>
  </si>
  <si>
    <t>WPCT</t>
  </si>
  <si>
    <t>SEC Tournament</t>
  </si>
  <si>
    <t>NCAA Tournament</t>
  </si>
  <si>
    <t>Iona</t>
  </si>
  <si>
    <t>Maryland</t>
  </si>
  <si>
    <t>UCLA</t>
  </si>
  <si>
    <t>Sweet Sixteen</t>
  </si>
  <si>
    <t>SEC Finish (Reg)</t>
  </si>
  <si>
    <t>SEC Tournament Finish</t>
  </si>
  <si>
    <t>Champions</t>
  </si>
  <si>
    <t>NCAA Tournament Finish</t>
  </si>
  <si>
    <t>Major Contributors</t>
  </si>
  <si>
    <t>Champion</t>
  </si>
  <si>
    <t>Runner Up</t>
  </si>
  <si>
    <t>LSU Bayou Bengals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</si>
</sst>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4"/>
      <color theme="0"/>
      <name val="Algerian"/>
      <family val="5"/>
    </font>
    <font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rgb="FFC00000"/>
      <name val="Algerian"/>
      <family val="5"/>
    </font>
    <font>
      <b/>
      <i/>
      <sz val="11"/>
      <color theme="1"/>
      <name val="Calibri"/>
      <family val="2"/>
      <scheme val="minor"/>
    </font>
    <font>
      <b/>
      <sz val="28"/>
      <color rgb="FFC00000"/>
      <name val="Javanese Text"/>
    </font>
    <font>
      <b/>
      <i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8"/>
      <color rgb="FFC00000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0"/>
      <name val="Ink Free"/>
      <family val="4"/>
    </font>
    <font>
      <sz val="11"/>
      <color theme="1"/>
      <name val="Ink Free"/>
      <family val="4"/>
    </font>
    <font>
      <sz val="11"/>
      <color rgb="FFC00000"/>
      <name val="Ink Free"/>
      <family val="4"/>
    </font>
    <font>
      <b/>
      <sz val="11"/>
      <color rgb="FFC00000"/>
      <name val="Ink Free"/>
      <family val="4"/>
    </font>
    <font>
      <b/>
      <sz val="11"/>
      <color theme="1"/>
      <name val="Ink Free"/>
      <family val="4"/>
    </font>
    <font>
      <b/>
      <sz val="11"/>
      <color theme="7"/>
      <name val="Ink Free"/>
      <family val="4"/>
    </font>
    <font>
      <b/>
      <sz val="11"/>
      <color theme="0"/>
      <name val="Ink Free"/>
      <family val="4"/>
    </font>
    <font>
      <b/>
      <sz val="11"/>
      <color rgb="FFFF0000"/>
      <name val="Ink Free"/>
      <family val="4"/>
    </font>
    <font>
      <b/>
      <sz val="11"/>
      <color theme="0" tint="-0.14999847407452621"/>
      <name val="Ink Free"/>
      <family val="4"/>
    </font>
    <font>
      <b/>
      <sz val="11"/>
      <color theme="0" tint="-0.249977111117893"/>
      <name val="Ink Free"/>
      <family val="4"/>
    </font>
    <font>
      <b/>
      <sz val="11"/>
      <color rgb="FF002060"/>
      <name val="Ink Free"/>
      <family val="4"/>
    </font>
    <font>
      <b/>
      <sz val="11"/>
      <color theme="7" tint="0.39997558519241921"/>
      <name val="Ink Free"/>
      <family val="4"/>
    </font>
    <font>
      <i/>
      <sz val="11"/>
      <color theme="7" tint="0.39997558519241921"/>
      <name val="Ink Free"/>
      <family val="4"/>
    </font>
    <font>
      <sz val="11"/>
      <color theme="7" tint="0.39997558519241921"/>
      <name val="Ink Free"/>
      <family val="4"/>
    </font>
    <font>
      <sz val="11"/>
      <color theme="0"/>
      <name val="Ink Free"/>
      <family val="4"/>
    </font>
    <font>
      <sz val="11"/>
      <color rgb="FF2A357A"/>
      <name val="Ink Free"/>
      <family val="4"/>
    </font>
    <font>
      <b/>
      <sz val="11"/>
      <color rgb="FF2A357A"/>
      <name val="Ink Free"/>
      <family val="4"/>
    </font>
    <font>
      <sz val="11"/>
      <name val="Ink Free"/>
      <family val="4"/>
    </font>
    <font>
      <b/>
      <sz val="11"/>
      <name val="Ink Free"/>
      <family val="4"/>
    </font>
    <font>
      <sz val="11"/>
      <color theme="7"/>
      <name val="Ink Free"/>
      <family val="4"/>
    </font>
    <font>
      <sz val="11"/>
      <color rgb="FF800000"/>
      <name val="Ink Free"/>
      <family val="4"/>
    </font>
    <font>
      <b/>
      <sz val="11"/>
      <color rgb="FF800000"/>
      <name val="Ink Free"/>
      <family val="4"/>
    </font>
    <font>
      <sz val="11"/>
      <color rgb="FFFF0000"/>
      <name val="Ink Free"/>
      <family val="4"/>
    </font>
    <font>
      <b/>
      <sz val="11"/>
      <color theme="5" tint="0.39997558519241921"/>
      <name val="Ink Free"/>
      <family val="4"/>
    </font>
    <font>
      <sz val="10"/>
      <color rgb="FF000000"/>
      <name val="Arial"/>
      <family val="2"/>
    </font>
    <font>
      <sz val="11"/>
      <color theme="0" tint="-0.14999847407452621"/>
      <name val="Ink Free"/>
      <family val="4"/>
    </font>
    <font>
      <sz val="11"/>
      <color rgb="FFFF9900"/>
      <name val="Ink Free"/>
      <family val="4"/>
    </font>
    <font>
      <b/>
      <sz val="11"/>
      <color rgb="FFFF9900"/>
      <name val="Ink Free"/>
      <family val="4"/>
    </font>
    <font>
      <sz val="10"/>
      <color theme="0"/>
      <name val="Ink Free"/>
      <family val="4"/>
    </font>
    <font>
      <sz val="10"/>
      <color theme="1"/>
      <name val="Ink Free"/>
      <family val="4"/>
    </font>
  </fonts>
  <fills count="1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2A357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51">
    <border>
      <left/>
      <right/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double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/>
      <top/>
      <bottom/>
      <diagonal/>
    </border>
    <border>
      <left/>
      <right style="double">
        <color theme="0"/>
      </right>
      <top/>
      <bottom/>
      <diagonal/>
    </border>
    <border>
      <left/>
      <right style="double">
        <color theme="0"/>
      </right>
      <top/>
      <bottom style="medium">
        <color rgb="FFC00000"/>
      </bottom>
      <diagonal/>
    </border>
    <border>
      <left/>
      <right style="double">
        <color theme="0"/>
      </right>
      <top style="thick">
        <color rgb="FFC00000"/>
      </top>
      <bottom/>
      <diagonal/>
    </border>
    <border>
      <left style="double">
        <color theme="0"/>
      </left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 style="double">
        <color theme="0"/>
      </right>
      <top/>
      <bottom style="double">
        <color theme="0"/>
      </bottom>
      <diagonal/>
    </border>
    <border>
      <left style="medium">
        <color rgb="FFC00000"/>
      </left>
      <right/>
      <top/>
      <bottom style="double">
        <color theme="0"/>
      </bottom>
      <diagonal/>
    </border>
    <border>
      <left/>
      <right style="medium">
        <color rgb="FFC00000"/>
      </right>
      <top/>
      <bottom style="double">
        <color theme="0"/>
      </bottom>
      <diagonal/>
    </border>
    <border>
      <left/>
      <right/>
      <top style="double">
        <color theme="0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/>
      <bottom/>
      <diagonal/>
    </border>
    <border>
      <left style="thin">
        <color rgb="FFC00000"/>
      </left>
      <right style="thin">
        <color rgb="FFC00000"/>
      </right>
      <top style="double">
        <color rgb="FFC00000"/>
      </top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/>
      <top/>
      <bottom/>
      <diagonal/>
    </border>
    <border>
      <left/>
      <right style="thin">
        <color rgb="FFC0000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C00000"/>
      </top>
      <bottom/>
      <diagonal/>
    </border>
    <border>
      <left style="thin">
        <color rgb="FFC00000"/>
      </left>
      <right/>
      <top style="double">
        <color rgb="FFC00000"/>
      </top>
      <bottom/>
      <diagonal/>
    </border>
    <border>
      <left/>
      <right style="thin">
        <color rgb="FFC00000"/>
      </right>
      <top style="double">
        <color rgb="FFC00000"/>
      </top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 style="medium">
        <color rgb="FF2A357A"/>
      </left>
      <right style="medium">
        <color rgb="FF2A357A"/>
      </right>
      <top style="medium">
        <color rgb="FF2A357A"/>
      </top>
      <bottom style="medium">
        <color rgb="FF2A357A"/>
      </bottom>
      <diagonal/>
    </border>
    <border>
      <left style="medium">
        <color rgb="FF2A357A"/>
      </left>
      <right/>
      <top style="medium">
        <color rgb="FF2A357A"/>
      </top>
      <bottom style="medium">
        <color rgb="FF2A357A"/>
      </bottom>
      <diagonal/>
    </border>
    <border>
      <left/>
      <right style="medium">
        <color rgb="FF2A357A"/>
      </right>
      <top style="medium">
        <color rgb="FF2A357A"/>
      </top>
      <bottom style="medium">
        <color rgb="FF2A357A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5" fillId="0" borderId="0"/>
  </cellStyleXfs>
  <cellXfs count="194">
    <xf numFmtId="0" fontId="0" fillId="0" borderId="0" xfId="0"/>
    <xf numFmtId="17" fontId="0" fillId="0" borderId="0" xfId="0" applyNumberFormat="1"/>
    <xf numFmtId="16" fontId="0" fillId="0" borderId="0" xfId="0" applyNumberFormat="1"/>
    <xf numFmtId="0" fontId="3" fillId="0" borderId="0" xfId="0" applyFont="1"/>
    <xf numFmtId="0" fontId="7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9" fontId="6" fillId="0" borderId="1" xfId="1" applyFont="1" applyBorder="1" applyAlignment="1">
      <alignment horizontal="center"/>
    </xf>
    <xf numFmtId="9" fontId="4" fillId="2" borderId="4" xfId="1" applyFont="1" applyFill="1" applyBorder="1" applyAlignment="1">
      <alignment horizontal="center"/>
    </xf>
    <xf numFmtId="9" fontId="4" fillId="2" borderId="2" xfId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/>
    <xf numFmtId="165" fontId="0" fillId="0" borderId="0" xfId="0" applyNumberFormat="1"/>
    <xf numFmtId="0" fontId="0" fillId="3" borderId="17" xfId="0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14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12" xfId="0" applyFill="1" applyBorder="1"/>
    <xf numFmtId="0" fontId="0" fillId="4" borderId="10" xfId="0" applyFill="1" applyBorder="1"/>
    <xf numFmtId="0" fontId="0" fillId="4" borderId="0" xfId="0" applyFill="1" applyBorder="1"/>
    <xf numFmtId="0" fontId="0" fillId="4" borderId="18" xfId="0" applyFill="1" applyBorder="1"/>
    <xf numFmtId="0" fontId="0" fillId="4" borderId="11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9" xfId="0" applyFill="1" applyBorder="1"/>
    <xf numFmtId="0" fontId="0" fillId="2" borderId="26" xfId="0" applyFill="1" applyBorder="1"/>
    <xf numFmtId="0" fontId="0" fillId="2" borderId="21" xfId="0" applyFill="1" applyBorder="1"/>
    <xf numFmtId="0" fontId="0" fillId="2" borderId="23" xfId="0" applyFill="1" applyBorder="1"/>
    <xf numFmtId="0" fontId="0" fillId="2" borderId="16" xfId="0" applyFill="1" applyBorder="1"/>
    <xf numFmtId="0" fontId="0" fillId="2" borderId="27" xfId="0" applyFill="1" applyBorder="1"/>
    <xf numFmtId="0" fontId="0" fillId="2" borderId="15" xfId="0" applyFill="1" applyBorder="1"/>
    <xf numFmtId="0" fontId="2" fillId="2" borderId="27" xfId="0" applyFont="1" applyFill="1" applyBorder="1" applyAlignment="1">
      <alignment horizontal="left" textRotation="90"/>
    </xf>
    <xf numFmtId="0" fontId="4" fillId="2" borderId="26" xfId="0" applyFont="1" applyFill="1" applyBorder="1"/>
    <xf numFmtId="0" fontId="15" fillId="2" borderId="26" xfId="0" applyFont="1" applyFill="1" applyBorder="1"/>
    <xf numFmtId="0" fontId="16" fillId="2" borderId="26" xfId="0" applyFont="1" applyFill="1" applyBorder="1"/>
    <xf numFmtId="0" fontId="6" fillId="0" borderId="1" xfId="0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166" fontId="4" fillId="2" borderId="4" xfId="0" applyNumberFormat="1" applyFont="1" applyFill="1" applyBorder="1" applyAlignment="1">
      <alignment horizontal="center"/>
    </xf>
    <xf numFmtId="166" fontId="4" fillId="2" borderId="2" xfId="0" applyNumberFormat="1" applyFont="1" applyFill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9" fontId="11" fillId="2" borderId="2" xfId="1" applyFont="1" applyFill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65" fontId="11" fillId="2" borderId="4" xfId="0" applyNumberFormat="1" applyFont="1" applyFill="1" applyBorder="1" applyAlignment="1">
      <alignment horizontal="center"/>
    </xf>
    <xf numFmtId="165" fontId="11" fillId="2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9" fontId="6" fillId="0" borderId="1" xfId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9" fontId="6" fillId="0" borderId="1" xfId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11" fillId="2" borderId="4" xfId="0" applyNumberFormat="1" applyFont="1" applyFill="1" applyBorder="1" applyAlignment="1">
      <alignment horizontal="center"/>
    </xf>
    <xf numFmtId="1" fontId="11" fillId="2" borderId="2" xfId="0" applyNumberFormat="1" applyFont="1" applyFill="1" applyBorder="1" applyAlignment="1">
      <alignment horizontal="center"/>
    </xf>
    <xf numFmtId="9" fontId="7" fillId="0" borderId="1" xfId="1" applyFont="1" applyBorder="1" applyAlignment="1">
      <alignment horizontal="center"/>
    </xf>
    <xf numFmtId="9" fontId="11" fillId="2" borderId="4" xfId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9" fontId="6" fillId="0" borderId="1" xfId="1" applyNumberFormat="1" applyFont="1" applyBorder="1" applyAlignment="1">
      <alignment horizontal="center"/>
    </xf>
    <xf numFmtId="0" fontId="34" fillId="14" borderId="0" xfId="0" applyFont="1" applyFill="1"/>
    <xf numFmtId="0" fontId="22" fillId="14" borderId="0" xfId="0" applyFont="1" applyFill="1"/>
    <xf numFmtId="1" fontId="22" fillId="14" borderId="0" xfId="0" applyNumberFormat="1" applyFont="1" applyFill="1" applyAlignment="1">
      <alignment horizontal="center"/>
    </xf>
    <xf numFmtId="0" fontId="19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1" fontId="20" fillId="0" borderId="42" xfId="0" applyNumberFormat="1" applyFont="1" applyBorder="1" applyAlignment="1">
      <alignment horizontal="center"/>
    </xf>
    <xf numFmtId="0" fontId="0" fillId="0" borderId="42" xfId="0" applyBorder="1"/>
    <xf numFmtId="1" fontId="0" fillId="0" borderId="42" xfId="0" applyNumberFormat="1" applyBorder="1" applyAlignment="1">
      <alignment horizontal="center"/>
    </xf>
    <xf numFmtId="0" fontId="24" fillId="0" borderId="42" xfId="0" applyFont="1" applyBorder="1" applyAlignment="1">
      <alignment horizontal="center"/>
    </xf>
    <xf numFmtId="165" fontId="20" fillId="0" borderId="42" xfId="0" applyNumberFormat="1" applyFont="1" applyBorder="1" applyAlignment="1">
      <alignment horizontal="center"/>
    </xf>
    <xf numFmtId="1" fontId="0" fillId="0" borderId="42" xfId="0" applyNumberFormat="1" applyBorder="1"/>
    <xf numFmtId="0" fontId="26" fillId="6" borderId="42" xfId="0" applyFont="1" applyFill="1" applyBorder="1" applyAlignment="1">
      <alignment horizontal="center"/>
    </xf>
    <xf numFmtId="0" fontId="27" fillId="7" borderId="42" xfId="0" applyFont="1" applyFill="1" applyBorder="1" applyAlignment="1">
      <alignment horizontal="center"/>
    </xf>
    <xf numFmtId="0" fontId="26" fillId="8" borderId="42" xfId="0" applyFont="1" applyFill="1" applyBorder="1" applyAlignment="1">
      <alignment horizontal="center"/>
    </xf>
    <xf numFmtId="0" fontId="30" fillId="9" borderId="42" xfId="0" applyFont="1" applyFill="1" applyBorder="1" applyAlignment="1">
      <alignment horizontal="center"/>
    </xf>
    <xf numFmtId="0" fontId="29" fillId="10" borderId="42" xfId="0" applyFont="1" applyFill="1" applyBorder="1" applyAlignment="1">
      <alignment horizontal="center"/>
    </xf>
    <xf numFmtId="0" fontId="25" fillId="11" borderId="42" xfId="0" applyFont="1" applyFill="1" applyBorder="1" applyAlignment="1">
      <alignment horizontal="center"/>
    </xf>
    <xf numFmtId="0" fontId="27" fillId="9" borderId="42" xfId="0" applyFont="1" applyFill="1" applyBorder="1" applyAlignment="1">
      <alignment horizontal="center"/>
    </xf>
    <xf numFmtId="0" fontId="25" fillId="4" borderId="42" xfId="0" applyFont="1" applyFill="1" applyBorder="1" applyAlignment="1">
      <alignment horizontal="center"/>
    </xf>
    <xf numFmtId="0" fontId="31" fillId="12" borderId="42" xfId="0" applyFont="1" applyFill="1" applyBorder="1" applyAlignment="1">
      <alignment horizontal="center"/>
    </xf>
    <xf numFmtId="0" fontId="42" fillId="16" borderId="42" xfId="0" applyFont="1" applyFill="1" applyBorder="1" applyAlignment="1">
      <alignment horizontal="center"/>
    </xf>
    <xf numFmtId="0" fontId="28" fillId="17" borderId="42" xfId="0" applyFont="1" applyFill="1" applyBorder="1" applyAlignment="1">
      <alignment horizontal="center"/>
    </xf>
    <xf numFmtId="0" fontId="44" fillId="5" borderId="4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10" fontId="6" fillId="0" borderId="1" xfId="1" applyNumberFormat="1" applyFont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1" xfId="2" applyNumberFormat="1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/>
    </xf>
    <xf numFmtId="2" fontId="6" fillId="0" borderId="9" xfId="1" applyNumberFormat="1" applyFont="1" applyBorder="1" applyAlignment="1">
      <alignment horizontal="center"/>
    </xf>
    <xf numFmtId="0" fontId="16" fillId="2" borderId="43" xfId="0" applyFont="1" applyFill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0" borderId="29" xfId="0" applyFont="1" applyBorder="1" applyAlignment="1">
      <alignment horizontal="center"/>
    </xf>
    <xf numFmtId="0" fontId="18" fillId="0" borderId="30" xfId="0" applyFont="1" applyBorder="1" applyAlignment="1">
      <alignment horizontal="center"/>
    </xf>
    <xf numFmtId="0" fontId="18" fillId="0" borderId="31" xfId="0" applyFont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41" fillId="16" borderId="0" xfId="0" applyFont="1" applyFill="1" applyBorder="1" applyAlignment="1">
      <alignment horizontal="center" vertical="center"/>
    </xf>
    <xf numFmtId="0" fontId="43" fillId="17" borderId="0" xfId="0" applyFont="1" applyFill="1" applyBorder="1" applyAlignment="1">
      <alignment horizontal="center" vertical="center"/>
    </xf>
    <xf numFmtId="0" fontId="37" fillId="15" borderId="36" xfId="0" applyFont="1" applyFill="1" applyBorder="1" applyAlignment="1">
      <alignment horizontal="center"/>
    </xf>
    <xf numFmtId="0" fontId="37" fillId="15" borderId="37" xfId="0" applyFont="1" applyFill="1" applyBorder="1" applyAlignment="1">
      <alignment horizontal="center"/>
    </xf>
    <xf numFmtId="0" fontId="38" fillId="11" borderId="0" xfId="0" applyFont="1" applyFill="1" applyBorder="1" applyAlignment="1">
      <alignment horizontal="center" vertical="center"/>
    </xf>
    <xf numFmtId="0" fontId="40" fillId="8" borderId="0" xfId="0" applyFont="1" applyFill="1" applyBorder="1" applyAlignment="1">
      <alignment horizontal="center" vertical="center"/>
    </xf>
    <xf numFmtId="0" fontId="39" fillId="11" borderId="0" xfId="0" applyFont="1" applyFill="1" applyBorder="1" applyAlignment="1">
      <alignment horizontal="center" vertical="center"/>
    </xf>
    <xf numFmtId="0" fontId="26" fillId="8" borderId="0" xfId="0" applyFont="1" applyFill="1" applyBorder="1" applyAlignment="1">
      <alignment horizontal="center" vertical="center"/>
    </xf>
    <xf numFmtId="0" fontId="42" fillId="16" borderId="0" xfId="0" applyFont="1" applyFill="1" applyBorder="1" applyAlignment="1">
      <alignment horizontal="center" vertical="center"/>
    </xf>
    <xf numFmtId="0" fontId="32" fillId="13" borderId="37" xfId="0" applyFont="1" applyFill="1" applyBorder="1" applyAlignment="1">
      <alignment horizontal="center"/>
    </xf>
    <xf numFmtId="0" fontId="32" fillId="13" borderId="38" xfId="0" applyFont="1" applyFill="1" applyBorder="1" applyAlignment="1">
      <alignment horizontal="center"/>
    </xf>
    <xf numFmtId="0" fontId="33" fillId="13" borderId="39" xfId="0" applyFont="1" applyFill="1" applyBorder="1" applyAlignment="1">
      <alignment horizontal="center"/>
    </xf>
    <xf numFmtId="0" fontId="33" fillId="13" borderId="40" xfId="0" applyFont="1" applyFill="1" applyBorder="1" applyAlignment="1">
      <alignment horizontal="center"/>
    </xf>
    <xf numFmtId="0" fontId="33" fillId="13" borderId="41" xfId="0" applyFont="1" applyFill="1" applyBorder="1" applyAlignment="1">
      <alignment horizontal="center"/>
    </xf>
    <xf numFmtId="0" fontId="37" fillId="15" borderId="38" xfId="0" applyFont="1" applyFill="1" applyBorder="1" applyAlignment="1">
      <alignment horizontal="center"/>
    </xf>
    <xf numFmtId="0" fontId="35" fillId="2" borderId="0" xfId="0" applyFont="1" applyFill="1" applyBorder="1" applyAlignment="1">
      <alignment horizontal="center" vertical="center"/>
    </xf>
    <xf numFmtId="0" fontId="46" fillId="9" borderId="0" xfId="0" applyFont="1" applyFill="1" applyBorder="1" applyAlignment="1">
      <alignment horizontal="center" vertical="center"/>
    </xf>
    <xf numFmtId="0" fontId="46" fillId="10" borderId="0" xfId="0" applyFont="1" applyFill="1" applyBorder="1" applyAlignment="1">
      <alignment horizontal="center" vertical="center"/>
    </xf>
    <xf numFmtId="0" fontId="29" fillId="10" borderId="0" xfId="0" applyFont="1" applyFill="1" applyBorder="1" applyAlignment="1">
      <alignment horizontal="center" vertical="center"/>
    </xf>
    <xf numFmtId="0" fontId="29" fillId="9" borderId="0" xfId="0" applyFont="1" applyFill="1" applyBorder="1" applyAlignment="1">
      <alignment horizontal="center" vertical="center"/>
    </xf>
    <xf numFmtId="0" fontId="32" fillId="13" borderId="36" xfId="0" applyFont="1" applyFill="1" applyBorder="1" applyAlignment="1">
      <alignment horizontal="center"/>
    </xf>
    <xf numFmtId="0" fontId="19" fillId="0" borderId="42" xfId="0" applyFont="1" applyBorder="1" applyAlignment="1">
      <alignment horizontal="center"/>
    </xf>
    <xf numFmtId="0" fontId="49" fillId="9" borderId="0" xfId="0" applyFont="1" applyFill="1" applyBorder="1" applyAlignment="1">
      <alignment horizontal="center" vertical="center"/>
    </xf>
    <xf numFmtId="0" fontId="50" fillId="4" borderId="0" xfId="0" applyFont="1" applyFill="1" applyBorder="1" applyAlignment="1">
      <alignment horizontal="center" vertical="center"/>
    </xf>
    <xf numFmtId="0" fontId="47" fillId="13" borderId="0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48" fillId="13" borderId="0" xfId="0" applyFont="1" applyFill="1" applyBorder="1" applyAlignment="1">
      <alignment horizontal="center" vertical="center"/>
    </xf>
    <xf numFmtId="0" fontId="25" fillId="4" borderId="0" xfId="0" applyFont="1" applyFill="1" applyBorder="1" applyAlignment="1">
      <alignment horizontal="center" vertical="center"/>
    </xf>
    <xf numFmtId="0" fontId="36" fillId="15" borderId="36" xfId="0" applyFont="1" applyFill="1" applyBorder="1" applyAlignment="1">
      <alignment horizontal="center"/>
    </xf>
    <xf numFmtId="0" fontId="36" fillId="15" borderId="37" xfId="0" applyFont="1" applyFill="1" applyBorder="1" applyAlignment="1">
      <alignment horizontal="center"/>
    </xf>
    <xf numFmtId="0" fontId="36" fillId="15" borderId="38" xfId="0" applyFont="1" applyFill="1" applyBorder="1" applyAlignment="1">
      <alignment horizontal="center"/>
    </xf>
    <xf numFmtId="0" fontId="35" fillId="7" borderId="0" xfId="0" applyFont="1" applyFill="1" applyBorder="1" applyAlignment="1">
      <alignment horizontal="center" vertical="center"/>
    </xf>
    <xf numFmtId="0" fontId="23" fillId="15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4" fillId="15" borderId="0" xfId="0" applyFont="1" applyFill="1" applyBorder="1" applyAlignment="1">
      <alignment horizontal="center" vertical="center"/>
    </xf>
    <xf numFmtId="0" fontId="27" fillId="9" borderId="0" xfId="0" applyFont="1" applyFill="1" applyBorder="1" applyAlignment="1">
      <alignment horizontal="center" vertical="center"/>
    </xf>
    <xf numFmtId="0" fontId="26" fillId="6" borderId="0" xfId="0" applyFont="1" applyFill="1" applyBorder="1" applyAlignment="1">
      <alignment horizontal="center" vertical="center"/>
    </xf>
    <xf numFmtId="0" fontId="40" fillId="6" borderId="0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right" vertical="center" textRotation="180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44" xfId="0" applyFont="1" applyBorder="1" applyAlignment="1">
      <alignment horizontal="center" vertical="top" wrapText="1"/>
    </xf>
    <xf numFmtId="0" fontId="10" fillId="0" borderId="45" xfId="0" applyFont="1" applyBorder="1" applyAlignment="1">
      <alignment horizontal="center" vertical="top" wrapText="1"/>
    </xf>
    <xf numFmtId="0" fontId="10" fillId="0" borderId="46" xfId="0" applyFont="1" applyBorder="1" applyAlignment="1">
      <alignment horizontal="center" vertical="top" wrapText="1"/>
    </xf>
    <xf numFmtId="0" fontId="10" fillId="0" borderId="47" xfId="0" applyFont="1" applyBorder="1" applyAlignment="1">
      <alignment horizontal="center" vertical="top" wrapText="1"/>
    </xf>
    <xf numFmtId="164" fontId="6" fillId="0" borderId="9" xfId="1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2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37" fillId="4" borderId="48" xfId="0" applyFont="1" applyFill="1" applyBorder="1" applyAlignment="1">
      <alignment horizontal="center" vertical="center"/>
    </xf>
    <xf numFmtId="0" fontId="24" fillId="0" borderId="48" xfId="0" applyFont="1" applyBorder="1" applyAlignment="1">
      <alignment horizontal="center" vertical="center" wrapText="1"/>
    </xf>
    <xf numFmtId="0" fontId="37" fillId="4" borderId="49" xfId="0" applyFont="1" applyFill="1" applyBorder="1" applyAlignment="1">
      <alignment horizontal="center" vertical="center"/>
    </xf>
    <xf numFmtId="0" fontId="37" fillId="4" borderId="50" xfId="0" applyFont="1" applyFill="1" applyBorder="1" applyAlignment="1">
      <alignment horizontal="center" vertical="center"/>
    </xf>
    <xf numFmtId="0" fontId="26" fillId="6" borderId="49" xfId="0" applyFont="1" applyFill="1" applyBorder="1" applyAlignment="1">
      <alignment horizontal="center" vertical="center" wrapText="1"/>
    </xf>
    <xf numFmtId="0" fontId="26" fillId="6" borderId="50" xfId="0" applyFont="1" applyFill="1" applyBorder="1" applyAlignment="1">
      <alignment horizontal="center" vertical="center" wrapText="1"/>
    </xf>
  </cellXfs>
  <cellStyles count="4">
    <cellStyle name="Comma" xfId="2" builtinId="3"/>
    <cellStyle name="Normal" xfId="0" builtinId="0"/>
    <cellStyle name="Normal 2" xfId="3" xr:uid="{F69C4823-88D7-4A65-AB00-0BB940DB5222}"/>
    <cellStyle name="Percent" xfId="1" builtinId="5"/>
  </cellStyles>
  <dxfs count="0"/>
  <tableStyles count="0" defaultTableStyle="TableStyleMedium2" defaultPivotStyle="PivotStyleLight16"/>
  <colors>
    <mruColors>
      <color rgb="FF2A357A"/>
      <color rgb="FFFF9900"/>
      <color rgb="FF800000"/>
      <color rgb="FF3847A0"/>
      <color rgb="FFC659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-279318</xdr:colOff>
      <xdr:row>4</xdr:row>
      <xdr:rowOff>146682</xdr:rowOff>
    </xdr:from>
    <xdr:to>
      <xdr:col>50</xdr:col>
      <xdr:colOff>215371</xdr:colOff>
      <xdr:row>46</xdr:row>
      <xdr:rowOff>174142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74D7C6C4-50F3-4005-AA21-E7375575055C}"/>
            </a:ext>
          </a:extLst>
        </xdr:cNvPr>
        <xdr:cNvGrpSpPr/>
      </xdr:nvGrpSpPr>
      <xdr:grpSpPr>
        <a:xfrm>
          <a:off x="-279318" y="1022982"/>
          <a:ext cx="11327789" cy="9628660"/>
          <a:chOff x="-279318" y="1003932"/>
          <a:chExt cx="11638939" cy="9361960"/>
        </a:xfrm>
      </xdr:grpSpPr>
      <xdr:sp macro="" textlink="">
        <xdr:nvSpPr>
          <xdr:cNvPr id="11" name="Arc 10">
            <a:extLst>
              <a:ext uri="{FF2B5EF4-FFF2-40B4-BE49-F238E27FC236}">
                <a16:creationId xmlns:a16="http://schemas.microsoft.com/office/drawing/2014/main" id="{5632A2A9-1EAD-4C68-890B-424B8FEF90D3}"/>
              </a:ext>
            </a:extLst>
          </xdr:cNvPr>
          <xdr:cNvSpPr/>
        </xdr:nvSpPr>
        <xdr:spPr>
          <a:xfrm rot="13646083">
            <a:off x="5024680" y="4688142"/>
            <a:ext cx="2573139" cy="2454619"/>
          </a:xfrm>
          <a:custGeom>
            <a:avLst/>
            <a:gdLst>
              <a:gd name="connsiteX0" fmla="*/ 678681 w 1357363"/>
              <a:gd name="connsiteY0" fmla="*/ 0 h 1539641"/>
              <a:gd name="connsiteX1" fmla="*/ 1357363 w 1357363"/>
              <a:gd name="connsiteY1" fmla="*/ 769821 h 1539641"/>
              <a:gd name="connsiteX2" fmla="*/ 678682 w 1357363"/>
              <a:gd name="connsiteY2" fmla="*/ 769821 h 1539641"/>
              <a:gd name="connsiteX3" fmla="*/ 678681 w 1357363"/>
              <a:gd name="connsiteY3" fmla="*/ 0 h 1539641"/>
              <a:gd name="connsiteX0" fmla="*/ 678681 w 1357363"/>
              <a:gd name="connsiteY0" fmla="*/ 0 h 1539641"/>
              <a:gd name="connsiteX1" fmla="*/ 1357363 w 1357363"/>
              <a:gd name="connsiteY1" fmla="*/ 769821 h 1539641"/>
              <a:gd name="connsiteX0" fmla="*/ 1327194 w 2005876"/>
              <a:gd name="connsiteY0" fmla="*/ 0 h 769821"/>
              <a:gd name="connsiteX1" fmla="*/ 2005876 w 2005876"/>
              <a:gd name="connsiteY1" fmla="*/ 769821 h 769821"/>
              <a:gd name="connsiteX2" fmla="*/ 1327195 w 2005876"/>
              <a:gd name="connsiteY2" fmla="*/ 769821 h 769821"/>
              <a:gd name="connsiteX3" fmla="*/ 1327194 w 2005876"/>
              <a:gd name="connsiteY3" fmla="*/ 0 h 769821"/>
              <a:gd name="connsiteX0" fmla="*/ 0 w 2005876"/>
              <a:gd name="connsiteY0" fmla="*/ 703949 h 769821"/>
              <a:gd name="connsiteX1" fmla="*/ 2005876 w 2005876"/>
              <a:gd name="connsiteY1" fmla="*/ 769821 h 769821"/>
              <a:gd name="connsiteX0" fmla="*/ 1327194 w 2005876"/>
              <a:gd name="connsiteY0" fmla="*/ 0 h 2129244"/>
              <a:gd name="connsiteX1" fmla="*/ 2005876 w 2005876"/>
              <a:gd name="connsiteY1" fmla="*/ 769821 h 2129244"/>
              <a:gd name="connsiteX2" fmla="*/ 1327195 w 2005876"/>
              <a:gd name="connsiteY2" fmla="*/ 769821 h 2129244"/>
              <a:gd name="connsiteX3" fmla="*/ 1327194 w 2005876"/>
              <a:gd name="connsiteY3" fmla="*/ 0 h 2129244"/>
              <a:gd name="connsiteX0" fmla="*/ 0 w 2005876"/>
              <a:gd name="connsiteY0" fmla="*/ 703949 h 2129244"/>
              <a:gd name="connsiteX1" fmla="*/ 1585777 w 2005876"/>
              <a:gd name="connsiteY1" fmla="*/ 2129244 h 2129244"/>
              <a:gd name="connsiteX0" fmla="*/ 1327194 w 2005876"/>
              <a:gd name="connsiteY0" fmla="*/ 0 h 2129244"/>
              <a:gd name="connsiteX1" fmla="*/ 2005876 w 2005876"/>
              <a:gd name="connsiteY1" fmla="*/ 769821 h 2129244"/>
              <a:gd name="connsiteX2" fmla="*/ 1847600 w 2005876"/>
              <a:gd name="connsiteY2" fmla="*/ 297634 h 2129244"/>
              <a:gd name="connsiteX3" fmla="*/ 1327194 w 2005876"/>
              <a:gd name="connsiteY3" fmla="*/ 0 h 2129244"/>
              <a:gd name="connsiteX0" fmla="*/ 0 w 2005876"/>
              <a:gd name="connsiteY0" fmla="*/ 703949 h 2129244"/>
              <a:gd name="connsiteX1" fmla="*/ 1585777 w 2005876"/>
              <a:gd name="connsiteY1" fmla="*/ 2129244 h 2129244"/>
              <a:gd name="connsiteX0" fmla="*/ 1327194 w 2005876"/>
              <a:gd name="connsiteY0" fmla="*/ 0 h 2129244"/>
              <a:gd name="connsiteX1" fmla="*/ 2005876 w 2005876"/>
              <a:gd name="connsiteY1" fmla="*/ 769821 h 2129244"/>
              <a:gd name="connsiteX2" fmla="*/ 756907 w 2005876"/>
              <a:gd name="connsiteY2" fmla="*/ 1429649 h 2129244"/>
              <a:gd name="connsiteX3" fmla="*/ 1327194 w 2005876"/>
              <a:gd name="connsiteY3" fmla="*/ 0 h 2129244"/>
              <a:gd name="connsiteX0" fmla="*/ 0 w 2005876"/>
              <a:gd name="connsiteY0" fmla="*/ 703949 h 2129244"/>
              <a:gd name="connsiteX1" fmla="*/ 1585777 w 2005876"/>
              <a:gd name="connsiteY1" fmla="*/ 2129244 h 2129244"/>
              <a:gd name="connsiteX0" fmla="*/ 40022 w 2005876"/>
              <a:gd name="connsiteY0" fmla="*/ 115314 h 1580225"/>
              <a:gd name="connsiteX1" fmla="*/ 2005876 w 2005876"/>
              <a:gd name="connsiteY1" fmla="*/ 220802 h 1580225"/>
              <a:gd name="connsiteX2" fmla="*/ 756907 w 2005876"/>
              <a:gd name="connsiteY2" fmla="*/ 880630 h 1580225"/>
              <a:gd name="connsiteX3" fmla="*/ 40022 w 2005876"/>
              <a:gd name="connsiteY3" fmla="*/ 115314 h 1580225"/>
              <a:gd name="connsiteX0" fmla="*/ 0 w 2005876"/>
              <a:gd name="connsiteY0" fmla="*/ 154930 h 1580225"/>
              <a:gd name="connsiteX1" fmla="*/ 1585777 w 2005876"/>
              <a:gd name="connsiteY1" fmla="*/ 1580225 h 1580225"/>
              <a:gd name="connsiteX0" fmla="*/ 40022 w 2056099"/>
              <a:gd name="connsiteY0" fmla="*/ 415229 h 1880140"/>
              <a:gd name="connsiteX1" fmla="*/ 1699710 w 2056099"/>
              <a:gd name="connsiteY1" fmla="*/ 783 h 1880140"/>
              <a:gd name="connsiteX2" fmla="*/ 2005876 w 2056099"/>
              <a:gd name="connsiteY2" fmla="*/ 520717 h 1880140"/>
              <a:gd name="connsiteX3" fmla="*/ 756907 w 2056099"/>
              <a:gd name="connsiteY3" fmla="*/ 1180545 h 1880140"/>
              <a:gd name="connsiteX4" fmla="*/ 40022 w 2056099"/>
              <a:gd name="connsiteY4" fmla="*/ 415229 h 1880140"/>
              <a:gd name="connsiteX0" fmla="*/ 0 w 2056099"/>
              <a:gd name="connsiteY0" fmla="*/ 454845 h 1880140"/>
              <a:gd name="connsiteX1" fmla="*/ 1585777 w 2056099"/>
              <a:gd name="connsiteY1" fmla="*/ 1880140 h 1880140"/>
              <a:gd name="connsiteX0" fmla="*/ 40022 w 1852705"/>
              <a:gd name="connsiteY0" fmla="*/ 415229 h 1880140"/>
              <a:gd name="connsiteX1" fmla="*/ 1699710 w 1852705"/>
              <a:gd name="connsiteY1" fmla="*/ 783 h 1880140"/>
              <a:gd name="connsiteX2" fmla="*/ 1622924 w 1852705"/>
              <a:gd name="connsiteY2" fmla="*/ 1876856 h 1880140"/>
              <a:gd name="connsiteX3" fmla="*/ 756907 w 1852705"/>
              <a:gd name="connsiteY3" fmla="*/ 1180545 h 1880140"/>
              <a:gd name="connsiteX4" fmla="*/ 40022 w 1852705"/>
              <a:gd name="connsiteY4" fmla="*/ 415229 h 1880140"/>
              <a:gd name="connsiteX0" fmla="*/ 0 w 1852705"/>
              <a:gd name="connsiteY0" fmla="*/ 454845 h 1880140"/>
              <a:gd name="connsiteX1" fmla="*/ 1585777 w 1852705"/>
              <a:gd name="connsiteY1" fmla="*/ 1880140 h 1880140"/>
              <a:gd name="connsiteX0" fmla="*/ 40022 w 1899451"/>
              <a:gd name="connsiteY0" fmla="*/ 409073 h 1873984"/>
              <a:gd name="connsiteX1" fmla="*/ 1761784 w 1899451"/>
              <a:gd name="connsiteY1" fmla="*/ 801 h 1873984"/>
              <a:gd name="connsiteX2" fmla="*/ 1622924 w 1899451"/>
              <a:gd name="connsiteY2" fmla="*/ 1870700 h 1873984"/>
              <a:gd name="connsiteX3" fmla="*/ 756907 w 1899451"/>
              <a:gd name="connsiteY3" fmla="*/ 1174389 h 1873984"/>
              <a:gd name="connsiteX4" fmla="*/ 40022 w 1899451"/>
              <a:gd name="connsiteY4" fmla="*/ 409073 h 1873984"/>
              <a:gd name="connsiteX0" fmla="*/ 0 w 1899451"/>
              <a:gd name="connsiteY0" fmla="*/ 448689 h 1873984"/>
              <a:gd name="connsiteX1" fmla="*/ 1585777 w 1899451"/>
              <a:gd name="connsiteY1" fmla="*/ 1873984 h 1873984"/>
              <a:gd name="connsiteX0" fmla="*/ 40022 w 2078954"/>
              <a:gd name="connsiteY0" fmla="*/ 409073 h 1873984"/>
              <a:gd name="connsiteX1" fmla="*/ 1761784 w 2078954"/>
              <a:gd name="connsiteY1" fmla="*/ 801 h 1873984"/>
              <a:gd name="connsiteX2" fmla="*/ 2072448 w 2078954"/>
              <a:gd name="connsiteY2" fmla="*/ 711800 h 1873984"/>
              <a:gd name="connsiteX3" fmla="*/ 1622924 w 2078954"/>
              <a:gd name="connsiteY3" fmla="*/ 1870700 h 1873984"/>
              <a:gd name="connsiteX4" fmla="*/ 756907 w 2078954"/>
              <a:gd name="connsiteY4" fmla="*/ 1174389 h 1873984"/>
              <a:gd name="connsiteX5" fmla="*/ 40022 w 2078954"/>
              <a:gd name="connsiteY5" fmla="*/ 409073 h 1873984"/>
              <a:gd name="connsiteX0" fmla="*/ 0 w 2078954"/>
              <a:gd name="connsiteY0" fmla="*/ 448689 h 1873984"/>
              <a:gd name="connsiteX1" fmla="*/ 1585777 w 2078954"/>
              <a:gd name="connsiteY1" fmla="*/ 1873984 h 1873984"/>
              <a:gd name="connsiteX0" fmla="*/ 40022 w 2078954"/>
              <a:gd name="connsiteY0" fmla="*/ 409073 h 1873984"/>
              <a:gd name="connsiteX1" fmla="*/ 1761784 w 2078954"/>
              <a:gd name="connsiteY1" fmla="*/ 801 h 1873984"/>
              <a:gd name="connsiteX2" fmla="*/ 2072448 w 2078954"/>
              <a:gd name="connsiteY2" fmla="*/ 711800 h 1873984"/>
              <a:gd name="connsiteX3" fmla="*/ 1622924 w 2078954"/>
              <a:gd name="connsiteY3" fmla="*/ 1870700 h 1873984"/>
              <a:gd name="connsiteX4" fmla="*/ 756907 w 2078954"/>
              <a:gd name="connsiteY4" fmla="*/ 1174389 h 1873984"/>
              <a:gd name="connsiteX5" fmla="*/ 40022 w 2078954"/>
              <a:gd name="connsiteY5" fmla="*/ 409073 h 1873984"/>
              <a:gd name="connsiteX0" fmla="*/ 0 w 2078954"/>
              <a:gd name="connsiteY0" fmla="*/ 448689 h 1873984"/>
              <a:gd name="connsiteX1" fmla="*/ 1585777 w 2078954"/>
              <a:gd name="connsiteY1" fmla="*/ 1873984 h 1873984"/>
              <a:gd name="connsiteX0" fmla="*/ 40022 w 2078954"/>
              <a:gd name="connsiteY0" fmla="*/ 543330 h 2008241"/>
              <a:gd name="connsiteX1" fmla="*/ 1462476 w 2078954"/>
              <a:gd name="connsiteY1" fmla="*/ 28097 h 2008241"/>
              <a:gd name="connsiteX2" fmla="*/ 1761784 w 2078954"/>
              <a:gd name="connsiteY2" fmla="*/ 135058 h 2008241"/>
              <a:gd name="connsiteX3" fmla="*/ 2072448 w 2078954"/>
              <a:gd name="connsiteY3" fmla="*/ 846057 h 2008241"/>
              <a:gd name="connsiteX4" fmla="*/ 1622924 w 2078954"/>
              <a:gd name="connsiteY4" fmla="*/ 2004957 h 2008241"/>
              <a:gd name="connsiteX5" fmla="*/ 756907 w 2078954"/>
              <a:gd name="connsiteY5" fmla="*/ 1308646 h 2008241"/>
              <a:gd name="connsiteX6" fmla="*/ 40022 w 2078954"/>
              <a:gd name="connsiteY6" fmla="*/ 543330 h 2008241"/>
              <a:gd name="connsiteX0" fmla="*/ 0 w 2078954"/>
              <a:gd name="connsiteY0" fmla="*/ 582946 h 2008241"/>
              <a:gd name="connsiteX1" fmla="*/ 1585777 w 2078954"/>
              <a:gd name="connsiteY1" fmla="*/ 2008241 h 2008241"/>
              <a:gd name="connsiteX0" fmla="*/ 40022 w 2089037"/>
              <a:gd name="connsiteY0" fmla="*/ 547886 h 2012797"/>
              <a:gd name="connsiteX1" fmla="*/ 1462476 w 2089037"/>
              <a:gd name="connsiteY1" fmla="*/ 32653 h 2012797"/>
              <a:gd name="connsiteX2" fmla="*/ 1831161 w 2089037"/>
              <a:gd name="connsiteY2" fmla="*/ 119167 h 2012797"/>
              <a:gd name="connsiteX3" fmla="*/ 2072448 w 2089037"/>
              <a:gd name="connsiteY3" fmla="*/ 850613 h 2012797"/>
              <a:gd name="connsiteX4" fmla="*/ 1622924 w 2089037"/>
              <a:gd name="connsiteY4" fmla="*/ 2009513 h 2012797"/>
              <a:gd name="connsiteX5" fmla="*/ 756907 w 2089037"/>
              <a:gd name="connsiteY5" fmla="*/ 1313202 h 2012797"/>
              <a:gd name="connsiteX6" fmla="*/ 40022 w 2089037"/>
              <a:gd name="connsiteY6" fmla="*/ 547886 h 2012797"/>
              <a:gd name="connsiteX0" fmla="*/ 0 w 2089037"/>
              <a:gd name="connsiteY0" fmla="*/ 587502 h 2012797"/>
              <a:gd name="connsiteX1" fmla="*/ 1585777 w 2089037"/>
              <a:gd name="connsiteY1" fmla="*/ 2012797 h 2012797"/>
              <a:gd name="connsiteX0" fmla="*/ 40022 w 2089037"/>
              <a:gd name="connsiteY0" fmla="*/ 504530 h 1969441"/>
              <a:gd name="connsiteX1" fmla="*/ 1465465 w 2089037"/>
              <a:gd name="connsiteY1" fmla="*/ 59134 h 1969441"/>
              <a:gd name="connsiteX2" fmla="*/ 1831161 w 2089037"/>
              <a:gd name="connsiteY2" fmla="*/ 75811 h 1969441"/>
              <a:gd name="connsiteX3" fmla="*/ 2072448 w 2089037"/>
              <a:gd name="connsiteY3" fmla="*/ 807257 h 1969441"/>
              <a:gd name="connsiteX4" fmla="*/ 1622924 w 2089037"/>
              <a:gd name="connsiteY4" fmla="*/ 1966157 h 1969441"/>
              <a:gd name="connsiteX5" fmla="*/ 756907 w 2089037"/>
              <a:gd name="connsiteY5" fmla="*/ 1269846 h 1969441"/>
              <a:gd name="connsiteX6" fmla="*/ 40022 w 2089037"/>
              <a:gd name="connsiteY6" fmla="*/ 504530 h 1969441"/>
              <a:gd name="connsiteX0" fmla="*/ 0 w 2089037"/>
              <a:gd name="connsiteY0" fmla="*/ 544146 h 1969441"/>
              <a:gd name="connsiteX1" fmla="*/ 1585777 w 2089037"/>
              <a:gd name="connsiteY1" fmla="*/ 1969441 h 1969441"/>
              <a:gd name="connsiteX0" fmla="*/ 40022 w 2099293"/>
              <a:gd name="connsiteY0" fmla="*/ 486984 h 1951895"/>
              <a:gd name="connsiteX1" fmla="*/ 1465465 w 2099293"/>
              <a:gd name="connsiteY1" fmla="*/ 41588 h 1951895"/>
              <a:gd name="connsiteX2" fmla="*/ 1831161 w 2099293"/>
              <a:gd name="connsiteY2" fmla="*/ 58265 h 1951895"/>
              <a:gd name="connsiteX3" fmla="*/ 2007845 w 2099293"/>
              <a:gd name="connsiteY3" fmla="*/ 460974 h 1951895"/>
              <a:gd name="connsiteX4" fmla="*/ 2072448 w 2099293"/>
              <a:gd name="connsiteY4" fmla="*/ 789711 h 1951895"/>
              <a:gd name="connsiteX5" fmla="*/ 1622924 w 2099293"/>
              <a:gd name="connsiteY5" fmla="*/ 1948611 h 1951895"/>
              <a:gd name="connsiteX6" fmla="*/ 756907 w 2099293"/>
              <a:gd name="connsiteY6" fmla="*/ 1252300 h 1951895"/>
              <a:gd name="connsiteX7" fmla="*/ 40022 w 2099293"/>
              <a:gd name="connsiteY7" fmla="*/ 486984 h 1951895"/>
              <a:gd name="connsiteX0" fmla="*/ 0 w 2099293"/>
              <a:gd name="connsiteY0" fmla="*/ 526600 h 1951895"/>
              <a:gd name="connsiteX1" fmla="*/ 1585777 w 2099293"/>
              <a:gd name="connsiteY1" fmla="*/ 1951895 h 1951895"/>
              <a:gd name="connsiteX0" fmla="*/ 40022 w 2099293"/>
              <a:gd name="connsiteY0" fmla="*/ 523373 h 1988284"/>
              <a:gd name="connsiteX1" fmla="*/ 1428266 w 2099293"/>
              <a:gd name="connsiteY1" fmla="*/ 27280 h 1988284"/>
              <a:gd name="connsiteX2" fmla="*/ 1831161 w 2099293"/>
              <a:gd name="connsiteY2" fmla="*/ 94654 h 1988284"/>
              <a:gd name="connsiteX3" fmla="*/ 2007845 w 2099293"/>
              <a:gd name="connsiteY3" fmla="*/ 497363 h 1988284"/>
              <a:gd name="connsiteX4" fmla="*/ 2072448 w 2099293"/>
              <a:gd name="connsiteY4" fmla="*/ 826100 h 1988284"/>
              <a:gd name="connsiteX5" fmla="*/ 1622924 w 2099293"/>
              <a:gd name="connsiteY5" fmla="*/ 1985000 h 1988284"/>
              <a:gd name="connsiteX6" fmla="*/ 756907 w 2099293"/>
              <a:gd name="connsiteY6" fmla="*/ 1288689 h 1988284"/>
              <a:gd name="connsiteX7" fmla="*/ 40022 w 2099293"/>
              <a:gd name="connsiteY7" fmla="*/ 523373 h 1988284"/>
              <a:gd name="connsiteX0" fmla="*/ 0 w 2099293"/>
              <a:gd name="connsiteY0" fmla="*/ 562989 h 1988284"/>
              <a:gd name="connsiteX1" fmla="*/ 1585777 w 2099293"/>
              <a:gd name="connsiteY1" fmla="*/ 1988284 h 1988284"/>
              <a:gd name="connsiteX0" fmla="*/ 40022 w 2108510"/>
              <a:gd name="connsiteY0" fmla="*/ 523373 h 1988284"/>
              <a:gd name="connsiteX1" fmla="*/ 1428266 w 2108510"/>
              <a:gd name="connsiteY1" fmla="*/ 27280 h 1988284"/>
              <a:gd name="connsiteX2" fmla="*/ 1831161 w 2108510"/>
              <a:gd name="connsiteY2" fmla="*/ 94654 h 1988284"/>
              <a:gd name="connsiteX3" fmla="*/ 2049696 w 2108510"/>
              <a:gd name="connsiteY3" fmla="*/ 452203 h 1988284"/>
              <a:gd name="connsiteX4" fmla="*/ 2072448 w 2108510"/>
              <a:gd name="connsiteY4" fmla="*/ 826100 h 1988284"/>
              <a:gd name="connsiteX5" fmla="*/ 1622924 w 2108510"/>
              <a:gd name="connsiteY5" fmla="*/ 1985000 h 1988284"/>
              <a:gd name="connsiteX6" fmla="*/ 756907 w 2108510"/>
              <a:gd name="connsiteY6" fmla="*/ 1288689 h 1988284"/>
              <a:gd name="connsiteX7" fmla="*/ 40022 w 2108510"/>
              <a:gd name="connsiteY7" fmla="*/ 523373 h 1988284"/>
              <a:gd name="connsiteX0" fmla="*/ 0 w 2108510"/>
              <a:gd name="connsiteY0" fmla="*/ 562989 h 1988284"/>
              <a:gd name="connsiteX1" fmla="*/ 1585777 w 2108510"/>
              <a:gd name="connsiteY1" fmla="*/ 1988284 h 1988284"/>
              <a:gd name="connsiteX0" fmla="*/ 40022 w 2108510"/>
              <a:gd name="connsiteY0" fmla="*/ 523373 h 1988284"/>
              <a:gd name="connsiteX1" fmla="*/ 1428266 w 2108510"/>
              <a:gd name="connsiteY1" fmla="*/ 27280 h 1988284"/>
              <a:gd name="connsiteX2" fmla="*/ 1831161 w 2108510"/>
              <a:gd name="connsiteY2" fmla="*/ 94654 h 1988284"/>
              <a:gd name="connsiteX3" fmla="*/ 2049696 w 2108510"/>
              <a:gd name="connsiteY3" fmla="*/ 452203 h 1988284"/>
              <a:gd name="connsiteX4" fmla="*/ 2072448 w 2108510"/>
              <a:gd name="connsiteY4" fmla="*/ 826100 h 1988284"/>
              <a:gd name="connsiteX5" fmla="*/ 1622924 w 2108510"/>
              <a:gd name="connsiteY5" fmla="*/ 1985000 h 1988284"/>
              <a:gd name="connsiteX6" fmla="*/ 756907 w 2108510"/>
              <a:gd name="connsiteY6" fmla="*/ 1288689 h 1988284"/>
              <a:gd name="connsiteX7" fmla="*/ 40022 w 2108510"/>
              <a:gd name="connsiteY7" fmla="*/ 523373 h 1988284"/>
              <a:gd name="connsiteX0" fmla="*/ 0 w 2108510"/>
              <a:gd name="connsiteY0" fmla="*/ 562989 h 1988284"/>
              <a:gd name="connsiteX1" fmla="*/ 1585777 w 2108510"/>
              <a:gd name="connsiteY1" fmla="*/ 1988284 h 1988284"/>
              <a:gd name="connsiteX0" fmla="*/ 40022 w 2108510"/>
              <a:gd name="connsiteY0" fmla="*/ 517830 h 1982741"/>
              <a:gd name="connsiteX1" fmla="*/ 1428266 w 2108510"/>
              <a:gd name="connsiteY1" fmla="*/ 21737 h 1982741"/>
              <a:gd name="connsiteX2" fmla="*/ 1832651 w 2108510"/>
              <a:gd name="connsiteY2" fmla="*/ 123765 h 1982741"/>
              <a:gd name="connsiteX3" fmla="*/ 2049696 w 2108510"/>
              <a:gd name="connsiteY3" fmla="*/ 446660 h 1982741"/>
              <a:gd name="connsiteX4" fmla="*/ 2072448 w 2108510"/>
              <a:gd name="connsiteY4" fmla="*/ 820557 h 1982741"/>
              <a:gd name="connsiteX5" fmla="*/ 1622924 w 2108510"/>
              <a:gd name="connsiteY5" fmla="*/ 1979457 h 1982741"/>
              <a:gd name="connsiteX6" fmla="*/ 756907 w 2108510"/>
              <a:gd name="connsiteY6" fmla="*/ 1283146 h 1982741"/>
              <a:gd name="connsiteX7" fmla="*/ 40022 w 2108510"/>
              <a:gd name="connsiteY7" fmla="*/ 517830 h 1982741"/>
              <a:gd name="connsiteX0" fmla="*/ 0 w 2108510"/>
              <a:gd name="connsiteY0" fmla="*/ 557446 h 1982741"/>
              <a:gd name="connsiteX1" fmla="*/ 1585777 w 2108510"/>
              <a:gd name="connsiteY1" fmla="*/ 1982741 h 1982741"/>
              <a:gd name="connsiteX0" fmla="*/ 33120 w 2101608"/>
              <a:gd name="connsiteY0" fmla="*/ 517830 h 1982741"/>
              <a:gd name="connsiteX1" fmla="*/ 1421364 w 2101608"/>
              <a:gd name="connsiteY1" fmla="*/ 21737 h 1982741"/>
              <a:gd name="connsiteX2" fmla="*/ 1825749 w 2101608"/>
              <a:gd name="connsiteY2" fmla="*/ 123765 h 1982741"/>
              <a:gd name="connsiteX3" fmla="*/ 2042794 w 2101608"/>
              <a:gd name="connsiteY3" fmla="*/ 446660 h 1982741"/>
              <a:gd name="connsiteX4" fmla="*/ 2065546 w 2101608"/>
              <a:gd name="connsiteY4" fmla="*/ 820557 h 1982741"/>
              <a:gd name="connsiteX5" fmla="*/ 1616022 w 2101608"/>
              <a:gd name="connsiteY5" fmla="*/ 1979457 h 1982741"/>
              <a:gd name="connsiteX6" fmla="*/ 750005 w 2101608"/>
              <a:gd name="connsiteY6" fmla="*/ 1283146 h 1982741"/>
              <a:gd name="connsiteX7" fmla="*/ 33120 w 2101608"/>
              <a:gd name="connsiteY7" fmla="*/ 517830 h 1982741"/>
              <a:gd name="connsiteX0" fmla="*/ 0 w 2101608"/>
              <a:gd name="connsiteY0" fmla="*/ 513759 h 1982741"/>
              <a:gd name="connsiteX1" fmla="*/ 1578875 w 2101608"/>
              <a:gd name="connsiteY1" fmla="*/ 1982741 h 1982741"/>
              <a:gd name="connsiteX0" fmla="*/ 33120 w 2101608"/>
              <a:gd name="connsiteY0" fmla="*/ 517830 h 1979457"/>
              <a:gd name="connsiteX1" fmla="*/ 1421364 w 2101608"/>
              <a:gd name="connsiteY1" fmla="*/ 21737 h 1979457"/>
              <a:gd name="connsiteX2" fmla="*/ 1825749 w 2101608"/>
              <a:gd name="connsiteY2" fmla="*/ 123765 h 1979457"/>
              <a:gd name="connsiteX3" fmla="*/ 2042794 w 2101608"/>
              <a:gd name="connsiteY3" fmla="*/ 446660 h 1979457"/>
              <a:gd name="connsiteX4" fmla="*/ 2065546 w 2101608"/>
              <a:gd name="connsiteY4" fmla="*/ 820557 h 1979457"/>
              <a:gd name="connsiteX5" fmla="*/ 1616022 w 2101608"/>
              <a:gd name="connsiteY5" fmla="*/ 1979457 h 1979457"/>
              <a:gd name="connsiteX6" fmla="*/ 750005 w 2101608"/>
              <a:gd name="connsiteY6" fmla="*/ 1283146 h 1979457"/>
              <a:gd name="connsiteX7" fmla="*/ 33120 w 2101608"/>
              <a:gd name="connsiteY7" fmla="*/ 517830 h 1979457"/>
              <a:gd name="connsiteX0" fmla="*/ 0 w 2101608"/>
              <a:gd name="connsiteY0" fmla="*/ 513759 h 1979457"/>
              <a:gd name="connsiteX1" fmla="*/ 1543196 w 2101608"/>
              <a:gd name="connsiteY1" fmla="*/ 1966887 h 1979457"/>
              <a:gd name="connsiteX0" fmla="*/ 33120 w 2101608"/>
              <a:gd name="connsiteY0" fmla="*/ 517830 h 1979457"/>
              <a:gd name="connsiteX1" fmla="*/ 1421364 w 2101608"/>
              <a:gd name="connsiteY1" fmla="*/ 21737 h 1979457"/>
              <a:gd name="connsiteX2" fmla="*/ 1825749 w 2101608"/>
              <a:gd name="connsiteY2" fmla="*/ 123765 h 1979457"/>
              <a:gd name="connsiteX3" fmla="*/ 2042794 w 2101608"/>
              <a:gd name="connsiteY3" fmla="*/ 446660 h 1979457"/>
              <a:gd name="connsiteX4" fmla="*/ 2065546 w 2101608"/>
              <a:gd name="connsiteY4" fmla="*/ 820557 h 1979457"/>
              <a:gd name="connsiteX5" fmla="*/ 1616022 w 2101608"/>
              <a:gd name="connsiteY5" fmla="*/ 1979457 h 1979457"/>
              <a:gd name="connsiteX6" fmla="*/ 750005 w 2101608"/>
              <a:gd name="connsiteY6" fmla="*/ 1283146 h 1979457"/>
              <a:gd name="connsiteX7" fmla="*/ 33120 w 2101608"/>
              <a:gd name="connsiteY7" fmla="*/ 517830 h 1979457"/>
              <a:gd name="connsiteX0" fmla="*/ 0 w 2101608"/>
              <a:gd name="connsiteY0" fmla="*/ 513759 h 1979457"/>
              <a:gd name="connsiteX1" fmla="*/ 1543196 w 2101608"/>
              <a:gd name="connsiteY1" fmla="*/ 1966887 h 1979457"/>
              <a:gd name="connsiteX0" fmla="*/ 8031 w 2076519"/>
              <a:gd name="connsiteY0" fmla="*/ 517830 h 1979457"/>
              <a:gd name="connsiteX1" fmla="*/ 1396275 w 2076519"/>
              <a:gd name="connsiteY1" fmla="*/ 21737 h 1979457"/>
              <a:gd name="connsiteX2" fmla="*/ 1800660 w 2076519"/>
              <a:gd name="connsiteY2" fmla="*/ 123765 h 1979457"/>
              <a:gd name="connsiteX3" fmla="*/ 2017705 w 2076519"/>
              <a:gd name="connsiteY3" fmla="*/ 446660 h 1979457"/>
              <a:gd name="connsiteX4" fmla="*/ 2040457 w 2076519"/>
              <a:gd name="connsiteY4" fmla="*/ 820557 h 1979457"/>
              <a:gd name="connsiteX5" fmla="*/ 1590933 w 2076519"/>
              <a:gd name="connsiteY5" fmla="*/ 1979457 h 1979457"/>
              <a:gd name="connsiteX6" fmla="*/ 724916 w 2076519"/>
              <a:gd name="connsiteY6" fmla="*/ 1283146 h 1979457"/>
              <a:gd name="connsiteX7" fmla="*/ 8031 w 2076519"/>
              <a:gd name="connsiteY7" fmla="*/ 517830 h 1979457"/>
              <a:gd name="connsiteX0" fmla="*/ 0 w 2076519"/>
              <a:gd name="connsiteY0" fmla="*/ 486663 h 1979457"/>
              <a:gd name="connsiteX1" fmla="*/ 1518107 w 2076519"/>
              <a:gd name="connsiteY1" fmla="*/ 1966887 h 1979457"/>
              <a:gd name="connsiteX0" fmla="*/ 8031 w 2178632"/>
              <a:gd name="connsiteY0" fmla="*/ 610475 h 2072102"/>
              <a:gd name="connsiteX1" fmla="*/ 1396275 w 2178632"/>
              <a:gd name="connsiteY1" fmla="*/ 114382 h 2072102"/>
              <a:gd name="connsiteX2" fmla="*/ 1800660 w 2178632"/>
              <a:gd name="connsiteY2" fmla="*/ 216410 h 2072102"/>
              <a:gd name="connsiteX3" fmla="*/ 2017705 w 2178632"/>
              <a:gd name="connsiteY3" fmla="*/ 539305 h 2072102"/>
              <a:gd name="connsiteX4" fmla="*/ 2040457 w 2178632"/>
              <a:gd name="connsiteY4" fmla="*/ 913202 h 2072102"/>
              <a:gd name="connsiteX5" fmla="*/ 1590933 w 2178632"/>
              <a:gd name="connsiteY5" fmla="*/ 2072102 h 2072102"/>
              <a:gd name="connsiteX6" fmla="*/ 724916 w 2178632"/>
              <a:gd name="connsiteY6" fmla="*/ 1375791 h 2072102"/>
              <a:gd name="connsiteX7" fmla="*/ 8031 w 2178632"/>
              <a:gd name="connsiteY7" fmla="*/ 610475 h 2072102"/>
              <a:gd name="connsiteX0" fmla="*/ 0 w 2178632"/>
              <a:gd name="connsiteY0" fmla="*/ 579308 h 2072102"/>
              <a:gd name="connsiteX1" fmla="*/ 1518107 w 2178632"/>
              <a:gd name="connsiteY1" fmla="*/ 2059532 h 2072102"/>
              <a:gd name="connsiteX0" fmla="*/ 8031 w 2076519"/>
              <a:gd name="connsiteY0" fmla="*/ 517830 h 1979457"/>
              <a:gd name="connsiteX1" fmla="*/ 1396275 w 2076519"/>
              <a:gd name="connsiteY1" fmla="*/ 21737 h 1979457"/>
              <a:gd name="connsiteX2" fmla="*/ 1800660 w 2076519"/>
              <a:gd name="connsiteY2" fmla="*/ 123765 h 1979457"/>
              <a:gd name="connsiteX3" fmla="*/ 2017705 w 2076519"/>
              <a:gd name="connsiteY3" fmla="*/ 446660 h 1979457"/>
              <a:gd name="connsiteX4" fmla="*/ 2040457 w 2076519"/>
              <a:gd name="connsiteY4" fmla="*/ 820557 h 1979457"/>
              <a:gd name="connsiteX5" fmla="*/ 1590933 w 2076519"/>
              <a:gd name="connsiteY5" fmla="*/ 1979457 h 1979457"/>
              <a:gd name="connsiteX6" fmla="*/ 724916 w 2076519"/>
              <a:gd name="connsiteY6" fmla="*/ 1283146 h 1979457"/>
              <a:gd name="connsiteX7" fmla="*/ 8031 w 2076519"/>
              <a:gd name="connsiteY7" fmla="*/ 517830 h 1979457"/>
              <a:gd name="connsiteX0" fmla="*/ 0 w 2076519"/>
              <a:gd name="connsiteY0" fmla="*/ 486663 h 1979457"/>
              <a:gd name="connsiteX1" fmla="*/ 1518107 w 2076519"/>
              <a:gd name="connsiteY1" fmla="*/ 1966887 h 1979457"/>
              <a:gd name="connsiteX0" fmla="*/ 8031 w 2076519"/>
              <a:gd name="connsiteY0" fmla="*/ 599184 h 2060811"/>
              <a:gd name="connsiteX1" fmla="*/ 1396275 w 2076519"/>
              <a:gd name="connsiteY1" fmla="*/ 103091 h 2060811"/>
              <a:gd name="connsiteX2" fmla="*/ 1985218 w 2076519"/>
              <a:gd name="connsiteY2" fmla="*/ 23431 h 2060811"/>
              <a:gd name="connsiteX3" fmla="*/ 2017705 w 2076519"/>
              <a:gd name="connsiteY3" fmla="*/ 528014 h 2060811"/>
              <a:gd name="connsiteX4" fmla="*/ 2040457 w 2076519"/>
              <a:gd name="connsiteY4" fmla="*/ 901911 h 2060811"/>
              <a:gd name="connsiteX5" fmla="*/ 1590933 w 2076519"/>
              <a:gd name="connsiteY5" fmla="*/ 2060811 h 2060811"/>
              <a:gd name="connsiteX6" fmla="*/ 724916 w 2076519"/>
              <a:gd name="connsiteY6" fmla="*/ 1364500 h 2060811"/>
              <a:gd name="connsiteX7" fmla="*/ 8031 w 2076519"/>
              <a:gd name="connsiteY7" fmla="*/ 599184 h 2060811"/>
              <a:gd name="connsiteX0" fmla="*/ 0 w 2076519"/>
              <a:gd name="connsiteY0" fmla="*/ 568017 h 2060811"/>
              <a:gd name="connsiteX1" fmla="*/ 1518107 w 2076519"/>
              <a:gd name="connsiteY1" fmla="*/ 2048241 h 2060811"/>
              <a:gd name="connsiteX0" fmla="*/ 8031 w 2076519"/>
              <a:gd name="connsiteY0" fmla="*/ 523786 h 1985413"/>
              <a:gd name="connsiteX1" fmla="*/ 1396275 w 2076519"/>
              <a:gd name="connsiteY1" fmla="*/ 27693 h 1985413"/>
              <a:gd name="connsiteX2" fmla="*/ 1833669 w 2076519"/>
              <a:gd name="connsiteY2" fmla="*/ 93004 h 1985413"/>
              <a:gd name="connsiteX3" fmla="*/ 2017705 w 2076519"/>
              <a:gd name="connsiteY3" fmla="*/ 452616 h 1985413"/>
              <a:gd name="connsiteX4" fmla="*/ 2040457 w 2076519"/>
              <a:gd name="connsiteY4" fmla="*/ 826513 h 1985413"/>
              <a:gd name="connsiteX5" fmla="*/ 1590933 w 2076519"/>
              <a:gd name="connsiteY5" fmla="*/ 1985413 h 1985413"/>
              <a:gd name="connsiteX6" fmla="*/ 724916 w 2076519"/>
              <a:gd name="connsiteY6" fmla="*/ 1289102 h 1985413"/>
              <a:gd name="connsiteX7" fmla="*/ 8031 w 2076519"/>
              <a:gd name="connsiteY7" fmla="*/ 523786 h 1985413"/>
              <a:gd name="connsiteX0" fmla="*/ 0 w 2076519"/>
              <a:gd name="connsiteY0" fmla="*/ 492619 h 1985413"/>
              <a:gd name="connsiteX1" fmla="*/ 1518107 w 2076519"/>
              <a:gd name="connsiteY1" fmla="*/ 1972843 h 1985413"/>
              <a:gd name="connsiteX0" fmla="*/ 8031 w 2076519"/>
              <a:gd name="connsiteY0" fmla="*/ 532668 h 1994295"/>
              <a:gd name="connsiteX1" fmla="*/ 1396275 w 2076519"/>
              <a:gd name="connsiteY1" fmla="*/ 36575 h 1994295"/>
              <a:gd name="connsiteX2" fmla="*/ 1832183 w 2076519"/>
              <a:gd name="connsiteY2" fmla="*/ 67331 h 1994295"/>
              <a:gd name="connsiteX3" fmla="*/ 2017705 w 2076519"/>
              <a:gd name="connsiteY3" fmla="*/ 461498 h 1994295"/>
              <a:gd name="connsiteX4" fmla="*/ 2040457 w 2076519"/>
              <a:gd name="connsiteY4" fmla="*/ 835395 h 1994295"/>
              <a:gd name="connsiteX5" fmla="*/ 1590933 w 2076519"/>
              <a:gd name="connsiteY5" fmla="*/ 1994295 h 1994295"/>
              <a:gd name="connsiteX6" fmla="*/ 724916 w 2076519"/>
              <a:gd name="connsiteY6" fmla="*/ 1297984 h 1994295"/>
              <a:gd name="connsiteX7" fmla="*/ 8031 w 2076519"/>
              <a:gd name="connsiteY7" fmla="*/ 532668 h 1994295"/>
              <a:gd name="connsiteX0" fmla="*/ 0 w 2076519"/>
              <a:gd name="connsiteY0" fmla="*/ 501501 h 1994295"/>
              <a:gd name="connsiteX1" fmla="*/ 1518107 w 2076519"/>
              <a:gd name="connsiteY1" fmla="*/ 1981725 h 1994295"/>
              <a:gd name="connsiteX0" fmla="*/ 8031 w 2076519"/>
              <a:gd name="connsiteY0" fmla="*/ 532668 h 1994295"/>
              <a:gd name="connsiteX1" fmla="*/ 1396275 w 2076519"/>
              <a:gd name="connsiteY1" fmla="*/ 36575 h 1994295"/>
              <a:gd name="connsiteX2" fmla="*/ 1832183 w 2076519"/>
              <a:gd name="connsiteY2" fmla="*/ 67331 h 1994295"/>
              <a:gd name="connsiteX3" fmla="*/ 2017705 w 2076519"/>
              <a:gd name="connsiteY3" fmla="*/ 461498 h 1994295"/>
              <a:gd name="connsiteX4" fmla="*/ 2040457 w 2076519"/>
              <a:gd name="connsiteY4" fmla="*/ 835395 h 1994295"/>
              <a:gd name="connsiteX5" fmla="*/ 1590933 w 2076519"/>
              <a:gd name="connsiteY5" fmla="*/ 1994295 h 1994295"/>
              <a:gd name="connsiteX6" fmla="*/ 724916 w 2076519"/>
              <a:gd name="connsiteY6" fmla="*/ 1297984 h 1994295"/>
              <a:gd name="connsiteX7" fmla="*/ 8031 w 2076519"/>
              <a:gd name="connsiteY7" fmla="*/ 532668 h 1994295"/>
              <a:gd name="connsiteX0" fmla="*/ 0 w 2076519"/>
              <a:gd name="connsiteY0" fmla="*/ 501501 h 1994295"/>
              <a:gd name="connsiteX1" fmla="*/ 1518107 w 2076519"/>
              <a:gd name="connsiteY1" fmla="*/ 1981725 h 1994295"/>
              <a:gd name="connsiteX0" fmla="*/ 75617 w 2144105"/>
              <a:gd name="connsiteY0" fmla="*/ 532668 h 1994295"/>
              <a:gd name="connsiteX1" fmla="*/ 1463861 w 2144105"/>
              <a:gd name="connsiteY1" fmla="*/ 36575 h 1994295"/>
              <a:gd name="connsiteX2" fmla="*/ 1899769 w 2144105"/>
              <a:gd name="connsiteY2" fmla="*/ 67331 h 1994295"/>
              <a:gd name="connsiteX3" fmla="*/ 2085291 w 2144105"/>
              <a:gd name="connsiteY3" fmla="*/ 461498 h 1994295"/>
              <a:gd name="connsiteX4" fmla="*/ 2108043 w 2144105"/>
              <a:gd name="connsiteY4" fmla="*/ 835395 h 1994295"/>
              <a:gd name="connsiteX5" fmla="*/ 1658519 w 2144105"/>
              <a:gd name="connsiteY5" fmla="*/ 1994295 h 1994295"/>
              <a:gd name="connsiteX6" fmla="*/ 792502 w 2144105"/>
              <a:gd name="connsiteY6" fmla="*/ 1297984 h 1994295"/>
              <a:gd name="connsiteX7" fmla="*/ 75617 w 2144105"/>
              <a:gd name="connsiteY7" fmla="*/ 532668 h 1994295"/>
              <a:gd name="connsiteX0" fmla="*/ 0 w 2144105"/>
              <a:gd name="connsiteY0" fmla="*/ 556275 h 1994295"/>
              <a:gd name="connsiteX1" fmla="*/ 1585693 w 2144105"/>
              <a:gd name="connsiteY1" fmla="*/ 1981725 h 1994295"/>
              <a:gd name="connsiteX0" fmla="*/ 32206 w 2100694"/>
              <a:gd name="connsiteY0" fmla="*/ 532668 h 1994295"/>
              <a:gd name="connsiteX1" fmla="*/ 1420450 w 2100694"/>
              <a:gd name="connsiteY1" fmla="*/ 36575 h 1994295"/>
              <a:gd name="connsiteX2" fmla="*/ 1856358 w 2100694"/>
              <a:gd name="connsiteY2" fmla="*/ 67331 h 1994295"/>
              <a:gd name="connsiteX3" fmla="*/ 2041880 w 2100694"/>
              <a:gd name="connsiteY3" fmla="*/ 461498 h 1994295"/>
              <a:gd name="connsiteX4" fmla="*/ 2064632 w 2100694"/>
              <a:gd name="connsiteY4" fmla="*/ 835395 h 1994295"/>
              <a:gd name="connsiteX5" fmla="*/ 1615108 w 2100694"/>
              <a:gd name="connsiteY5" fmla="*/ 1994295 h 1994295"/>
              <a:gd name="connsiteX6" fmla="*/ 749091 w 2100694"/>
              <a:gd name="connsiteY6" fmla="*/ 1297984 h 1994295"/>
              <a:gd name="connsiteX7" fmla="*/ 32206 w 2100694"/>
              <a:gd name="connsiteY7" fmla="*/ 532668 h 1994295"/>
              <a:gd name="connsiteX0" fmla="*/ 0 w 2100694"/>
              <a:gd name="connsiteY0" fmla="*/ 545817 h 1994295"/>
              <a:gd name="connsiteX1" fmla="*/ 1542282 w 2100694"/>
              <a:gd name="connsiteY1" fmla="*/ 1981725 h 1994295"/>
              <a:gd name="connsiteX0" fmla="*/ 32206 w 2100694"/>
              <a:gd name="connsiteY0" fmla="*/ 532668 h 1994295"/>
              <a:gd name="connsiteX1" fmla="*/ 1420450 w 2100694"/>
              <a:gd name="connsiteY1" fmla="*/ 36575 h 1994295"/>
              <a:gd name="connsiteX2" fmla="*/ 1856358 w 2100694"/>
              <a:gd name="connsiteY2" fmla="*/ 67331 h 1994295"/>
              <a:gd name="connsiteX3" fmla="*/ 2041880 w 2100694"/>
              <a:gd name="connsiteY3" fmla="*/ 461498 h 1994295"/>
              <a:gd name="connsiteX4" fmla="*/ 2064632 w 2100694"/>
              <a:gd name="connsiteY4" fmla="*/ 835395 h 1994295"/>
              <a:gd name="connsiteX5" fmla="*/ 1615108 w 2100694"/>
              <a:gd name="connsiteY5" fmla="*/ 1994295 h 1994295"/>
              <a:gd name="connsiteX6" fmla="*/ 749091 w 2100694"/>
              <a:gd name="connsiteY6" fmla="*/ 1297984 h 1994295"/>
              <a:gd name="connsiteX7" fmla="*/ 32206 w 2100694"/>
              <a:gd name="connsiteY7" fmla="*/ 532668 h 1994295"/>
              <a:gd name="connsiteX0" fmla="*/ 0 w 2100694"/>
              <a:gd name="connsiteY0" fmla="*/ 545817 h 1994295"/>
              <a:gd name="connsiteX1" fmla="*/ 1542282 w 2100694"/>
              <a:gd name="connsiteY1" fmla="*/ 1981725 h 1994295"/>
              <a:gd name="connsiteX0" fmla="*/ 32206 w 2100694"/>
              <a:gd name="connsiteY0" fmla="*/ 532668 h 1994295"/>
              <a:gd name="connsiteX1" fmla="*/ 1420450 w 2100694"/>
              <a:gd name="connsiteY1" fmla="*/ 36575 h 1994295"/>
              <a:gd name="connsiteX2" fmla="*/ 1856358 w 2100694"/>
              <a:gd name="connsiteY2" fmla="*/ 67331 h 1994295"/>
              <a:gd name="connsiteX3" fmla="*/ 2041880 w 2100694"/>
              <a:gd name="connsiteY3" fmla="*/ 461498 h 1994295"/>
              <a:gd name="connsiteX4" fmla="*/ 2064632 w 2100694"/>
              <a:gd name="connsiteY4" fmla="*/ 835395 h 1994295"/>
              <a:gd name="connsiteX5" fmla="*/ 1615108 w 2100694"/>
              <a:gd name="connsiteY5" fmla="*/ 1994295 h 1994295"/>
              <a:gd name="connsiteX6" fmla="*/ 749091 w 2100694"/>
              <a:gd name="connsiteY6" fmla="*/ 1297984 h 1994295"/>
              <a:gd name="connsiteX7" fmla="*/ 32206 w 2100694"/>
              <a:gd name="connsiteY7" fmla="*/ 532668 h 1994295"/>
              <a:gd name="connsiteX0" fmla="*/ 0 w 2100694"/>
              <a:gd name="connsiteY0" fmla="*/ 545817 h 1994295"/>
              <a:gd name="connsiteX1" fmla="*/ 1542282 w 2100694"/>
              <a:gd name="connsiteY1" fmla="*/ 1981725 h 1994295"/>
              <a:gd name="connsiteX0" fmla="*/ 32206 w 2100694"/>
              <a:gd name="connsiteY0" fmla="*/ 532668 h 1994295"/>
              <a:gd name="connsiteX1" fmla="*/ 1420450 w 2100694"/>
              <a:gd name="connsiteY1" fmla="*/ 36575 h 1994295"/>
              <a:gd name="connsiteX2" fmla="*/ 1856358 w 2100694"/>
              <a:gd name="connsiteY2" fmla="*/ 67331 h 1994295"/>
              <a:gd name="connsiteX3" fmla="*/ 2041880 w 2100694"/>
              <a:gd name="connsiteY3" fmla="*/ 461498 h 1994295"/>
              <a:gd name="connsiteX4" fmla="*/ 2064632 w 2100694"/>
              <a:gd name="connsiteY4" fmla="*/ 835395 h 1994295"/>
              <a:gd name="connsiteX5" fmla="*/ 1615108 w 2100694"/>
              <a:gd name="connsiteY5" fmla="*/ 1994295 h 1994295"/>
              <a:gd name="connsiteX6" fmla="*/ 749091 w 2100694"/>
              <a:gd name="connsiteY6" fmla="*/ 1297984 h 1994295"/>
              <a:gd name="connsiteX7" fmla="*/ 32206 w 2100694"/>
              <a:gd name="connsiteY7" fmla="*/ 532668 h 1994295"/>
              <a:gd name="connsiteX0" fmla="*/ 0 w 2100694"/>
              <a:gd name="connsiteY0" fmla="*/ 545817 h 1994295"/>
              <a:gd name="connsiteX1" fmla="*/ 1542282 w 2100694"/>
              <a:gd name="connsiteY1" fmla="*/ 1981725 h 1994295"/>
              <a:gd name="connsiteX0" fmla="*/ 32206 w 2100694"/>
              <a:gd name="connsiteY0" fmla="*/ 532668 h 1994295"/>
              <a:gd name="connsiteX1" fmla="*/ 1420450 w 2100694"/>
              <a:gd name="connsiteY1" fmla="*/ 36575 h 1994295"/>
              <a:gd name="connsiteX2" fmla="*/ 1856358 w 2100694"/>
              <a:gd name="connsiteY2" fmla="*/ 67331 h 1994295"/>
              <a:gd name="connsiteX3" fmla="*/ 2041880 w 2100694"/>
              <a:gd name="connsiteY3" fmla="*/ 461498 h 1994295"/>
              <a:gd name="connsiteX4" fmla="*/ 2064632 w 2100694"/>
              <a:gd name="connsiteY4" fmla="*/ 835395 h 1994295"/>
              <a:gd name="connsiteX5" fmla="*/ 1615108 w 2100694"/>
              <a:gd name="connsiteY5" fmla="*/ 1994295 h 1994295"/>
              <a:gd name="connsiteX6" fmla="*/ 749091 w 2100694"/>
              <a:gd name="connsiteY6" fmla="*/ 1297984 h 1994295"/>
              <a:gd name="connsiteX7" fmla="*/ 32206 w 2100694"/>
              <a:gd name="connsiteY7" fmla="*/ 532668 h 1994295"/>
              <a:gd name="connsiteX0" fmla="*/ 0 w 2100694"/>
              <a:gd name="connsiteY0" fmla="*/ 545817 h 1994295"/>
              <a:gd name="connsiteX1" fmla="*/ 1542282 w 2100694"/>
              <a:gd name="connsiteY1" fmla="*/ 1981725 h 1994295"/>
              <a:gd name="connsiteX0" fmla="*/ 32206 w 2100694"/>
              <a:gd name="connsiteY0" fmla="*/ 532668 h 1994295"/>
              <a:gd name="connsiteX1" fmla="*/ 1420450 w 2100694"/>
              <a:gd name="connsiteY1" fmla="*/ 36575 h 1994295"/>
              <a:gd name="connsiteX2" fmla="*/ 1856358 w 2100694"/>
              <a:gd name="connsiteY2" fmla="*/ 67331 h 1994295"/>
              <a:gd name="connsiteX3" fmla="*/ 2041880 w 2100694"/>
              <a:gd name="connsiteY3" fmla="*/ 461498 h 1994295"/>
              <a:gd name="connsiteX4" fmla="*/ 2064632 w 2100694"/>
              <a:gd name="connsiteY4" fmla="*/ 835395 h 1994295"/>
              <a:gd name="connsiteX5" fmla="*/ 1615108 w 2100694"/>
              <a:gd name="connsiteY5" fmla="*/ 1994295 h 1994295"/>
              <a:gd name="connsiteX6" fmla="*/ 749091 w 2100694"/>
              <a:gd name="connsiteY6" fmla="*/ 1297984 h 1994295"/>
              <a:gd name="connsiteX7" fmla="*/ 32206 w 2100694"/>
              <a:gd name="connsiteY7" fmla="*/ 532668 h 1994295"/>
              <a:gd name="connsiteX0" fmla="*/ 0 w 2100694"/>
              <a:gd name="connsiteY0" fmla="*/ 545817 h 1994295"/>
              <a:gd name="connsiteX1" fmla="*/ 1542282 w 2100694"/>
              <a:gd name="connsiteY1" fmla="*/ 1981725 h 1994295"/>
              <a:gd name="connsiteX0" fmla="*/ 32206 w 2100694"/>
              <a:gd name="connsiteY0" fmla="*/ 532668 h 1994295"/>
              <a:gd name="connsiteX1" fmla="*/ 1420450 w 2100694"/>
              <a:gd name="connsiteY1" fmla="*/ 36575 h 1994295"/>
              <a:gd name="connsiteX2" fmla="*/ 1856358 w 2100694"/>
              <a:gd name="connsiteY2" fmla="*/ 67331 h 1994295"/>
              <a:gd name="connsiteX3" fmla="*/ 2041880 w 2100694"/>
              <a:gd name="connsiteY3" fmla="*/ 461498 h 1994295"/>
              <a:gd name="connsiteX4" fmla="*/ 2064632 w 2100694"/>
              <a:gd name="connsiteY4" fmla="*/ 835395 h 1994295"/>
              <a:gd name="connsiteX5" fmla="*/ 1615108 w 2100694"/>
              <a:gd name="connsiteY5" fmla="*/ 1994295 h 1994295"/>
              <a:gd name="connsiteX6" fmla="*/ 749091 w 2100694"/>
              <a:gd name="connsiteY6" fmla="*/ 1297984 h 1994295"/>
              <a:gd name="connsiteX7" fmla="*/ 32206 w 2100694"/>
              <a:gd name="connsiteY7" fmla="*/ 532668 h 1994295"/>
              <a:gd name="connsiteX0" fmla="*/ 0 w 2100694"/>
              <a:gd name="connsiteY0" fmla="*/ 545817 h 1994295"/>
              <a:gd name="connsiteX1" fmla="*/ 1542282 w 2100694"/>
              <a:gd name="connsiteY1" fmla="*/ 1981725 h 1994295"/>
              <a:gd name="connsiteX0" fmla="*/ 32206 w 2100694"/>
              <a:gd name="connsiteY0" fmla="*/ 532668 h 1994295"/>
              <a:gd name="connsiteX1" fmla="*/ 1420450 w 2100694"/>
              <a:gd name="connsiteY1" fmla="*/ 36575 h 1994295"/>
              <a:gd name="connsiteX2" fmla="*/ 1856358 w 2100694"/>
              <a:gd name="connsiteY2" fmla="*/ 67331 h 1994295"/>
              <a:gd name="connsiteX3" fmla="*/ 2041880 w 2100694"/>
              <a:gd name="connsiteY3" fmla="*/ 461498 h 1994295"/>
              <a:gd name="connsiteX4" fmla="*/ 2064632 w 2100694"/>
              <a:gd name="connsiteY4" fmla="*/ 835395 h 1994295"/>
              <a:gd name="connsiteX5" fmla="*/ 1615108 w 2100694"/>
              <a:gd name="connsiteY5" fmla="*/ 1994295 h 1994295"/>
              <a:gd name="connsiteX6" fmla="*/ 749091 w 2100694"/>
              <a:gd name="connsiteY6" fmla="*/ 1297984 h 1994295"/>
              <a:gd name="connsiteX7" fmla="*/ 32206 w 2100694"/>
              <a:gd name="connsiteY7" fmla="*/ 532668 h 1994295"/>
              <a:gd name="connsiteX0" fmla="*/ 0 w 2100694"/>
              <a:gd name="connsiteY0" fmla="*/ 545817 h 1994295"/>
              <a:gd name="connsiteX1" fmla="*/ 1542282 w 2100694"/>
              <a:gd name="connsiteY1" fmla="*/ 1981725 h 1994295"/>
              <a:gd name="connsiteX0" fmla="*/ 32206 w 2100694"/>
              <a:gd name="connsiteY0" fmla="*/ 532668 h 1994295"/>
              <a:gd name="connsiteX1" fmla="*/ 1420450 w 2100694"/>
              <a:gd name="connsiteY1" fmla="*/ 36575 h 1994295"/>
              <a:gd name="connsiteX2" fmla="*/ 1856358 w 2100694"/>
              <a:gd name="connsiteY2" fmla="*/ 67331 h 1994295"/>
              <a:gd name="connsiteX3" fmla="*/ 2041880 w 2100694"/>
              <a:gd name="connsiteY3" fmla="*/ 461498 h 1994295"/>
              <a:gd name="connsiteX4" fmla="*/ 2064632 w 2100694"/>
              <a:gd name="connsiteY4" fmla="*/ 835395 h 1994295"/>
              <a:gd name="connsiteX5" fmla="*/ 1615108 w 2100694"/>
              <a:gd name="connsiteY5" fmla="*/ 1994295 h 1994295"/>
              <a:gd name="connsiteX6" fmla="*/ 749091 w 2100694"/>
              <a:gd name="connsiteY6" fmla="*/ 1297984 h 1994295"/>
              <a:gd name="connsiteX7" fmla="*/ 32206 w 2100694"/>
              <a:gd name="connsiteY7" fmla="*/ 532668 h 1994295"/>
              <a:gd name="connsiteX0" fmla="*/ 0 w 2100694"/>
              <a:gd name="connsiteY0" fmla="*/ 545817 h 1994295"/>
              <a:gd name="connsiteX1" fmla="*/ 1542282 w 2100694"/>
              <a:gd name="connsiteY1" fmla="*/ 1981725 h 1994295"/>
              <a:gd name="connsiteX0" fmla="*/ 32206 w 2100694"/>
              <a:gd name="connsiteY0" fmla="*/ 532668 h 1994295"/>
              <a:gd name="connsiteX1" fmla="*/ 1420450 w 2100694"/>
              <a:gd name="connsiteY1" fmla="*/ 36575 h 1994295"/>
              <a:gd name="connsiteX2" fmla="*/ 1856358 w 2100694"/>
              <a:gd name="connsiteY2" fmla="*/ 67331 h 1994295"/>
              <a:gd name="connsiteX3" fmla="*/ 2041880 w 2100694"/>
              <a:gd name="connsiteY3" fmla="*/ 461498 h 1994295"/>
              <a:gd name="connsiteX4" fmla="*/ 2064632 w 2100694"/>
              <a:gd name="connsiteY4" fmla="*/ 835395 h 1994295"/>
              <a:gd name="connsiteX5" fmla="*/ 1615108 w 2100694"/>
              <a:gd name="connsiteY5" fmla="*/ 1994295 h 1994295"/>
              <a:gd name="connsiteX6" fmla="*/ 749091 w 2100694"/>
              <a:gd name="connsiteY6" fmla="*/ 1297984 h 1994295"/>
              <a:gd name="connsiteX7" fmla="*/ 32206 w 2100694"/>
              <a:gd name="connsiteY7" fmla="*/ 532668 h 1994295"/>
              <a:gd name="connsiteX0" fmla="*/ 0 w 2100694"/>
              <a:gd name="connsiteY0" fmla="*/ 545817 h 1994295"/>
              <a:gd name="connsiteX1" fmla="*/ 1542282 w 2100694"/>
              <a:gd name="connsiteY1" fmla="*/ 1981725 h 1994295"/>
              <a:gd name="connsiteX0" fmla="*/ 32206 w 2100694"/>
              <a:gd name="connsiteY0" fmla="*/ 532668 h 1994295"/>
              <a:gd name="connsiteX1" fmla="*/ 1420450 w 2100694"/>
              <a:gd name="connsiteY1" fmla="*/ 36575 h 1994295"/>
              <a:gd name="connsiteX2" fmla="*/ 1856358 w 2100694"/>
              <a:gd name="connsiteY2" fmla="*/ 67331 h 1994295"/>
              <a:gd name="connsiteX3" fmla="*/ 2041880 w 2100694"/>
              <a:gd name="connsiteY3" fmla="*/ 461498 h 1994295"/>
              <a:gd name="connsiteX4" fmla="*/ 2064632 w 2100694"/>
              <a:gd name="connsiteY4" fmla="*/ 835395 h 1994295"/>
              <a:gd name="connsiteX5" fmla="*/ 1615108 w 2100694"/>
              <a:gd name="connsiteY5" fmla="*/ 1994295 h 1994295"/>
              <a:gd name="connsiteX6" fmla="*/ 749091 w 2100694"/>
              <a:gd name="connsiteY6" fmla="*/ 1297984 h 1994295"/>
              <a:gd name="connsiteX7" fmla="*/ 32206 w 2100694"/>
              <a:gd name="connsiteY7" fmla="*/ 532668 h 1994295"/>
              <a:gd name="connsiteX0" fmla="*/ 0 w 2100694"/>
              <a:gd name="connsiteY0" fmla="*/ 545817 h 1994295"/>
              <a:gd name="connsiteX1" fmla="*/ 1542282 w 2100694"/>
              <a:gd name="connsiteY1" fmla="*/ 1981725 h 1994295"/>
              <a:gd name="connsiteX0" fmla="*/ 32206 w 2100694"/>
              <a:gd name="connsiteY0" fmla="*/ 532668 h 1994295"/>
              <a:gd name="connsiteX1" fmla="*/ 1420450 w 2100694"/>
              <a:gd name="connsiteY1" fmla="*/ 36575 h 1994295"/>
              <a:gd name="connsiteX2" fmla="*/ 1856358 w 2100694"/>
              <a:gd name="connsiteY2" fmla="*/ 67331 h 1994295"/>
              <a:gd name="connsiteX3" fmla="*/ 2041880 w 2100694"/>
              <a:gd name="connsiteY3" fmla="*/ 461498 h 1994295"/>
              <a:gd name="connsiteX4" fmla="*/ 2064632 w 2100694"/>
              <a:gd name="connsiteY4" fmla="*/ 835395 h 1994295"/>
              <a:gd name="connsiteX5" fmla="*/ 1615108 w 2100694"/>
              <a:gd name="connsiteY5" fmla="*/ 1994295 h 1994295"/>
              <a:gd name="connsiteX6" fmla="*/ 749091 w 2100694"/>
              <a:gd name="connsiteY6" fmla="*/ 1297984 h 1994295"/>
              <a:gd name="connsiteX7" fmla="*/ 32206 w 2100694"/>
              <a:gd name="connsiteY7" fmla="*/ 532668 h 1994295"/>
              <a:gd name="connsiteX0" fmla="*/ 0 w 2100694"/>
              <a:gd name="connsiteY0" fmla="*/ 545817 h 1994295"/>
              <a:gd name="connsiteX1" fmla="*/ 1542282 w 2100694"/>
              <a:gd name="connsiteY1" fmla="*/ 1981725 h 1994295"/>
              <a:gd name="connsiteX0" fmla="*/ 32206 w 2100694"/>
              <a:gd name="connsiteY0" fmla="*/ 532668 h 1994295"/>
              <a:gd name="connsiteX1" fmla="*/ 1420450 w 2100694"/>
              <a:gd name="connsiteY1" fmla="*/ 36575 h 1994295"/>
              <a:gd name="connsiteX2" fmla="*/ 1856358 w 2100694"/>
              <a:gd name="connsiteY2" fmla="*/ 67331 h 1994295"/>
              <a:gd name="connsiteX3" fmla="*/ 2041880 w 2100694"/>
              <a:gd name="connsiteY3" fmla="*/ 461498 h 1994295"/>
              <a:gd name="connsiteX4" fmla="*/ 2064632 w 2100694"/>
              <a:gd name="connsiteY4" fmla="*/ 835395 h 1994295"/>
              <a:gd name="connsiteX5" fmla="*/ 1615108 w 2100694"/>
              <a:gd name="connsiteY5" fmla="*/ 1994295 h 1994295"/>
              <a:gd name="connsiteX6" fmla="*/ 749091 w 2100694"/>
              <a:gd name="connsiteY6" fmla="*/ 1297984 h 1994295"/>
              <a:gd name="connsiteX7" fmla="*/ 32206 w 2100694"/>
              <a:gd name="connsiteY7" fmla="*/ 532668 h 1994295"/>
              <a:gd name="connsiteX0" fmla="*/ 0 w 2100694"/>
              <a:gd name="connsiteY0" fmla="*/ 545817 h 1994295"/>
              <a:gd name="connsiteX1" fmla="*/ 1542282 w 2100694"/>
              <a:gd name="connsiteY1" fmla="*/ 1981725 h 1994295"/>
              <a:gd name="connsiteX0" fmla="*/ 32206 w 2100694"/>
              <a:gd name="connsiteY0" fmla="*/ 532668 h 1994295"/>
              <a:gd name="connsiteX1" fmla="*/ 1420450 w 2100694"/>
              <a:gd name="connsiteY1" fmla="*/ 36575 h 1994295"/>
              <a:gd name="connsiteX2" fmla="*/ 1856358 w 2100694"/>
              <a:gd name="connsiteY2" fmla="*/ 67331 h 1994295"/>
              <a:gd name="connsiteX3" fmla="*/ 2041880 w 2100694"/>
              <a:gd name="connsiteY3" fmla="*/ 461498 h 1994295"/>
              <a:gd name="connsiteX4" fmla="*/ 2064632 w 2100694"/>
              <a:gd name="connsiteY4" fmla="*/ 835395 h 1994295"/>
              <a:gd name="connsiteX5" fmla="*/ 1615108 w 2100694"/>
              <a:gd name="connsiteY5" fmla="*/ 1994295 h 1994295"/>
              <a:gd name="connsiteX6" fmla="*/ 749091 w 2100694"/>
              <a:gd name="connsiteY6" fmla="*/ 1297984 h 1994295"/>
              <a:gd name="connsiteX7" fmla="*/ 32206 w 2100694"/>
              <a:gd name="connsiteY7" fmla="*/ 532668 h 1994295"/>
              <a:gd name="connsiteX0" fmla="*/ 0 w 2100694"/>
              <a:gd name="connsiteY0" fmla="*/ 545817 h 1994295"/>
              <a:gd name="connsiteX1" fmla="*/ 1542282 w 2100694"/>
              <a:gd name="connsiteY1" fmla="*/ 1981725 h 1994295"/>
              <a:gd name="connsiteX0" fmla="*/ 32206 w 2100694"/>
              <a:gd name="connsiteY0" fmla="*/ 532668 h 1994295"/>
              <a:gd name="connsiteX1" fmla="*/ 1420450 w 2100694"/>
              <a:gd name="connsiteY1" fmla="*/ 36575 h 1994295"/>
              <a:gd name="connsiteX2" fmla="*/ 1856358 w 2100694"/>
              <a:gd name="connsiteY2" fmla="*/ 67331 h 1994295"/>
              <a:gd name="connsiteX3" fmla="*/ 2041880 w 2100694"/>
              <a:gd name="connsiteY3" fmla="*/ 461498 h 1994295"/>
              <a:gd name="connsiteX4" fmla="*/ 2064632 w 2100694"/>
              <a:gd name="connsiteY4" fmla="*/ 835395 h 1994295"/>
              <a:gd name="connsiteX5" fmla="*/ 1615108 w 2100694"/>
              <a:gd name="connsiteY5" fmla="*/ 1994295 h 1994295"/>
              <a:gd name="connsiteX6" fmla="*/ 749091 w 2100694"/>
              <a:gd name="connsiteY6" fmla="*/ 1297984 h 1994295"/>
              <a:gd name="connsiteX7" fmla="*/ 32206 w 2100694"/>
              <a:gd name="connsiteY7" fmla="*/ 532668 h 1994295"/>
              <a:gd name="connsiteX0" fmla="*/ 0 w 2100694"/>
              <a:gd name="connsiteY0" fmla="*/ 545817 h 1994295"/>
              <a:gd name="connsiteX1" fmla="*/ 1542282 w 2100694"/>
              <a:gd name="connsiteY1" fmla="*/ 1981725 h 1994295"/>
              <a:gd name="connsiteX0" fmla="*/ 32206 w 2100694"/>
              <a:gd name="connsiteY0" fmla="*/ 532668 h 1994295"/>
              <a:gd name="connsiteX1" fmla="*/ 1420450 w 2100694"/>
              <a:gd name="connsiteY1" fmla="*/ 36575 h 1994295"/>
              <a:gd name="connsiteX2" fmla="*/ 1856358 w 2100694"/>
              <a:gd name="connsiteY2" fmla="*/ 67331 h 1994295"/>
              <a:gd name="connsiteX3" fmla="*/ 2041880 w 2100694"/>
              <a:gd name="connsiteY3" fmla="*/ 461498 h 1994295"/>
              <a:gd name="connsiteX4" fmla="*/ 2064632 w 2100694"/>
              <a:gd name="connsiteY4" fmla="*/ 835395 h 1994295"/>
              <a:gd name="connsiteX5" fmla="*/ 1615108 w 2100694"/>
              <a:gd name="connsiteY5" fmla="*/ 1994295 h 1994295"/>
              <a:gd name="connsiteX6" fmla="*/ 749091 w 2100694"/>
              <a:gd name="connsiteY6" fmla="*/ 1297984 h 1994295"/>
              <a:gd name="connsiteX7" fmla="*/ 32206 w 2100694"/>
              <a:gd name="connsiteY7" fmla="*/ 532668 h 1994295"/>
              <a:gd name="connsiteX0" fmla="*/ 0 w 2100694"/>
              <a:gd name="connsiteY0" fmla="*/ 545817 h 1994295"/>
              <a:gd name="connsiteX1" fmla="*/ 1542282 w 2100694"/>
              <a:gd name="connsiteY1" fmla="*/ 1981725 h 1994295"/>
              <a:gd name="connsiteX0" fmla="*/ 32206 w 2100694"/>
              <a:gd name="connsiteY0" fmla="*/ 544466 h 2006093"/>
              <a:gd name="connsiteX1" fmla="*/ 1420450 w 2100694"/>
              <a:gd name="connsiteY1" fmla="*/ 48373 h 2006093"/>
              <a:gd name="connsiteX2" fmla="*/ 1856358 w 2100694"/>
              <a:gd name="connsiteY2" fmla="*/ 79129 h 2006093"/>
              <a:gd name="connsiteX3" fmla="*/ 2041880 w 2100694"/>
              <a:gd name="connsiteY3" fmla="*/ 473296 h 2006093"/>
              <a:gd name="connsiteX4" fmla="*/ 2064632 w 2100694"/>
              <a:gd name="connsiteY4" fmla="*/ 847193 h 2006093"/>
              <a:gd name="connsiteX5" fmla="*/ 1615108 w 2100694"/>
              <a:gd name="connsiteY5" fmla="*/ 2006093 h 2006093"/>
              <a:gd name="connsiteX6" fmla="*/ 749091 w 2100694"/>
              <a:gd name="connsiteY6" fmla="*/ 1309782 h 2006093"/>
              <a:gd name="connsiteX7" fmla="*/ 32206 w 2100694"/>
              <a:gd name="connsiteY7" fmla="*/ 544466 h 2006093"/>
              <a:gd name="connsiteX0" fmla="*/ 0 w 2100694"/>
              <a:gd name="connsiteY0" fmla="*/ 557615 h 2006093"/>
              <a:gd name="connsiteX1" fmla="*/ 1542282 w 2100694"/>
              <a:gd name="connsiteY1" fmla="*/ 1993523 h 2006093"/>
              <a:gd name="connsiteX0" fmla="*/ 32206 w 2100694"/>
              <a:gd name="connsiteY0" fmla="*/ 532669 h 1994296"/>
              <a:gd name="connsiteX1" fmla="*/ 1420450 w 2100694"/>
              <a:gd name="connsiteY1" fmla="*/ 36576 h 1994296"/>
              <a:gd name="connsiteX2" fmla="*/ 1856358 w 2100694"/>
              <a:gd name="connsiteY2" fmla="*/ 67332 h 1994296"/>
              <a:gd name="connsiteX3" fmla="*/ 2041880 w 2100694"/>
              <a:gd name="connsiteY3" fmla="*/ 461499 h 1994296"/>
              <a:gd name="connsiteX4" fmla="*/ 2064632 w 2100694"/>
              <a:gd name="connsiteY4" fmla="*/ 835396 h 1994296"/>
              <a:gd name="connsiteX5" fmla="*/ 1615108 w 2100694"/>
              <a:gd name="connsiteY5" fmla="*/ 1994296 h 1994296"/>
              <a:gd name="connsiteX6" fmla="*/ 749091 w 2100694"/>
              <a:gd name="connsiteY6" fmla="*/ 1297985 h 1994296"/>
              <a:gd name="connsiteX7" fmla="*/ 32206 w 2100694"/>
              <a:gd name="connsiteY7" fmla="*/ 532669 h 1994296"/>
              <a:gd name="connsiteX0" fmla="*/ 0 w 2100694"/>
              <a:gd name="connsiteY0" fmla="*/ 545818 h 1994296"/>
              <a:gd name="connsiteX1" fmla="*/ 1542282 w 2100694"/>
              <a:gd name="connsiteY1" fmla="*/ 1981726 h 1994296"/>
              <a:gd name="connsiteX0" fmla="*/ 32206 w 2100694"/>
              <a:gd name="connsiteY0" fmla="*/ 540406 h 2002033"/>
              <a:gd name="connsiteX1" fmla="*/ 1420450 w 2100694"/>
              <a:gd name="connsiteY1" fmla="*/ 44313 h 2002033"/>
              <a:gd name="connsiteX2" fmla="*/ 1856358 w 2100694"/>
              <a:gd name="connsiteY2" fmla="*/ 75069 h 2002033"/>
              <a:gd name="connsiteX3" fmla="*/ 2041880 w 2100694"/>
              <a:gd name="connsiteY3" fmla="*/ 469236 h 2002033"/>
              <a:gd name="connsiteX4" fmla="*/ 2064632 w 2100694"/>
              <a:gd name="connsiteY4" fmla="*/ 843133 h 2002033"/>
              <a:gd name="connsiteX5" fmla="*/ 1615108 w 2100694"/>
              <a:gd name="connsiteY5" fmla="*/ 2002033 h 2002033"/>
              <a:gd name="connsiteX6" fmla="*/ 749091 w 2100694"/>
              <a:gd name="connsiteY6" fmla="*/ 1305722 h 2002033"/>
              <a:gd name="connsiteX7" fmla="*/ 32206 w 2100694"/>
              <a:gd name="connsiteY7" fmla="*/ 540406 h 2002033"/>
              <a:gd name="connsiteX0" fmla="*/ 0 w 2100694"/>
              <a:gd name="connsiteY0" fmla="*/ 553555 h 2002033"/>
              <a:gd name="connsiteX1" fmla="*/ 1542282 w 2100694"/>
              <a:gd name="connsiteY1" fmla="*/ 1989463 h 2002033"/>
              <a:gd name="connsiteX0" fmla="*/ 32206 w 2100694"/>
              <a:gd name="connsiteY0" fmla="*/ 532669 h 1994296"/>
              <a:gd name="connsiteX1" fmla="*/ 1420450 w 2100694"/>
              <a:gd name="connsiteY1" fmla="*/ 36576 h 1994296"/>
              <a:gd name="connsiteX2" fmla="*/ 1856358 w 2100694"/>
              <a:gd name="connsiteY2" fmla="*/ 67332 h 1994296"/>
              <a:gd name="connsiteX3" fmla="*/ 2041880 w 2100694"/>
              <a:gd name="connsiteY3" fmla="*/ 461499 h 1994296"/>
              <a:gd name="connsiteX4" fmla="*/ 2064632 w 2100694"/>
              <a:gd name="connsiteY4" fmla="*/ 835396 h 1994296"/>
              <a:gd name="connsiteX5" fmla="*/ 1615108 w 2100694"/>
              <a:gd name="connsiteY5" fmla="*/ 1994296 h 1994296"/>
              <a:gd name="connsiteX6" fmla="*/ 749091 w 2100694"/>
              <a:gd name="connsiteY6" fmla="*/ 1297985 h 1994296"/>
              <a:gd name="connsiteX7" fmla="*/ 32206 w 2100694"/>
              <a:gd name="connsiteY7" fmla="*/ 532669 h 1994296"/>
              <a:gd name="connsiteX0" fmla="*/ 0 w 2100694"/>
              <a:gd name="connsiteY0" fmla="*/ 545818 h 1994296"/>
              <a:gd name="connsiteX1" fmla="*/ 1542282 w 2100694"/>
              <a:gd name="connsiteY1" fmla="*/ 1981726 h 1994296"/>
              <a:gd name="connsiteX0" fmla="*/ 32206 w 2100694"/>
              <a:gd name="connsiteY0" fmla="*/ 561670 h 2023297"/>
              <a:gd name="connsiteX1" fmla="*/ 1420450 w 2100694"/>
              <a:gd name="connsiteY1" fmla="*/ 65577 h 2023297"/>
              <a:gd name="connsiteX2" fmla="*/ 1856358 w 2100694"/>
              <a:gd name="connsiteY2" fmla="*/ 96333 h 2023297"/>
              <a:gd name="connsiteX3" fmla="*/ 2041880 w 2100694"/>
              <a:gd name="connsiteY3" fmla="*/ 490500 h 2023297"/>
              <a:gd name="connsiteX4" fmla="*/ 2064632 w 2100694"/>
              <a:gd name="connsiteY4" fmla="*/ 864397 h 2023297"/>
              <a:gd name="connsiteX5" fmla="*/ 1615108 w 2100694"/>
              <a:gd name="connsiteY5" fmla="*/ 2023297 h 2023297"/>
              <a:gd name="connsiteX6" fmla="*/ 749091 w 2100694"/>
              <a:gd name="connsiteY6" fmla="*/ 1326986 h 2023297"/>
              <a:gd name="connsiteX7" fmla="*/ 32206 w 2100694"/>
              <a:gd name="connsiteY7" fmla="*/ 561670 h 2023297"/>
              <a:gd name="connsiteX0" fmla="*/ 0 w 2100694"/>
              <a:gd name="connsiteY0" fmla="*/ 574819 h 2023297"/>
              <a:gd name="connsiteX1" fmla="*/ 1542282 w 2100694"/>
              <a:gd name="connsiteY1" fmla="*/ 2010727 h 2023297"/>
              <a:gd name="connsiteX0" fmla="*/ 32206 w 2100694"/>
              <a:gd name="connsiteY0" fmla="*/ 532669 h 2332981"/>
              <a:gd name="connsiteX1" fmla="*/ 1420450 w 2100694"/>
              <a:gd name="connsiteY1" fmla="*/ 36576 h 2332981"/>
              <a:gd name="connsiteX2" fmla="*/ 1856358 w 2100694"/>
              <a:gd name="connsiteY2" fmla="*/ 67332 h 2332981"/>
              <a:gd name="connsiteX3" fmla="*/ 2041880 w 2100694"/>
              <a:gd name="connsiteY3" fmla="*/ 461499 h 2332981"/>
              <a:gd name="connsiteX4" fmla="*/ 2064632 w 2100694"/>
              <a:gd name="connsiteY4" fmla="*/ 835396 h 2332981"/>
              <a:gd name="connsiteX5" fmla="*/ 1615108 w 2100694"/>
              <a:gd name="connsiteY5" fmla="*/ 1994296 h 2332981"/>
              <a:gd name="connsiteX6" fmla="*/ 749091 w 2100694"/>
              <a:gd name="connsiteY6" fmla="*/ 1297985 h 2332981"/>
              <a:gd name="connsiteX7" fmla="*/ 32206 w 2100694"/>
              <a:gd name="connsiteY7" fmla="*/ 532669 h 2332981"/>
              <a:gd name="connsiteX0" fmla="*/ 0 w 2100694"/>
              <a:gd name="connsiteY0" fmla="*/ 545818 h 2332981"/>
              <a:gd name="connsiteX1" fmla="*/ 1627588 w 2100694"/>
              <a:gd name="connsiteY1" fmla="*/ 2332981 h 2332981"/>
              <a:gd name="connsiteX0" fmla="*/ 0 w 2086758"/>
              <a:gd name="connsiteY0" fmla="*/ 892821 h 2693133"/>
              <a:gd name="connsiteX1" fmla="*/ 1388244 w 2086758"/>
              <a:gd name="connsiteY1" fmla="*/ 396728 h 2693133"/>
              <a:gd name="connsiteX2" fmla="*/ 1824152 w 2086758"/>
              <a:gd name="connsiteY2" fmla="*/ 427484 h 2693133"/>
              <a:gd name="connsiteX3" fmla="*/ 2009674 w 2086758"/>
              <a:gd name="connsiteY3" fmla="*/ 821651 h 2693133"/>
              <a:gd name="connsiteX4" fmla="*/ 2032426 w 2086758"/>
              <a:gd name="connsiteY4" fmla="*/ 1195548 h 2693133"/>
              <a:gd name="connsiteX5" fmla="*/ 1582902 w 2086758"/>
              <a:gd name="connsiteY5" fmla="*/ 2354448 h 2693133"/>
              <a:gd name="connsiteX6" fmla="*/ 716885 w 2086758"/>
              <a:gd name="connsiteY6" fmla="*/ 1658137 h 2693133"/>
              <a:gd name="connsiteX7" fmla="*/ 0 w 2086758"/>
              <a:gd name="connsiteY7" fmla="*/ 892821 h 2693133"/>
              <a:gd name="connsiteX0" fmla="*/ 92483 w 2086758"/>
              <a:gd name="connsiteY0" fmla="*/ 421229 h 2693133"/>
              <a:gd name="connsiteX1" fmla="*/ 1595382 w 2086758"/>
              <a:gd name="connsiteY1" fmla="*/ 2693133 h 2693133"/>
              <a:gd name="connsiteX0" fmla="*/ 0 w 2086758"/>
              <a:gd name="connsiteY0" fmla="*/ 892821 h 2699383"/>
              <a:gd name="connsiteX1" fmla="*/ 1388244 w 2086758"/>
              <a:gd name="connsiteY1" fmla="*/ 396728 h 2699383"/>
              <a:gd name="connsiteX2" fmla="*/ 1824152 w 2086758"/>
              <a:gd name="connsiteY2" fmla="*/ 427484 h 2699383"/>
              <a:gd name="connsiteX3" fmla="*/ 2009674 w 2086758"/>
              <a:gd name="connsiteY3" fmla="*/ 821651 h 2699383"/>
              <a:gd name="connsiteX4" fmla="*/ 2032426 w 2086758"/>
              <a:gd name="connsiteY4" fmla="*/ 1195548 h 2699383"/>
              <a:gd name="connsiteX5" fmla="*/ 1606064 w 2086758"/>
              <a:gd name="connsiteY5" fmla="*/ 2699383 h 2699383"/>
              <a:gd name="connsiteX6" fmla="*/ 716885 w 2086758"/>
              <a:gd name="connsiteY6" fmla="*/ 1658137 h 2699383"/>
              <a:gd name="connsiteX7" fmla="*/ 0 w 2086758"/>
              <a:gd name="connsiteY7" fmla="*/ 892821 h 2699383"/>
              <a:gd name="connsiteX0" fmla="*/ 92483 w 2086758"/>
              <a:gd name="connsiteY0" fmla="*/ 421229 h 2699383"/>
              <a:gd name="connsiteX1" fmla="*/ 1595382 w 2086758"/>
              <a:gd name="connsiteY1" fmla="*/ 2693133 h 2699383"/>
              <a:gd name="connsiteX0" fmla="*/ 0 w 2022820"/>
              <a:gd name="connsiteY0" fmla="*/ 445026 h 2699383"/>
              <a:gd name="connsiteX1" fmla="*/ 1324306 w 2022820"/>
              <a:gd name="connsiteY1" fmla="*/ 396728 h 2699383"/>
              <a:gd name="connsiteX2" fmla="*/ 1760214 w 2022820"/>
              <a:gd name="connsiteY2" fmla="*/ 427484 h 2699383"/>
              <a:gd name="connsiteX3" fmla="*/ 1945736 w 2022820"/>
              <a:gd name="connsiteY3" fmla="*/ 821651 h 2699383"/>
              <a:gd name="connsiteX4" fmla="*/ 1968488 w 2022820"/>
              <a:gd name="connsiteY4" fmla="*/ 1195548 h 2699383"/>
              <a:gd name="connsiteX5" fmla="*/ 1542126 w 2022820"/>
              <a:gd name="connsiteY5" fmla="*/ 2699383 h 2699383"/>
              <a:gd name="connsiteX6" fmla="*/ 652947 w 2022820"/>
              <a:gd name="connsiteY6" fmla="*/ 1658137 h 2699383"/>
              <a:gd name="connsiteX7" fmla="*/ 0 w 2022820"/>
              <a:gd name="connsiteY7" fmla="*/ 445026 h 2699383"/>
              <a:gd name="connsiteX0" fmla="*/ 28545 w 2022820"/>
              <a:gd name="connsiteY0" fmla="*/ 421229 h 2699383"/>
              <a:gd name="connsiteX1" fmla="*/ 1531444 w 2022820"/>
              <a:gd name="connsiteY1" fmla="*/ 2693133 h 2699383"/>
              <a:gd name="connsiteX0" fmla="*/ 11723 w 2025999"/>
              <a:gd name="connsiteY0" fmla="*/ 405608 h 2659965"/>
              <a:gd name="connsiteX1" fmla="*/ 1336029 w 2025999"/>
              <a:gd name="connsiteY1" fmla="*/ 357310 h 2659965"/>
              <a:gd name="connsiteX2" fmla="*/ 1771937 w 2025999"/>
              <a:gd name="connsiteY2" fmla="*/ 388066 h 2659965"/>
              <a:gd name="connsiteX3" fmla="*/ 1957459 w 2025999"/>
              <a:gd name="connsiteY3" fmla="*/ 782233 h 2659965"/>
              <a:gd name="connsiteX4" fmla="*/ 1980211 w 2025999"/>
              <a:gd name="connsiteY4" fmla="*/ 1156130 h 2659965"/>
              <a:gd name="connsiteX5" fmla="*/ 1553849 w 2025999"/>
              <a:gd name="connsiteY5" fmla="*/ 2659965 h 2659965"/>
              <a:gd name="connsiteX6" fmla="*/ 664670 w 2025999"/>
              <a:gd name="connsiteY6" fmla="*/ 1618719 h 2659965"/>
              <a:gd name="connsiteX7" fmla="*/ 11723 w 2025999"/>
              <a:gd name="connsiteY7" fmla="*/ 405608 h 2659965"/>
              <a:gd name="connsiteX0" fmla="*/ 0 w 2025999"/>
              <a:gd name="connsiteY0" fmla="*/ 427722 h 2659965"/>
              <a:gd name="connsiteX1" fmla="*/ 1543167 w 2025999"/>
              <a:gd name="connsiteY1" fmla="*/ 2653715 h 2659965"/>
              <a:gd name="connsiteX0" fmla="*/ 11723 w 2025999"/>
              <a:gd name="connsiteY0" fmla="*/ 405608 h 2659965"/>
              <a:gd name="connsiteX1" fmla="*/ 1336029 w 2025999"/>
              <a:gd name="connsiteY1" fmla="*/ 357310 h 2659965"/>
              <a:gd name="connsiteX2" fmla="*/ 1771937 w 2025999"/>
              <a:gd name="connsiteY2" fmla="*/ 388066 h 2659965"/>
              <a:gd name="connsiteX3" fmla="*/ 1957459 w 2025999"/>
              <a:gd name="connsiteY3" fmla="*/ 782233 h 2659965"/>
              <a:gd name="connsiteX4" fmla="*/ 1980211 w 2025999"/>
              <a:gd name="connsiteY4" fmla="*/ 1156130 h 2659965"/>
              <a:gd name="connsiteX5" fmla="*/ 1553849 w 2025999"/>
              <a:gd name="connsiteY5" fmla="*/ 2659965 h 2659965"/>
              <a:gd name="connsiteX6" fmla="*/ 730806 w 2025999"/>
              <a:gd name="connsiteY6" fmla="*/ 1506436 h 2659965"/>
              <a:gd name="connsiteX7" fmla="*/ 11723 w 2025999"/>
              <a:gd name="connsiteY7" fmla="*/ 405608 h 2659965"/>
              <a:gd name="connsiteX0" fmla="*/ 0 w 2025999"/>
              <a:gd name="connsiteY0" fmla="*/ 427722 h 2659965"/>
              <a:gd name="connsiteX1" fmla="*/ 1543167 w 2025999"/>
              <a:gd name="connsiteY1" fmla="*/ 2653715 h 2659965"/>
              <a:gd name="connsiteX0" fmla="*/ 11723 w 2025999"/>
              <a:gd name="connsiteY0" fmla="*/ 405608 h 2659965"/>
              <a:gd name="connsiteX1" fmla="*/ 1336029 w 2025999"/>
              <a:gd name="connsiteY1" fmla="*/ 357310 h 2659965"/>
              <a:gd name="connsiteX2" fmla="*/ 1771937 w 2025999"/>
              <a:gd name="connsiteY2" fmla="*/ 388066 h 2659965"/>
              <a:gd name="connsiteX3" fmla="*/ 1957459 w 2025999"/>
              <a:gd name="connsiteY3" fmla="*/ 782233 h 2659965"/>
              <a:gd name="connsiteX4" fmla="*/ 1980211 w 2025999"/>
              <a:gd name="connsiteY4" fmla="*/ 1156130 h 2659965"/>
              <a:gd name="connsiteX5" fmla="*/ 1553849 w 2025999"/>
              <a:gd name="connsiteY5" fmla="*/ 2659965 h 2659965"/>
              <a:gd name="connsiteX6" fmla="*/ 730806 w 2025999"/>
              <a:gd name="connsiteY6" fmla="*/ 1506436 h 2659965"/>
              <a:gd name="connsiteX7" fmla="*/ 11723 w 2025999"/>
              <a:gd name="connsiteY7" fmla="*/ 405608 h 2659965"/>
              <a:gd name="connsiteX0" fmla="*/ 0 w 2025999"/>
              <a:gd name="connsiteY0" fmla="*/ 427722 h 2659965"/>
              <a:gd name="connsiteX1" fmla="*/ 1543167 w 2025999"/>
              <a:gd name="connsiteY1" fmla="*/ 2653715 h 2659965"/>
              <a:gd name="connsiteX0" fmla="*/ 11723 w 2025999"/>
              <a:gd name="connsiteY0" fmla="*/ 405608 h 2659965"/>
              <a:gd name="connsiteX1" fmla="*/ 1258146 w 2025999"/>
              <a:gd name="connsiteY1" fmla="*/ 40155 h 2659965"/>
              <a:gd name="connsiteX2" fmla="*/ 1771937 w 2025999"/>
              <a:gd name="connsiteY2" fmla="*/ 388066 h 2659965"/>
              <a:gd name="connsiteX3" fmla="*/ 1957459 w 2025999"/>
              <a:gd name="connsiteY3" fmla="*/ 782233 h 2659965"/>
              <a:gd name="connsiteX4" fmla="*/ 1980211 w 2025999"/>
              <a:gd name="connsiteY4" fmla="*/ 1156130 h 2659965"/>
              <a:gd name="connsiteX5" fmla="*/ 1553849 w 2025999"/>
              <a:gd name="connsiteY5" fmla="*/ 2659965 h 2659965"/>
              <a:gd name="connsiteX6" fmla="*/ 730806 w 2025999"/>
              <a:gd name="connsiteY6" fmla="*/ 1506436 h 2659965"/>
              <a:gd name="connsiteX7" fmla="*/ 11723 w 2025999"/>
              <a:gd name="connsiteY7" fmla="*/ 405608 h 2659965"/>
              <a:gd name="connsiteX0" fmla="*/ 0 w 2025999"/>
              <a:gd name="connsiteY0" fmla="*/ 427722 h 2659965"/>
              <a:gd name="connsiteX1" fmla="*/ 1543167 w 2025999"/>
              <a:gd name="connsiteY1" fmla="*/ 2653715 h 2659965"/>
              <a:gd name="connsiteX0" fmla="*/ 11723 w 2021269"/>
              <a:gd name="connsiteY0" fmla="*/ 424207 h 2678564"/>
              <a:gd name="connsiteX1" fmla="*/ 1258146 w 2021269"/>
              <a:gd name="connsiteY1" fmla="*/ 58754 h 2678564"/>
              <a:gd name="connsiteX2" fmla="*/ 1771937 w 2021269"/>
              <a:gd name="connsiteY2" fmla="*/ 406665 h 2678564"/>
              <a:gd name="connsiteX3" fmla="*/ 1957459 w 2021269"/>
              <a:gd name="connsiteY3" fmla="*/ 800832 h 2678564"/>
              <a:gd name="connsiteX4" fmla="*/ 1980211 w 2021269"/>
              <a:gd name="connsiteY4" fmla="*/ 1174729 h 2678564"/>
              <a:gd name="connsiteX5" fmla="*/ 1553849 w 2021269"/>
              <a:gd name="connsiteY5" fmla="*/ 2678564 h 2678564"/>
              <a:gd name="connsiteX6" fmla="*/ 730806 w 2021269"/>
              <a:gd name="connsiteY6" fmla="*/ 1525035 h 2678564"/>
              <a:gd name="connsiteX7" fmla="*/ 11723 w 2021269"/>
              <a:gd name="connsiteY7" fmla="*/ 424207 h 2678564"/>
              <a:gd name="connsiteX0" fmla="*/ 0 w 2021269"/>
              <a:gd name="connsiteY0" fmla="*/ 446321 h 2678564"/>
              <a:gd name="connsiteX1" fmla="*/ 1543167 w 2021269"/>
              <a:gd name="connsiteY1" fmla="*/ 2672314 h 2678564"/>
              <a:gd name="connsiteX0" fmla="*/ 11723 w 2016273"/>
              <a:gd name="connsiteY0" fmla="*/ 533807 h 2788164"/>
              <a:gd name="connsiteX1" fmla="*/ 1258146 w 2016273"/>
              <a:gd name="connsiteY1" fmla="*/ 168354 h 2788164"/>
              <a:gd name="connsiteX2" fmla="*/ 1771937 w 2016273"/>
              <a:gd name="connsiteY2" fmla="*/ 516265 h 2788164"/>
              <a:gd name="connsiteX3" fmla="*/ 1957459 w 2016273"/>
              <a:gd name="connsiteY3" fmla="*/ 910432 h 2788164"/>
              <a:gd name="connsiteX4" fmla="*/ 1980211 w 2016273"/>
              <a:gd name="connsiteY4" fmla="*/ 1284329 h 2788164"/>
              <a:gd name="connsiteX5" fmla="*/ 1553849 w 2016273"/>
              <a:gd name="connsiteY5" fmla="*/ 2788164 h 2788164"/>
              <a:gd name="connsiteX6" fmla="*/ 730806 w 2016273"/>
              <a:gd name="connsiteY6" fmla="*/ 1634635 h 2788164"/>
              <a:gd name="connsiteX7" fmla="*/ 11723 w 2016273"/>
              <a:gd name="connsiteY7" fmla="*/ 533807 h 2788164"/>
              <a:gd name="connsiteX0" fmla="*/ 0 w 2016273"/>
              <a:gd name="connsiteY0" fmla="*/ 555921 h 2788164"/>
              <a:gd name="connsiteX1" fmla="*/ 1543167 w 2016273"/>
              <a:gd name="connsiteY1" fmla="*/ 2781914 h 2788164"/>
              <a:gd name="connsiteX0" fmla="*/ 11723 w 2016273"/>
              <a:gd name="connsiteY0" fmla="*/ 686797 h 2941154"/>
              <a:gd name="connsiteX1" fmla="*/ 1258146 w 2016273"/>
              <a:gd name="connsiteY1" fmla="*/ 321344 h 2941154"/>
              <a:gd name="connsiteX2" fmla="*/ 1771937 w 2016273"/>
              <a:gd name="connsiteY2" fmla="*/ 669255 h 2941154"/>
              <a:gd name="connsiteX3" fmla="*/ 1957459 w 2016273"/>
              <a:gd name="connsiteY3" fmla="*/ 1063422 h 2941154"/>
              <a:gd name="connsiteX4" fmla="*/ 1980211 w 2016273"/>
              <a:gd name="connsiteY4" fmla="*/ 1437319 h 2941154"/>
              <a:gd name="connsiteX5" fmla="*/ 1553849 w 2016273"/>
              <a:gd name="connsiteY5" fmla="*/ 2941154 h 2941154"/>
              <a:gd name="connsiteX6" fmla="*/ 730806 w 2016273"/>
              <a:gd name="connsiteY6" fmla="*/ 1787625 h 2941154"/>
              <a:gd name="connsiteX7" fmla="*/ 11723 w 2016273"/>
              <a:gd name="connsiteY7" fmla="*/ 686797 h 2941154"/>
              <a:gd name="connsiteX0" fmla="*/ 0 w 2016273"/>
              <a:gd name="connsiteY0" fmla="*/ 708911 h 2941154"/>
              <a:gd name="connsiteX1" fmla="*/ 1543167 w 2016273"/>
              <a:gd name="connsiteY1" fmla="*/ 2934904 h 2941154"/>
              <a:gd name="connsiteX0" fmla="*/ 11723 w 2016273"/>
              <a:gd name="connsiteY0" fmla="*/ 621401 h 2875758"/>
              <a:gd name="connsiteX1" fmla="*/ 1258146 w 2016273"/>
              <a:gd name="connsiteY1" fmla="*/ 255948 h 2875758"/>
              <a:gd name="connsiteX2" fmla="*/ 1771937 w 2016273"/>
              <a:gd name="connsiteY2" fmla="*/ 603859 h 2875758"/>
              <a:gd name="connsiteX3" fmla="*/ 1957459 w 2016273"/>
              <a:gd name="connsiteY3" fmla="*/ 998026 h 2875758"/>
              <a:gd name="connsiteX4" fmla="*/ 1980211 w 2016273"/>
              <a:gd name="connsiteY4" fmla="*/ 1371923 h 2875758"/>
              <a:gd name="connsiteX5" fmla="*/ 1553849 w 2016273"/>
              <a:gd name="connsiteY5" fmla="*/ 2875758 h 2875758"/>
              <a:gd name="connsiteX6" fmla="*/ 730806 w 2016273"/>
              <a:gd name="connsiteY6" fmla="*/ 1722229 h 2875758"/>
              <a:gd name="connsiteX7" fmla="*/ 11723 w 2016273"/>
              <a:gd name="connsiteY7" fmla="*/ 621401 h 2875758"/>
              <a:gd name="connsiteX0" fmla="*/ 0 w 2016273"/>
              <a:gd name="connsiteY0" fmla="*/ 643515 h 2875758"/>
              <a:gd name="connsiteX1" fmla="*/ 1543167 w 2016273"/>
              <a:gd name="connsiteY1" fmla="*/ 2869508 h 2875758"/>
              <a:gd name="connsiteX0" fmla="*/ 11723 w 2016273"/>
              <a:gd name="connsiteY0" fmla="*/ 632629 h 2886986"/>
              <a:gd name="connsiteX1" fmla="*/ 1258146 w 2016273"/>
              <a:gd name="connsiteY1" fmla="*/ 267176 h 2886986"/>
              <a:gd name="connsiteX2" fmla="*/ 1771937 w 2016273"/>
              <a:gd name="connsiteY2" fmla="*/ 615087 h 2886986"/>
              <a:gd name="connsiteX3" fmla="*/ 1957459 w 2016273"/>
              <a:gd name="connsiteY3" fmla="*/ 1009254 h 2886986"/>
              <a:gd name="connsiteX4" fmla="*/ 1980211 w 2016273"/>
              <a:gd name="connsiteY4" fmla="*/ 1383151 h 2886986"/>
              <a:gd name="connsiteX5" fmla="*/ 1553849 w 2016273"/>
              <a:gd name="connsiteY5" fmla="*/ 2886986 h 2886986"/>
              <a:gd name="connsiteX6" fmla="*/ 730806 w 2016273"/>
              <a:gd name="connsiteY6" fmla="*/ 1733457 h 2886986"/>
              <a:gd name="connsiteX7" fmla="*/ 11723 w 2016273"/>
              <a:gd name="connsiteY7" fmla="*/ 632629 h 2886986"/>
              <a:gd name="connsiteX0" fmla="*/ 0 w 2016273"/>
              <a:gd name="connsiteY0" fmla="*/ 654743 h 2886986"/>
              <a:gd name="connsiteX1" fmla="*/ 1532389 w 2016273"/>
              <a:gd name="connsiteY1" fmla="*/ 2816605 h 2886986"/>
              <a:gd name="connsiteX0" fmla="*/ 27197 w 2031747"/>
              <a:gd name="connsiteY0" fmla="*/ 568328 h 2822685"/>
              <a:gd name="connsiteX1" fmla="*/ 1273620 w 2031747"/>
              <a:gd name="connsiteY1" fmla="*/ 202875 h 2822685"/>
              <a:gd name="connsiteX2" fmla="*/ 1787411 w 2031747"/>
              <a:gd name="connsiteY2" fmla="*/ 550786 h 2822685"/>
              <a:gd name="connsiteX3" fmla="*/ 1972933 w 2031747"/>
              <a:gd name="connsiteY3" fmla="*/ 944953 h 2822685"/>
              <a:gd name="connsiteX4" fmla="*/ 1995685 w 2031747"/>
              <a:gd name="connsiteY4" fmla="*/ 1318850 h 2822685"/>
              <a:gd name="connsiteX5" fmla="*/ 1569323 w 2031747"/>
              <a:gd name="connsiteY5" fmla="*/ 2822685 h 2822685"/>
              <a:gd name="connsiteX6" fmla="*/ 746280 w 2031747"/>
              <a:gd name="connsiteY6" fmla="*/ 1669156 h 2822685"/>
              <a:gd name="connsiteX7" fmla="*/ 27197 w 2031747"/>
              <a:gd name="connsiteY7" fmla="*/ 568328 h 2822685"/>
              <a:gd name="connsiteX0" fmla="*/ 0 w 2031747"/>
              <a:gd name="connsiteY0" fmla="*/ 668981 h 2822685"/>
              <a:gd name="connsiteX1" fmla="*/ 1547863 w 2031747"/>
              <a:gd name="connsiteY1" fmla="*/ 2752304 h 282268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2031747" h="2822685" stroke="0" extrusionOk="0">
                <a:moveTo>
                  <a:pt x="27197" y="568328"/>
                </a:moveTo>
                <a:cubicBezTo>
                  <a:pt x="150236" y="379497"/>
                  <a:pt x="986660" y="270920"/>
                  <a:pt x="1273620" y="202875"/>
                </a:cubicBezTo>
                <a:cubicBezTo>
                  <a:pt x="1560580" y="134830"/>
                  <a:pt x="1687090" y="488589"/>
                  <a:pt x="1787411" y="550786"/>
                </a:cubicBezTo>
                <a:cubicBezTo>
                  <a:pt x="1887732" y="612983"/>
                  <a:pt x="1932719" y="823045"/>
                  <a:pt x="1972933" y="944953"/>
                </a:cubicBezTo>
                <a:cubicBezTo>
                  <a:pt x="2013148" y="1066861"/>
                  <a:pt x="2069763" y="1063210"/>
                  <a:pt x="1995685" y="1318850"/>
                </a:cubicBezTo>
                <a:cubicBezTo>
                  <a:pt x="2048420" y="1548275"/>
                  <a:pt x="1759137" y="2710181"/>
                  <a:pt x="1569323" y="2822685"/>
                </a:cubicBezTo>
                <a:lnTo>
                  <a:pt x="746280" y="1669156"/>
                </a:lnTo>
                <a:cubicBezTo>
                  <a:pt x="489566" y="1283236"/>
                  <a:pt x="27197" y="824935"/>
                  <a:pt x="27197" y="568328"/>
                </a:cubicBezTo>
                <a:close/>
              </a:path>
              <a:path w="2031747" h="2822685" fill="none">
                <a:moveTo>
                  <a:pt x="0" y="668981"/>
                </a:moveTo>
                <a:cubicBezTo>
                  <a:pt x="1222728" y="-1046796"/>
                  <a:pt x="2673376" y="861853"/>
                  <a:pt x="1547863" y="2752304"/>
                </a:cubicBezTo>
              </a:path>
            </a:pathLst>
          </a:custGeom>
          <a:ln w="28575"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" name="Arc 43">
            <a:extLst>
              <a:ext uri="{FF2B5EF4-FFF2-40B4-BE49-F238E27FC236}">
                <a16:creationId xmlns:a16="http://schemas.microsoft.com/office/drawing/2014/main" id="{DAA39E89-C538-433A-8710-720ADD396018}"/>
              </a:ext>
            </a:extLst>
          </xdr:cNvPr>
          <xdr:cNvSpPr/>
        </xdr:nvSpPr>
        <xdr:spPr>
          <a:xfrm rot="16651778">
            <a:off x="3537309" y="2543580"/>
            <a:ext cx="9361960" cy="6282664"/>
          </a:xfrm>
          <a:custGeom>
            <a:avLst/>
            <a:gdLst>
              <a:gd name="connsiteX0" fmla="*/ 3252470 w 6504941"/>
              <a:gd name="connsiteY0" fmla="*/ 0 h 2282132"/>
              <a:gd name="connsiteX1" fmla="*/ 6504941 w 6504941"/>
              <a:gd name="connsiteY1" fmla="*/ 1141066 h 2282132"/>
              <a:gd name="connsiteX2" fmla="*/ 3252471 w 6504941"/>
              <a:gd name="connsiteY2" fmla="*/ 1141066 h 2282132"/>
              <a:gd name="connsiteX3" fmla="*/ 3252470 w 6504941"/>
              <a:gd name="connsiteY3" fmla="*/ 0 h 2282132"/>
              <a:gd name="connsiteX0" fmla="*/ 3252470 w 6504941"/>
              <a:gd name="connsiteY0" fmla="*/ 0 h 2282132"/>
              <a:gd name="connsiteX1" fmla="*/ 6504941 w 6504941"/>
              <a:gd name="connsiteY1" fmla="*/ 1141066 h 2282132"/>
              <a:gd name="connsiteX0" fmla="*/ 0 w 3277052"/>
              <a:gd name="connsiteY0" fmla="*/ 0 h 1327062"/>
              <a:gd name="connsiteX1" fmla="*/ 3252471 w 3277052"/>
              <a:gd name="connsiteY1" fmla="*/ 1141066 h 1327062"/>
              <a:gd name="connsiteX2" fmla="*/ 1 w 3277052"/>
              <a:gd name="connsiteY2" fmla="*/ 1141066 h 1327062"/>
              <a:gd name="connsiteX3" fmla="*/ 0 w 3277052"/>
              <a:gd name="connsiteY3" fmla="*/ 0 h 1327062"/>
              <a:gd name="connsiteX0" fmla="*/ 0 w 3277052"/>
              <a:gd name="connsiteY0" fmla="*/ 0 h 1327062"/>
              <a:gd name="connsiteX1" fmla="*/ 3277052 w 3277052"/>
              <a:gd name="connsiteY1" fmla="*/ 1327062 h 1327062"/>
              <a:gd name="connsiteX0" fmla="*/ 0 w 3252471"/>
              <a:gd name="connsiteY0" fmla="*/ 0 h 1141066"/>
              <a:gd name="connsiteX1" fmla="*/ 3252471 w 3252471"/>
              <a:gd name="connsiteY1" fmla="*/ 1141066 h 1141066"/>
              <a:gd name="connsiteX2" fmla="*/ 1 w 3252471"/>
              <a:gd name="connsiteY2" fmla="*/ 1141066 h 1141066"/>
              <a:gd name="connsiteX3" fmla="*/ 0 w 3252471"/>
              <a:gd name="connsiteY3" fmla="*/ 0 h 1141066"/>
              <a:gd name="connsiteX0" fmla="*/ 0 w 3252471"/>
              <a:gd name="connsiteY0" fmla="*/ 0 h 1141066"/>
              <a:gd name="connsiteX1" fmla="*/ 3237361 w 3252471"/>
              <a:gd name="connsiteY1" fmla="*/ 1027895 h 1141066"/>
              <a:gd name="connsiteX0" fmla="*/ 0 w 3252471"/>
              <a:gd name="connsiteY0" fmla="*/ 289681 h 1430747"/>
              <a:gd name="connsiteX1" fmla="*/ 3252471 w 3252471"/>
              <a:gd name="connsiteY1" fmla="*/ 1430747 h 1430747"/>
              <a:gd name="connsiteX2" fmla="*/ 1 w 3252471"/>
              <a:gd name="connsiteY2" fmla="*/ 1430747 h 1430747"/>
              <a:gd name="connsiteX3" fmla="*/ 0 w 3252471"/>
              <a:gd name="connsiteY3" fmla="*/ 289681 h 1430747"/>
              <a:gd name="connsiteX0" fmla="*/ 0 w 3252471"/>
              <a:gd name="connsiteY0" fmla="*/ 289681 h 1430747"/>
              <a:gd name="connsiteX1" fmla="*/ 3237361 w 3252471"/>
              <a:gd name="connsiteY1" fmla="*/ 1317576 h 1430747"/>
              <a:gd name="connsiteX0" fmla="*/ 4129887 w 7382358"/>
              <a:gd name="connsiteY0" fmla="*/ 0 h 1659967"/>
              <a:gd name="connsiteX1" fmla="*/ 7382358 w 7382358"/>
              <a:gd name="connsiteY1" fmla="*/ 1141066 h 1659967"/>
              <a:gd name="connsiteX2" fmla="*/ 4129888 w 7382358"/>
              <a:gd name="connsiteY2" fmla="*/ 1141066 h 1659967"/>
              <a:gd name="connsiteX3" fmla="*/ 4129887 w 7382358"/>
              <a:gd name="connsiteY3" fmla="*/ 0 h 1659967"/>
              <a:gd name="connsiteX0" fmla="*/ 0 w 7382358"/>
              <a:gd name="connsiteY0" fmla="*/ 1659967 h 1659967"/>
              <a:gd name="connsiteX1" fmla="*/ 7367248 w 7382358"/>
              <a:gd name="connsiteY1" fmla="*/ 1027895 h 1659967"/>
              <a:gd name="connsiteX0" fmla="*/ 6346737 w 9599208"/>
              <a:gd name="connsiteY0" fmla="*/ 0 h 2385919"/>
              <a:gd name="connsiteX1" fmla="*/ 9599208 w 9599208"/>
              <a:gd name="connsiteY1" fmla="*/ 1141066 h 2385919"/>
              <a:gd name="connsiteX2" fmla="*/ 6346738 w 9599208"/>
              <a:gd name="connsiteY2" fmla="*/ 1141066 h 2385919"/>
              <a:gd name="connsiteX3" fmla="*/ 6346737 w 9599208"/>
              <a:gd name="connsiteY3" fmla="*/ 0 h 2385919"/>
              <a:gd name="connsiteX0" fmla="*/ 0 w 9599208"/>
              <a:gd name="connsiteY0" fmla="*/ 2385919 h 2385919"/>
              <a:gd name="connsiteX1" fmla="*/ 9584098 w 9599208"/>
              <a:gd name="connsiteY1" fmla="*/ 1027895 h 2385919"/>
              <a:gd name="connsiteX0" fmla="*/ 6626313 w 9878784"/>
              <a:gd name="connsiteY0" fmla="*/ 2893387 h 5279306"/>
              <a:gd name="connsiteX1" fmla="*/ 9878784 w 9878784"/>
              <a:gd name="connsiteY1" fmla="*/ 4034453 h 5279306"/>
              <a:gd name="connsiteX2" fmla="*/ 6626314 w 9878784"/>
              <a:gd name="connsiteY2" fmla="*/ 4034453 h 5279306"/>
              <a:gd name="connsiteX3" fmla="*/ 6626313 w 9878784"/>
              <a:gd name="connsiteY3" fmla="*/ 2893387 h 5279306"/>
              <a:gd name="connsiteX0" fmla="*/ 279576 w 9878784"/>
              <a:gd name="connsiteY0" fmla="*/ 5279306 h 5279306"/>
              <a:gd name="connsiteX1" fmla="*/ 9863674 w 9878784"/>
              <a:gd name="connsiteY1" fmla="*/ 3921282 h 5279306"/>
              <a:gd name="connsiteX0" fmla="*/ 6626519 w 9878990"/>
              <a:gd name="connsiteY0" fmla="*/ 5752024 h 8137943"/>
              <a:gd name="connsiteX1" fmla="*/ 9878990 w 9878990"/>
              <a:gd name="connsiteY1" fmla="*/ 6893090 h 8137943"/>
              <a:gd name="connsiteX2" fmla="*/ 6626520 w 9878990"/>
              <a:gd name="connsiteY2" fmla="*/ 6893090 h 8137943"/>
              <a:gd name="connsiteX3" fmla="*/ 6626519 w 9878990"/>
              <a:gd name="connsiteY3" fmla="*/ 5752024 h 8137943"/>
              <a:gd name="connsiteX0" fmla="*/ 279782 w 9878990"/>
              <a:gd name="connsiteY0" fmla="*/ 8137943 h 8137943"/>
              <a:gd name="connsiteX1" fmla="*/ 9863880 w 9878990"/>
              <a:gd name="connsiteY1" fmla="*/ 6779919 h 8137943"/>
              <a:gd name="connsiteX0" fmla="*/ 6625851 w 9894631"/>
              <a:gd name="connsiteY0" fmla="*/ 5693856 h 8079775"/>
              <a:gd name="connsiteX1" fmla="*/ 9878322 w 9894631"/>
              <a:gd name="connsiteY1" fmla="*/ 6834922 h 8079775"/>
              <a:gd name="connsiteX2" fmla="*/ 6625852 w 9894631"/>
              <a:gd name="connsiteY2" fmla="*/ 6834922 h 8079775"/>
              <a:gd name="connsiteX3" fmla="*/ 6625851 w 9894631"/>
              <a:gd name="connsiteY3" fmla="*/ 5693856 h 8079775"/>
              <a:gd name="connsiteX0" fmla="*/ 279114 w 9894631"/>
              <a:gd name="connsiteY0" fmla="*/ 8079775 h 8079775"/>
              <a:gd name="connsiteX1" fmla="*/ 9894631 w 9894631"/>
              <a:gd name="connsiteY1" fmla="*/ 6826224 h 8079775"/>
              <a:gd name="connsiteX0" fmla="*/ 6625858 w 9894638"/>
              <a:gd name="connsiteY0" fmla="*/ 4867456 h 7253375"/>
              <a:gd name="connsiteX1" fmla="*/ 9878329 w 9894638"/>
              <a:gd name="connsiteY1" fmla="*/ 6008522 h 7253375"/>
              <a:gd name="connsiteX2" fmla="*/ 6625859 w 9894638"/>
              <a:gd name="connsiteY2" fmla="*/ 6008522 h 7253375"/>
              <a:gd name="connsiteX3" fmla="*/ 6625858 w 9894638"/>
              <a:gd name="connsiteY3" fmla="*/ 4867456 h 7253375"/>
              <a:gd name="connsiteX0" fmla="*/ 279121 w 9894638"/>
              <a:gd name="connsiteY0" fmla="*/ 7253375 h 7253375"/>
              <a:gd name="connsiteX1" fmla="*/ 9894638 w 9894638"/>
              <a:gd name="connsiteY1" fmla="*/ 5999824 h 7253375"/>
              <a:gd name="connsiteX0" fmla="*/ 6625721 w 9900978"/>
              <a:gd name="connsiteY0" fmla="*/ 4843897 h 7229816"/>
              <a:gd name="connsiteX1" fmla="*/ 9878192 w 9900978"/>
              <a:gd name="connsiteY1" fmla="*/ 5984963 h 7229816"/>
              <a:gd name="connsiteX2" fmla="*/ 6625722 w 9900978"/>
              <a:gd name="connsiteY2" fmla="*/ 5984963 h 7229816"/>
              <a:gd name="connsiteX3" fmla="*/ 6625721 w 9900978"/>
              <a:gd name="connsiteY3" fmla="*/ 4843897 h 7229816"/>
              <a:gd name="connsiteX0" fmla="*/ 278984 w 9900978"/>
              <a:gd name="connsiteY0" fmla="*/ 7229816 h 7229816"/>
              <a:gd name="connsiteX1" fmla="*/ 9900978 w 9900978"/>
              <a:gd name="connsiteY1" fmla="*/ 6021899 h 7229816"/>
              <a:gd name="connsiteX0" fmla="*/ 6593187 w 9868444"/>
              <a:gd name="connsiteY0" fmla="*/ 4169155 h 6555074"/>
              <a:gd name="connsiteX1" fmla="*/ 9845658 w 9868444"/>
              <a:gd name="connsiteY1" fmla="*/ 5310221 h 6555074"/>
              <a:gd name="connsiteX2" fmla="*/ 6593188 w 9868444"/>
              <a:gd name="connsiteY2" fmla="*/ 5310221 h 6555074"/>
              <a:gd name="connsiteX3" fmla="*/ 6593187 w 9868444"/>
              <a:gd name="connsiteY3" fmla="*/ 4169155 h 6555074"/>
              <a:gd name="connsiteX0" fmla="*/ 246450 w 9868444"/>
              <a:gd name="connsiteY0" fmla="*/ 6555074 h 6555074"/>
              <a:gd name="connsiteX1" fmla="*/ 9868444 w 9868444"/>
              <a:gd name="connsiteY1" fmla="*/ 5347157 h 6555074"/>
              <a:gd name="connsiteX0" fmla="*/ 6610434 w 9885691"/>
              <a:gd name="connsiteY0" fmla="*/ 3952429 h 6338348"/>
              <a:gd name="connsiteX1" fmla="*/ 9862905 w 9885691"/>
              <a:gd name="connsiteY1" fmla="*/ 5093495 h 6338348"/>
              <a:gd name="connsiteX2" fmla="*/ 6610435 w 9885691"/>
              <a:gd name="connsiteY2" fmla="*/ 5093495 h 6338348"/>
              <a:gd name="connsiteX3" fmla="*/ 6610434 w 9885691"/>
              <a:gd name="connsiteY3" fmla="*/ 3952429 h 6338348"/>
              <a:gd name="connsiteX0" fmla="*/ 263697 w 9885691"/>
              <a:gd name="connsiteY0" fmla="*/ 6338348 h 6338348"/>
              <a:gd name="connsiteX1" fmla="*/ 9885691 w 9885691"/>
              <a:gd name="connsiteY1" fmla="*/ 5130431 h 6338348"/>
              <a:gd name="connsiteX0" fmla="*/ 6431514 w 9706771"/>
              <a:gd name="connsiteY0" fmla="*/ 3849428 h 6235347"/>
              <a:gd name="connsiteX1" fmla="*/ 9683985 w 9706771"/>
              <a:gd name="connsiteY1" fmla="*/ 4990494 h 6235347"/>
              <a:gd name="connsiteX2" fmla="*/ 6431515 w 9706771"/>
              <a:gd name="connsiteY2" fmla="*/ 4990494 h 6235347"/>
              <a:gd name="connsiteX3" fmla="*/ 6431514 w 9706771"/>
              <a:gd name="connsiteY3" fmla="*/ 3849428 h 6235347"/>
              <a:gd name="connsiteX0" fmla="*/ 84777 w 9706771"/>
              <a:gd name="connsiteY0" fmla="*/ 6235347 h 6235347"/>
              <a:gd name="connsiteX1" fmla="*/ 9706771 w 9706771"/>
              <a:gd name="connsiteY1" fmla="*/ 5027430 h 6235347"/>
              <a:gd name="connsiteX0" fmla="*/ 6426946 w 9702203"/>
              <a:gd name="connsiteY0" fmla="*/ 3771579 h 6157498"/>
              <a:gd name="connsiteX1" fmla="*/ 9679417 w 9702203"/>
              <a:gd name="connsiteY1" fmla="*/ 4912645 h 6157498"/>
              <a:gd name="connsiteX2" fmla="*/ 6426947 w 9702203"/>
              <a:gd name="connsiteY2" fmla="*/ 4912645 h 6157498"/>
              <a:gd name="connsiteX3" fmla="*/ 6426946 w 9702203"/>
              <a:gd name="connsiteY3" fmla="*/ 3771579 h 6157498"/>
              <a:gd name="connsiteX0" fmla="*/ 80209 w 9702203"/>
              <a:gd name="connsiteY0" fmla="*/ 6157498 h 6157498"/>
              <a:gd name="connsiteX1" fmla="*/ 9702203 w 9702203"/>
              <a:gd name="connsiteY1" fmla="*/ 4949581 h 6157498"/>
              <a:gd name="connsiteX0" fmla="*/ 6426593 w 9701850"/>
              <a:gd name="connsiteY0" fmla="*/ 3686397 h 6072316"/>
              <a:gd name="connsiteX1" fmla="*/ 9679064 w 9701850"/>
              <a:gd name="connsiteY1" fmla="*/ 4827463 h 6072316"/>
              <a:gd name="connsiteX2" fmla="*/ 6426594 w 9701850"/>
              <a:gd name="connsiteY2" fmla="*/ 4827463 h 6072316"/>
              <a:gd name="connsiteX3" fmla="*/ 6426593 w 9701850"/>
              <a:gd name="connsiteY3" fmla="*/ 3686397 h 6072316"/>
              <a:gd name="connsiteX0" fmla="*/ 79856 w 9701850"/>
              <a:gd name="connsiteY0" fmla="*/ 6072316 h 6072316"/>
              <a:gd name="connsiteX1" fmla="*/ 9701850 w 9701850"/>
              <a:gd name="connsiteY1" fmla="*/ 4864399 h 607231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9701850" h="6072316" stroke="0" extrusionOk="0">
                <a:moveTo>
                  <a:pt x="6426593" y="3686397"/>
                </a:moveTo>
                <a:cubicBezTo>
                  <a:pt x="8222883" y="3686397"/>
                  <a:pt x="9679064" y="4197270"/>
                  <a:pt x="9679064" y="4827463"/>
                </a:cubicBezTo>
                <a:lnTo>
                  <a:pt x="6426594" y="4827463"/>
                </a:lnTo>
                <a:cubicBezTo>
                  <a:pt x="6426594" y="4447108"/>
                  <a:pt x="6426593" y="4066752"/>
                  <a:pt x="6426593" y="3686397"/>
                </a:cubicBezTo>
                <a:close/>
              </a:path>
              <a:path w="9701850" h="6072316" fill="none">
                <a:moveTo>
                  <a:pt x="79856" y="6072316"/>
                </a:moveTo>
                <a:cubicBezTo>
                  <a:pt x="-971190" y="-1180347"/>
                  <a:pt x="8682177" y="-2366713"/>
                  <a:pt x="9701850" y="4864399"/>
                </a:cubicBezTo>
              </a:path>
            </a:pathLst>
          </a:custGeom>
          <a:ln w="28575"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Arc 44">
            <a:extLst>
              <a:ext uri="{FF2B5EF4-FFF2-40B4-BE49-F238E27FC236}">
                <a16:creationId xmlns:a16="http://schemas.microsoft.com/office/drawing/2014/main" id="{6E3B3C03-634C-46F9-9A97-949AE39643C8}"/>
              </a:ext>
            </a:extLst>
          </xdr:cNvPr>
          <xdr:cNvSpPr/>
        </xdr:nvSpPr>
        <xdr:spPr>
          <a:xfrm rot="2121025">
            <a:off x="-279318" y="4805784"/>
            <a:ext cx="2143434" cy="2443697"/>
          </a:xfrm>
          <a:custGeom>
            <a:avLst/>
            <a:gdLst>
              <a:gd name="connsiteX0" fmla="*/ 705485 w 1410970"/>
              <a:gd name="connsiteY0" fmla="*/ 0 h 1703070"/>
              <a:gd name="connsiteX1" fmla="*/ 1410970 w 1410970"/>
              <a:gd name="connsiteY1" fmla="*/ 851535 h 1703070"/>
              <a:gd name="connsiteX2" fmla="*/ 705485 w 1410970"/>
              <a:gd name="connsiteY2" fmla="*/ 851535 h 1703070"/>
              <a:gd name="connsiteX3" fmla="*/ 705485 w 1410970"/>
              <a:gd name="connsiteY3" fmla="*/ 0 h 1703070"/>
              <a:gd name="connsiteX0" fmla="*/ 705485 w 1410970"/>
              <a:gd name="connsiteY0" fmla="*/ 0 h 1703070"/>
              <a:gd name="connsiteX1" fmla="*/ 1410970 w 1410970"/>
              <a:gd name="connsiteY1" fmla="*/ 851535 h 1703070"/>
              <a:gd name="connsiteX0" fmla="*/ 1226499 w 1931984"/>
              <a:gd name="connsiteY0" fmla="*/ 219926 h 1071461"/>
              <a:gd name="connsiteX1" fmla="*/ 1931984 w 1931984"/>
              <a:gd name="connsiteY1" fmla="*/ 1071461 h 1071461"/>
              <a:gd name="connsiteX2" fmla="*/ 1226499 w 1931984"/>
              <a:gd name="connsiteY2" fmla="*/ 1071461 h 1071461"/>
              <a:gd name="connsiteX3" fmla="*/ 1226499 w 1931984"/>
              <a:gd name="connsiteY3" fmla="*/ 219926 h 1071461"/>
              <a:gd name="connsiteX0" fmla="*/ 0 w 1931984"/>
              <a:gd name="connsiteY0" fmla="*/ 0 h 1071461"/>
              <a:gd name="connsiteX1" fmla="*/ 1931984 w 1931984"/>
              <a:gd name="connsiteY1" fmla="*/ 1071461 h 1071461"/>
              <a:gd name="connsiteX0" fmla="*/ 1226499 w 1931984"/>
              <a:gd name="connsiteY0" fmla="*/ 219926 h 2252797"/>
              <a:gd name="connsiteX1" fmla="*/ 1931984 w 1931984"/>
              <a:gd name="connsiteY1" fmla="*/ 1071461 h 2252797"/>
              <a:gd name="connsiteX2" fmla="*/ 1226499 w 1931984"/>
              <a:gd name="connsiteY2" fmla="*/ 1071461 h 2252797"/>
              <a:gd name="connsiteX3" fmla="*/ 1226499 w 1931984"/>
              <a:gd name="connsiteY3" fmla="*/ 219926 h 2252797"/>
              <a:gd name="connsiteX0" fmla="*/ 0 w 1931984"/>
              <a:gd name="connsiteY0" fmla="*/ 0 h 2252797"/>
              <a:gd name="connsiteX1" fmla="*/ 1365440 w 1931984"/>
              <a:gd name="connsiteY1" fmla="*/ 2252797 h 2252797"/>
              <a:gd name="connsiteX0" fmla="*/ 1404536 w 2110021"/>
              <a:gd name="connsiteY0" fmla="*/ 113190 h 2146061"/>
              <a:gd name="connsiteX1" fmla="*/ 2110021 w 2110021"/>
              <a:gd name="connsiteY1" fmla="*/ 964725 h 2146061"/>
              <a:gd name="connsiteX2" fmla="*/ 1404536 w 2110021"/>
              <a:gd name="connsiteY2" fmla="*/ 964725 h 2146061"/>
              <a:gd name="connsiteX3" fmla="*/ 1404536 w 2110021"/>
              <a:gd name="connsiteY3" fmla="*/ 113190 h 2146061"/>
              <a:gd name="connsiteX0" fmla="*/ 0 w 2110021"/>
              <a:gd name="connsiteY0" fmla="*/ 0 h 2146061"/>
              <a:gd name="connsiteX1" fmla="*/ 1543477 w 2110021"/>
              <a:gd name="connsiteY1" fmla="*/ 2146061 h 2146061"/>
              <a:gd name="connsiteX0" fmla="*/ 1404536 w 2110021"/>
              <a:gd name="connsiteY0" fmla="*/ 331935 h 2364806"/>
              <a:gd name="connsiteX1" fmla="*/ 2110021 w 2110021"/>
              <a:gd name="connsiteY1" fmla="*/ 1183470 h 2364806"/>
              <a:gd name="connsiteX2" fmla="*/ 1404536 w 2110021"/>
              <a:gd name="connsiteY2" fmla="*/ 1183470 h 2364806"/>
              <a:gd name="connsiteX3" fmla="*/ 1404536 w 2110021"/>
              <a:gd name="connsiteY3" fmla="*/ 331935 h 2364806"/>
              <a:gd name="connsiteX0" fmla="*/ 0 w 2110021"/>
              <a:gd name="connsiteY0" fmla="*/ 218745 h 2364806"/>
              <a:gd name="connsiteX1" fmla="*/ 1543477 w 2110021"/>
              <a:gd name="connsiteY1" fmla="*/ 2364806 h 2364806"/>
              <a:gd name="connsiteX0" fmla="*/ 1404536 w 2110021"/>
              <a:gd name="connsiteY0" fmla="*/ 328895 h 2409750"/>
              <a:gd name="connsiteX1" fmla="*/ 2110021 w 2110021"/>
              <a:gd name="connsiteY1" fmla="*/ 1180430 h 2409750"/>
              <a:gd name="connsiteX2" fmla="*/ 1404536 w 2110021"/>
              <a:gd name="connsiteY2" fmla="*/ 1180430 h 2409750"/>
              <a:gd name="connsiteX3" fmla="*/ 1404536 w 2110021"/>
              <a:gd name="connsiteY3" fmla="*/ 328895 h 2409750"/>
              <a:gd name="connsiteX0" fmla="*/ 0 w 2110021"/>
              <a:gd name="connsiteY0" fmla="*/ 215705 h 2409750"/>
              <a:gd name="connsiteX1" fmla="*/ 1558181 w 2110021"/>
              <a:gd name="connsiteY1" fmla="*/ 2409751 h 2409750"/>
              <a:gd name="connsiteX0" fmla="*/ 1404536 w 2146005"/>
              <a:gd name="connsiteY0" fmla="*/ 366257 h 2447113"/>
              <a:gd name="connsiteX1" fmla="*/ 2110021 w 2146005"/>
              <a:gd name="connsiteY1" fmla="*/ 1217792 h 2447113"/>
              <a:gd name="connsiteX2" fmla="*/ 1404536 w 2146005"/>
              <a:gd name="connsiteY2" fmla="*/ 1217792 h 2447113"/>
              <a:gd name="connsiteX3" fmla="*/ 1404536 w 2146005"/>
              <a:gd name="connsiteY3" fmla="*/ 366257 h 2447113"/>
              <a:gd name="connsiteX0" fmla="*/ 0 w 2146005"/>
              <a:gd name="connsiteY0" fmla="*/ 253067 h 2447113"/>
              <a:gd name="connsiteX1" fmla="*/ 1558181 w 2146005"/>
              <a:gd name="connsiteY1" fmla="*/ 2447113 h 24471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2146005" h="2447113" stroke="0" extrusionOk="0">
                <a:moveTo>
                  <a:pt x="1404536" y="366257"/>
                </a:moveTo>
                <a:cubicBezTo>
                  <a:pt x="1794165" y="366257"/>
                  <a:pt x="2110021" y="747502"/>
                  <a:pt x="2110021" y="1217792"/>
                </a:cubicBezTo>
                <a:lnTo>
                  <a:pt x="1404536" y="1217792"/>
                </a:lnTo>
                <a:lnTo>
                  <a:pt x="1404536" y="366257"/>
                </a:lnTo>
                <a:close/>
              </a:path>
              <a:path w="2146005" h="2447113" fill="none">
                <a:moveTo>
                  <a:pt x="0" y="253067"/>
                </a:moveTo>
                <a:cubicBezTo>
                  <a:pt x="1462801" y="-737217"/>
                  <a:pt x="3023533" y="1428903"/>
                  <a:pt x="1558181" y="2447113"/>
                </a:cubicBezTo>
              </a:path>
            </a:pathLst>
          </a:custGeom>
          <a:ln w="28575"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Arc 45">
            <a:extLst>
              <a:ext uri="{FF2B5EF4-FFF2-40B4-BE49-F238E27FC236}">
                <a16:creationId xmlns:a16="http://schemas.microsoft.com/office/drawing/2014/main" id="{0F5937B2-BBA2-4915-B487-657D88F9FD10}"/>
              </a:ext>
            </a:extLst>
          </xdr:cNvPr>
          <xdr:cNvSpPr/>
        </xdr:nvSpPr>
        <xdr:spPr>
          <a:xfrm rot="2380240">
            <a:off x="248666" y="5489404"/>
            <a:ext cx="1411267" cy="1167376"/>
          </a:xfrm>
          <a:custGeom>
            <a:avLst/>
            <a:gdLst>
              <a:gd name="connsiteX0" fmla="*/ 639762 w 1279525"/>
              <a:gd name="connsiteY0" fmla="*/ 0 h 1387475"/>
              <a:gd name="connsiteX1" fmla="*/ 1279525 w 1279525"/>
              <a:gd name="connsiteY1" fmla="*/ 693738 h 1387475"/>
              <a:gd name="connsiteX2" fmla="*/ 639763 w 1279525"/>
              <a:gd name="connsiteY2" fmla="*/ 693738 h 1387475"/>
              <a:gd name="connsiteX3" fmla="*/ 639762 w 1279525"/>
              <a:gd name="connsiteY3" fmla="*/ 0 h 1387475"/>
              <a:gd name="connsiteX0" fmla="*/ 639762 w 1279525"/>
              <a:gd name="connsiteY0" fmla="*/ 0 h 1387475"/>
              <a:gd name="connsiteX1" fmla="*/ 1279525 w 1279525"/>
              <a:gd name="connsiteY1" fmla="*/ 693738 h 1387475"/>
              <a:gd name="connsiteX0" fmla="*/ 773409 w 1413172"/>
              <a:gd name="connsiteY0" fmla="*/ 0 h 693738"/>
              <a:gd name="connsiteX1" fmla="*/ 1413172 w 1413172"/>
              <a:gd name="connsiteY1" fmla="*/ 693738 h 693738"/>
              <a:gd name="connsiteX2" fmla="*/ 773410 w 1413172"/>
              <a:gd name="connsiteY2" fmla="*/ 693738 h 693738"/>
              <a:gd name="connsiteX3" fmla="*/ 773409 w 1413172"/>
              <a:gd name="connsiteY3" fmla="*/ 0 h 693738"/>
              <a:gd name="connsiteX0" fmla="*/ 0 w 1413172"/>
              <a:gd name="connsiteY0" fmla="*/ 435187 h 693738"/>
              <a:gd name="connsiteX1" fmla="*/ 1413172 w 1413172"/>
              <a:gd name="connsiteY1" fmla="*/ 693738 h 693738"/>
              <a:gd name="connsiteX0" fmla="*/ 773409 w 1413172"/>
              <a:gd name="connsiteY0" fmla="*/ 0 h 1162230"/>
              <a:gd name="connsiteX1" fmla="*/ 1413172 w 1413172"/>
              <a:gd name="connsiteY1" fmla="*/ 693738 h 1162230"/>
              <a:gd name="connsiteX2" fmla="*/ 773410 w 1413172"/>
              <a:gd name="connsiteY2" fmla="*/ 693738 h 1162230"/>
              <a:gd name="connsiteX3" fmla="*/ 773409 w 1413172"/>
              <a:gd name="connsiteY3" fmla="*/ 0 h 1162230"/>
              <a:gd name="connsiteX0" fmla="*/ 0 w 1413172"/>
              <a:gd name="connsiteY0" fmla="*/ 435187 h 1162230"/>
              <a:gd name="connsiteX1" fmla="*/ 569668 w 1413172"/>
              <a:gd name="connsiteY1" fmla="*/ 1162230 h 1162230"/>
              <a:gd name="connsiteX0" fmla="*/ 773409 w 1413172"/>
              <a:gd name="connsiteY0" fmla="*/ 0 h 1162230"/>
              <a:gd name="connsiteX1" fmla="*/ 1413172 w 1413172"/>
              <a:gd name="connsiteY1" fmla="*/ 693738 h 1162230"/>
              <a:gd name="connsiteX2" fmla="*/ 773410 w 1413172"/>
              <a:gd name="connsiteY2" fmla="*/ 693738 h 1162230"/>
              <a:gd name="connsiteX3" fmla="*/ 773409 w 1413172"/>
              <a:gd name="connsiteY3" fmla="*/ 0 h 1162230"/>
              <a:gd name="connsiteX0" fmla="*/ 0 w 1413172"/>
              <a:gd name="connsiteY0" fmla="*/ 435187 h 1162230"/>
              <a:gd name="connsiteX1" fmla="*/ 569668 w 1413172"/>
              <a:gd name="connsiteY1" fmla="*/ 1162230 h 1162230"/>
              <a:gd name="connsiteX0" fmla="*/ 773409 w 1413172"/>
              <a:gd name="connsiteY0" fmla="*/ 0 h 1162230"/>
              <a:gd name="connsiteX1" fmla="*/ 1413172 w 1413172"/>
              <a:gd name="connsiteY1" fmla="*/ 693738 h 1162230"/>
              <a:gd name="connsiteX2" fmla="*/ 773410 w 1413172"/>
              <a:gd name="connsiteY2" fmla="*/ 693738 h 1162230"/>
              <a:gd name="connsiteX3" fmla="*/ 773409 w 1413172"/>
              <a:gd name="connsiteY3" fmla="*/ 0 h 1162230"/>
              <a:gd name="connsiteX0" fmla="*/ 0 w 1413172"/>
              <a:gd name="connsiteY0" fmla="*/ 435187 h 1162230"/>
              <a:gd name="connsiteX1" fmla="*/ 569668 w 1413172"/>
              <a:gd name="connsiteY1" fmla="*/ 1162230 h 11622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1413172" h="1162230" stroke="0" extrusionOk="0">
                <a:moveTo>
                  <a:pt x="773409" y="0"/>
                </a:moveTo>
                <a:cubicBezTo>
                  <a:pt x="1126740" y="0"/>
                  <a:pt x="1413172" y="310597"/>
                  <a:pt x="1413172" y="693738"/>
                </a:cubicBezTo>
                <a:lnTo>
                  <a:pt x="773410" y="693738"/>
                </a:lnTo>
                <a:cubicBezTo>
                  <a:pt x="773410" y="462492"/>
                  <a:pt x="773409" y="231246"/>
                  <a:pt x="773409" y="0"/>
                </a:cubicBezTo>
                <a:close/>
              </a:path>
              <a:path w="1413172" h="1162230" fill="none">
                <a:moveTo>
                  <a:pt x="0" y="435187"/>
                </a:moveTo>
                <a:cubicBezTo>
                  <a:pt x="408973" y="82334"/>
                  <a:pt x="1009283" y="786155"/>
                  <a:pt x="569668" y="1162230"/>
                </a:cubicBezTo>
              </a:path>
            </a:pathLst>
          </a:custGeom>
          <a:ln w="28575"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Arc 46">
            <a:extLst>
              <a:ext uri="{FF2B5EF4-FFF2-40B4-BE49-F238E27FC236}">
                <a16:creationId xmlns:a16="http://schemas.microsoft.com/office/drawing/2014/main" id="{1FBF5E1F-03E4-4C61-8158-16ADE6A076DB}"/>
              </a:ext>
            </a:extLst>
          </xdr:cNvPr>
          <xdr:cNvSpPr/>
        </xdr:nvSpPr>
        <xdr:spPr>
          <a:xfrm rot="13265850">
            <a:off x="10090603" y="5353305"/>
            <a:ext cx="1233040" cy="1250900"/>
          </a:xfrm>
          <a:custGeom>
            <a:avLst/>
            <a:gdLst>
              <a:gd name="connsiteX0" fmla="*/ 622935 w 1245870"/>
              <a:gd name="connsiteY0" fmla="*/ 0 h 2111375"/>
              <a:gd name="connsiteX1" fmla="*/ 1245870 w 1245870"/>
              <a:gd name="connsiteY1" fmla="*/ 1055688 h 2111375"/>
              <a:gd name="connsiteX2" fmla="*/ 622935 w 1245870"/>
              <a:gd name="connsiteY2" fmla="*/ 1055688 h 2111375"/>
              <a:gd name="connsiteX3" fmla="*/ 622935 w 1245870"/>
              <a:gd name="connsiteY3" fmla="*/ 0 h 2111375"/>
              <a:gd name="connsiteX0" fmla="*/ 622935 w 1245870"/>
              <a:gd name="connsiteY0" fmla="*/ 0 h 2111375"/>
              <a:gd name="connsiteX1" fmla="*/ 1245870 w 1245870"/>
              <a:gd name="connsiteY1" fmla="*/ 1055688 h 2111375"/>
              <a:gd name="connsiteX0" fmla="*/ 0 w 622935"/>
              <a:gd name="connsiteY0" fmla="*/ 0 h 1227237"/>
              <a:gd name="connsiteX1" fmla="*/ 622935 w 622935"/>
              <a:gd name="connsiteY1" fmla="*/ 1055688 h 1227237"/>
              <a:gd name="connsiteX2" fmla="*/ 0 w 622935"/>
              <a:gd name="connsiteY2" fmla="*/ 1055688 h 1227237"/>
              <a:gd name="connsiteX3" fmla="*/ 0 w 622935"/>
              <a:gd name="connsiteY3" fmla="*/ 0 h 1227237"/>
              <a:gd name="connsiteX0" fmla="*/ 0 w 622935"/>
              <a:gd name="connsiteY0" fmla="*/ 0 h 1227237"/>
              <a:gd name="connsiteX1" fmla="*/ 498718 w 622935"/>
              <a:gd name="connsiteY1" fmla="*/ 1227237 h 1227237"/>
              <a:gd name="connsiteX0" fmla="*/ 355401 w 978336"/>
              <a:gd name="connsiteY0" fmla="*/ 0 h 1227237"/>
              <a:gd name="connsiteX1" fmla="*/ 978336 w 978336"/>
              <a:gd name="connsiteY1" fmla="*/ 1055688 h 1227237"/>
              <a:gd name="connsiteX2" fmla="*/ 355401 w 978336"/>
              <a:gd name="connsiteY2" fmla="*/ 1055688 h 1227237"/>
              <a:gd name="connsiteX3" fmla="*/ 355401 w 978336"/>
              <a:gd name="connsiteY3" fmla="*/ 0 h 1227237"/>
              <a:gd name="connsiteX0" fmla="*/ 0 w 978336"/>
              <a:gd name="connsiteY0" fmla="*/ 247399 h 1227237"/>
              <a:gd name="connsiteX1" fmla="*/ 854119 w 978336"/>
              <a:gd name="connsiteY1" fmla="*/ 1227237 h 1227237"/>
              <a:gd name="connsiteX0" fmla="*/ 355401 w 978336"/>
              <a:gd name="connsiteY0" fmla="*/ 0 h 1227237"/>
              <a:gd name="connsiteX1" fmla="*/ 978336 w 978336"/>
              <a:gd name="connsiteY1" fmla="*/ 1055688 h 1227237"/>
              <a:gd name="connsiteX2" fmla="*/ 355401 w 978336"/>
              <a:gd name="connsiteY2" fmla="*/ 1055688 h 1227237"/>
              <a:gd name="connsiteX3" fmla="*/ 355401 w 978336"/>
              <a:gd name="connsiteY3" fmla="*/ 0 h 1227237"/>
              <a:gd name="connsiteX0" fmla="*/ 0 w 978336"/>
              <a:gd name="connsiteY0" fmla="*/ 247399 h 1227237"/>
              <a:gd name="connsiteX1" fmla="*/ 854119 w 978336"/>
              <a:gd name="connsiteY1" fmla="*/ 1227237 h 1227237"/>
              <a:gd name="connsiteX0" fmla="*/ 355401 w 978336"/>
              <a:gd name="connsiteY0" fmla="*/ 0 h 1227237"/>
              <a:gd name="connsiteX1" fmla="*/ 978336 w 978336"/>
              <a:gd name="connsiteY1" fmla="*/ 1055688 h 1227237"/>
              <a:gd name="connsiteX2" fmla="*/ 355401 w 978336"/>
              <a:gd name="connsiteY2" fmla="*/ 1055688 h 1227237"/>
              <a:gd name="connsiteX3" fmla="*/ 355401 w 978336"/>
              <a:gd name="connsiteY3" fmla="*/ 0 h 1227237"/>
              <a:gd name="connsiteX0" fmla="*/ 0 w 978336"/>
              <a:gd name="connsiteY0" fmla="*/ 247399 h 1227237"/>
              <a:gd name="connsiteX1" fmla="*/ 854119 w 978336"/>
              <a:gd name="connsiteY1" fmla="*/ 1227237 h 1227237"/>
              <a:gd name="connsiteX0" fmla="*/ 355401 w 978336"/>
              <a:gd name="connsiteY0" fmla="*/ 0 h 1225706"/>
              <a:gd name="connsiteX1" fmla="*/ 978336 w 978336"/>
              <a:gd name="connsiteY1" fmla="*/ 1055688 h 1225706"/>
              <a:gd name="connsiteX2" fmla="*/ 355401 w 978336"/>
              <a:gd name="connsiteY2" fmla="*/ 1055688 h 1225706"/>
              <a:gd name="connsiteX3" fmla="*/ 355401 w 978336"/>
              <a:gd name="connsiteY3" fmla="*/ 0 h 1225706"/>
              <a:gd name="connsiteX0" fmla="*/ 0 w 978336"/>
              <a:gd name="connsiteY0" fmla="*/ 247399 h 1225706"/>
              <a:gd name="connsiteX1" fmla="*/ 831608 w 978336"/>
              <a:gd name="connsiteY1" fmla="*/ 1225706 h 1225706"/>
              <a:gd name="connsiteX0" fmla="*/ 355401 w 1070785"/>
              <a:gd name="connsiteY0" fmla="*/ 0 h 1225706"/>
              <a:gd name="connsiteX1" fmla="*/ 978336 w 1070785"/>
              <a:gd name="connsiteY1" fmla="*/ 1055688 h 1225706"/>
              <a:gd name="connsiteX2" fmla="*/ 355401 w 1070785"/>
              <a:gd name="connsiteY2" fmla="*/ 1055688 h 1225706"/>
              <a:gd name="connsiteX3" fmla="*/ 355401 w 1070785"/>
              <a:gd name="connsiteY3" fmla="*/ 0 h 1225706"/>
              <a:gd name="connsiteX0" fmla="*/ 0 w 1070785"/>
              <a:gd name="connsiteY0" fmla="*/ 247399 h 1225706"/>
              <a:gd name="connsiteX1" fmla="*/ 831608 w 1070785"/>
              <a:gd name="connsiteY1" fmla="*/ 1225706 h 1225706"/>
              <a:gd name="connsiteX0" fmla="*/ 355401 w 1154076"/>
              <a:gd name="connsiteY0" fmla="*/ 0 h 1225706"/>
              <a:gd name="connsiteX1" fmla="*/ 978336 w 1154076"/>
              <a:gd name="connsiteY1" fmla="*/ 1055688 h 1225706"/>
              <a:gd name="connsiteX2" fmla="*/ 355401 w 1154076"/>
              <a:gd name="connsiteY2" fmla="*/ 1055688 h 1225706"/>
              <a:gd name="connsiteX3" fmla="*/ 355401 w 1154076"/>
              <a:gd name="connsiteY3" fmla="*/ 0 h 1225706"/>
              <a:gd name="connsiteX0" fmla="*/ 0 w 1154076"/>
              <a:gd name="connsiteY0" fmla="*/ 247399 h 1225706"/>
              <a:gd name="connsiteX1" fmla="*/ 831608 w 1154076"/>
              <a:gd name="connsiteY1" fmla="*/ 1225706 h 1225706"/>
              <a:gd name="connsiteX0" fmla="*/ 355401 w 1183264"/>
              <a:gd name="connsiteY0" fmla="*/ 8701 h 1234407"/>
              <a:gd name="connsiteX1" fmla="*/ 978336 w 1183264"/>
              <a:gd name="connsiteY1" fmla="*/ 1064389 h 1234407"/>
              <a:gd name="connsiteX2" fmla="*/ 355401 w 1183264"/>
              <a:gd name="connsiteY2" fmla="*/ 1064389 h 1234407"/>
              <a:gd name="connsiteX3" fmla="*/ 355401 w 1183264"/>
              <a:gd name="connsiteY3" fmla="*/ 8701 h 1234407"/>
              <a:gd name="connsiteX0" fmla="*/ 0 w 1183264"/>
              <a:gd name="connsiteY0" fmla="*/ 256100 h 1234407"/>
              <a:gd name="connsiteX1" fmla="*/ 831608 w 1183264"/>
              <a:gd name="connsiteY1" fmla="*/ 1234407 h 1234407"/>
              <a:gd name="connsiteX0" fmla="*/ 355401 w 1192218"/>
              <a:gd name="connsiteY0" fmla="*/ 26318 h 1252024"/>
              <a:gd name="connsiteX1" fmla="*/ 978336 w 1192218"/>
              <a:gd name="connsiteY1" fmla="*/ 1082006 h 1252024"/>
              <a:gd name="connsiteX2" fmla="*/ 355401 w 1192218"/>
              <a:gd name="connsiteY2" fmla="*/ 1082006 h 1252024"/>
              <a:gd name="connsiteX3" fmla="*/ 355401 w 1192218"/>
              <a:gd name="connsiteY3" fmla="*/ 26318 h 1252024"/>
              <a:gd name="connsiteX0" fmla="*/ 0 w 1192218"/>
              <a:gd name="connsiteY0" fmla="*/ 273717 h 1252024"/>
              <a:gd name="connsiteX1" fmla="*/ 831608 w 1192218"/>
              <a:gd name="connsiteY1" fmla="*/ 1252024 h 1252024"/>
              <a:gd name="connsiteX0" fmla="*/ 392088 w 1221222"/>
              <a:gd name="connsiteY0" fmla="*/ 173 h 1225879"/>
              <a:gd name="connsiteX1" fmla="*/ 1015023 w 1221222"/>
              <a:gd name="connsiteY1" fmla="*/ 1055861 h 1225879"/>
              <a:gd name="connsiteX2" fmla="*/ 392088 w 1221222"/>
              <a:gd name="connsiteY2" fmla="*/ 1055861 h 1225879"/>
              <a:gd name="connsiteX3" fmla="*/ 392088 w 1221222"/>
              <a:gd name="connsiteY3" fmla="*/ 173 h 1225879"/>
              <a:gd name="connsiteX0" fmla="*/ 0 w 1221222"/>
              <a:gd name="connsiteY0" fmla="*/ 278737 h 1225879"/>
              <a:gd name="connsiteX1" fmla="*/ 868295 w 1221222"/>
              <a:gd name="connsiteY1" fmla="*/ 1225879 h 1225879"/>
              <a:gd name="connsiteX0" fmla="*/ 436249 w 1256509"/>
              <a:gd name="connsiteY0" fmla="*/ 21418 h 1247124"/>
              <a:gd name="connsiteX1" fmla="*/ 1059184 w 1256509"/>
              <a:gd name="connsiteY1" fmla="*/ 1077106 h 1247124"/>
              <a:gd name="connsiteX2" fmla="*/ 436249 w 1256509"/>
              <a:gd name="connsiteY2" fmla="*/ 1077106 h 1247124"/>
              <a:gd name="connsiteX3" fmla="*/ 436249 w 1256509"/>
              <a:gd name="connsiteY3" fmla="*/ 21418 h 1247124"/>
              <a:gd name="connsiteX0" fmla="*/ 0 w 1256509"/>
              <a:gd name="connsiteY0" fmla="*/ 274643 h 1247124"/>
              <a:gd name="connsiteX1" fmla="*/ 912456 w 1256509"/>
              <a:gd name="connsiteY1" fmla="*/ 1247124 h 124712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1256509" h="1247124" stroke="0" extrusionOk="0">
                <a:moveTo>
                  <a:pt x="436249" y="21418"/>
                </a:moveTo>
                <a:cubicBezTo>
                  <a:pt x="780287" y="21418"/>
                  <a:pt x="1059184" y="494066"/>
                  <a:pt x="1059184" y="1077106"/>
                </a:cubicBezTo>
                <a:lnTo>
                  <a:pt x="436249" y="1077106"/>
                </a:lnTo>
                <a:lnTo>
                  <a:pt x="436249" y="21418"/>
                </a:lnTo>
                <a:close/>
              </a:path>
              <a:path w="1256509" h="1247124" fill="none">
                <a:moveTo>
                  <a:pt x="0" y="274643"/>
                </a:moveTo>
                <a:cubicBezTo>
                  <a:pt x="862104" y="-493700"/>
                  <a:pt x="1767978" y="518806"/>
                  <a:pt x="912456" y="1247124"/>
                </a:cubicBezTo>
              </a:path>
            </a:pathLst>
          </a:custGeom>
          <a:ln w="28575"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Arc 46">
            <a:extLst>
              <a:ext uri="{FF2B5EF4-FFF2-40B4-BE49-F238E27FC236}">
                <a16:creationId xmlns:a16="http://schemas.microsoft.com/office/drawing/2014/main" id="{90100109-B87A-4CE8-A435-424ABE7571CB}"/>
              </a:ext>
            </a:extLst>
          </xdr:cNvPr>
          <xdr:cNvSpPr/>
        </xdr:nvSpPr>
        <xdr:spPr>
          <a:xfrm rot="13265850">
            <a:off x="10239484" y="5491616"/>
            <a:ext cx="854962" cy="1080242"/>
          </a:xfrm>
          <a:custGeom>
            <a:avLst/>
            <a:gdLst>
              <a:gd name="connsiteX0" fmla="*/ 622935 w 1245870"/>
              <a:gd name="connsiteY0" fmla="*/ 0 h 2111375"/>
              <a:gd name="connsiteX1" fmla="*/ 1245870 w 1245870"/>
              <a:gd name="connsiteY1" fmla="*/ 1055688 h 2111375"/>
              <a:gd name="connsiteX2" fmla="*/ 622935 w 1245870"/>
              <a:gd name="connsiteY2" fmla="*/ 1055688 h 2111375"/>
              <a:gd name="connsiteX3" fmla="*/ 622935 w 1245870"/>
              <a:gd name="connsiteY3" fmla="*/ 0 h 2111375"/>
              <a:gd name="connsiteX0" fmla="*/ 622935 w 1245870"/>
              <a:gd name="connsiteY0" fmla="*/ 0 h 2111375"/>
              <a:gd name="connsiteX1" fmla="*/ 1245870 w 1245870"/>
              <a:gd name="connsiteY1" fmla="*/ 1055688 h 2111375"/>
              <a:gd name="connsiteX0" fmla="*/ 0 w 622935"/>
              <a:gd name="connsiteY0" fmla="*/ 0 h 1227237"/>
              <a:gd name="connsiteX1" fmla="*/ 622935 w 622935"/>
              <a:gd name="connsiteY1" fmla="*/ 1055688 h 1227237"/>
              <a:gd name="connsiteX2" fmla="*/ 0 w 622935"/>
              <a:gd name="connsiteY2" fmla="*/ 1055688 h 1227237"/>
              <a:gd name="connsiteX3" fmla="*/ 0 w 622935"/>
              <a:gd name="connsiteY3" fmla="*/ 0 h 1227237"/>
              <a:gd name="connsiteX0" fmla="*/ 0 w 622935"/>
              <a:gd name="connsiteY0" fmla="*/ 0 h 1227237"/>
              <a:gd name="connsiteX1" fmla="*/ 498718 w 622935"/>
              <a:gd name="connsiteY1" fmla="*/ 1227237 h 1227237"/>
              <a:gd name="connsiteX0" fmla="*/ 355401 w 978336"/>
              <a:gd name="connsiteY0" fmla="*/ 0 h 1227237"/>
              <a:gd name="connsiteX1" fmla="*/ 978336 w 978336"/>
              <a:gd name="connsiteY1" fmla="*/ 1055688 h 1227237"/>
              <a:gd name="connsiteX2" fmla="*/ 355401 w 978336"/>
              <a:gd name="connsiteY2" fmla="*/ 1055688 h 1227237"/>
              <a:gd name="connsiteX3" fmla="*/ 355401 w 978336"/>
              <a:gd name="connsiteY3" fmla="*/ 0 h 1227237"/>
              <a:gd name="connsiteX0" fmla="*/ 0 w 978336"/>
              <a:gd name="connsiteY0" fmla="*/ 247399 h 1227237"/>
              <a:gd name="connsiteX1" fmla="*/ 854119 w 978336"/>
              <a:gd name="connsiteY1" fmla="*/ 1227237 h 1227237"/>
              <a:gd name="connsiteX0" fmla="*/ 355401 w 978336"/>
              <a:gd name="connsiteY0" fmla="*/ 0 h 1227237"/>
              <a:gd name="connsiteX1" fmla="*/ 978336 w 978336"/>
              <a:gd name="connsiteY1" fmla="*/ 1055688 h 1227237"/>
              <a:gd name="connsiteX2" fmla="*/ 355401 w 978336"/>
              <a:gd name="connsiteY2" fmla="*/ 1055688 h 1227237"/>
              <a:gd name="connsiteX3" fmla="*/ 355401 w 978336"/>
              <a:gd name="connsiteY3" fmla="*/ 0 h 1227237"/>
              <a:gd name="connsiteX0" fmla="*/ 0 w 978336"/>
              <a:gd name="connsiteY0" fmla="*/ 247399 h 1227237"/>
              <a:gd name="connsiteX1" fmla="*/ 854119 w 978336"/>
              <a:gd name="connsiteY1" fmla="*/ 1227237 h 1227237"/>
              <a:gd name="connsiteX0" fmla="*/ 355401 w 978336"/>
              <a:gd name="connsiteY0" fmla="*/ 0 h 1227237"/>
              <a:gd name="connsiteX1" fmla="*/ 978336 w 978336"/>
              <a:gd name="connsiteY1" fmla="*/ 1055688 h 1227237"/>
              <a:gd name="connsiteX2" fmla="*/ 355401 w 978336"/>
              <a:gd name="connsiteY2" fmla="*/ 1055688 h 1227237"/>
              <a:gd name="connsiteX3" fmla="*/ 355401 w 978336"/>
              <a:gd name="connsiteY3" fmla="*/ 0 h 1227237"/>
              <a:gd name="connsiteX0" fmla="*/ 0 w 978336"/>
              <a:gd name="connsiteY0" fmla="*/ 247399 h 1227237"/>
              <a:gd name="connsiteX1" fmla="*/ 854119 w 978336"/>
              <a:gd name="connsiteY1" fmla="*/ 1227237 h 1227237"/>
              <a:gd name="connsiteX0" fmla="*/ 355401 w 978336"/>
              <a:gd name="connsiteY0" fmla="*/ 0 h 1225706"/>
              <a:gd name="connsiteX1" fmla="*/ 978336 w 978336"/>
              <a:gd name="connsiteY1" fmla="*/ 1055688 h 1225706"/>
              <a:gd name="connsiteX2" fmla="*/ 355401 w 978336"/>
              <a:gd name="connsiteY2" fmla="*/ 1055688 h 1225706"/>
              <a:gd name="connsiteX3" fmla="*/ 355401 w 978336"/>
              <a:gd name="connsiteY3" fmla="*/ 0 h 1225706"/>
              <a:gd name="connsiteX0" fmla="*/ 0 w 978336"/>
              <a:gd name="connsiteY0" fmla="*/ 247399 h 1225706"/>
              <a:gd name="connsiteX1" fmla="*/ 831608 w 978336"/>
              <a:gd name="connsiteY1" fmla="*/ 1225706 h 1225706"/>
              <a:gd name="connsiteX0" fmla="*/ 355401 w 1070785"/>
              <a:gd name="connsiteY0" fmla="*/ 0 h 1225706"/>
              <a:gd name="connsiteX1" fmla="*/ 978336 w 1070785"/>
              <a:gd name="connsiteY1" fmla="*/ 1055688 h 1225706"/>
              <a:gd name="connsiteX2" fmla="*/ 355401 w 1070785"/>
              <a:gd name="connsiteY2" fmla="*/ 1055688 h 1225706"/>
              <a:gd name="connsiteX3" fmla="*/ 355401 w 1070785"/>
              <a:gd name="connsiteY3" fmla="*/ 0 h 1225706"/>
              <a:gd name="connsiteX0" fmla="*/ 0 w 1070785"/>
              <a:gd name="connsiteY0" fmla="*/ 247399 h 1225706"/>
              <a:gd name="connsiteX1" fmla="*/ 831608 w 1070785"/>
              <a:gd name="connsiteY1" fmla="*/ 1225706 h 1225706"/>
              <a:gd name="connsiteX0" fmla="*/ 355401 w 978336"/>
              <a:gd name="connsiteY0" fmla="*/ 0 h 1081698"/>
              <a:gd name="connsiteX1" fmla="*/ 978336 w 978336"/>
              <a:gd name="connsiteY1" fmla="*/ 1055688 h 1081698"/>
              <a:gd name="connsiteX2" fmla="*/ 355401 w 978336"/>
              <a:gd name="connsiteY2" fmla="*/ 1055688 h 1081698"/>
              <a:gd name="connsiteX3" fmla="*/ 355401 w 978336"/>
              <a:gd name="connsiteY3" fmla="*/ 0 h 1081698"/>
              <a:gd name="connsiteX0" fmla="*/ 0 w 978336"/>
              <a:gd name="connsiteY0" fmla="*/ 247399 h 1081698"/>
              <a:gd name="connsiteX1" fmla="*/ 704761 w 978336"/>
              <a:gd name="connsiteY1" fmla="*/ 1081698 h 1081698"/>
              <a:gd name="connsiteX0" fmla="*/ 227546 w 865149"/>
              <a:gd name="connsiteY0" fmla="*/ 0 h 1081698"/>
              <a:gd name="connsiteX1" fmla="*/ 850481 w 865149"/>
              <a:gd name="connsiteY1" fmla="*/ 1055688 h 1081698"/>
              <a:gd name="connsiteX2" fmla="*/ 227546 w 865149"/>
              <a:gd name="connsiteY2" fmla="*/ 1055688 h 1081698"/>
              <a:gd name="connsiteX3" fmla="*/ 227546 w 865149"/>
              <a:gd name="connsiteY3" fmla="*/ 0 h 1081698"/>
              <a:gd name="connsiteX0" fmla="*/ 0 w 865149"/>
              <a:gd name="connsiteY0" fmla="*/ 391405 h 1081698"/>
              <a:gd name="connsiteX1" fmla="*/ 576906 w 865149"/>
              <a:gd name="connsiteY1" fmla="*/ 1081698 h 108169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865149" h="1081698" stroke="0" extrusionOk="0">
                <a:moveTo>
                  <a:pt x="227546" y="0"/>
                </a:moveTo>
                <a:cubicBezTo>
                  <a:pt x="571584" y="0"/>
                  <a:pt x="850481" y="472648"/>
                  <a:pt x="850481" y="1055688"/>
                </a:cubicBezTo>
                <a:lnTo>
                  <a:pt x="227546" y="1055688"/>
                </a:lnTo>
                <a:lnTo>
                  <a:pt x="227546" y="0"/>
                </a:lnTo>
                <a:close/>
              </a:path>
              <a:path w="865149" h="1081698" fill="none">
                <a:moveTo>
                  <a:pt x="0" y="391405"/>
                </a:moveTo>
                <a:cubicBezTo>
                  <a:pt x="640853" y="-166442"/>
                  <a:pt x="1237979" y="498171"/>
                  <a:pt x="576906" y="1081698"/>
                </a:cubicBezTo>
              </a:path>
            </a:pathLst>
          </a:custGeom>
          <a:ln w="28575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80008</xdr:colOff>
      <xdr:row>1</xdr:row>
      <xdr:rowOff>167641</xdr:rowOff>
    </xdr:from>
    <xdr:ext cx="4888231" cy="8699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D71C792-E8FA-4ECC-ABB5-8E195D49FEF0}"/>
                </a:ext>
              </a:extLst>
            </xdr:cNvPr>
            <xdr:cNvSpPr txBox="1"/>
          </xdr:nvSpPr>
          <xdr:spPr>
            <a:xfrm>
              <a:off x="1451608" y="348616"/>
              <a:ext cx="4888231" cy="8699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ad>
                                  <m:radPr>
                                    <m:degHide m:val="on"/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𝑃𝐴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𝑃𝐹</m:t>
                                    </m:r>
                                  </m:e>
                                </m:rad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𝑄𝑢𝑎𝑑𝑟𝑒𝑛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+1)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𝑊h𝑒𝑛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𝑅𝑒𝑠𝑢𝑙𝑡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ad>
                                  <m:radPr>
                                    <m:degHide m:val="on"/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𝑃𝐴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𝑃𝐹</m:t>
                                    </m:r>
                                  </m:e>
                                </m:rad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5−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𝑄𝑢𝑎𝑑𝑟𝑒𝑛𝑡</m:t>
                                    </m:r>
                                  </m:e>
                                </m:rad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|1−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𝑄𝑢𝑎𝑑𝑟𝑒𝑛𝑡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|</m:t>
                                </m:r>
                              </m:e>
                            </m:ra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𝑊h𝑒𝑛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𝑅𝑒𝑠𝑢𝑙𝑡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D71C792-E8FA-4ECC-ABB5-8E195D49FEF0}"/>
                </a:ext>
              </a:extLst>
            </xdr:cNvPr>
            <xdr:cNvSpPr txBox="1"/>
          </xdr:nvSpPr>
          <xdr:spPr>
            <a:xfrm>
              <a:off x="1451608" y="348616"/>
              <a:ext cx="4888231" cy="8699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√(𝑃𝐴−𝑃𝐹)/(</a:t>
              </a:r>
              <a:r>
                <a:rPr lang="en-US" sz="1100" b="0" i="0">
                  <a:latin typeface="Cambria Math" panose="02040503050406030204" pitchFamily="18" charset="0"/>
                </a:rPr>
                <a:t>(𝑄𝑢𝑎𝑑𝑟𝑒𝑛〖𝑡+1)〗^2 ),𝑊ℎ𝑒𝑛 𝑅𝑒𝑠𝑢𝑙𝑡=1@−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√(𝑃𝐴−𝑃𝐹)/√(5−𝑄𝑢𝑎𝑑𝑟𝑒𝑛𝑡)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|1−𝑄𝑢𝑎𝑑𝑟𝑒𝑛𝑡|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, 𝑊ℎ𝑒𝑛 𝑅𝑒𝑠𝑢𝑙𝑡=0)┤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D3882-F329-48A0-94BF-69F6695A27BD}">
  <dimension ref="A1:X43"/>
  <sheetViews>
    <sheetView topLeftCell="A13" workbookViewId="0">
      <selection activeCell="P32" sqref="P32:Q32"/>
    </sheetView>
  </sheetViews>
  <sheetFormatPr defaultRowHeight="14.4" x14ac:dyDescent="0.3"/>
  <cols>
    <col min="1" max="1" width="5.6640625" customWidth="1"/>
    <col min="2" max="2" width="7" bestFit="1" customWidth="1"/>
    <col min="3" max="3" width="8.109375" customWidth="1"/>
    <col min="4" max="4" width="11.109375" customWidth="1"/>
    <col min="5" max="5" width="7.33203125" customWidth="1"/>
    <col min="6" max="6" width="6.21875" customWidth="1"/>
    <col min="7" max="7" width="7.88671875" customWidth="1"/>
    <col min="8" max="8" width="6" customWidth="1"/>
    <col min="9" max="9" width="5.77734375" customWidth="1"/>
    <col min="10" max="10" width="5.88671875" customWidth="1"/>
    <col min="11" max="11" width="5.109375" customWidth="1"/>
    <col min="12" max="12" width="9" bestFit="1" customWidth="1"/>
    <col min="13" max="13" width="9.21875" bestFit="1" customWidth="1"/>
    <col min="14" max="14" width="5.44140625" customWidth="1"/>
    <col min="15" max="15" width="3.109375" bestFit="1" customWidth="1"/>
    <col min="16" max="16" width="8.21875" customWidth="1"/>
    <col min="17" max="17" width="8.44140625" customWidth="1"/>
    <col min="18" max="18" width="9" bestFit="1" customWidth="1"/>
    <col min="19" max="19" width="8.33203125" customWidth="1"/>
    <col min="20" max="20" width="7.5546875" customWidth="1"/>
    <col min="22" max="22" width="10.44140625" customWidth="1"/>
    <col min="23" max="23" width="10.44140625" bestFit="1" customWidth="1"/>
    <col min="24" max="24" width="36" bestFit="1" customWidth="1"/>
  </cols>
  <sheetData>
    <row r="1" spans="1:24" x14ac:dyDescent="0.3">
      <c r="A1" s="111" t="s">
        <v>51</v>
      </c>
      <c r="B1" s="111"/>
      <c r="C1" s="111"/>
      <c r="D1" s="111"/>
      <c r="E1" s="112" t="s">
        <v>53</v>
      </c>
      <c r="F1" s="112"/>
      <c r="G1" s="112" t="s">
        <v>52</v>
      </c>
      <c r="H1" s="112"/>
      <c r="I1" s="112" t="s">
        <v>56</v>
      </c>
      <c r="J1" s="112"/>
      <c r="K1" s="112" t="s">
        <v>57</v>
      </c>
      <c r="L1" s="112"/>
      <c r="M1" s="112" t="s">
        <v>58</v>
      </c>
      <c r="N1" s="112"/>
      <c r="O1" s="112" t="s">
        <v>59</v>
      </c>
      <c r="P1" s="112"/>
      <c r="Q1" s="15" t="s">
        <v>79</v>
      </c>
    </row>
    <row r="2" spans="1:24" x14ac:dyDescent="0.3">
      <c r="A2" s="111"/>
      <c r="B2" s="111"/>
      <c r="C2" s="111"/>
      <c r="D2" s="111"/>
      <c r="E2" s="4" t="s">
        <v>54</v>
      </c>
      <c r="F2" s="4" t="s">
        <v>55</v>
      </c>
      <c r="G2" s="4" t="s">
        <v>54</v>
      </c>
      <c r="H2" s="4" t="s">
        <v>55</v>
      </c>
      <c r="I2" s="4" t="str">
        <f>G2</f>
        <v>w</v>
      </c>
      <c r="J2" s="4" t="str">
        <f>H2</f>
        <v>l</v>
      </c>
      <c r="K2" s="4" t="str">
        <f t="shared" ref="K2:P2" si="0">I2</f>
        <v>w</v>
      </c>
      <c r="L2" s="4" t="str">
        <f t="shared" si="0"/>
        <v>l</v>
      </c>
      <c r="M2" s="4" t="str">
        <f t="shared" si="0"/>
        <v>w</v>
      </c>
      <c r="N2" s="4" t="str">
        <f t="shared" si="0"/>
        <v>l</v>
      </c>
      <c r="O2" s="4" t="str">
        <f t="shared" si="0"/>
        <v>w</v>
      </c>
      <c r="P2" s="4" t="str">
        <f t="shared" si="0"/>
        <v>l</v>
      </c>
      <c r="Q2" s="25">
        <f>I3+K3</f>
        <v>14</v>
      </c>
    </row>
    <row r="3" spans="1:24" x14ac:dyDescent="0.3">
      <c r="A3" s="111"/>
      <c r="B3" s="111"/>
      <c r="C3" s="111"/>
      <c r="D3" s="111"/>
      <c r="E3" s="21">
        <f>SUM(E8:E33)</f>
        <v>20</v>
      </c>
      <c r="F3" s="21">
        <f>COUNTIFS(E8:E33,"=0")</f>
        <v>6</v>
      </c>
      <c r="G3" s="21">
        <f>SUM(E16:E24,E26:E33)</f>
        <v>15</v>
      </c>
      <c r="H3" s="21">
        <f>COUNTIF(E16:E24,"=0")+COUNTIF(E26:E33,"=0")</f>
        <v>2</v>
      </c>
      <c r="I3" s="21">
        <f>SUMIF($L$8:$L$33,S13,$E$8:$E$33)</f>
        <v>6</v>
      </c>
      <c r="J3" s="21">
        <f>COUNTIFS($L$8:$L$33,S13,E8:E33,"=0")</f>
        <v>4</v>
      </c>
      <c r="K3" s="21">
        <f>SUMIF($L$8:$L$33,S14,$E$8:$E$33)</f>
        <v>8</v>
      </c>
      <c r="L3" s="21">
        <f>COUNTIFS($L$8:$L$33,S14,E8:E33,"=0")</f>
        <v>2</v>
      </c>
      <c r="M3" s="21">
        <f>SUMIF($L$8:$L$33,S15,$E$8:$E$33)</f>
        <v>5</v>
      </c>
      <c r="N3" s="21">
        <f>COUNTIFS($L$8:$L$33,S15,E8:E33,"=0")</f>
        <v>0</v>
      </c>
      <c r="O3" s="21">
        <f>SUMIF($L$8:$L$33,S16,$E$8:$E$33)</f>
        <v>1</v>
      </c>
      <c r="P3" s="21">
        <f>COUNTIFS($L$8:$L$33,S16,E8:E33,"=0")</f>
        <v>0</v>
      </c>
      <c r="Q3" s="15" t="s">
        <v>87</v>
      </c>
    </row>
    <row r="4" spans="1:24" x14ac:dyDescent="0.3">
      <c r="A4" s="112" t="s">
        <v>142</v>
      </c>
      <c r="B4" s="112"/>
      <c r="C4" s="112" t="s">
        <v>69</v>
      </c>
      <c r="D4" s="112"/>
      <c r="E4" s="113">
        <f>E3/(F3+E3)</f>
        <v>0.76923076923076927</v>
      </c>
      <c r="F4" s="113"/>
      <c r="G4" s="113">
        <f>G3/(H3+G3)</f>
        <v>0.88235294117647056</v>
      </c>
      <c r="H4" s="113"/>
      <c r="I4" s="113">
        <f>I3/(J3+I3)</f>
        <v>0.6</v>
      </c>
      <c r="J4" s="113"/>
      <c r="K4" s="113">
        <f>K3/(L3+K3)</f>
        <v>0.8</v>
      </c>
      <c r="L4" s="113"/>
      <c r="M4" s="113">
        <f>M3/(N3+M3)</f>
        <v>1</v>
      </c>
      <c r="N4" s="113"/>
      <c r="O4" s="113">
        <f>O3/(P3+O3)</f>
        <v>1</v>
      </c>
      <c r="P4" s="113"/>
      <c r="Q4" s="116">
        <f>P3+N3</f>
        <v>0</v>
      </c>
    </row>
    <row r="5" spans="1:24" x14ac:dyDescent="0.3">
      <c r="A5" s="8">
        <v>75</v>
      </c>
      <c r="B5" s="8">
        <v>62</v>
      </c>
      <c r="C5" s="8">
        <f>15+SUM(E8:E33)</f>
        <v>35</v>
      </c>
      <c r="D5" s="8">
        <f>15+COUNTIF(E8:E33,"=0")</f>
        <v>21</v>
      </c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7"/>
    </row>
    <row r="6" spans="1:24" ht="4.8" customHeight="1" thickBot="1" x14ac:dyDescent="0.35"/>
    <row r="7" spans="1:24" ht="15" thickTop="1" x14ac:dyDescent="0.3">
      <c r="A7" s="11" t="s">
        <v>49</v>
      </c>
      <c r="B7" s="6" t="s">
        <v>43</v>
      </c>
      <c r="C7" s="6" t="s">
        <v>42</v>
      </c>
      <c r="D7" s="6" t="str">
        <f>'Raw Data'!D2</f>
        <v>Opponent</v>
      </c>
      <c r="E7" s="6" t="s">
        <v>39</v>
      </c>
      <c r="F7" s="110" t="s">
        <v>47</v>
      </c>
      <c r="G7" s="110"/>
      <c r="H7" s="110" t="s">
        <v>48</v>
      </c>
      <c r="I7" s="110"/>
      <c r="J7" s="6" t="s">
        <v>44</v>
      </c>
      <c r="K7" s="6" t="s">
        <v>45</v>
      </c>
      <c r="L7" s="6" t="s">
        <v>46</v>
      </c>
      <c r="M7" s="6" t="s">
        <v>50</v>
      </c>
      <c r="N7" s="17" t="s">
        <v>162</v>
      </c>
      <c r="P7" s="114" t="s">
        <v>158</v>
      </c>
      <c r="Q7" s="114"/>
    </row>
    <row r="8" spans="1:24" ht="15" thickBot="1" x14ac:dyDescent="0.35">
      <c r="A8" s="12">
        <v>1</v>
      </c>
      <c r="B8" s="62">
        <v>44525</v>
      </c>
      <c r="C8" s="4" t="str">
        <f>LEFT('Raw Data'!H3,1)</f>
        <v>H</v>
      </c>
      <c r="D8" s="4" t="str">
        <f>'Raw Data'!D3</f>
        <v>Jksnville St</v>
      </c>
      <c r="E8" s="8">
        <f>IF('Raw Data'!E3="W",1,0)</f>
        <v>1</v>
      </c>
      <c r="F8" s="8">
        <f>E8</f>
        <v>1</v>
      </c>
      <c r="G8" s="8">
        <f>1-E8</f>
        <v>0</v>
      </c>
      <c r="H8" s="8"/>
      <c r="I8" s="8"/>
      <c r="J8" s="8">
        <f>'Raw Data'!J3</f>
        <v>81</v>
      </c>
      <c r="K8" s="8">
        <f>'Raw Data'!K3</f>
        <v>57</v>
      </c>
      <c r="L8" s="66" t="str">
        <f>IF(C8="H",IF(M8&lt;=$T$13,$S$13,IF(M8&lt;=$T$14,$S$14,IF(M8&lt;=$T$15,$S$15,$S$16))),IF(C8="N",IF(M8&lt;=$U$13,$S$13,IF(M8&lt;=$U$14,$S$14,IF(M8&lt;=$U$15,$S$15,$S$16))),IF(M8&lt;=$V$13,$S$13,IF(M8&lt;=$V$14,$S$14,IF(M8&lt;=$V$15,$S$15,$S$16)))))</f>
        <v>IV</v>
      </c>
      <c r="M8" s="8">
        <v>164</v>
      </c>
      <c r="N8" s="8"/>
      <c r="P8" s="121">
        <f>SUM('Dashboard Calculations'!J9:J34)</f>
        <v>6.514723089749527</v>
      </c>
      <c r="Q8" s="121"/>
    </row>
    <row r="9" spans="1:24" ht="15" thickTop="1" x14ac:dyDescent="0.3">
      <c r="A9" s="13">
        <v>2</v>
      </c>
      <c r="B9" s="63">
        <v>44530</v>
      </c>
      <c r="C9" s="9" t="str">
        <f>LEFT('Raw Data'!H4,1)</f>
        <v>N</v>
      </c>
      <c r="D9" s="9" t="str">
        <f>'Raw Data'!D4</f>
        <v>Stanford</v>
      </c>
      <c r="E9" s="7">
        <f>IF('Raw Data'!E4="W",1,0)</f>
        <v>0</v>
      </c>
      <c r="F9" s="7">
        <f>E9+F8</f>
        <v>1</v>
      </c>
      <c r="G9" s="7">
        <f>G8+(1-E9)</f>
        <v>1</v>
      </c>
      <c r="H9" s="7"/>
      <c r="I9" s="7"/>
      <c r="J9" s="7">
        <f>'Raw Data'!J4</f>
        <v>64</v>
      </c>
      <c r="K9" s="7">
        <f>'Raw Data'!K4</f>
        <v>82</v>
      </c>
      <c r="L9" s="7" t="str">
        <f>IF(C9="H",IF(M9&lt;=$T$13,$S$13,IF(M9&lt;=$T$14,$S$14,IF(M9&lt;=$T$15,$S$15,$S$16))),IF(C9="N",IF(M9&lt;=$U$13,$S$13,IF(M9&lt;=$U$14,$S$14,IF(M9&lt;=$U$15,$S$15,$S$16))),IF(M9&lt;=$V$13,$S$13,IF(M9&lt;=$V$14,$S$14,IF(M9&lt;=$V$15,$S$15,$S$16)))))</f>
        <v>II</v>
      </c>
      <c r="M9" s="7">
        <v>64</v>
      </c>
      <c r="N9" s="7"/>
      <c r="P9" s="114" t="s">
        <v>214</v>
      </c>
      <c r="Q9" s="114"/>
    </row>
    <row r="10" spans="1:24" ht="15" thickBot="1" x14ac:dyDescent="0.35">
      <c r="A10" s="12">
        <v>3</v>
      </c>
      <c r="B10" s="62">
        <v>44531</v>
      </c>
      <c r="C10" s="4" t="str">
        <f>LEFT('Raw Data'!H5,1)</f>
        <v>N</v>
      </c>
      <c r="D10" s="4" t="str">
        <f>'Raw Data'!D5</f>
        <v>UNLV</v>
      </c>
      <c r="E10" s="8">
        <f>IF('Raw Data'!E5="W",1,0)</f>
        <v>1</v>
      </c>
      <c r="F10" s="8">
        <f t="shared" ref="F10:F21" si="1">E10+F9</f>
        <v>2</v>
      </c>
      <c r="G10" s="8">
        <f t="shared" ref="G10:G21" si="2">G9+(1-E10)</f>
        <v>1</v>
      </c>
      <c r="H10" s="8"/>
      <c r="I10" s="8"/>
      <c r="J10" s="8">
        <f>'Raw Data'!J5</f>
        <v>86</v>
      </c>
      <c r="K10" s="8">
        <f>'Raw Data'!K5</f>
        <v>74</v>
      </c>
      <c r="L10" s="66" t="str">
        <f t="shared" ref="L10:L42" si="3">IF(C10="H",IF(M10&lt;=$T$13,$S$13,IF(M10&lt;=$T$14,$S$14,IF(M10&lt;=$T$15,$S$15,$S$16))),IF(C10="N",IF(M10&lt;=$U$13,$S$13,IF(M10&lt;=$U$14,$S$14,IF(M10&lt;=$U$15,$S$15,$S$16))),IF(M10&lt;=$V$13,$S$13,IF(M10&lt;=$V$14,$S$14,IF(M10&lt;=$V$15,$S$15,$S$16)))))</f>
        <v>III</v>
      </c>
      <c r="M10" s="8">
        <v>178</v>
      </c>
      <c r="N10" s="8"/>
      <c r="P10" s="120">
        <v>1</v>
      </c>
      <c r="Q10" s="120"/>
    </row>
    <row r="11" spans="1:24" ht="15" thickTop="1" x14ac:dyDescent="0.3">
      <c r="A11" s="14">
        <v>4</v>
      </c>
      <c r="B11" s="64">
        <v>44532</v>
      </c>
      <c r="C11" s="10" t="str">
        <f>LEFT('Raw Data'!H6,1)</f>
        <v>N</v>
      </c>
      <c r="D11" s="10" t="str">
        <f>'Raw Data'!D6</f>
        <v>Providence</v>
      </c>
      <c r="E11" s="5">
        <f>IF('Raw Data'!E6="W",1,0)</f>
        <v>1</v>
      </c>
      <c r="F11" s="5">
        <f t="shared" si="1"/>
        <v>3</v>
      </c>
      <c r="G11" s="5">
        <f t="shared" si="2"/>
        <v>1</v>
      </c>
      <c r="H11" s="5"/>
      <c r="I11" s="5"/>
      <c r="J11" s="5">
        <f>'Raw Data'!J6</f>
        <v>88</v>
      </c>
      <c r="K11" s="5">
        <f>'Raw Data'!K6</f>
        <v>71</v>
      </c>
      <c r="L11" s="5" t="str">
        <f t="shared" si="3"/>
        <v>II</v>
      </c>
      <c r="M11" s="5">
        <v>79</v>
      </c>
      <c r="N11" s="5"/>
      <c r="P11" s="114" t="s">
        <v>74</v>
      </c>
      <c r="Q11" s="114"/>
      <c r="S11" s="118" t="s">
        <v>80</v>
      </c>
      <c r="T11" s="118"/>
      <c r="U11" s="118"/>
      <c r="V11" s="118"/>
      <c r="W11" s="118"/>
      <c r="X11" s="118"/>
    </row>
    <row r="12" spans="1:24" ht="15" thickBot="1" x14ac:dyDescent="0.35">
      <c r="A12" s="12">
        <v>5</v>
      </c>
      <c r="B12" s="62">
        <v>44542</v>
      </c>
      <c r="C12" s="4" t="str">
        <f>LEFT('Raw Data'!H7,1)</f>
        <v>N</v>
      </c>
      <c r="D12" s="4" t="str">
        <f>'Raw Data'!D7</f>
        <v>Clemson</v>
      </c>
      <c r="E12" s="8">
        <f>IF('Raw Data'!E7="W",1,0)</f>
        <v>0</v>
      </c>
      <c r="F12" s="8">
        <f t="shared" si="1"/>
        <v>3</v>
      </c>
      <c r="G12" s="8">
        <f t="shared" si="2"/>
        <v>2</v>
      </c>
      <c r="H12" s="8"/>
      <c r="I12" s="8"/>
      <c r="J12" s="8">
        <f>'Raw Data'!J7</f>
        <v>56</v>
      </c>
      <c r="K12" s="8">
        <f>'Raw Data'!K7</f>
        <v>64</v>
      </c>
      <c r="L12" s="66" t="str">
        <f t="shared" si="3"/>
        <v>I</v>
      </c>
      <c r="M12" s="8">
        <v>34</v>
      </c>
      <c r="N12" s="8"/>
      <c r="P12" s="181">
        <v>1</v>
      </c>
      <c r="Q12" s="181"/>
      <c r="S12" s="12" t="s">
        <v>60</v>
      </c>
      <c r="T12" s="12" t="s">
        <v>2</v>
      </c>
      <c r="U12" s="12" t="s">
        <v>5</v>
      </c>
      <c r="V12" s="12" t="s">
        <v>22</v>
      </c>
      <c r="W12" s="23" t="s">
        <v>81</v>
      </c>
      <c r="X12" s="23" t="s">
        <v>82</v>
      </c>
    </row>
    <row r="13" spans="1:24" ht="16.2" thickTop="1" thickBot="1" x14ac:dyDescent="0.35">
      <c r="A13" s="14">
        <v>6</v>
      </c>
      <c r="B13" s="64">
        <v>44545</v>
      </c>
      <c r="C13" s="10" t="str">
        <f>LEFT('Raw Data'!H8,1)</f>
        <v>H</v>
      </c>
      <c r="D13" s="10" t="str">
        <f>'Raw Data'!D8</f>
        <v>Furman</v>
      </c>
      <c r="E13" s="5">
        <f>IF('Raw Data'!E8="W",1,0)</f>
        <v>1</v>
      </c>
      <c r="F13" s="5">
        <f t="shared" si="1"/>
        <v>4</v>
      </c>
      <c r="G13" s="5">
        <f t="shared" si="2"/>
        <v>2</v>
      </c>
      <c r="H13" s="5"/>
      <c r="I13" s="5"/>
      <c r="J13" s="5">
        <f>'Raw Data'!J8</f>
        <v>83</v>
      </c>
      <c r="K13" s="5">
        <f>'Raw Data'!K8</f>
        <v>80</v>
      </c>
      <c r="L13" s="5" t="str">
        <f t="shared" si="3"/>
        <v>II</v>
      </c>
      <c r="M13" s="5">
        <v>75</v>
      </c>
      <c r="N13" s="5"/>
      <c r="S13" s="16" t="s">
        <v>61</v>
      </c>
      <c r="T13" s="8">
        <v>30</v>
      </c>
      <c r="U13" s="8">
        <v>50</v>
      </c>
      <c r="V13" s="8">
        <v>75</v>
      </c>
      <c r="W13" s="8" t="s">
        <v>85</v>
      </c>
      <c r="X13" s="8" t="s">
        <v>86</v>
      </c>
    </row>
    <row r="14" spans="1:24" ht="15.6" thickTop="1" x14ac:dyDescent="0.3">
      <c r="A14" s="12">
        <v>7</v>
      </c>
      <c r="B14" s="62">
        <v>44549</v>
      </c>
      <c r="C14" s="4" t="str">
        <f>LEFT('Raw Data'!H9,1)</f>
        <v>H</v>
      </c>
      <c r="D14" s="4" t="str">
        <f>'Raw Data'!D9</f>
        <v>W Kentucky</v>
      </c>
      <c r="E14" s="8">
        <f>IF('Raw Data'!E9="W",1,0)</f>
        <v>0</v>
      </c>
      <c r="F14" s="8">
        <f t="shared" si="1"/>
        <v>4</v>
      </c>
      <c r="G14" s="8">
        <f t="shared" si="2"/>
        <v>3</v>
      </c>
      <c r="H14" s="8"/>
      <c r="I14" s="8"/>
      <c r="J14" s="8">
        <f>'Raw Data'!J9</f>
        <v>71</v>
      </c>
      <c r="K14" s="8">
        <f>'Raw Data'!K9</f>
        <v>73</v>
      </c>
      <c r="L14" s="66" t="str">
        <f t="shared" si="3"/>
        <v>II</v>
      </c>
      <c r="M14" s="8">
        <v>74</v>
      </c>
      <c r="N14" s="8"/>
      <c r="P14" s="65" t="s">
        <v>75</v>
      </c>
      <c r="Q14" s="65" t="s">
        <v>76</v>
      </c>
      <c r="S14" s="16" t="s">
        <v>62</v>
      </c>
      <c r="T14" s="8">
        <v>75</v>
      </c>
      <c r="U14" s="8">
        <v>100</v>
      </c>
      <c r="V14" s="8">
        <v>135</v>
      </c>
      <c r="W14" s="8" t="s">
        <v>85</v>
      </c>
      <c r="X14" s="8" t="s">
        <v>84</v>
      </c>
    </row>
    <row r="15" spans="1:24" ht="15" x14ac:dyDescent="0.3">
      <c r="A15" s="13">
        <v>8</v>
      </c>
      <c r="B15" s="63">
        <v>44552</v>
      </c>
      <c r="C15" s="9" t="str">
        <f>LEFT('Raw Data'!H10,1)</f>
        <v>H</v>
      </c>
      <c r="D15" s="9" t="str">
        <f>'Raw Data'!D10</f>
        <v>E Tenn St</v>
      </c>
      <c r="E15" s="7">
        <f>IF('Raw Data'!E10="W",1,0)</f>
        <v>1</v>
      </c>
      <c r="F15" s="7">
        <f t="shared" si="1"/>
        <v>5</v>
      </c>
      <c r="G15" s="7">
        <f t="shared" si="2"/>
        <v>3</v>
      </c>
      <c r="H15" s="7"/>
      <c r="I15" s="7"/>
      <c r="J15" s="7">
        <f>'Raw Data'!J10</f>
        <v>85</v>
      </c>
      <c r="K15" s="7">
        <f>'Raw Data'!K10</f>
        <v>69</v>
      </c>
      <c r="L15" s="7" t="str">
        <f t="shared" si="3"/>
        <v>III</v>
      </c>
      <c r="M15" s="7">
        <v>132</v>
      </c>
      <c r="N15" s="7"/>
      <c r="P15" s="12" t="s">
        <v>70</v>
      </c>
      <c r="Q15" s="8">
        <v>5</v>
      </c>
      <c r="S15" s="16" t="s">
        <v>63</v>
      </c>
      <c r="T15" s="8">
        <v>160</v>
      </c>
      <c r="U15" s="8">
        <v>200</v>
      </c>
      <c r="V15" s="8">
        <v>240</v>
      </c>
      <c r="W15" s="8" t="s">
        <v>83</v>
      </c>
      <c r="X15" s="8" t="s">
        <v>141</v>
      </c>
    </row>
    <row r="16" spans="1:24" ht="15" x14ac:dyDescent="0.3">
      <c r="A16" s="12">
        <v>9</v>
      </c>
      <c r="B16" s="62">
        <v>44559</v>
      </c>
      <c r="C16" s="4" t="str">
        <f>LEFT('Raw Data'!H11,1)</f>
        <v>H</v>
      </c>
      <c r="D16" s="4" t="str">
        <f>'Raw Data'!D11</f>
        <v>Mississippi</v>
      </c>
      <c r="E16" s="8">
        <f>IF('Raw Data'!E11="W",1,0)</f>
        <v>1</v>
      </c>
      <c r="F16" s="8">
        <f t="shared" si="1"/>
        <v>6</v>
      </c>
      <c r="G16" s="8">
        <f t="shared" si="2"/>
        <v>3</v>
      </c>
      <c r="H16" s="8">
        <f>E16</f>
        <v>1</v>
      </c>
      <c r="I16" s="8">
        <f>1-E16</f>
        <v>0</v>
      </c>
      <c r="J16" s="8">
        <f>'Raw Data'!J11</f>
        <v>82</v>
      </c>
      <c r="K16" s="8">
        <f>'Raw Data'!K11</f>
        <v>64</v>
      </c>
      <c r="L16" s="66" t="str">
        <f t="shared" si="3"/>
        <v>II</v>
      </c>
      <c r="M16" s="8">
        <v>61</v>
      </c>
      <c r="N16" s="8"/>
      <c r="P16" s="12" t="s">
        <v>71</v>
      </c>
      <c r="Q16" s="8">
        <v>5</v>
      </c>
      <c r="S16" s="16" t="s">
        <v>64</v>
      </c>
      <c r="T16" s="8" t="s">
        <v>67</v>
      </c>
      <c r="U16" s="8" t="s">
        <v>66</v>
      </c>
      <c r="V16" s="8" t="s">
        <v>65</v>
      </c>
      <c r="W16" s="24" t="s">
        <v>83</v>
      </c>
      <c r="X16" s="8" t="s">
        <v>141</v>
      </c>
    </row>
    <row r="17" spans="1:19" x14ac:dyDescent="0.3">
      <c r="A17" s="14">
        <v>10</v>
      </c>
      <c r="B17" s="64">
        <v>44198</v>
      </c>
      <c r="C17" s="10" t="str">
        <f>LEFT('Raw Data'!H12,1)</f>
        <v>A</v>
      </c>
      <c r="D17" s="10" t="str">
        <f>'Raw Data'!D12</f>
        <v>Tennessee</v>
      </c>
      <c r="E17" s="5">
        <f>IF('Raw Data'!E12="W",1,0)</f>
        <v>1</v>
      </c>
      <c r="F17" s="5">
        <f t="shared" si="1"/>
        <v>7</v>
      </c>
      <c r="G17" s="5">
        <f t="shared" si="2"/>
        <v>3</v>
      </c>
      <c r="H17" s="5">
        <f t="shared" ref="H17:H22" si="4">H16+E17</f>
        <v>2</v>
      </c>
      <c r="I17" s="5">
        <f t="shared" ref="I17:I22" si="5">I16+(1-E17)</f>
        <v>0</v>
      </c>
      <c r="J17" s="5">
        <f>'Raw Data'!J12</f>
        <v>71</v>
      </c>
      <c r="K17" s="5">
        <f>'Raw Data'!K12</f>
        <v>63</v>
      </c>
      <c r="L17" s="5" t="str">
        <f t="shared" si="3"/>
        <v>I</v>
      </c>
      <c r="M17" s="5">
        <v>22</v>
      </c>
      <c r="N17" s="5"/>
      <c r="P17" s="12" t="s">
        <v>72</v>
      </c>
      <c r="Q17" s="8">
        <v>5</v>
      </c>
    </row>
    <row r="18" spans="1:19" ht="15" thickBot="1" x14ac:dyDescent="0.35">
      <c r="A18" s="12">
        <v>11</v>
      </c>
      <c r="B18" s="62">
        <v>44201</v>
      </c>
      <c r="C18" s="4" t="str">
        <f>LEFT('Raw Data'!H13,1)</f>
        <v>H</v>
      </c>
      <c r="D18" s="4" t="str">
        <f>'Raw Data'!D13</f>
        <v>Florida</v>
      </c>
      <c r="E18" s="8">
        <f>IF('Raw Data'!E13="W",1,0)</f>
        <v>1</v>
      </c>
      <c r="F18" s="8">
        <f t="shared" si="1"/>
        <v>8</v>
      </c>
      <c r="G18" s="8">
        <f t="shared" si="2"/>
        <v>3</v>
      </c>
      <c r="H18" s="8">
        <f t="shared" si="4"/>
        <v>3</v>
      </c>
      <c r="I18" s="8">
        <f t="shared" si="5"/>
        <v>0</v>
      </c>
      <c r="J18" s="8">
        <f>'Raw Data'!J13</f>
        <v>86</v>
      </c>
      <c r="K18" s="8">
        <f>'Raw Data'!K13</f>
        <v>71</v>
      </c>
      <c r="L18" s="66" t="str">
        <f t="shared" si="3"/>
        <v>I</v>
      </c>
      <c r="M18" s="8">
        <v>26</v>
      </c>
      <c r="N18" s="8"/>
      <c r="P18" s="182" t="s">
        <v>73</v>
      </c>
      <c r="Q18" s="183">
        <v>8</v>
      </c>
      <c r="S18" s="22"/>
    </row>
    <row r="19" spans="1:19" ht="15.6" thickTop="1" thickBot="1" x14ac:dyDescent="0.35">
      <c r="A19" s="14">
        <v>12</v>
      </c>
      <c r="B19" s="64">
        <v>44205</v>
      </c>
      <c r="C19" s="10" t="str">
        <f>LEFT('Raw Data'!H14,1)</f>
        <v>A</v>
      </c>
      <c r="D19" s="10" t="str">
        <f>'Raw Data'!D14</f>
        <v>Auburn</v>
      </c>
      <c r="E19" s="5">
        <f>IF('Raw Data'!E14="W",1,0)</f>
        <v>1</v>
      </c>
      <c r="F19" s="5">
        <f t="shared" si="1"/>
        <v>9</v>
      </c>
      <c r="G19" s="5">
        <f t="shared" si="2"/>
        <v>3</v>
      </c>
      <c r="H19" s="5">
        <f t="shared" si="4"/>
        <v>4</v>
      </c>
      <c r="I19" s="5">
        <f t="shared" si="5"/>
        <v>0</v>
      </c>
      <c r="J19" s="5">
        <f>'Raw Data'!J14</f>
        <v>94</v>
      </c>
      <c r="K19" s="5">
        <f>'Raw Data'!K14</f>
        <v>90</v>
      </c>
      <c r="L19" s="5" t="str">
        <f t="shared" si="3"/>
        <v>I</v>
      </c>
      <c r="M19" s="5">
        <v>70</v>
      </c>
      <c r="N19" s="5"/>
    </row>
    <row r="20" spans="1:19" ht="15" thickTop="1" x14ac:dyDescent="0.3">
      <c r="A20" s="12">
        <v>13</v>
      </c>
      <c r="B20" s="62">
        <v>44208</v>
      </c>
      <c r="C20" s="4" t="str">
        <f>LEFT('Raw Data'!H15,1)</f>
        <v>A</v>
      </c>
      <c r="D20" s="4" t="str">
        <f>'Raw Data'!D15</f>
        <v>Kentucky</v>
      </c>
      <c r="E20" s="8">
        <f>IF('Raw Data'!E15="W",1,0)</f>
        <v>1</v>
      </c>
      <c r="F20" s="8">
        <f t="shared" si="1"/>
        <v>10</v>
      </c>
      <c r="G20" s="8">
        <f t="shared" si="2"/>
        <v>3</v>
      </c>
      <c r="H20" s="8">
        <f t="shared" si="4"/>
        <v>5</v>
      </c>
      <c r="I20" s="8">
        <f t="shared" si="5"/>
        <v>0</v>
      </c>
      <c r="J20" s="8">
        <f>'Raw Data'!J15</f>
        <v>85</v>
      </c>
      <c r="K20" s="8">
        <f>'Raw Data'!K15</f>
        <v>65</v>
      </c>
      <c r="L20" s="66" t="str">
        <f t="shared" si="3"/>
        <v>I</v>
      </c>
      <c r="M20" s="8">
        <v>65</v>
      </c>
      <c r="N20" s="18">
        <v>0.501</v>
      </c>
      <c r="P20" s="114" t="s">
        <v>77</v>
      </c>
      <c r="Q20" s="114"/>
    </row>
    <row r="21" spans="1:19" ht="15" thickBot="1" x14ac:dyDescent="0.35">
      <c r="A21" s="13">
        <v>14</v>
      </c>
      <c r="B21" s="63">
        <v>44212</v>
      </c>
      <c r="C21" s="9" t="str">
        <f>LEFT('Raw Data'!H16,1)</f>
        <v>H</v>
      </c>
      <c r="D21" s="9" t="str">
        <f>'Raw Data'!D16</f>
        <v>Arkansas</v>
      </c>
      <c r="E21" s="5">
        <v>1</v>
      </c>
      <c r="F21" s="5">
        <f t="shared" si="1"/>
        <v>11</v>
      </c>
      <c r="G21" s="5">
        <f t="shared" si="2"/>
        <v>3</v>
      </c>
      <c r="H21" s="5">
        <f t="shared" si="4"/>
        <v>6</v>
      </c>
      <c r="I21" s="5">
        <f t="shared" si="5"/>
        <v>0</v>
      </c>
      <c r="J21" s="7">
        <v>90</v>
      </c>
      <c r="K21" s="7">
        <v>59</v>
      </c>
      <c r="L21" s="7" t="str">
        <f t="shared" si="3"/>
        <v>I</v>
      </c>
      <c r="M21" s="7">
        <v>19</v>
      </c>
      <c r="N21" s="19">
        <v>0.51200000000000001</v>
      </c>
      <c r="P21" s="119">
        <f>E3</f>
        <v>20</v>
      </c>
      <c r="Q21" s="119"/>
    </row>
    <row r="22" spans="1:19" ht="15" thickTop="1" x14ac:dyDescent="0.3">
      <c r="A22" s="12">
        <v>15</v>
      </c>
      <c r="B22" s="62">
        <v>44215</v>
      </c>
      <c r="C22" s="4" t="str">
        <f>LEFT('Raw Data'!H17,1)</f>
        <v>A</v>
      </c>
      <c r="D22" s="4" t="str">
        <f>'Raw Data'!D17</f>
        <v>LSU</v>
      </c>
      <c r="E22" s="61">
        <v>1</v>
      </c>
      <c r="F22" s="61">
        <f t="shared" ref="F22" si="6">E22+F21</f>
        <v>12</v>
      </c>
      <c r="G22" s="61">
        <f t="shared" ref="G22" si="7">G21+(1-E22)</f>
        <v>3</v>
      </c>
      <c r="H22" s="61">
        <f t="shared" si="4"/>
        <v>7</v>
      </c>
      <c r="I22" s="61">
        <f t="shared" si="5"/>
        <v>0</v>
      </c>
      <c r="J22" s="61">
        <v>105</v>
      </c>
      <c r="K22" s="61">
        <v>75</v>
      </c>
      <c r="L22" s="66" t="str">
        <f t="shared" si="3"/>
        <v>I</v>
      </c>
      <c r="M22" s="8">
        <v>31</v>
      </c>
      <c r="N22" s="18">
        <v>0.44800000000000001</v>
      </c>
      <c r="P22" s="114" t="s">
        <v>78</v>
      </c>
      <c r="Q22" s="114"/>
    </row>
    <row r="23" spans="1:19" ht="15" thickBot="1" x14ac:dyDescent="0.35">
      <c r="A23" s="14">
        <v>16</v>
      </c>
      <c r="B23" s="63">
        <v>44219</v>
      </c>
      <c r="C23" s="10" t="str">
        <f>LEFT('Raw Data'!H18,1)</f>
        <v>H</v>
      </c>
      <c r="D23" s="10" t="str">
        <f>'Raw Data'!D18</f>
        <v>Miss State</v>
      </c>
      <c r="E23" s="5">
        <v>1</v>
      </c>
      <c r="F23" s="5">
        <f t="shared" ref="F23" si="8">E23+F22</f>
        <v>13</v>
      </c>
      <c r="G23" s="5">
        <f t="shared" ref="G23" si="9">G22+(1-E23)</f>
        <v>3</v>
      </c>
      <c r="H23" s="5">
        <f t="shared" ref="H23" si="10">H22+E23</f>
        <v>8</v>
      </c>
      <c r="I23" s="5">
        <f t="shared" ref="I23" si="11">I22+(1-E23)</f>
        <v>0</v>
      </c>
      <c r="J23" s="7">
        <v>81</v>
      </c>
      <c r="K23" s="7">
        <v>73</v>
      </c>
      <c r="L23" s="5" t="str">
        <f t="shared" si="3"/>
        <v>III</v>
      </c>
      <c r="M23" s="5">
        <v>80</v>
      </c>
      <c r="N23" s="20">
        <v>0.80200000000000005</v>
      </c>
      <c r="P23" s="184">
        <f>A34-P21</f>
        <v>7</v>
      </c>
      <c r="Q23" s="184"/>
    </row>
    <row r="24" spans="1:19" ht="15.6" thickTop="1" thickBot="1" x14ac:dyDescent="0.35">
      <c r="A24" s="12">
        <v>17</v>
      </c>
      <c r="B24" s="62">
        <v>44222</v>
      </c>
      <c r="C24" s="4" t="str">
        <f>LEFT('Raw Data'!H19,1)</f>
        <v>H</v>
      </c>
      <c r="D24" s="4" t="str">
        <f>'Raw Data'!D19</f>
        <v>Kentucky</v>
      </c>
      <c r="E24" s="71">
        <v>1</v>
      </c>
      <c r="F24" s="71">
        <f t="shared" ref="F24" si="12">E24+F23</f>
        <v>14</v>
      </c>
      <c r="G24" s="71">
        <f t="shared" ref="G24" si="13">G23+(1-E24)</f>
        <v>3</v>
      </c>
      <c r="H24" s="71">
        <f t="shared" ref="H24" si="14">H23+E24</f>
        <v>9</v>
      </c>
      <c r="I24" s="71">
        <f t="shared" ref="I24" si="15">I23+(1-E24)</f>
        <v>0</v>
      </c>
      <c r="J24" s="71">
        <v>70</v>
      </c>
      <c r="K24" s="71">
        <v>59</v>
      </c>
      <c r="L24" s="66" t="str">
        <f t="shared" si="3"/>
        <v>II</v>
      </c>
      <c r="M24" s="8">
        <f>M20</f>
        <v>65</v>
      </c>
      <c r="N24" s="18">
        <v>0.73799999999999999</v>
      </c>
    </row>
    <row r="25" spans="1:19" ht="15" thickTop="1" x14ac:dyDescent="0.3">
      <c r="A25" s="13">
        <v>18</v>
      </c>
      <c r="B25" s="64">
        <v>44226</v>
      </c>
      <c r="C25" s="9" t="str">
        <f>LEFT('Raw Data'!H20,1)</f>
        <v>A</v>
      </c>
      <c r="D25" s="9" t="str">
        <f>'Raw Data'!D20</f>
        <v>Oklahoma</v>
      </c>
      <c r="E25" s="7">
        <v>0</v>
      </c>
      <c r="F25" s="5">
        <f t="shared" ref="F25:F28" si="16">E25+F24</f>
        <v>14</v>
      </c>
      <c r="G25" s="5">
        <f t="shared" ref="G25:G28" si="17">G24+(1-E25)</f>
        <v>4</v>
      </c>
      <c r="H25" s="5">
        <f t="shared" ref="H25:H28" si="18">H24+E25</f>
        <v>9</v>
      </c>
      <c r="I25" s="5">
        <f>I24</f>
        <v>0</v>
      </c>
      <c r="J25" s="7">
        <v>61</v>
      </c>
      <c r="K25" s="7">
        <v>66</v>
      </c>
      <c r="L25" s="7" t="str">
        <f t="shared" si="3"/>
        <v>I</v>
      </c>
      <c r="M25" s="7">
        <v>30</v>
      </c>
      <c r="N25" s="19">
        <v>0.503</v>
      </c>
      <c r="P25" s="114" t="s">
        <v>143</v>
      </c>
      <c r="Q25" s="114"/>
    </row>
    <row r="26" spans="1:19" ht="15" thickBot="1" x14ac:dyDescent="0.35">
      <c r="A26" s="12">
        <v>19</v>
      </c>
      <c r="B26" s="62">
        <v>44230</v>
      </c>
      <c r="C26" s="4" t="str">
        <f>LEFT('Raw Data'!H21,1)</f>
        <v>H</v>
      </c>
      <c r="D26" s="4" t="str">
        <f>'Raw Data'!D21</f>
        <v>LSU</v>
      </c>
      <c r="E26" s="8">
        <v>1</v>
      </c>
      <c r="F26" s="74">
        <f t="shared" si="16"/>
        <v>15</v>
      </c>
      <c r="G26" s="74">
        <f t="shared" si="17"/>
        <v>4</v>
      </c>
      <c r="H26" s="74">
        <f t="shared" si="18"/>
        <v>10</v>
      </c>
      <c r="I26" s="74">
        <f t="shared" ref="I26:I28" si="19">I25+(1-E26)</f>
        <v>0</v>
      </c>
      <c r="J26" s="8">
        <v>78</v>
      </c>
      <c r="K26" s="8">
        <v>60</v>
      </c>
      <c r="L26" s="66" t="str">
        <f t="shared" si="3"/>
        <v>II</v>
      </c>
      <c r="M26" s="8">
        <f>M22</f>
        <v>31</v>
      </c>
      <c r="N26" s="18">
        <v>0.55600000000000005</v>
      </c>
      <c r="P26" s="115">
        <f>SUM(J8:J33)-SUM(K8:K33)</f>
        <v>241</v>
      </c>
      <c r="Q26" s="115"/>
    </row>
    <row r="27" spans="1:19" ht="15" thickTop="1" x14ac:dyDescent="0.3">
      <c r="A27" s="14">
        <v>20</v>
      </c>
      <c r="B27" s="64">
        <v>44233</v>
      </c>
      <c r="C27" s="10" t="str">
        <f>LEFT('Raw Data'!H22,1)</f>
        <v>A</v>
      </c>
      <c r="D27" s="10" t="str">
        <f>'Raw Data'!D22</f>
        <v>Missouri</v>
      </c>
      <c r="E27" s="5">
        <v>0</v>
      </c>
      <c r="F27" s="5">
        <f t="shared" si="16"/>
        <v>15</v>
      </c>
      <c r="G27" s="5">
        <f t="shared" si="17"/>
        <v>5</v>
      </c>
      <c r="H27" s="5">
        <f t="shared" si="18"/>
        <v>10</v>
      </c>
      <c r="I27" s="5">
        <f t="shared" si="19"/>
        <v>1</v>
      </c>
      <c r="J27" s="5">
        <v>65</v>
      </c>
      <c r="K27" s="5">
        <v>68</v>
      </c>
      <c r="L27" s="5" t="str">
        <f t="shared" si="3"/>
        <v>I</v>
      </c>
      <c r="M27" s="5">
        <v>47</v>
      </c>
      <c r="N27" s="20">
        <v>0.56299999999999994</v>
      </c>
      <c r="P27" s="114" t="s">
        <v>144</v>
      </c>
      <c r="Q27" s="114"/>
    </row>
    <row r="28" spans="1:19" ht="15" thickBot="1" x14ac:dyDescent="0.35">
      <c r="A28" s="12">
        <v>21</v>
      </c>
      <c r="B28" s="62">
        <v>44236</v>
      </c>
      <c r="C28" s="4" t="str">
        <f>LEFT('Raw Data'!H23,1)</f>
        <v>A</v>
      </c>
      <c r="D28" s="4" t="str">
        <f>'Raw Data'!D23</f>
        <v>S Carolina</v>
      </c>
      <c r="E28" s="8">
        <v>1</v>
      </c>
      <c r="F28" s="74">
        <f t="shared" si="16"/>
        <v>16</v>
      </c>
      <c r="G28" s="74">
        <f t="shared" si="17"/>
        <v>5</v>
      </c>
      <c r="H28" s="74">
        <f t="shared" si="18"/>
        <v>11</v>
      </c>
      <c r="I28" s="74">
        <f t="shared" si="19"/>
        <v>1</v>
      </c>
      <c r="J28" s="8">
        <v>81</v>
      </c>
      <c r="K28" s="8">
        <v>78</v>
      </c>
      <c r="L28" s="66" t="str">
        <f t="shared" si="3"/>
        <v>II</v>
      </c>
      <c r="M28" s="8">
        <v>112</v>
      </c>
      <c r="N28" s="18">
        <v>0.66300000000000003</v>
      </c>
      <c r="P28" s="115">
        <f>SUM(K8:K33)/(27-COUNTIF(K8:K33,""))</f>
        <v>67.370370370370367</v>
      </c>
      <c r="Q28" s="115"/>
    </row>
    <row r="29" spans="1:19" ht="15" thickTop="1" x14ac:dyDescent="0.3">
      <c r="A29" s="14">
        <v>22</v>
      </c>
      <c r="B29" s="63">
        <v>44240</v>
      </c>
      <c r="C29" s="10" t="str">
        <f>LEFT('Raw Data'!H24,1)</f>
        <v>H</v>
      </c>
      <c r="D29" s="10" t="str">
        <f>'Raw Data'!D24</f>
        <v>Georgia</v>
      </c>
      <c r="E29" s="5">
        <v>1</v>
      </c>
      <c r="F29" s="5">
        <f t="shared" ref="F29" si="20">E29+F28</f>
        <v>17</v>
      </c>
      <c r="G29" s="5">
        <f t="shared" ref="G29" si="21">G28+(1-E29)</f>
        <v>5</v>
      </c>
      <c r="H29" s="5">
        <f t="shared" ref="H29" si="22">H28+E29</f>
        <v>12</v>
      </c>
      <c r="I29" s="5">
        <f t="shared" ref="I29" si="23">I28+(1-E29)</f>
        <v>1</v>
      </c>
      <c r="J29" s="5">
        <v>115</v>
      </c>
      <c r="K29" s="5">
        <v>82</v>
      </c>
      <c r="L29" s="5" t="str">
        <f t="shared" si="3"/>
        <v>III</v>
      </c>
      <c r="M29" s="5">
        <v>94</v>
      </c>
      <c r="N29" s="20">
        <v>0.874</v>
      </c>
      <c r="P29" s="114" t="s">
        <v>145</v>
      </c>
      <c r="Q29" s="114"/>
    </row>
    <row r="30" spans="1:19" ht="15" thickBot="1" x14ac:dyDescent="0.35">
      <c r="A30" s="75">
        <v>23</v>
      </c>
      <c r="B30" s="62">
        <v>44247</v>
      </c>
      <c r="C30" s="4" t="str">
        <f>LEFT('Raw Data'!H26,1)</f>
        <v>H</v>
      </c>
      <c r="D30" s="4" t="str">
        <f>'Raw Data'!D26</f>
        <v>Vanderbilt</v>
      </c>
      <c r="E30" s="77">
        <v>1</v>
      </c>
      <c r="F30" s="77">
        <f t="shared" ref="F30" si="24">E30+F29</f>
        <v>18</v>
      </c>
      <c r="G30" s="77">
        <f t="shared" ref="G30" si="25">G29+(1-E30)</f>
        <v>5</v>
      </c>
      <c r="H30" s="77">
        <f t="shared" ref="H30" si="26">H29+E30</f>
        <v>13</v>
      </c>
      <c r="I30" s="77">
        <f t="shared" ref="I30" si="27">I29+(1-E30)</f>
        <v>1</v>
      </c>
      <c r="J30" s="77">
        <v>82</v>
      </c>
      <c r="K30" s="77">
        <v>78</v>
      </c>
      <c r="L30" s="77" t="str">
        <f t="shared" si="3"/>
        <v>III</v>
      </c>
      <c r="M30" s="77">
        <v>118</v>
      </c>
      <c r="N30" s="76">
        <v>0.92200000000000004</v>
      </c>
      <c r="P30" s="115">
        <f>SUM(J8:J33)/(27-COUNTIF(J8:J33,""))</f>
        <v>76.296296296296291</v>
      </c>
      <c r="Q30" s="115"/>
    </row>
    <row r="31" spans="1:19" ht="15" thickTop="1" x14ac:dyDescent="0.3">
      <c r="A31" s="13">
        <v>24</v>
      </c>
      <c r="B31" s="64">
        <v>44251</v>
      </c>
      <c r="C31" s="9" t="str">
        <f>LEFT('Raw Data'!H27,1)</f>
        <v>A</v>
      </c>
      <c r="D31" s="9" t="str">
        <f>'Raw Data'!D27</f>
        <v>Arkansas</v>
      </c>
      <c r="E31" s="7">
        <v>0</v>
      </c>
      <c r="F31" s="5">
        <f t="shared" ref="F31:F32" si="28">E31+F30</f>
        <v>18</v>
      </c>
      <c r="G31" s="5">
        <f t="shared" ref="G31:G32" si="29">G30+(1-E31)</f>
        <v>6</v>
      </c>
      <c r="H31" s="5">
        <f t="shared" ref="H31:H32" si="30">H30+E31</f>
        <v>13</v>
      </c>
      <c r="I31" s="5">
        <f t="shared" ref="I31:I32" si="31">I30+(1-E31)</f>
        <v>2</v>
      </c>
      <c r="J31" s="7">
        <v>66</v>
      </c>
      <c r="K31" s="7">
        <v>81</v>
      </c>
      <c r="L31" s="7" t="str">
        <f t="shared" si="3"/>
        <v>I</v>
      </c>
      <c r="M31" s="7">
        <f>M21</f>
        <v>19</v>
      </c>
      <c r="N31" s="19">
        <v>0.54200000000000004</v>
      </c>
      <c r="P31" s="114" t="s">
        <v>146</v>
      </c>
      <c r="Q31" s="114"/>
    </row>
    <row r="32" spans="1:19" ht="15" thickBot="1" x14ac:dyDescent="0.35">
      <c r="A32" s="75">
        <v>25</v>
      </c>
      <c r="B32" s="62">
        <v>44254</v>
      </c>
      <c r="C32" s="4" t="str">
        <f>LEFT('Raw Data'!H28,1)</f>
        <v>A</v>
      </c>
      <c r="D32" s="4" t="str">
        <f>'Raw Data'!D28</f>
        <v>Miss State</v>
      </c>
      <c r="E32" s="77">
        <v>1</v>
      </c>
      <c r="F32" s="77">
        <f t="shared" si="28"/>
        <v>19</v>
      </c>
      <c r="G32" s="77">
        <f t="shared" si="29"/>
        <v>6</v>
      </c>
      <c r="H32" s="77">
        <f t="shared" si="30"/>
        <v>14</v>
      </c>
      <c r="I32" s="77">
        <f t="shared" si="31"/>
        <v>2</v>
      </c>
      <c r="J32" s="77">
        <v>64</v>
      </c>
      <c r="K32" s="77">
        <v>59</v>
      </c>
      <c r="L32" s="77" t="str">
        <f t="shared" si="3"/>
        <v>II</v>
      </c>
      <c r="M32" s="77">
        <f>M23</f>
        <v>80</v>
      </c>
      <c r="N32" s="76">
        <v>0.76100000000000001</v>
      </c>
      <c r="P32" s="187">
        <f>P26/(27-COUNTIF(K8:K33,""))</f>
        <v>8.9259259259259256</v>
      </c>
      <c r="Q32" s="187"/>
    </row>
    <row r="33" spans="1:17" ht="15.6" thickTop="1" thickBot="1" x14ac:dyDescent="0.35">
      <c r="A33" s="13">
        <v>26</v>
      </c>
      <c r="B33" s="64">
        <v>44257</v>
      </c>
      <c r="C33" s="9" t="s">
        <v>68</v>
      </c>
      <c r="D33" s="9" t="str">
        <f>'Raw Data'!D29</f>
        <v>Auburn</v>
      </c>
      <c r="E33" s="7">
        <v>1</v>
      </c>
      <c r="F33" s="5">
        <f t="shared" ref="F33" si="32">E33+F32</f>
        <v>20</v>
      </c>
      <c r="G33" s="5">
        <f t="shared" ref="G33" si="33">G32+(1-E33)</f>
        <v>6</v>
      </c>
      <c r="H33" s="5">
        <f t="shared" ref="H33" si="34">H32+E33</f>
        <v>15</v>
      </c>
      <c r="I33" s="5">
        <f t="shared" ref="I33" si="35">I32+(1-E33)</f>
        <v>2</v>
      </c>
      <c r="J33" s="7">
        <v>70</v>
      </c>
      <c r="K33" s="7">
        <v>58</v>
      </c>
      <c r="L33" s="7" t="str">
        <f t="shared" si="3"/>
        <v>II</v>
      </c>
      <c r="M33" s="7">
        <f>M19</f>
        <v>70</v>
      </c>
      <c r="N33" s="19">
        <v>0.83099999999999996</v>
      </c>
    </row>
    <row r="34" spans="1:17" ht="15" thickTop="1" x14ac:dyDescent="0.3">
      <c r="A34" s="75">
        <v>27</v>
      </c>
      <c r="B34" s="62">
        <v>44261</v>
      </c>
      <c r="C34" s="4" t="s">
        <v>129</v>
      </c>
      <c r="D34" s="4" t="s">
        <v>35</v>
      </c>
      <c r="E34" s="77">
        <v>1</v>
      </c>
      <c r="F34" s="77">
        <f t="shared" ref="F34" si="36">E34+F33</f>
        <v>21</v>
      </c>
      <c r="G34" s="77">
        <f t="shared" ref="G34" si="37">G33+(1-E34)</f>
        <v>6</v>
      </c>
      <c r="H34" s="77">
        <f t="shared" ref="H34" si="38">H33+E34</f>
        <v>16</v>
      </c>
      <c r="I34" s="77">
        <f t="shared" ref="I34" si="39">I33+(1-E34)</f>
        <v>2</v>
      </c>
      <c r="J34" s="77">
        <v>89</v>
      </c>
      <c r="K34" s="77">
        <v>79</v>
      </c>
      <c r="L34" s="77" t="str">
        <f t="shared" si="3"/>
        <v>II</v>
      </c>
      <c r="M34" s="77">
        <f>M29</f>
        <v>94</v>
      </c>
      <c r="N34" s="76">
        <v>0.81399999999999995</v>
      </c>
      <c r="P34" s="177" t="s">
        <v>215</v>
      </c>
      <c r="Q34" s="178"/>
    </row>
    <row r="35" spans="1:17" ht="15.6" x14ac:dyDescent="0.3">
      <c r="A35" s="122" t="s">
        <v>208</v>
      </c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P35" s="179"/>
      <c r="Q35" s="180"/>
    </row>
    <row r="36" spans="1:17" ht="15" thickBot="1" x14ac:dyDescent="0.35">
      <c r="A36" s="75">
        <v>28</v>
      </c>
      <c r="B36" s="62">
        <v>44267</v>
      </c>
      <c r="C36" s="4" t="s">
        <v>137</v>
      </c>
      <c r="D36" s="4" t="str">
        <f>D32</f>
        <v>Miss State</v>
      </c>
      <c r="E36" s="77">
        <v>1</v>
      </c>
      <c r="F36" s="77">
        <f>F34+E36</f>
        <v>22</v>
      </c>
      <c r="G36" s="77">
        <f>G34+(1-E36)</f>
        <v>6</v>
      </c>
      <c r="H36" s="77">
        <f>H34+E36</f>
        <v>17</v>
      </c>
      <c r="I36" s="77">
        <f>I34+(1-E36)</f>
        <v>2</v>
      </c>
      <c r="J36" s="77">
        <v>85</v>
      </c>
      <c r="K36" s="77">
        <v>48</v>
      </c>
      <c r="L36" s="77" t="str">
        <f t="shared" si="3"/>
        <v>I</v>
      </c>
      <c r="M36" s="77"/>
      <c r="N36" s="76"/>
      <c r="P36" s="186" t="s">
        <v>216</v>
      </c>
      <c r="Q36" s="186"/>
    </row>
    <row r="37" spans="1:17" ht="15.6" thickTop="1" thickBot="1" x14ac:dyDescent="0.35">
      <c r="A37" s="13">
        <v>29</v>
      </c>
      <c r="B37" s="64">
        <v>44268</v>
      </c>
      <c r="C37" s="9" t="s">
        <v>137</v>
      </c>
      <c r="D37" s="9" t="s">
        <v>20</v>
      </c>
      <c r="E37" s="7">
        <v>1</v>
      </c>
      <c r="F37" s="5">
        <f>F35+E37</f>
        <v>1</v>
      </c>
      <c r="G37" s="5">
        <f>G35+(1-E37)</f>
        <v>0</v>
      </c>
      <c r="H37" s="5">
        <f>H35+E37</f>
        <v>1</v>
      </c>
      <c r="I37" s="5">
        <f>I35+(1-E37)</f>
        <v>0</v>
      </c>
      <c r="J37" s="7">
        <v>73</v>
      </c>
      <c r="K37" s="7">
        <v>68</v>
      </c>
      <c r="L37" s="7" t="str">
        <f t="shared" si="3"/>
        <v>I</v>
      </c>
      <c r="M37" s="7"/>
      <c r="N37" s="19"/>
    </row>
    <row r="38" spans="1:17" ht="15" thickTop="1" x14ac:dyDescent="0.3">
      <c r="A38" s="75">
        <v>30</v>
      </c>
      <c r="B38" s="62">
        <v>44269</v>
      </c>
      <c r="C38" s="4" t="s">
        <v>137</v>
      </c>
      <c r="D38" s="4" t="s">
        <v>30</v>
      </c>
      <c r="E38" s="77">
        <v>1</v>
      </c>
      <c r="F38" s="77">
        <f>F36+E38</f>
        <v>23</v>
      </c>
      <c r="G38" s="77">
        <f>G36+(1-E38)</f>
        <v>6</v>
      </c>
      <c r="H38" s="77">
        <f>H36+E38</f>
        <v>18</v>
      </c>
      <c r="I38" s="77">
        <f>I36+(1-E38)</f>
        <v>2</v>
      </c>
      <c r="J38" s="77">
        <v>80</v>
      </c>
      <c r="K38" s="77">
        <v>79</v>
      </c>
      <c r="L38" s="77" t="str">
        <f t="shared" si="3"/>
        <v>I</v>
      </c>
      <c r="M38" s="77"/>
      <c r="N38" s="76"/>
      <c r="P38" s="114" t="s">
        <v>159</v>
      </c>
      <c r="Q38" s="114"/>
    </row>
    <row r="39" spans="1:17" ht="16.2" thickBot="1" x14ac:dyDescent="0.35">
      <c r="A39" s="122" t="s">
        <v>209</v>
      </c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P39" s="185">
        <v>2</v>
      </c>
      <c r="Q39" s="185"/>
    </row>
    <row r="40" spans="1:17" ht="15" thickTop="1" x14ac:dyDescent="0.3">
      <c r="A40" s="75">
        <v>31</v>
      </c>
      <c r="B40" s="62">
        <v>44275</v>
      </c>
      <c r="C40" s="4" t="s">
        <v>137</v>
      </c>
      <c r="D40" s="4" t="s">
        <v>210</v>
      </c>
      <c r="E40" s="77">
        <v>1</v>
      </c>
      <c r="F40" s="77">
        <f>F38+E40</f>
        <v>24</v>
      </c>
      <c r="G40" s="77">
        <f>G38+(1-E40)</f>
        <v>6</v>
      </c>
      <c r="H40" s="77">
        <f>H38</f>
        <v>18</v>
      </c>
      <c r="I40" s="77">
        <f>I38</f>
        <v>2</v>
      </c>
      <c r="J40" s="77"/>
      <c r="K40" s="77"/>
      <c r="L40" s="77" t="str">
        <f t="shared" si="3"/>
        <v>I</v>
      </c>
      <c r="M40" s="77"/>
      <c r="N40" s="76"/>
      <c r="P40" s="177" t="s">
        <v>217</v>
      </c>
      <c r="Q40" s="178"/>
    </row>
    <row r="41" spans="1:17" x14ac:dyDescent="0.3">
      <c r="A41" s="13">
        <v>32</v>
      </c>
      <c r="B41" s="64">
        <v>44277</v>
      </c>
      <c r="C41" s="9" t="s">
        <v>137</v>
      </c>
      <c r="D41" s="9" t="s">
        <v>211</v>
      </c>
      <c r="E41" s="7">
        <v>1</v>
      </c>
      <c r="F41" s="5"/>
      <c r="G41" s="5"/>
      <c r="H41" s="5">
        <f>H40</f>
        <v>18</v>
      </c>
      <c r="I41" s="5">
        <f>I40</f>
        <v>2</v>
      </c>
      <c r="J41" s="7"/>
      <c r="K41" s="7"/>
      <c r="L41" s="7" t="str">
        <f t="shared" si="3"/>
        <v>I</v>
      </c>
      <c r="M41" s="7"/>
      <c r="N41" s="19"/>
      <c r="P41" s="179"/>
      <c r="Q41" s="180"/>
    </row>
    <row r="42" spans="1:17" ht="15" thickBot="1" x14ac:dyDescent="0.35">
      <c r="A42" s="75">
        <v>33</v>
      </c>
      <c r="B42" s="62">
        <v>44283</v>
      </c>
      <c r="C42" s="4" t="s">
        <v>137</v>
      </c>
      <c r="D42" s="4" t="s">
        <v>212</v>
      </c>
      <c r="E42" s="77">
        <v>0</v>
      </c>
      <c r="F42" s="77"/>
      <c r="G42" s="77"/>
      <c r="H42" s="77">
        <f>H41</f>
        <v>18</v>
      </c>
      <c r="I42" s="77">
        <f>I41</f>
        <v>2</v>
      </c>
      <c r="J42" s="77"/>
      <c r="K42" s="77"/>
      <c r="L42" s="77" t="str">
        <f t="shared" si="3"/>
        <v>I</v>
      </c>
      <c r="M42" s="77"/>
      <c r="N42" s="76"/>
      <c r="P42" s="186" t="s">
        <v>213</v>
      </c>
      <c r="Q42" s="186"/>
    </row>
    <row r="43" spans="1:17" ht="15" thickTop="1" x14ac:dyDescent="0.3"/>
  </sheetData>
  <mergeCells count="45">
    <mergeCell ref="A39:N39"/>
    <mergeCell ref="P36:Q36"/>
    <mergeCell ref="P34:Q35"/>
    <mergeCell ref="P40:Q41"/>
    <mergeCell ref="P42:Q42"/>
    <mergeCell ref="A35:N35"/>
    <mergeCell ref="P30:Q30"/>
    <mergeCell ref="P31:Q31"/>
    <mergeCell ref="P32:Q32"/>
    <mergeCell ref="P25:Q25"/>
    <mergeCell ref="P26:Q26"/>
    <mergeCell ref="P27:Q27"/>
    <mergeCell ref="P28:Q28"/>
    <mergeCell ref="P29:Q29"/>
    <mergeCell ref="P38:Q38"/>
    <mergeCell ref="P39:Q39"/>
    <mergeCell ref="P11:Q11"/>
    <mergeCell ref="Q4:Q5"/>
    <mergeCell ref="S11:X11"/>
    <mergeCell ref="P12:Q12"/>
    <mergeCell ref="P20:Q20"/>
    <mergeCell ref="P21:Q21"/>
    <mergeCell ref="P9:Q9"/>
    <mergeCell ref="P10:Q10"/>
    <mergeCell ref="P7:Q7"/>
    <mergeCell ref="P8:Q8"/>
    <mergeCell ref="P22:Q22"/>
    <mergeCell ref="P23:Q23"/>
    <mergeCell ref="K4:L5"/>
    <mergeCell ref="I1:J1"/>
    <mergeCell ref="K1:L1"/>
    <mergeCell ref="M1:N1"/>
    <mergeCell ref="O1:P1"/>
    <mergeCell ref="I4:J5"/>
    <mergeCell ref="M4:N5"/>
    <mergeCell ref="O4:P5"/>
    <mergeCell ref="F7:G7"/>
    <mergeCell ref="H7:I7"/>
    <mergeCell ref="A1:D3"/>
    <mergeCell ref="G1:H1"/>
    <mergeCell ref="E1:F1"/>
    <mergeCell ref="C4:D4"/>
    <mergeCell ref="A4:B4"/>
    <mergeCell ref="E4:F5"/>
    <mergeCell ref="G4:H5"/>
  </mergeCells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F444-9C84-4149-A495-D7A388AB5D60}">
  <dimension ref="B2:AI56"/>
  <sheetViews>
    <sheetView workbookViewId="0">
      <selection activeCell="W43" sqref="W43"/>
    </sheetView>
  </sheetViews>
  <sheetFormatPr defaultRowHeight="14.4" x14ac:dyDescent="0.3"/>
  <cols>
    <col min="2" max="2" width="20.77734375" bestFit="1" customWidth="1"/>
    <col min="3" max="3" width="7.21875" bestFit="1" customWidth="1"/>
    <col min="4" max="4" width="6.21875" bestFit="1" customWidth="1"/>
    <col min="5" max="5" width="7.33203125" bestFit="1" customWidth="1"/>
    <col min="6" max="7" width="6.33203125" bestFit="1" customWidth="1"/>
    <col min="8" max="8" width="5.33203125" bestFit="1" customWidth="1"/>
    <col min="9" max="9" width="6.33203125" bestFit="1" customWidth="1"/>
    <col min="10" max="10" width="6.21875" bestFit="1" customWidth="1"/>
    <col min="11" max="11" width="5.33203125" bestFit="1" customWidth="1"/>
    <col min="12" max="12" width="6.109375" bestFit="1" customWidth="1"/>
    <col min="13" max="14" width="5.109375" bestFit="1" customWidth="1"/>
    <col min="15" max="15" width="4.6640625" bestFit="1" customWidth="1"/>
    <col min="16" max="16" width="4.6640625" customWidth="1"/>
    <col min="17" max="17" width="4.6640625" bestFit="1" customWidth="1"/>
    <col min="18" max="18" width="13.6640625" customWidth="1"/>
    <col min="19" max="19" width="21.21875" bestFit="1" customWidth="1"/>
    <col min="20" max="22" width="5.6640625" bestFit="1" customWidth="1"/>
    <col min="23" max="23" width="4.6640625" bestFit="1" customWidth="1"/>
    <col min="24" max="24" width="4.88671875" bestFit="1" customWidth="1"/>
    <col min="25" max="25" width="4.6640625" bestFit="1" customWidth="1"/>
    <col min="26" max="27" width="5.6640625" bestFit="1" customWidth="1"/>
    <col min="28" max="32" width="4.6640625" bestFit="1" customWidth="1"/>
    <col min="33" max="33" width="4.109375" bestFit="1" customWidth="1"/>
    <col min="35" max="35" width="15.88671875" bestFit="1" customWidth="1"/>
  </cols>
  <sheetData>
    <row r="2" spans="2:14" ht="23.4" x14ac:dyDescent="0.45">
      <c r="B2" s="123" t="s">
        <v>157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5"/>
    </row>
    <row r="3" spans="2:14" x14ac:dyDescent="0.3">
      <c r="B3" s="17" t="s">
        <v>100</v>
      </c>
      <c r="C3" s="17" t="s">
        <v>170</v>
      </c>
      <c r="D3" s="17" t="s">
        <v>117</v>
      </c>
      <c r="E3" s="17" t="s">
        <v>118</v>
      </c>
      <c r="F3" s="17" t="s">
        <v>119</v>
      </c>
      <c r="G3" s="17" t="s">
        <v>120</v>
      </c>
      <c r="H3" s="17" t="s">
        <v>121</v>
      </c>
      <c r="I3" s="17" t="s">
        <v>122</v>
      </c>
      <c r="J3" s="17" t="s">
        <v>123</v>
      </c>
      <c r="K3" s="17" t="s">
        <v>124</v>
      </c>
      <c r="L3" s="17" t="s">
        <v>125</v>
      </c>
      <c r="M3" s="17" t="s">
        <v>126</v>
      </c>
      <c r="N3" s="17" t="s">
        <v>127</v>
      </c>
    </row>
    <row r="4" spans="2:14" x14ac:dyDescent="0.3">
      <c r="B4" s="4" t="str">
        <f t="shared" ref="B4:B21" si="0">B37</f>
        <v>Jaden Shackelford G</v>
      </c>
      <c r="C4" s="78">
        <f>IF(E4&gt;=7,1,0)</f>
        <v>1</v>
      </c>
      <c r="D4" s="4">
        <v>22</v>
      </c>
      <c r="E4" s="78">
        <f t="shared" ref="E4:E21" si="1">C37/D4</f>
        <v>44</v>
      </c>
      <c r="F4" s="68">
        <f t="shared" ref="F4:F21" si="2">J37/D4</f>
        <v>20.954545454545453</v>
      </c>
      <c r="G4" s="68">
        <f t="shared" ref="G4:G21" si="3">M37/D4</f>
        <v>5.6818181818181817</v>
      </c>
      <c r="H4" s="68">
        <f t="shared" ref="H4:H21" si="4">N37/D4</f>
        <v>2.9545454545454546</v>
      </c>
      <c r="I4" s="68">
        <f t="shared" ref="I4:I21" si="5">P37/D4</f>
        <v>1.2727272727272727</v>
      </c>
      <c r="J4" s="68">
        <f t="shared" ref="J4:J21" si="6">Q37/D4</f>
        <v>9.0909090909090912E-2</v>
      </c>
      <c r="K4" s="68">
        <f t="shared" ref="K4:K21" si="7">O37/D4</f>
        <v>2.2727272727272729</v>
      </c>
      <c r="L4" s="81">
        <f t="shared" ref="L4:L18" si="8">D37/E37</f>
        <v>0.40957446808510639</v>
      </c>
      <c r="M4" s="81">
        <f t="shared" ref="M4:M14" si="9">F37/G37</f>
        <v>0.75630252100840334</v>
      </c>
      <c r="N4" s="81">
        <f t="shared" ref="N4:N14" si="10">H37/I37</f>
        <v>0.34239130434782611</v>
      </c>
    </row>
    <row r="5" spans="2:14" x14ac:dyDescent="0.3">
      <c r="B5" s="9" t="str">
        <f t="shared" si="0"/>
        <v>Jahvon Quinerly G</v>
      </c>
      <c r="C5" s="79">
        <f t="shared" ref="C5:C21" si="11">IF(E5&gt;=7,1,0)</f>
        <v>1</v>
      </c>
      <c r="D5" s="9">
        <v>21</v>
      </c>
      <c r="E5" s="79">
        <f t="shared" si="1"/>
        <v>35.714285714285715</v>
      </c>
      <c r="F5" s="69">
        <f t="shared" si="2"/>
        <v>18.428571428571427</v>
      </c>
      <c r="G5" s="69">
        <f t="shared" si="3"/>
        <v>3.0952380952380953</v>
      </c>
      <c r="H5" s="69">
        <f t="shared" si="4"/>
        <v>4.5714285714285712</v>
      </c>
      <c r="I5" s="69">
        <f t="shared" si="5"/>
        <v>0.90476190476190477</v>
      </c>
      <c r="J5" s="69">
        <f t="shared" si="6"/>
        <v>4.7619047619047616E-2</v>
      </c>
      <c r="K5" s="69">
        <f t="shared" si="7"/>
        <v>3.2857142857142856</v>
      </c>
      <c r="L5" s="82">
        <f t="shared" si="8"/>
        <v>0.4781144781144781</v>
      </c>
      <c r="M5" s="82">
        <f t="shared" si="9"/>
        <v>0.68918918918918914</v>
      </c>
      <c r="N5" s="82">
        <f t="shared" si="10"/>
        <v>0.43333333333333335</v>
      </c>
    </row>
    <row r="6" spans="2:14" x14ac:dyDescent="0.3">
      <c r="B6" s="4" t="str">
        <f t="shared" si="0"/>
        <v>John Petty Jr. G</v>
      </c>
      <c r="C6" s="78">
        <f t="shared" si="11"/>
        <v>1</v>
      </c>
      <c r="D6" s="4">
        <v>22</v>
      </c>
      <c r="E6" s="78">
        <f t="shared" si="1"/>
        <v>45.545454545454547</v>
      </c>
      <c r="F6" s="68">
        <f t="shared" si="2"/>
        <v>18.272727272727273</v>
      </c>
      <c r="G6" s="68">
        <f t="shared" si="3"/>
        <v>7.5</v>
      </c>
      <c r="H6" s="68">
        <f t="shared" si="4"/>
        <v>2.7727272727272729</v>
      </c>
      <c r="I6" s="68">
        <f t="shared" si="5"/>
        <v>1.8636363636363635</v>
      </c>
      <c r="J6" s="68">
        <f t="shared" si="6"/>
        <v>0.81818181818181823</v>
      </c>
      <c r="K6" s="68">
        <f t="shared" si="7"/>
        <v>2.8181818181818183</v>
      </c>
      <c r="L6" s="81">
        <f t="shared" si="8"/>
        <v>0.41993957703927492</v>
      </c>
      <c r="M6" s="81">
        <f t="shared" si="9"/>
        <v>0.734375</v>
      </c>
      <c r="N6" s="81">
        <f t="shared" si="10"/>
        <v>0.37019230769230771</v>
      </c>
    </row>
    <row r="7" spans="2:14" x14ac:dyDescent="0.3">
      <c r="B7" s="10" t="str">
        <f t="shared" si="0"/>
        <v>Herbert Jones F</v>
      </c>
      <c r="C7" s="80">
        <f t="shared" si="11"/>
        <v>1</v>
      </c>
      <c r="D7" s="10">
        <v>19</v>
      </c>
      <c r="E7" s="80">
        <f t="shared" si="1"/>
        <v>47.368421052631582</v>
      </c>
      <c r="F7" s="70">
        <f t="shared" si="2"/>
        <v>19.473684210526315</v>
      </c>
      <c r="G7" s="70">
        <f t="shared" si="3"/>
        <v>11.421052631578947</v>
      </c>
      <c r="H7" s="70">
        <f t="shared" si="4"/>
        <v>5.6842105263157894</v>
      </c>
      <c r="I7" s="70">
        <f t="shared" si="5"/>
        <v>3</v>
      </c>
      <c r="J7" s="70">
        <f t="shared" si="6"/>
        <v>1.9473684210526316</v>
      </c>
      <c r="K7" s="70">
        <f t="shared" si="7"/>
        <v>4.8947368421052628</v>
      </c>
      <c r="L7" s="67">
        <f t="shared" si="8"/>
        <v>0.44636678200692043</v>
      </c>
      <c r="M7" s="67">
        <f t="shared" si="9"/>
        <v>0.71317829457364346</v>
      </c>
      <c r="N7" s="67">
        <f t="shared" si="10"/>
        <v>0.35087719298245612</v>
      </c>
    </row>
    <row r="8" spans="2:14" x14ac:dyDescent="0.3">
      <c r="B8" s="4" t="str">
        <f t="shared" si="0"/>
        <v>Joshua Primo G</v>
      </c>
      <c r="C8" s="78">
        <f t="shared" si="11"/>
        <v>1</v>
      </c>
      <c r="D8" s="4">
        <v>22</v>
      </c>
      <c r="E8" s="78">
        <f t="shared" si="1"/>
        <v>30.59090909090909</v>
      </c>
      <c r="F8" s="68">
        <f t="shared" si="2"/>
        <v>11.090909090909092</v>
      </c>
      <c r="G8" s="68">
        <f t="shared" si="3"/>
        <v>4.5909090909090908</v>
      </c>
      <c r="H8" s="68">
        <f t="shared" si="4"/>
        <v>1.1363636363636365</v>
      </c>
      <c r="I8" s="68">
        <f t="shared" si="5"/>
        <v>0.77272727272727271</v>
      </c>
      <c r="J8" s="68">
        <f t="shared" si="6"/>
        <v>0.40909090909090912</v>
      </c>
      <c r="K8" s="68">
        <f t="shared" si="7"/>
        <v>1.8636363636363635</v>
      </c>
      <c r="L8" s="81">
        <f t="shared" si="8"/>
        <v>0.43076923076923079</v>
      </c>
      <c r="M8" s="81">
        <f t="shared" si="9"/>
        <v>0.75</v>
      </c>
      <c r="N8" s="81">
        <f t="shared" si="10"/>
        <v>0.38053097345132741</v>
      </c>
    </row>
    <row r="9" spans="2:14" x14ac:dyDescent="0.3">
      <c r="B9" s="10" t="str">
        <f t="shared" si="0"/>
        <v>Jordan Bruner F</v>
      </c>
      <c r="C9" s="80">
        <f t="shared" si="11"/>
        <v>1</v>
      </c>
      <c r="D9" s="10">
        <v>13</v>
      </c>
      <c r="E9" s="80">
        <f t="shared" si="1"/>
        <v>33.46153846153846</v>
      </c>
      <c r="F9" s="70">
        <f t="shared" si="2"/>
        <v>10.384615384615385</v>
      </c>
      <c r="G9" s="70">
        <f t="shared" si="3"/>
        <v>7.1538461538461542</v>
      </c>
      <c r="H9" s="70">
        <f t="shared" si="4"/>
        <v>2.3076923076923075</v>
      </c>
      <c r="I9" s="70">
        <f t="shared" si="5"/>
        <v>2.2307692307692308</v>
      </c>
      <c r="J9" s="70">
        <f t="shared" si="6"/>
        <v>1.6923076923076923</v>
      </c>
      <c r="K9" s="70">
        <f t="shared" si="7"/>
        <v>1.6153846153846154</v>
      </c>
      <c r="L9" s="67">
        <f t="shared" si="8"/>
        <v>0.43396226415094341</v>
      </c>
      <c r="M9" s="67">
        <f t="shared" si="9"/>
        <v>0.70967741935483875</v>
      </c>
      <c r="N9" s="67">
        <f t="shared" si="10"/>
        <v>0.328125</v>
      </c>
    </row>
    <row r="10" spans="2:14" x14ac:dyDescent="0.3">
      <c r="B10" s="4" t="str">
        <f t="shared" si="0"/>
        <v>Keon Ellis G</v>
      </c>
      <c r="C10" s="78">
        <f t="shared" si="11"/>
        <v>1</v>
      </c>
      <c r="D10" s="4">
        <v>22</v>
      </c>
      <c r="E10" s="78">
        <f t="shared" si="1"/>
        <v>25.454545454545453</v>
      </c>
      <c r="F10" s="68">
        <f t="shared" si="2"/>
        <v>7.9545454545454541</v>
      </c>
      <c r="G10" s="68">
        <f t="shared" si="3"/>
        <v>5.8636363636363633</v>
      </c>
      <c r="H10" s="68">
        <f t="shared" si="4"/>
        <v>1.5454545454545454</v>
      </c>
      <c r="I10" s="68">
        <f t="shared" si="5"/>
        <v>1.5909090909090908</v>
      </c>
      <c r="J10" s="68">
        <f t="shared" si="6"/>
        <v>0.63636363636363635</v>
      </c>
      <c r="K10" s="68">
        <f t="shared" si="7"/>
        <v>1.5454545454545454</v>
      </c>
      <c r="L10" s="81">
        <f t="shared" si="8"/>
        <v>0.50420168067226889</v>
      </c>
      <c r="M10" s="81">
        <f t="shared" si="9"/>
        <v>0.72340425531914898</v>
      </c>
      <c r="N10" s="81">
        <f t="shared" si="10"/>
        <v>0.3888888888888889</v>
      </c>
    </row>
    <row r="11" spans="2:14" x14ac:dyDescent="0.3">
      <c r="B11" s="9" t="str">
        <f t="shared" si="0"/>
        <v>Alex Reese F</v>
      </c>
      <c r="C11" s="79">
        <f t="shared" si="11"/>
        <v>1</v>
      </c>
      <c r="D11" s="9">
        <v>21</v>
      </c>
      <c r="E11" s="79">
        <f t="shared" si="1"/>
        <v>23.761904761904763</v>
      </c>
      <c r="F11" s="69">
        <f t="shared" si="2"/>
        <v>8.5238095238095237</v>
      </c>
      <c r="G11" s="69">
        <f t="shared" si="3"/>
        <v>4.8571428571428568</v>
      </c>
      <c r="H11" s="69">
        <f t="shared" si="4"/>
        <v>0.95238095238095233</v>
      </c>
      <c r="I11" s="69">
        <f t="shared" si="5"/>
        <v>0.76190476190476186</v>
      </c>
      <c r="J11" s="69">
        <f t="shared" si="6"/>
        <v>0.76190476190476186</v>
      </c>
      <c r="K11" s="69">
        <f t="shared" si="7"/>
        <v>0.8571428571428571</v>
      </c>
      <c r="L11" s="82">
        <f t="shared" si="8"/>
        <v>0.36871508379888268</v>
      </c>
      <c r="M11" s="82">
        <f t="shared" si="9"/>
        <v>0.70588235294117652</v>
      </c>
      <c r="N11" s="82">
        <f t="shared" si="10"/>
        <v>0.28225806451612906</v>
      </c>
    </row>
    <row r="12" spans="2:14" x14ac:dyDescent="0.3">
      <c r="B12" s="4" t="str">
        <f t="shared" si="0"/>
        <v>Juwan Gary F</v>
      </c>
      <c r="C12" s="78">
        <f t="shared" si="11"/>
        <v>1</v>
      </c>
      <c r="D12" s="4">
        <v>20</v>
      </c>
      <c r="E12" s="78">
        <f t="shared" si="1"/>
        <v>14.15</v>
      </c>
      <c r="F12" s="68">
        <f t="shared" si="2"/>
        <v>5.75</v>
      </c>
      <c r="G12" s="68">
        <f t="shared" si="3"/>
        <v>4.25</v>
      </c>
      <c r="H12" s="68">
        <f t="shared" si="4"/>
        <v>0.25</v>
      </c>
      <c r="I12" s="68">
        <f t="shared" si="5"/>
        <v>0.7</v>
      </c>
      <c r="J12" s="68">
        <f t="shared" si="6"/>
        <v>0.6</v>
      </c>
      <c r="K12" s="68">
        <f t="shared" si="7"/>
        <v>0.65</v>
      </c>
      <c r="L12" s="81">
        <f t="shared" si="8"/>
        <v>0.5393258426966292</v>
      </c>
      <c r="M12" s="81">
        <f t="shared" si="9"/>
        <v>0.52941176470588236</v>
      </c>
      <c r="N12" s="81">
        <f t="shared" si="10"/>
        <v>0.1111111111111111</v>
      </c>
    </row>
    <row r="13" spans="2:14" x14ac:dyDescent="0.3">
      <c r="B13" s="10" t="str">
        <f t="shared" si="0"/>
        <v>James Rojas F</v>
      </c>
      <c r="C13" s="80">
        <f t="shared" si="11"/>
        <v>1</v>
      </c>
      <c r="D13" s="10">
        <v>20</v>
      </c>
      <c r="E13" s="80">
        <f t="shared" si="1"/>
        <v>16.649999999999999</v>
      </c>
      <c r="F13" s="70">
        <f t="shared" si="2"/>
        <v>4.3</v>
      </c>
      <c r="G13" s="70">
        <f t="shared" si="3"/>
        <v>3.9</v>
      </c>
      <c r="H13" s="70">
        <f t="shared" si="4"/>
        <v>0.55000000000000004</v>
      </c>
      <c r="I13" s="70">
        <f t="shared" si="5"/>
        <v>0.8</v>
      </c>
      <c r="J13" s="70">
        <f t="shared" si="6"/>
        <v>0.3</v>
      </c>
      <c r="K13" s="70">
        <f t="shared" si="7"/>
        <v>1.5</v>
      </c>
      <c r="L13" s="67">
        <f t="shared" si="8"/>
        <v>0.35</v>
      </c>
      <c r="M13" s="67">
        <f t="shared" si="9"/>
        <v>0.66666666666666663</v>
      </c>
      <c r="N13" s="67">
        <f t="shared" si="10"/>
        <v>0.23076923076923078</v>
      </c>
    </row>
    <row r="14" spans="2:14" x14ac:dyDescent="0.3">
      <c r="B14" s="4" t="str">
        <f t="shared" si="0"/>
        <v>Darius Miles F</v>
      </c>
      <c r="C14" s="78">
        <f t="shared" si="11"/>
        <v>0</v>
      </c>
      <c r="D14" s="4">
        <v>12</v>
      </c>
      <c r="E14" s="78">
        <f t="shared" si="1"/>
        <v>6.083333333333333</v>
      </c>
      <c r="F14" s="68">
        <f t="shared" si="2"/>
        <v>3.1666666666666665</v>
      </c>
      <c r="G14" s="68">
        <f t="shared" si="3"/>
        <v>1.25</v>
      </c>
      <c r="H14" s="68">
        <f t="shared" si="4"/>
        <v>0.33333333333333331</v>
      </c>
      <c r="I14" s="68">
        <f t="shared" si="5"/>
        <v>0.25</v>
      </c>
      <c r="J14" s="68">
        <f t="shared" si="6"/>
        <v>0.33333333333333331</v>
      </c>
      <c r="K14" s="68">
        <f t="shared" si="7"/>
        <v>1.25</v>
      </c>
      <c r="L14" s="81">
        <f t="shared" si="8"/>
        <v>0.41379310344827586</v>
      </c>
      <c r="M14" s="81">
        <f t="shared" si="9"/>
        <v>0.875</v>
      </c>
      <c r="N14" s="81">
        <f t="shared" si="10"/>
        <v>0.35</v>
      </c>
    </row>
    <row r="15" spans="2:14" x14ac:dyDescent="0.3">
      <c r="B15" s="10" t="str">
        <f t="shared" si="0"/>
        <v>Jaden Quinerly G</v>
      </c>
      <c r="C15" s="80">
        <f t="shared" si="11"/>
        <v>0</v>
      </c>
      <c r="D15" s="10">
        <v>1</v>
      </c>
      <c r="E15" s="80">
        <f t="shared" si="1"/>
        <v>1</v>
      </c>
      <c r="F15" s="70">
        <f t="shared" si="2"/>
        <v>2</v>
      </c>
      <c r="G15" s="70">
        <f t="shared" si="3"/>
        <v>0</v>
      </c>
      <c r="H15" s="70">
        <f t="shared" si="4"/>
        <v>0</v>
      </c>
      <c r="I15" s="70">
        <f t="shared" si="5"/>
        <v>0</v>
      </c>
      <c r="J15" s="70">
        <f t="shared" si="6"/>
        <v>0</v>
      </c>
      <c r="K15" s="70">
        <f t="shared" si="7"/>
        <v>0</v>
      </c>
      <c r="L15" s="67">
        <f t="shared" si="8"/>
        <v>1</v>
      </c>
      <c r="M15" s="67" t="s">
        <v>161</v>
      </c>
      <c r="N15" s="67" t="s">
        <v>161</v>
      </c>
    </row>
    <row r="16" spans="2:14" x14ac:dyDescent="0.3">
      <c r="B16" s="4" t="str">
        <f t="shared" si="0"/>
        <v>Keon Ambrose-Hylton F</v>
      </c>
      <c r="C16" s="78">
        <f t="shared" si="11"/>
        <v>0</v>
      </c>
      <c r="D16" s="4">
        <v>15</v>
      </c>
      <c r="E16" s="78">
        <f t="shared" si="1"/>
        <v>5</v>
      </c>
      <c r="F16" s="68">
        <f t="shared" si="2"/>
        <v>1.4</v>
      </c>
      <c r="G16" s="68">
        <f t="shared" si="3"/>
        <v>0.8666666666666667</v>
      </c>
      <c r="H16" s="68">
        <f t="shared" si="4"/>
        <v>0.13333333333333333</v>
      </c>
      <c r="I16" s="68">
        <f t="shared" si="5"/>
        <v>6.6666666666666666E-2</v>
      </c>
      <c r="J16" s="68">
        <f t="shared" si="6"/>
        <v>6.6666666666666666E-2</v>
      </c>
      <c r="K16" s="68">
        <f t="shared" si="7"/>
        <v>0.2</v>
      </c>
      <c r="L16" s="81">
        <f t="shared" si="8"/>
        <v>0.66666666666666663</v>
      </c>
      <c r="M16" s="81" t="s">
        <v>161</v>
      </c>
      <c r="N16" s="81" t="s">
        <v>161</v>
      </c>
    </row>
    <row r="17" spans="2:14" x14ac:dyDescent="0.3">
      <c r="B17" s="9" t="str">
        <f t="shared" si="0"/>
        <v>Britton Johnson G</v>
      </c>
      <c r="C17" s="79">
        <f t="shared" si="11"/>
        <v>0</v>
      </c>
      <c r="D17" s="9">
        <v>8</v>
      </c>
      <c r="E17" s="79">
        <f t="shared" si="1"/>
        <v>2.25</v>
      </c>
      <c r="F17" s="69">
        <f t="shared" si="2"/>
        <v>0.75</v>
      </c>
      <c r="G17" s="69">
        <f t="shared" si="3"/>
        <v>0.375</v>
      </c>
      <c r="H17" s="69">
        <f t="shared" si="4"/>
        <v>0.125</v>
      </c>
      <c r="I17" s="69">
        <f t="shared" si="5"/>
        <v>0</v>
      </c>
      <c r="J17" s="69">
        <f t="shared" si="6"/>
        <v>0</v>
      </c>
      <c r="K17" s="69">
        <f t="shared" si="7"/>
        <v>0</v>
      </c>
      <c r="L17" s="82">
        <f t="shared" si="8"/>
        <v>0.4</v>
      </c>
      <c r="M17" s="82" t="s">
        <v>161</v>
      </c>
      <c r="N17" s="82">
        <f>H50/I50</f>
        <v>0.4</v>
      </c>
    </row>
    <row r="18" spans="2:14" x14ac:dyDescent="0.3">
      <c r="B18" s="4" t="str">
        <f t="shared" si="0"/>
        <v>Tyler Barnes F</v>
      </c>
      <c r="C18" s="78">
        <f t="shared" si="11"/>
        <v>0</v>
      </c>
      <c r="D18" s="4">
        <v>11</v>
      </c>
      <c r="E18" s="78">
        <f t="shared" si="1"/>
        <v>2.0909090909090908</v>
      </c>
      <c r="F18" s="68">
        <f t="shared" si="2"/>
        <v>0.36363636363636365</v>
      </c>
      <c r="G18" s="68">
        <f t="shared" si="3"/>
        <v>0.72727272727272729</v>
      </c>
      <c r="H18" s="68">
        <f t="shared" si="4"/>
        <v>9.0909090909090912E-2</v>
      </c>
      <c r="I18" s="68">
        <f t="shared" si="5"/>
        <v>0.18181818181818182</v>
      </c>
      <c r="J18" s="68">
        <f t="shared" si="6"/>
        <v>0</v>
      </c>
      <c r="K18" s="68">
        <f t="shared" si="7"/>
        <v>0</v>
      </c>
      <c r="L18" s="81">
        <f t="shared" si="8"/>
        <v>0.33333333333333331</v>
      </c>
      <c r="M18" s="81" t="s">
        <v>161</v>
      </c>
      <c r="N18" s="81" t="s">
        <v>161</v>
      </c>
    </row>
    <row r="19" spans="2:14" x14ac:dyDescent="0.3">
      <c r="B19" s="9" t="str">
        <f t="shared" si="0"/>
        <v>Kendall Wall F</v>
      </c>
      <c r="C19" s="79">
        <f t="shared" si="11"/>
        <v>0</v>
      </c>
      <c r="D19" s="9">
        <v>9</v>
      </c>
      <c r="E19" s="79">
        <f t="shared" si="1"/>
        <v>2.8888888888888888</v>
      </c>
      <c r="F19" s="69">
        <f t="shared" si="2"/>
        <v>0.44444444444444442</v>
      </c>
      <c r="G19" s="69">
        <f t="shared" si="3"/>
        <v>0.88888888888888884</v>
      </c>
      <c r="H19" s="69">
        <f t="shared" si="4"/>
        <v>0.1111111111111111</v>
      </c>
      <c r="I19" s="69">
        <f t="shared" si="5"/>
        <v>0.22222222222222221</v>
      </c>
      <c r="J19" s="69">
        <f t="shared" si="6"/>
        <v>0.1111111111111111</v>
      </c>
      <c r="K19" s="69">
        <f t="shared" si="7"/>
        <v>0.33333333333333331</v>
      </c>
      <c r="L19" s="82" t="s">
        <v>161</v>
      </c>
      <c r="M19" s="82">
        <f>F52/G52</f>
        <v>0</v>
      </c>
      <c r="N19" s="82" t="s">
        <v>161</v>
      </c>
    </row>
    <row r="20" spans="2:14" x14ac:dyDescent="0.3">
      <c r="B20" s="4" t="str">
        <f t="shared" si="0"/>
        <v>Adam Cottrell G</v>
      </c>
      <c r="C20" s="78">
        <f t="shared" si="11"/>
        <v>0</v>
      </c>
      <c r="D20" s="4">
        <v>1</v>
      </c>
      <c r="E20" s="78">
        <f t="shared" si="1"/>
        <v>1</v>
      </c>
      <c r="F20" s="68">
        <f t="shared" si="2"/>
        <v>0</v>
      </c>
      <c r="G20" s="68">
        <f t="shared" si="3"/>
        <v>0</v>
      </c>
      <c r="H20" s="68">
        <f t="shared" si="4"/>
        <v>0</v>
      </c>
      <c r="I20" s="68">
        <f t="shared" si="5"/>
        <v>0</v>
      </c>
      <c r="J20" s="68">
        <f t="shared" si="6"/>
        <v>0</v>
      </c>
      <c r="K20" s="68">
        <f t="shared" si="7"/>
        <v>0</v>
      </c>
      <c r="L20" s="81" t="s">
        <v>161</v>
      </c>
      <c r="M20" s="81" t="s">
        <v>161</v>
      </c>
      <c r="N20" s="81" t="s">
        <v>161</v>
      </c>
    </row>
    <row r="21" spans="2:14" x14ac:dyDescent="0.3">
      <c r="B21" s="10" t="str">
        <f t="shared" si="0"/>
        <v>Delaney Heard G</v>
      </c>
      <c r="C21" s="80">
        <f t="shared" si="11"/>
        <v>0</v>
      </c>
      <c r="D21" s="10">
        <v>2</v>
      </c>
      <c r="E21" s="80">
        <f t="shared" si="1"/>
        <v>1.5</v>
      </c>
      <c r="F21" s="70">
        <f t="shared" si="2"/>
        <v>0</v>
      </c>
      <c r="G21" s="70">
        <f t="shared" si="3"/>
        <v>0.5</v>
      </c>
      <c r="H21" s="70">
        <f t="shared" si="4"/>
        <v>0</v>
      </c>
      <c r="I21" s="70">
        <f t="shared" si="5"/>
        <v>0</v>
      </c>
      <c r="J21" s="70">
        <f t="shared" si="6"/>
        <v>0</v>
      </c>
      <c r="K21" s="70">
        <f t="shared" si="7"/>
        <v>0</v>
      </c>
      <c r="L21" s="67">
        <f>D54/E54</f>
        <v>0</v>
      </c>
      <c r="M21" s="67" t="s">
        <v>161</v>
      </c>
      <c r="N21" s="67" t="s">
        <v>161</v>
      </c>
    </row>
    <row r="22" spans="2:14" x14ac:dyDescent="0.3">
      <c r="B22" s="4" t="s">
        <v>163</v>
      </c>
      <c r="C22" s="4" t="s">
        <v>161</v>
      </c>
      <c r="D22" s="4">
        <f>SUM(D4:D21)</f>
        <v>261</v>
      </c>
      <c r="E22" s="68">
        <f t="shared" ref="E22:K22" si="12">SUM(E4:E21)</f>
        <v>338.51019039440087</v>
      </c>
      <c r="F22" s="68">
        <f t="shared" si="12"/>
        <v>133.25815529499741</v>
      </c>
      <c r="G22" s="68">
        <f t="shared" si="12"/>
        <v>62.921471656997966</v>
      </c>
      <c r="H22" s="68">
        <f t="shared" si="12"/>
        <v>23.518490135595396</v>
      </c>
      <c r="I22" s="68">
        <f t="shared" si="12"/>
        <v>14.618142968142967</v>
      </c>
      <c r="J22" s="68">
        <f t="shared" si="12"/>
        <v>7.8148564885406984</v>
      </c>
      <c r="K22" s="68">
        <f t="shared" si="12"/>
        <v>23.086311933680353</v>
      </c>
      <c r="L22" s="4" t="s">
        <v>161</v>
      </c>
      <c r="M22" s="4" t="str">
        <f>L22</f>
        <v>NA</v>
      </c>
      <c r="N22" s="4" t="str">
        <f>M22</f>
        <v>NA</v>
      </c>
    </row>
    <row r="23" spans="2:14" x14ac:dyDescent="0.3">
      <c r="B23" s="10" t="s">
        <v>164</v>
      </c>
      <c r="C23" s="10" t="s">
        <v>161</v>
      </c>
      <c r="D23" s="10">
        <f>AVERAGE(D4:D21)</f>
        <v>14.5</v>
      </c>
      <c r="E23" s="70">
        <f t="shared" ref="E23:N23" si="13">AVERAGE(E4:E21)</f>
        <v>18.806121688577825</v>
      </c>
      <c r="F23" s="70">
        <f t="shared" si="13"/>
        <v>7.4032308497220782</v>
      </c>
      <c r="G23" s="70">
        <f t="shared" si="13"/>
        <v>3.4956373142776647</v>
      </c>
      <c r="H23" s="70">
        <f t="shared" si="13"/>
        <v>1.3065827853108554</v>
      </c>
      <c r="I23" s="70">
        <f t="shared" si="13"/>
        <v>0.81211905378572036</v>
      </c>
      <c r="J23" s="70">
        <f t="shared" si="13"/>
        <v>0.43415869380781658</v>
      </c>
      <c r="K23" s="70">
        <f t="shared" si="13"/>
        <v>1.282572885204464</v>
      </c>
      <c r="L23" s="67">
        <f t="shared" si="13"/>
        <v>0.4496726569238757</v>
      </c>
      <c r="M23" s="67">
        <f t="shared" si="13"/>
        <v>0.65442395531324582</v>
      </c>
      <c r="N23" s="67">
        <f t="shared" si="13"/>
        <v>0.33070645059105086</v>
      </c>
    </row>
    <row r="26" spans="2:14" ht="18" x14ac:dyDescent="0.35">
      <c r="B26" s="126" t="s">
        <v>171</v>
      </c>
      <c r="C26" s="127"/>
      <c r="D26" s="127"/>
      <c r="E26" s="128"/>
      <c r="H26" s="126" t="s">
        <v>172</v>
      </c>
      <c r="I26" s="127"/>
      <c r="J26" s="127"/>
      <c r="K26" s="127"/>
      <c r="L26" s="127"/>
      <c r="M26" s="127"/>
      <c r="N26" s="128"/>
    </row>
    <row r="27" spans="2:14" x14ac:dyDescent="0.3">
      <c r="B27" s="11" t="s">
        <v>169</v>
      </c>
      <c r="C27" s="11">
        <v>3</v>
      </c>
      <c r="D27" s="11">
        <v>2</v>
      </c>
      <c r="E27" s="11">
        <v>1</v>
      </c>
      <c r="H27" s="129" t="str">
        <f>B27</f>
        <v>Shot Value</v>
      </c>
      <c r="I27" s="130"/>
      <c r="J27" s="130"/>
      <c r="K27" s="131"/>
      <c r="L27" s="84">
        <v>3</v>
      </c>
      <c r="M27" s="84">
        <v>2</v>
      </c>
      <c r="N27" s="84">
        <v>1</v>
      </c>
    </row>
    <row r="28" spans="2:14" x14ac:dyDescent="0.3">
      <c r="B28" s="75" t="s">
        <v>165</v>
      </c>
      <c r="C28" s="77">
        <f>H55</f>
        <v>348</v>
      </c>
      <c r="D28" s="77">
        <f>D55-H55</f>
        <v>576</v>
      </c>
      <c r="E28" s="77">
        <f>F55</f>
        <v>433</v>
      </c>
      <c r="H28" s="132" t="str">
        <f>B28</f>
        <v>Made</v>
      </c>
      <c r="I28" s="133"/>
      <c r="J28" s="133"/>
      <c r="K28" s="134"/>
      <c r="L28" s="77">
        <f>H56</f>
        <v>339</v>
      </c>
      <c r="M28" s="77">
        <f>D56-H56</f>
        <v>557</v>
      </c>
      <c r="N28" s="77">
        <f>F56</f>
        <v>423</v>
      </c>
    </row>
    <row r="29" spans="2:14" x14ac:dyDescent="0.3">
      <c r="B29" s="13" t="s">
        <v>166</v>
      </c>
      <c r="C29" s="13">
        <f>I55</f>
        <v>989</v>
      </c>
      <c r="D29" s="13">
        <f>E55-I55</f>
        <v>1136</v>
      </c>
      <c r="E29" s="13">
        <f>G55</f>
        <v>612</v>
      </c>
      <c r="H29" s="129" t="str">
        <f>B29</f>
        <v>Attempted</v>
      </c>
      <c r="I29" s="130"/>
      <c r="J29" s="130"/>
      <c r="K29" s="131"/>
      <c r="L29" s="13">
        <f>I56</f>
        <v>959</v>
      </c>
      <c r="M29" s="13">
        <f>E56-I56</f>
        <v>1102</v>
      </c>
      <c r="N29" s="13">
        <f>G56</f>
        <v>595</v>
      </c>
    </row>
    <row r="30" spans="2:14" x14ac:dyDescent="0.3">
      <c r="B30" s="75" t="s">
        <v>168</v>
      </c>
      <c r="C30" s="76">
        <f>C28/C29</f>
        <v>0.35187057633973712</v>
      </c>
      <c r="D30" s="76">
        <f>D28/D29</f>
        <v>0.50704225352112675</v>
      </c>
      <c r="E30" s="76">
        <f>E28/E29</f>
        <v>0.70751633986928109</v>
      </c>
      <c r="H30" s="132" t="str">
        <f>B30</f>
        <v>Percentage</v>
      </c>
      <c r="I30" s="133"/>
      <c r="J30" s="133"/>
      <c r="K30" s="134"/>
      <c r="L30" s="76">
        <f>L28/L29</f>
        <v>0.3534932221063608</v>
      </c>
      <c r="M30" s="85">
        <f>M28/M29</f>
        <v>0.50544464609800366</v>
      </c>
      <c r="N30" s="76">
        <f>N28/N29</f>
        <v>0.71092436974789919</v>
      </c>
    </row>
    <row r="31" spans="2:14" x14ac:dyDescent="0.3">
      <c r="B31" s="14" t="s">
        <v>167</v>
      </c>
      <c r="C31" s="83">
        <f>C27*C30</f>
        <v>1.0556117290192113</v>
      </c>
      <c r="D31" s="83">
        <f t="shared" ref="D31:E31" si="14">D27*D30</f>
        <v>1.0140845070422535</v>
      </c>
      <c r="E31" s="83">
        <f t="shared" si="14"/>
        <v>0.70751633986928109</v>
      </c>
      <c r="H31" s="129" t="str">
        <f>B31</f>
        <v>Expected Points Per</v>
      </c>
      <c r="I31" s="130"/>
      <c r="J31" s="130"/>
      <c r="K31" s="131"/>
      <c r="L31" s="83">
        <f>L30*L27</f>
        <v>1.0604796663190825</v>
      </c>
      <c r="M31" s="83">
        <f t="shared" ref="M31:N31" si="15">M30*M27</f>
        <v>1.0108892921960073</v>
      </c>
      <c r="N31" s="83">
        <f t="shared" si="15"/>
        <v>0.71092436974789919</v>
      </c>
    </row>
    <row r="35" spans="2:35" ht="23.4" x14ac:dyDescent="0.45">
      <c r="B35" s="123" t="s">
        <v>156</v>
      </c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5"/>
      <c r="S35" s="17" t="s">
        <v>100</v>
      </c>
      <c r="T35" s="17" t="s">
        <v>118</v>
      </c>
      <c r="U35" s="17" t="s">
        <v>147</v>
      </c>
      <c r="V35" s="17" t="s">
        <v>148</v>
      </c>
      <c r="W35" s="17" t="s">
        <v>149</v>
      </c>
      <c r="X35" s="17" t="s">
        <v>150</v>
      </c>
      <c r="Y35" s="17" t="s">
        <v>151</v>
      </c>
      <c r="Z35" s="17" t="s">
        <v>152</v>
      </c>
      <c r="AA35" s="17" t="s">
        <v>119</v>
      </c>
      <c r="AB35" s="17" t="s">
        <v>153</v>
      </c>
      <c r="AC35" s="17" t="s">
        <v>154</v>
      </c>
      <c r="AD35" s="17" t="s">
        <v>120</v>
      </c>
      <c r="AE35" s="17" t="s">
        <v>121</v>
      </c>
      <c r="AF35" s="17" t="s">
        <v>124</v>
      </c>
      <c r="AG35" s="17" t="s">
        <v>122</v>
      </c>
      <c r="AH35" s="17" t="s">
        <v>123</v>
      </c>
      <c r="AI35" s="17" t="s">
        <v>174</v>
      </c>
    </row>
    <row r="36" spans="2:35" x14ac:dyDescent="0.3">
      <c r="B36" s="17" t="s">
        <v>155</v>
      </c>
      <c r="C36" s="17" t="s">
        <v>118</v>
      </c>
      <c r="D36" s="17" t="s">
        <v>147</v>
      </c>
      <c r="E36" s="17" t="s">
        <v>148</v>
      </c>
      <c r="F36" s="17" t="s">
        <v>149</v>
      </c>
      <c r="G36" s="17" t="s">
        <v>150</v>
      </c>
      <c r="H36" s="17" t="s">
        <v>151</v>
      </c>
      <c r="I36" s="17" t="s">
        <v>152</v>
      </c>
      <c r="J36" s="17" t="s">
        <v>119</v>
      </c>
      <c r="K36" s="17" t="s">
        <v>153</v>
      </c>
      <c r="L36" s="17" t="s">
        <v>154</v>
      </c>
      <c r="M36" s="17" t="s">
        <v>120</v>
      </c>
      <c r="N36" s="17" t="s">
        <v>121</v>
      </c>
      <c r="O36" s="17" t="s">
        <v>124</v>
      </c>
      <c r="P36" s="17" t="s">
        <v>122</v>
      </c>
      <c r="Q36" s="17" t="s">
        <v>123</v>
      </c>
      <c r="S36" s="4" t="s">
        <v>101</v>
      </c>
      <c r="T36" s="78">
        <v>968</v>
      </c>
      <c r="U36" s="78">
        <v>154</v>
      </c>
      <c r="V36" s="78">
        <v>376</v>
      </c>
      <c r="W36" s="78">
        <v>90</v>
      </c>
      <c r="X36" s="78">
        <v>119</v>
      </c>
      <c r="Y36" s="78">
        <v>63</v>
      </c>
      <c r="Z36" s="78">
        <v>184</v>
      </c>
      <c r="AA36" s="78">
        <v>461</v>
      </c>
      <c r="AB36" s="78">
        <v>26</v>
      </c>
      <c r="AC36" s="78">
        <v>99</v>
      </c>
      <c r="AD36" s="78">
        <v>125</v>
      </c>
      <c r="AE36" s="78">
        <v>65</v>
      </c>
      <c r="AF36" s="78">
        <v>50</v>
      </c>
      <c r="AG36" s="78">
        <v>28</v>
      </c>
      <c r="AH36" s="78">
        <v>2</v>
      </c>
      <c r="AI36" s="78">
        <f>IF(E4&gt;=7,1,0)</f>
        <v>1</v>
      </c>
    </row>
    <row r="37" spans="2:35" x14ac:dyDescent="0.3">
      <c r="B37" s="4" t="str">
        <f>S36</f>
        <v>Jaden Shackelford G</v>
      </c>
      <c r="C37" s="78">
        <f>T36</f>
        <v>968</v>
      </c>
      <c r="D37" s="78">
        <f>U36</f>
        <v>154</v>
      </c>
      <c r="E37" s="78">
        <f>V36</f>
        <v>376</v>
      </c>
      <c r="F37" s="78">
        <f>W36</f>
        <v>90</v>
      </c>
      <c r="G37" s="78">
        <f>X36</f>
        <v>119</v>
      </c>
      <c r="H37" s="78">
        <f>Y36</f>
        <v>63</v>
      </c>
      <c r="I37" s="78">
        <f>Z36</f>
        <v>184</v>
      </c>
      <c r="J37" s="78">
        <f>AA36</f>
        <v>461</v>
      </c>
      <c r="K37" s="78">
        <f>AB36</f>
        <v>26</v>
      </c>
      <c r="L37" s="78">
        <f>AC36</f>
        <v>99</v>
      </c>
      <c r="M37" s="78">
        <f>AD36</f>
        <v>125</v>
      </c>
      <c r="N37" s="78">
        <f>AE36</f>
        <v>65</v>
      </c>
      <c r="O37" s="78">
        <f>AF36</f>
        <v>50</v>
      </c>
      <c r="P37" s="78">
        <f>AG36</f>
        <v>28</v>
      </c>
      <c r="Q37" s="78">
        <f>AH36</f>
        <v>2</v>
      </c>
      <c r="S37" s="9" t="s">
        <v>103</v>
      </c>
      <c r="T37" s="79">
        <v>750</v>
      </c>
      <c r="U37" s="79">
        <v>142</v>
      </c>
      <c r="V37" s="79">
        <v>297</v>
      </c>
      <c r="W37" s="79">
        <v>51</v>
      </c>
      <c r="X37" s="79">
        <v>74</v>
      </c>
      <c r="Y37" s="79">
        <v>52</v>
      </c>
      <c r="Z37" s="79">
        <v>120</v>
      </c>
      <c r="AA37" s="79">
        <v>387</v>
      </c>
      <c r="AB37" s="79">
        <v>15</v>
      </c>
      <c r="AC37" s="79">
        <v>50</v>
      </c>
      <c r="AD37" s="79">
        <v>65</v>
      </c>
      <c r="AE37" s="79">
        <v>96</v>
      </c>
      <c r="AF37" s="79">
        <v>69</v>
      </c>
      <c r="AG37" s="79">
        <v>19</v>
      </c>
      <c r="AH37" s="79">
        <v>1</v>
      </c>
      <c r="AI37" s="79">
        <f>IF(E5&gt;=7,1,0)</f>
        <v>1</v>
      </c>
    </row>
    <row r="38" spans="2:35" x14ac:dyDescent="0.3">
      <c r="B38" s="9" t="str">
        <f>S37</f>
        <v>Jahvon Quinerly G</v>
      </c>
      <c r="C38" s="79">
        <f>T37</f>
        <v>750</v>
      </c>
      <c r="D38" s="79">
        <f>U37</f>
        <v>142</v>
      </c>
      <c r="E38" s="79">
        <f>V37</f>
        <v>297</v>
      </c>
      <c r="F38" s="79">
        <f>W37</f>
        <v>51</v>
      </c>
      <c r="G38" s="79">
        <f>X37</f>
        <v>74</v>
      </c>
      <c r="H38" s="79">
        <f>Y37</f>
        <v>52</v>
      </c>
      <c r="I38" s="79">
        <f>Z37</f>
        <v>120</v>
      </c>
      <c r="J38" s="79">
        <f>AA37</f>
        <v>387</v>
      </c>
      <c r="K38" s="79">
        <f>AB37</f>
        <v>15</v>
      </c>
      <c r="L38" s="79">
        <f>AC37</f>
        <v>50</v>
      </c>
      <c r="M38" s="79">
        <f>AD37</f>
        <v>65</v>
      </c>
      <c r="N38" s="79">
        <f>AE37</f>
        <v>96</v>
      </c>
      <c r="O38" s="79">
        <f>AF37</f>
        <v>69</v>
      </c>
      <c r="P38" s="79">
        <f>AG37</f>
        <v>19</v>
      </c>
      <c r="Q38" s="79">
        <f>AH37</f>
        <v>1</v>
      </c>
      <c r="S38" s="4" t="s">
        <v>102</v>
      </c>
      <c r="T38" s="78">
        <v>1002</v>
      </c>
      <c r="U38" s="78">
        <v>139</v>
      </c>
      <c r="V38" s="78">
        <v>331</v>
      </c>
      <c r="W38" s="78">
        <v>47</v>
      </c>
      <c r="X38" s="78">
        <v>64</v>
      </c>
      <c r="Y38" s="78">
        <v>77</v>
      </c>
      <c r="Z38" s="78">
        <v>208</v>
      </c>
      <c r="AA38" s="78">
        <v>402</v>
      </c>
      <c r="AB38" s="78">
        <v>30</v>
      </c>
      <c r="AC38" s="78">
        <v>135</v>
      </c>
      <c r="AD38" s="78">
        <v>165</v>
      </c>
      <c r="AE38" s="78">
        <v>61</v>
      </c>
      <c r="AF38" s="78">
        <v>62</v>
      </c>
      <c r="AG38" s="78">
        <v>41</v>
      </c>
      <c r="AH38" s="78">
        <v>18</v>
      </c>
      <c r="AI38" s="78">
        <f>IF(E6&gt;=7,1,0)</f>
        <v>1</v>
      </c>
    </row>
    <row r="39" spans="2:35" x14ac:dyDescent="0.3">
      <c r="B39" s="4" t="str">
        <f>S38</f>
        <v>John Petty Jr. G</v>
      </c>
      <c r="C39" s="78">
        <f>T38</f>
        <v>1002</v>
      </c>
      <c r="D39" s="78">
        <f>U38</f>
        <v>139</v>
      </c>
      <c r="E39" s="78">
        <f>V38</f>
        <v>331</v>
      </c>
      <c r="F39" s="78">
        <f>W38</f>
        <v>47</v>
      </c>
      <c r="G39" s="78">
        <f>X38</f>
        <v>64</v>
      </c>
      <c r="H39" s="78">
        <f>Y38</f>
        <v>77</v>
      </c>
      <c r="I39" s="78">
        <f>Z38</f>
        <v>208</v>
      </c>
      <c r="J39" s="78">
        <f>AA38</f>
        <v>402</v>
      </c>
      <c r="K39" s="78">
        <f>AB38</f>
        <v>30</v>
      </c>
      <c r="L39" s="78">
        <f>AC38</f>
        <v>135</v>
      </c>
      <c r="M39" s="78">
        <f>AD38</f>
        <v>165</v>
      </c>
      <c r="N39" s="78">
        <f>AE38</f>
        <v>61</v>
      </c>
      <c r="O39" s="78">
        <f>AF38</f>
        <v>62</v>
      </c>
      <c r="P39" s="78">
        <f>AG38</f>
        <v>41</v>
      </c>
      <c r="Q39" s="78">
        <f>AH38</f>
        <v>18</v>
      </c>
      <c r="S39" s="10" t="s">
        <v>104</v>
      </c>
      <c r="T39" s="80">
        <v>900</v>
      </c>
      <c r="U39" s="80">
        <v>129</v>
      </c>
      <c r="V39" s="80">
        <v>289</v>
      </c>
      <c r="W39" s="80">
        <v>92</v>
      </c>
      <c r="X39" s="80">
        <v>129</v>
      </c>
      <c r="Y39" s="80">
        <v>20</v>
      </c>
      <c r="Z39" s="80">
        <v>57</v>
      </c>
      <c r="AA39" s="80">
        <v>370</v>
      </c>
      <c r="AB39" s="80">
        <v>82</v>
      </c>
      <c r="AC39" s="80">
        <v>135</v>
      </c>
      <c r="AD39" s="80">
        <v>217</v>
      </c>
      <c r="AE39" s="80">
        <v>108</v>
      </c>
      <c r="AF39" s="80">
        <v>93</v>
      </c>
      <c r="AG39" s="80">
        <v>57</v>
      </c>
      <c r="AH39" s="80">
        <v>37</v>
      </c>
      <c r="AI39" s="80">
        <f>IF(E7&gt;=7,1,0)</f>
        <v>1</v>
      </c>
    </row>
    <row r="40" spans="2:35" x14ac:dyDescent="0.3">
      <c r="B40" s="10" t="str">
        <f>S39</f>
        <v>Herbert Jones F</v>
      </c>
      <c r="C40" s="80">
        <f>T39</f>
        <v>900</v>
      </c>
      <c r="D40" s="80">
        <f>U39</f>
        <v>129</v>
      </c>
      <c r="E40" s="80">
        <f>V39</f>
        <v>289</v>
      </c>
      <c r="F40" s="80">
        <f>W39</f>
        <v>92</v>
      </c>
      <c r="G40" s="80">
        <f>X39</f>
        <v>129</v>
      </c>
      <c r="H40" s="80">
        <f>Y39</f>
        <v>20</v>
      </c>
      <c r="I40" s="80">
        <f>Z39</f>
        <v>57</v>
      </c>
      <c r="J40" s="80">
        <f>AA39</f>
        <v>370</v>
      </c>
      <c r="K40" s="80">
        <f>AB39</f>
        <v>82</v>
      </c>
      <c r="L40" s="80">
        <f>AC39</f>
        <v>135</v>
      </c>
      <c r="M40" s="80">
        <f>AD39</f>
        <v>217</v>
      </c>
      <c r="N40" s="80">
        <f>AE39</f>
        <v>108</v>
      </c>
      <c r="O40" s="80">
        <f>AF39</f>
        <v>93</v>
      </c>
      <c r="P40" s="80">
        <f>AG39</f>
        <v>57</v>
      </c>
      <c r="Q40" s="80">
        <f>AH39</f>
        <v>37</v>
      </c>
      <c r="S40" s="4" t="s">
        <v>105</v>
      </c>
      <c r="T40" s="78">
        <v>673</v>
      </c>
      <c r="U40" s="78">
        <v>84</v>
      </c>
      <c r="V40" s="78">
        <v>195</v>
      </c>
      <c r="W40" s="78">
        <v>33</v>
      </c>
      <c r="X40" s="78">
        <v>44</v>
      </c>
      <c r="Y40" s="78">
        <v>43</v>
      </c>
      <c r="Z40" s="78">
        <v>113</v>
      </c>
      <c r="AA40" s="78">
        <v>244</v>
      </c>
      <c r="AB40" s="78">
        <v>31</v>
      </c>
      <c r="AC40" s="78">
        <v>70</v>
      </c>
      <c r="AD40" s="78">
        <v>101</v>
      </c>
      <c r="AE40" s="78">
        <v>25</v>
      </c>
      <c r="AF40" s="78">
        <v>41</v>
      </c>
      <c r="AG40" s="78">
        <v>17</v>
      </c>
      <c r="AH40" s="78">
        <v>9</v>
      </c>
      <c r="AI40" s="78">
        <f>IF(E8&gt;=7,1,0)</f>
        <v>1</v>
      </c>
    </row>
    <row r="41" spans="2:35" x14ac:dyDescent="0.3">
      <c r="B41" s="4" t="str">
        <f>S40</f>
        <v>Joshua Primo G</v>
      </c>
      <c r="C41" s="78">
        <f>T40</f>
        <v>673</v>
      </c>
      <c r="D41" s="78">
        <f>U40</f>
        <v>84</v>
      </c>
      <c r="E41" s="78">
        <f>V40</f>
        <v>195</v>
      </c>
      <c r="F41" s="78">
        <f>W40</f>
        <v>33</v>
      </c>
      <c r="G41" s="78">
        <f>X40</f>
        <v>44</v>
      </c>
      <c r="H41" s="78">
        <f>Y40</f>
        <v>43</v>
      </c>
      <c r="I41" s="78">
        <f>Z40</f>
        <v>113</v>
      </c>
      <c r="J41" s="78">
        <f>AA40</f>
        <v>244</v>
      </c>
      <c r="K41" s="78">
        <f>AB40</f>
        <v>31</v>
      </c>
      <c r="L41" s="78">
        <f>AC40</f>
        <v>70</v>
      </c>
      <c r="M41" s="78">
        <f>AD40</f>
        <v>101</v>
      </c>
      <c r="N41" s="78">
        <f>AE40</f>
        <v>25</v>
      </c>
      <c r="O41" s="78">
        <f>AF40</f>
        <v>41</v>
      </c>
      <c r="P41" s="78">
        <f>AG40</f>
        <v>17</v>
      </c>
      <c r="Q41" s="78">
        <f>AH40</f>
        <v>9</v>
      </c>
      <c r="S41" s="10" t="s">
        <v>106</v>
      </c>
      <c r="T41" s="80">
        <v>435</v>
      </c>
      <c r="U41" s="80">
        <v>46</v>
      </c>
      <c r="V41" s="80">
        <v>106</v>
      </c>
      <c r="W41" s="80">
        <v>22</v>
      </c>
      <c r="X41" s="80">
        <v>31</v>
      </c>
      <c r="Y41" s="80">
        <v>21</v>
      </c>
      <c r="Z41" s="80">
        <v>64</v>
      </c>
      <c r="AA41" s="80">
        <v>135</v>
      </c>
      <c r="AB41" s="80">
        <v>40</v>
      </c>
      <c r="AC41" s="80">
        <v>53</v>
      </c>
      <c r="AD41" s="80">
        <v>93</v>
      </c>
      <c r="AE41" s="80">
        <v>30</v>
      </c>
      <c r="AF41" s="80">
        <v>21</v>
      </c>
      <c r="AG41" s="80">
        <v>29</v>
      </c>
      <c r="AH41" s="80">
        <v>22</v>
      </c>
      <c r="AI41" s="80">
        <f>IF(E9&gt;=7,1,0)</f>
        <v>1</v>
      </c>
    </row>
    <row r="42" spans="2:35" x14ac:dyDescent="0.3">
      <c r="B42" s="10" t="str">
        <f>S41</f>
        <v>Jordan Bruner F</v>
      </c>
      <c r="C42" s="80">
        <f>T41</f>
        <v>435</v>
      </c>
      <c r="D42" s="80">
        <f>U41</f>
        <v>46</v>
      </c>
      <c r="E42" s="80">
        <f>V41</f>
        <v>106</v>
      </c>
      <c r="F42" s="80">
        <f>W41</f>
        <v>22</v>
      </c>
      <c r="G42" s="80">
        <f>X41</f>
        <v>31</v>
      </c>
      <c r="H42" s="80">
        <f>Y41</f>
        <v>21</v>
      </c>
      <c r="I42" s="80">
        <f>Z41</f>
        <v>64</v>
      </c>
      <c r="J42" s="80">
        <f>AA41</f>
        <v>135</v>
      </c>
      <c r="K42" s="80">
        <f>AB41</f>
        <v>40</v>
      </c>
      <c r="L42" s="80">
        <f>AC41</f>
        <v>53</v>
      </c>
      <c r="M42" s="80">
        <f>AD41</f>
        <v>93</v>
      </c>
      <c r="N42" s="80">
        <f>AE41</f>
        <v>30</v>
      </c>
      <c r="O42" s="80">
        <f>AF41</f>
        <v>21</v>
      </c>
      <c r="P42" s="80">
        <f>AG41</f>
        <v>29</v>
      </c>
      <c r="Q42" s="80">
        <f>AH41</f>
        <v>22</v>
      </c>
      <c r="S42" s="4" t="s">
        <v>109</v>
      </c>
      <c r="T42" s="78">
        <v>560</v>
      </c>
      <c r="U42" s="78">
        <v>60</v>
      </c>
      <c r="V42" s="78">
        <v>119</v>
      </c>
      <c r="W42" s="78">
        <v>34</v>
      </c>
      <c r="X42" s="78">
        <v>47</v>
      </c>
      <c r="Y42" s="78">
        <v>21</v>
      </c>
      <c r="Z42" s="78">
        <v>54</v>
      </c>
      <c r="AA42" s="78">
        <v>175</v>
      </c>
      <c r="AB42" s="78">
        <v>29</v>
      </c>
      <c r="AC42" s="78">
        <v>100</v>
      </c>
      <c r="AD42" s="78">
        <v>129</v>
      </c>
      <c r="AE42" s="78">
        <v>34</v>
      </c>
      <c r="AF42" s="78">
        <v>34</v>
      </c>
      <c r="AG42" s="78">
        <v>35</v>
      </c>
      <c r="AH42" s="78">
        <v>14</v>
      </c>
      <c r="AI42" s="78">
        <f>IF(E10&gt;=7,1,0)</f>
        <v>1</v>
      </c>
    </row>
    <row r="43" spans="2:35" x14ac:dyDescent="0.3">
      <c r="B43" s="4" t="str">
        <f>S42</f>
        <v>Keon Ellis G</v>
      </c>
      <c r="C43" s="78">
        <f>T42</f>
        <v>560</v>
      </c>
      <c r="D43" s="78">
        <f>U42</f>
        <v>60</v>
      </c>
      <c r="E43" s="78">
        <f>V42</f>
        <v>119</v>
      </c>
      <c r="F43" s="78">
        <f>W42</f>
        <v>34</v>
      </c>
      <c r="G43" s="78">
        <f>X42</f>
        <v>47</v>
      </c>
      <c r="H43" s="78">
        <f>Y42</f>
        <v>21</v>
      </c>
      <c r="I43" s="78">
        <f>Z42</f>
        <v>54</v>
      </c>
      <c r="J43" s="78">
        <f>AA42</f>
        <v>175</v>
      </c>
      <c r="K43" s="78">
        <f>AB42</f>
        <v>29</v>
      </c>
      <c r="L43" s="78">
        <f>AC42</f>
        <v>100</v>
      </c>
      <c r="M43" s="78">
        <f>AD42</f>
        <v>129</v>
      </c>
      <c r="N43" s="78">
        <f>AE42</f>
        <v>34</v>
      </c>
      <c r="O43" s="78">
        <f>AF42</f>
        <v>34</v>
      </c>
      <c r="P43" s="78">
        <f>AG42</f>
        <v>35</v>
      </c>
      <c r="Q43" s="78">
        <f>AH42</f>
        <v>14</v>
      </c>
      <c r="S43" s="9" t="s">
        <v>107</v>
      </c>
      <c r="T43" s="79">
        <v>499</v>
      </c>
      <c r="U43" s="79">
        <v>66</v>
      </c>
      <c r="V43" s="79">
        <v>179</v>
      </c>
      <c r="W43" s="79">
        <v>12</v>
      </c>
      <c r="X43" s="79">
        <v>17</v>
      </c>
      <c r="Y43" s="79">
        <v>35</v>
      </c>
      <c r="Z43" s="79">
        <v>124</v>
      </c>
      <c r="AA43" s="79">
        <v>179</v>
      </c>
      <c r="AB43" s="79">
        <v>24</v>
      </c>
      <c r="AC43" s="79">
        <v>78</v>
      </c>
      <c r="AD43" s="79">
        <v>102</v>
      </c>
      <c r="AE43" s="79">
        <v>20</v>
      </c>
      <c r="AF43" s="79">
        <v>18</v>
      </c>
      <c r="AG43" s="79">
        <v>16</v>
      </c>
      <c r="AH43" s="79">
        <v>16</v>
      </c>
      <c r="AI43" s="79">
        <f>IF(E11&gt;=7,1,0)</f>
        <v>1</v>
      </c>
    </row>
    <row r="44" spans="2:35" x14ac:dyDescent="0.3">
      <c r="B44" s="9" t="str">
        <f>S43</f>
        <v>Alex Reese F</v>
      </c>
      <c r="C44" s="79">
        <f>T43</f>
        <v>499</v>
      </c>
      <c r="D44" s="79">
        <f>U43</f>
        <v>66</v>
      </c>
      <c r="E44" s="79">
        <f>V43</f>
        <v>179</v>
      </c>
      <c r="F44" s="79">
        <f>W43</f>
        <v>12</v>
      </c>
      <c r="G44" s="79">
        <f>X43</f>
        <v>17</v>
      </c>
      <c r="H44" s="79">
        <f>Y43</f>
        <v>35</v>
      </c>
      <c r="I44" s="79">
        <f>Z43</f>
        <v>124</v>
      </c>
      <c r="J44" s="79">
        <f>AA43</f>
        <v>179</v>
      </c>
      <c r="K44" s="79">
        <f>AB43</f>
        <v>24</v>
      </c>
      <c r="L44" s="79">
        <f>AC43</f>
        <v>78</v>
      </c>
      <c r="M44" s="79">
        <f>AD43</f>
        <v>102</v>
      </c>
      <c r="N44" s="79">
        <f>AE43</f>
        <v>20</v>
      </c>
      <c r="O44" s="79">
        <f>AF43</f>
        <v>18</v>
      </c>
      <c r="P44" s="79">
        <f>AG43</f>
        <v>16</v>
      </c>
      <c r="Q44" s="79">
        <f>AH43</f>
        <v>16</v>
      </c>
      <c r="S44" s="4" t="s">
        <v>111</v>
      </c>
      <c r="T44" s="78">
        <v>283</v>
      </c>
      <c r="U44" s="78">
        <v>48</v>
      </c>
      <c r="V44" s="78">
        <v>89</v>
      </c>
      <c r="W44" s="78">
        <v>18</v>
      </c>
      <c r="X44" s="78">
        <v>34</v>
      </c>
      <c r="Y44" s="78">
        <v>1</v>
      </c>
      <c r="Z44" s="78">
        <v>9</v>
      </c>
      <c r="AA44" s="78">
        <v>115</v>
      </c>
      <c r="AB44" s="78">
        <v>40</v>
      </c>
      <c r="AC44" s="78">
        <v>45</v>
      </c>
      <c r="AD44" s="78">
        <v>85</v>
      </c>
      <c r="AE44" s="78">
        <v>5</v>
      </c>
      <c r="AF44" s="78">
        <v>13</v>
      </c>
      <c r="AG44" s="78">
        <v>14</v>
      </c>
      <c r="AH44" s="78">
        <v>12</v>
      </c>
      <c r="AI44" s="78">
        <f>IF(E12&gt;=7,1,0)</f>
        <v>1</v>
      </c>
    </row>
    <row r="45" spans="2:35" x14ac:dyDescent="0.3">
      <c r="B45" s="4" t="str">
        <f>S44</f>
        <v>Juwan Gary F</v>
      </c>
      <c r="C45" s="78">
        <f>T44</f>
        <v>283</v>
      </c>
      <c r="D45" s="78">
        <f>U44</f>
        <v>48</v>
      </c>
      <c r="E45" s="78">
        <f>V44</f>
        <v>89</v>
      </c>
      <c r="F45" s="78">
        <f>W44</f>
        <v>18</v>
      </c>
      <c r="G45" s="78">
        <f>X44</f>
        <v>34</v>
      </c>
      <c r="H45" s="78">
        <f>Y44</f>
        <v>1</v>
      </c>
      <c r="I45" s="78">
        <f>Z44</f>
        <v>9</v>
      </c>
      <c r="J45" s="78">
        <f>AA44</f>
        <v>115</v>
      </c>
      <c r="K45" s="78">
        <f>AB44</f>
        <v>40</v>
      </c>
      <c r="L45" s="78">
        <f>AC44</f>
        <v>45</v>
      </c>
      <c r="M45" s="78">
        <f>AD44</f>
        <v>85</v>
      </c>
      <c r="N45" s="78">
        <f>AE44</f>
        <v>5</v>
      </c>
      <c r="O45" s="78">
        <f>AF44</f>
        <v>13</v>
      </c>
      <c r="P45" s="78">
        <f>AG44</f>
        <v>14</v>
      </c>
      <c r="Q45" s="78">
        <f>AH44</f>
        <v>12</v>
      </c>
      <c r="S45" s="10" t="s">
        <v>108</v>
      </c>
      <c r="T45" s="80">
        <v>333</v>
      </c>
      <c r="U45" s="80">
        <v>28</v>
      </c>
      <c r="V45" s="80">
        <v>80</v>
      </c>
      <c r="W45" s="80">
        <v>24</v>
      </c>
      <c r="X45" s="80">
        <v>36</v>
      </c>
      <c r="Y45" s="80">
        <v>6</v>
      </c>
      <c r="Z45" s="80">
        <v>26</v>
      </c>
      <c r="AA45" s="80">
        <v>86</v>
      </c>
      <c r="AB45" s="80">
        <v>20</v>
      </c>
      <c r="AC45" s="80">
        <v>58</v>
      </c>
      <c r="AD45" s="80">
        <v>78</v>
      </c>
      <c r="AE45" s="80">
        <v>11</v>
      </c>
      <c r="AF45" s="80">
        <v>30</v>
      </c>
      <c r="AG45" s="80">
        <v>16</v>
      </c>
      <c r="AH45" s="80">
        <v>6</v>
      </c>
      <c r="AI45" s="80">
        <f>IF(E13&gt;=7,1,0)</f>
        <v>1</v>
      </c>
    </row>
    <row r="46" spans="2:35" x14ac:dyDescent="0.3">
      <c r="B46" s="10" t="str">
        <f>S45</f>
        <v>James Rojas F</v>
      </c>
      <c r="C46" s="80">
        <f>T45</f>
        <v>333</v>
      </c>
      <c r="D46" s="80">
        <f>U45</f>
        <v>28</v>
      </c>
      <c r="E46" s="80">
        <f>V45</f>
        <v>80</v>
      </c>
      <c r="F46" s="80">
        <f>W45</f>
        <v>24</v>
      </c>
      <c r="G46" s="80">
        <f>X45</f>
        <v>36</v>
      </c>
      <c r="H46" s="80">
        <f>Y45</f>
        <v>6</v>
      </c>
      <c r="I46" s="80">
        <f>Z45</f>
        <v>26</v>
      </c>
      <c r="J46" s="80">
        <f>AA45</f>
        <v>86</v>
      </c>
      <c r="K46" s="80">
        <f>AB45</f>
        <v>20</v>
      </c>
      <c r="L46" s="80">
        <f>AC45</f>
        <v>58</v>
      </c>
      <c r="M46" s="80">
        <f>AD45</f>
        <v>78</v>
      </c>
      <c r="N46" s="80">
        <f>AE45</f>
        <v>11</v>
      </c>
      <c r="O46" s="80">
        <f>AF45</f>
        <v>30</v>
      </c>
      <c r="P46" s="80">
        <f>AG45</f>
        <v>16</v>
      </c>
      <c r="Q46" s="80">
        <f>AH45</f>
        <v>6</v>
      </c>
      <c r="S46" s="4" t="s">
        <v>112</v>
      </c>
      <c r="T46" s="78">
        <v>73</v>
      </c>
      <c r="U46" s="78">
        <v>12</v>
      </c>
      <c r="V46" s="78">
        <v>29</v>
      </c>
      <c r="W46" s="78">
        <v>7</v>
      </c>
      <c r="X46" s="78">
        <v>8</v>
      </c>
      <c r="Y46" s="78">
        <v>7</v>
      </c>
      <c r="Z46" s="78">
        <v>20</v>
      </c>
      <c r="AA46" s="78">
        <v>38</v>
      </c>
      <c r="AB46" s="78">
        <v>3</v>
      </c>
      <c r="AC46" s="78">
        <v>12</v>
      </c>
      <c r="AD46" s="78">
        <v>15</v>
      </c>
      <c r="AE46" s="78">
        <v>4</v>
      </c>
      <c r="AF46" s="78">
        <v>15</v>
      </c>
      <c r="AG46" s="78">
        <v>3</v>
      </c>
      <c r="AH46" s="78">
        <v>4</v>
      </c>
      <c r="AI46" s="78">
        <f>IF(E14&gt;=7,1,0)</f>
        <v>0</v>
      </c>
    </row>
    <row r="47" spans="2:35" x14ac:dyDescent="0.3">
      <c r="B47" s="4" t="str">
        <f>S46</f>
        <v>Darius Miles F</v>
      </c>
      <c r="C47" s="78">
        <f>T46</f>
        <v>73</v>
      </c>
      <c r="D47" s="78">
        <f>U46</f>
        <v>12</v>
      </c>
      <c r="E47" s="78">
        <f>V46</f>
        <v>29</v>
      </c>
      <c r="F47" s="78">
        <f>W46</f>
        <v>7</v>
      </c>
      <c r="G47" s="78">
        <f>X46</f>
        <v>8</v>
      </c>
      <c r="H47" s="78">
        <f>Y46</f>
        <v>7</v>
      </c>
      <c r="I47" s="78">
        <f>Z46</f>
        <v>20</v>
      </c>
      <c r="J47" s="78">
        <f>AA46</f>
        <v>38</v>
      </c>
      <c r="K47" s="78">
        <f>AB46</f>
        <v>3</v>
      </c>
      <c r="L47" s="78">
        <f>AC46</f>
        <v>12</v>
      </c>
      <c r="M47" s="78">
        <f>AD46</f>
        <v>15</v>
      </c>
      <c r="N47" s="78">
        <f>AE46</f>
        <v>4</v>
      </c>
      <c r="O47" s="78">
        <f>AF46</f>
        <v>15</v>
      </c>
      <c r="P47" s="78">
        <f>AG46</f>
        <v>3</v>
      </c>
      <c r="Q47" s="78">
        <f>AH46</f>
        <v>4</v>
      </c>
      <c r="S47" s="10" t="s">
        <v>110</v>
      </c>
      <c r="T47" s="80">
        <v>1</v>
      </c>
      <c r="U47" s="80">
        <v>1</v>
      </c>
      <c r="V47" s="80">
        <v>1</v>
      </c>
      <c r="W47" s="80">
        <v>0</v>
      </c>
      <c r="X47" s="80">
        <v>0</v>
      </c>
      <c r="Y47" s="80">
        <v>0</v>
      </c>
      <c r="Z47" s="80">
        <v>0</v>
      </c>
      <c r="AA47" s="80">
        <v>2</v>
      </c>
      <c r="AB47" s="80">
        <v>0</v>
      </c>
      <c r="AC47" s="80">
        <v>0</v>
      </c>
      <c r="AD47" s="80">
        <v>0</v>
      </c>
      <c r="AE47" s="80">
        <v>0</v>
      </c>
      <c r="AF47" s="80">
        <v>0</v>
      </c>
      <c r="AG47" s="80">
        <v>0</v>
      </c>
      <c r="AH47" s="80">
        <v>0</v>
      </c>
      <c r="AI47" s="80">
        <f>IF(E15&gt;=7,1,0)</f>
        <v>0</v>
      </c>
    </row>
    <row r="48" spans="2:35" x14ac:dyDescent="0.3">
      <c r="B48" s="10" t="str">
        <f>S47</f>
        <v>Jaden Quinerly G</v>
      </c>
      <c r="C48" s="80">
        <f>T47</f>
        <v>1</v>
      </c>
      <c r="D48" s="80">
        <f>U47</f>
        <v>1</v>
      </c>
      <c r="E48" s="80">
        <f>V47</f>
        <v>1</v>
      </c>
      <c r="F48" s="80">
        <f>W47</f>
        <v>0</v>
      </c>
      <c r="G48" s="80">
        <f>X47</f>
        <v>0</v>
      </c>
      <c r="H48" s="80">
        <f>Y47</f>
        <v>0</v>
      </c>
      <c r="I48" s="80">
        <f>Z47</f>
        <v>0</v>
      </c>
      <c r="J48" s="80">
        <f>AA47</f>
        <v>2</v>
      </c>
      <c r="K48" s="80">
        <f>AB47</f>
        <v>0</v>
      </c>
      <c r="L48" s="80">
        <f>AC47</f>
        <v>0</v>
      </c>
      <c r="M48" s="80">
        <f>AD47</f>
        <v>0</v>
      </c>
      <c r="N48" s="80">
        <f>AE47</f>
        <v>0</v>
      </c>
      <c r="O48" s="80">
        <f>AF47</f>
        <v>0</v>
      </c>
      <c r="P48" s="80">
        <f>AG47</f>
        <v>0</v>
      </c>
      <c r="Q48" s="80">
        <f>AH47</f>
        <v>0</v>
      </c>
      <c r="S48" s="4" t="s">
        <v>173</v>
      </c>
      <c r="T48" s="78">
        <v>75</v>
      </c>
      <c r="U48" s="78">
        <v>10</v>
      </c>
      <c r="V48" s="78">
        <v>15</v>
      </c>
      <c r="W48" s="78">
        <v>1</v>
      </c>
      <c r="X48" s="78">
        <v>4</v>
      </c>
      <c r="Y48" s="78">
        <v>0</v>
      </c>
      <c r="Z48" s="78">
        <v>0</v>
      </c>
      <c r="AA48" s="78">
        <v>21</v>
      </c>
      <c r="AB48" s="78">
        <v>3</v>
      </c>
      <c r="AC48" s="78">
        <v>10</v>
      </c>
      <c r="AD48" s="78">
        <v>13</v>
      </c>
      <c r="AE48" s="78">
        <v>2</v>
      </c>
      <c r="AF48" s="78">
        <v>3</v>
      </c>
      <c r="AG48" s="78">
        <v>1</v>
      </c>
      <c r="AH48" s="78">
        <v>1</v>
      </c>
      <c r="AI48" s="78">
        <f>IF(E16&gt;=7,1,0)</f>
        <v>0</v>
      </c>
    </row>
    <row r="49" spans="2:35" x14ac:dyDescent="0.3">
      <c r="B49" s="4" t="str">
        <f>S48</f>
        <v>Keon Ambrose-Hylton F</v>
      </c>
      <c r="C49" s="78">
        <f>T48</f>
        <v>75</v>
      </c>
      <c r="D49" s="78">
        <f>U48</f>
        <v>10</v>
      </c>
      <c r="E49" s="78">
        <f>V48</f>
        <v>15</v>
      </c>
      <c r="F49" s="78">
        <f>W48</f>
        <v>1</v>
      </c>
      <c r="G49" s="78">
        <f>X48</f>
        <v>4</v>
      </c>
      <c r="H49" s="78">
        <f>Y48</f>
        <v>0</v>
      </c>
      <c r="I49" s="78">
        <f>Z48</f>
        <v>0</v>
      </c>
      <c r="J49" s="78">
        <f>AA48</f>
        <v>21</v>
      </c>
      <c r="K49" s="78">
        <f>AB48</f>
        <v>3</v>
      </c>
      <c r="L49" s="78">
        <f>AC48</f>
        <v>10</v>
      </c>
      <c r="M49" s="78">
        <f>AD48</f>
        <v>13</v>
      </c>
      <c r="N49" s="78">
        <f>AE48</f>
        <v>2</v>
      </c>
      <c r="O49" s="78">
        <f>AF48</f>
        <v>3</v>
      </c>
      <c r="P49" s="78">
        <f>AG48</f>
        <v>1</v>
      </c>
      <c r="Q49" s="78">
        <f>AH48</f>
        <v>1</v>
      </c>
      <c r="S49" s="9" t="s">
        <v>113</v>
      </c>
      <c r="T49" s="79">
        <v>18</v>
      </c>
      <c r="U49" s="79">
        <v>2</v>
      </c>
      <c r="V49" s="79">
        <v>5</v>
      </c>
      <c r="W49" s="79">
        <v>0</v>
      </c>
      <c r="X49" s="79">
        <v>0</v>
      </c>
      <c r="Y49" s="79">
        <v>2</v>
      </c>
      <c r="Z49" s="79">
        <v>5</v>
      </c>
      <c r="AA49" s="79">
        <v>6</v>
      </c>
      <c r="AB49" s="79">
        <v>1</v>
      </c>
      <c r="AC49" s="79">
        <v>2</v>
      </c>
      <c r="AD49" s="79">
        <v>3</v>
      </c>
      <c r="AE49" s="79">
        <v>1</v>
      </c>
      <c r="AF49" s="79">
        <v>0</v>
      </c>
      <c r="AG49" s="79">
        <v>0</v>
      </c>
      <c r="AH49" s="79">
        <v>0</v>
      </c>
      <c r="AI49" s="79">
        <f>IF(E17&gt;=7,1,0)</f>
        <v>0</v>
      </c>
    </row>
    <row r="50" spans="2:35" x14ac:dyDescent="0.3">
      <c r="B50" s="9" t="str">
        <f>S49</f>
        <v>Britton Johnson G</v>
      </c>
      <c r="C50" s="79">
        <f>T49</f>
        <v>18</v>
      </c>
      <c r="D50" s="79">
        <f>U49</f>
        <v>2</v>
      </c>
      <c r="E50" s="79">
        <f>V49</f>
        <v>5</v>
      </c>
      <c r="F50" s="79">
        <f>W49</f>
        <v>0</v>
      </c>
      <c r="G50" s="79">
        <f>X49</f>
        <v>0</v>
      </c>
      <c r="H50" s="79">
        <f>Y49</f>
        <v>2</v>
      </c>
      <c r="I50" s="79">
        <f>Z49</f>
        <v>5</v>
      </c>
      <c r="J50" s="79">
        <f>AA49</f>
        <v>6</v>
      </c>
      <c r="K50" s="79">
        <f>AB49</f>
        <v>1</v>
      </c>
      <c r="L50" s="79">
        <f>AC49</f>
        <v>2</v>
      </c>
      <c r="M50" s="79">
        <f>AD49</f>
        <v>3</v>
      </c>
      <c r="N50" s="79">
        <f>AE49</f>
        <v>1</v>
      </c>
      <c r="O50" s="79">
        <f>AF49</f>
        <v>0</v>
      </c>
      <c r="P50" s="79">
        <f>AG49</f>
        <v>0</v>
      </c>
      <c r="Q50" s="79">
        <f>AH49</f>
        <v>0</v>
      </c>
      <c r="S50" s="4" t="s">
        <v>115</v>
      </c>
      <c r="T50" s="78">
        <v>23</v>
      </c>
      <c r="U50" s="78">
        <v>1</v>
      </c>
      <c r="V50" s="78">
        <v>3</v>
      </c>
      <c r="W50" s="78">
        <v>2</v>
      </c>
      <c r="X50" s="78">
        <v>4</v>
      </c>
      <c r="Y50" s="78">
        <v>0</v>
      </c>
      <c r="Z50" s="78">
        <v>2</v>
      </c>
      <c r="AA50" s="78">
        <v>4</v>
      </c>
      <c r="AB50" s="78">
        <v>1</v>
      </c>
      <c r="AC50" s="78">
        <v>7</v>
      </c>
      <c r="AD50" s="78">
        <v>8</v>
      </c>
      <c r="AE50" s="78">
        <v>1</v>
      </c>
      <c r="AF50" s="78">
        <v>0</v>
      </c>
      <c r="AG50" s="78">
        <v>2</v>
      </c>
      <c r="AH50" s="78">
        <v>0</v>
      </c>
      <c r="AI50" s="78">
        <f>IF(E18&gt;=7,1,0)</f>
        <v>0</v>
      </c>
    </row>
    <row r="51" spans="2:35" x14ac:dyDescent="0.3">
      <c r="B51" s="4" t="str">
        <f>S50</f>
        <v>Tyler Barnes F</v>
      </c>
      <c r="C51" s="78">
        <f>T50</f>
        <v>23</v>
      </c>
      <c r="D51" s="78">
        <f>U50</f>
        <v>1</v>
      </c>
      <c r="E51" s="78">
        <f>V50</f>
        <v>3</v>
      </c>
      <c r="F51" s="78">
        <f>W50</f>
        <v>2</v>
      </c>
      <c r="G51" s="78">
        <f>X50</f>
        <v>4</v>
      </c>
      <c r="H51" s="78">
        <f>Y50</f>
        <v>0</v>
      </c>
      <c r="I51" s="78">
        <f>Z50</f>
        <v>2</v>
      </c>
      <c r="J51" s="78">
        <f>AA50</f>
        <v>4</v>
      </c>
      <c r="K51" s="78">
        <f>AB50</f>
        <v>1</v>
      </c>
      <c r="L51" s="78">
        <f>AC50</f>
        <v>7</v>
      </c>
      <c r="M51" s="78">
        <f>AD50</f>
        <v>8</v>
      </c>
      <c r="N51" s="78">
        <f>AE50</f>
        <v>1</v>
      </c>
      <c r="O51" s="78">
        <f>AF50</f>
        <v>0</v>
      </c>
      <c r="P51" s="78">
        <f>AG50</f>
        <v>2</v>
      </c>
      <c r="Q51" s="78">
        <f>AH50</f>
        <v>0</v>
      </c>
      <c r="S51" s="9" t="s">
        <v>114</v>
      </c>
      <c r="T51" s="79">
        <v>26</v>
      </c>
      <c r="U51" s="79">
        <v>2</v>
      </c>
      <c r="V51" s="79">
        <v>10</v>
      </c>
      <c r="W51" s="79">
        <v>0</v>
      </c>
      <c r="X51" s="79">
        <v>1</v>
      </c>
      <c r="Y51" s="79">
        <v>0</v>
      </c>
      <c r="Z51" s="79">
        <v>3</v>
      </c>
      <c r="AA51" s="79">
        <v>4</v>
      </c>
      <c r="AB51" s="79">
        <v>3</v>
      </c>
      <c r="AC51" s="79">
        <v>5</v>
      </c>
      <c r="AD51" s="79">
        <v>8</v>
      </c>
      <c r="AE51" s="79">
        <v>1</v>
      </c>
      <c r="AF51" s="79">
        <v>3</v>
      </c>
      <c r="AG51" s="79">
        <v>2</v>
      </c>
      <c r="AH51" s="79">
        <v>1</v>
      </c>
      <c r="AI51" s="79">
        <f>IF(E19&gt;=7,1,0)</f>
        <v>0</v>
      </c>
    </row>
    <row r="52" spans="2:35" x14ac:dyDescent="0.3">
      <c r="B52" s="9" t="str">
        <f>S51</f>
        <v>Kendall Wall F</v>
      </c>
      <c r="C52" s="79">
        <f>T51</f>
        <v>26</v>
      </c>
      <c r="D52" s="79">
        <f>U51</f>
        <v>2</v>
      </c>
      <c r="E52" s="79">
        <f>V51</f>
        <v>10</v>
      </c>
      <c r="F52" s="79">
        <f>W51</f>
        <v>0</v>
      </c>
      <c r="G52" s="79">
        <f>X51</f>
        <v>1</v>
      </c>
      <c r="H52" s="79">
        <f>Y51</f>
        <v>0</v>
      </c>
      <c r="I52" s="79">
        <f>Z51</f>
        <v>3</v>
      </c>
      <c r="J52" s="79">
        <f>AA51</f>
        <v>4</v>
      </c>
      <c r="K52" s="79">
        <f>AB51</f>
        <v>3</v>
      </c>
      <c r="L52" s="79">
        <f>AC51</f>
        <v>5</v>
      </c>
      <c r="M52" s="79">
        <f>AD51</f>
        <v>8</v>
      </c>
      <c r="N52" s="79">
        <f>AE51</f>
        <v>1</v>
      </c>
      <c r="O52" s="79">
        <f>AF51</f>
        <v>3</v>
      </c>
      <c r="P52" s="79">
        <f>AG51</f>
        <v>2</v>
      </c>
      <c r="Q52" s="79">
        <f>AH51</f>
        <v>1</v>
      </c>
      <c r="S52" s="4" t="s">
        <v>160</v>
      </c>
      <c r="T52" s="78">
        <v>1</v>
      </c>
      <c r="U52" s="78">
        <v>0</v>
      </c>
      <c r="V52" s="78">
        <v>0</v>
      </c>
      <c r="W52" s="78">
        <v>0</v>
      </c>
      <c r="X52" s="78">
        <v>0</v>
      </c>
      <c r="Y52" s="78">
        <v>0</v>
      </c>
      <c r="Z52" s="78">
        <v>0</v>
      </c>
      <c r="AA52" s="78">
        <v>0</v>
      </c>
      <c r="AB52" s="78">
        <v>0</v>
      </c>
      <c r="AC52" s="78">
        <v>0</v>
      </c>
      <c r="AD52" s="78">
        <v>0</v>
      </c>
      <c r="AE52" s="78">
        <v>0</v>
      </c>
      <c r="AF52" s="78">
        <v>0</v>
      </c>
      <c r="AG52" s="78">
        <v>0</v>
      </c>
      <c r="AH52" s="78">
        <v>0</v>
      </c>
      <c r="AI52" s="78">
        <f>IF(E20&gt;=7,1,0)</f>
        <v>0</v>
      </c>
    </row>
    <row r="53" spans="2:35" x14ac:dyDescent="0.3">
      <c r="B53" s="4" t="str">
        <f>S52</f>
        <v>Adam Cottrell G</v>
      </c>
      <c r="C53" s="78">
        <f>T52</f>
        <v>1</v>
      </c>
      <c r="D53" s="78">
        <f>U52</f>
        <v>0</v>
      </c>
      <c r="E53" s="78">
        <f>V52</f>
        <v>0</v>
      </c>
      <c r="F53" s="78">
        <f>W52</f>
        <v>0</v>
      </c>
      <c r="G53" s="78">
        <f>X52</f>
        <v>0</v>
      </c>
      <c r="H53" s="78">
        <f>Y52</f>
        <v>0</v>
      </c>
      <c r="I53" s="78">
        <f>Z52</f>
        <v>0</v>
      </c>
      <c r="J53" s="78">
        <f>AA52</f>
        <v>0</v>
      </c>
      <c r="K53" s="78">
        <f>AB52</f>
        <v>0</v>
      </c>
      <c r="L53" s="78">
        <f>AC52</f>
        <v>0</v>
      </c>
      <c r="M53" s="78">
        <f>AD52</f>
        <v>0</v>
      </c>
      <c r="N53" s="78">
        <f>AE52</f>
        <v>0</v>
      </c>
      <c r="O53" s="78">
        <f>AF52</f>
        <v>0</v>
      </c>
      <c r="P53" s="78">
        <f>AG52</f>
        <v>0</v>
      </c>
      <c r="Q53" s="78">
        <f>AH52</f>
        <v>0</v>
      </c>
      <c r="S53" s="10" t="s">
        <v>116</v>
      </c>
      <c r="T53" s="80">
        <v>3</v>
      </c>
      <c r="U53" s="80">
        <v>0</v>
      </c>
      <c r="V53" s="80">
        <v>1</v>
      </c>
      <c r="W53" s="80">
        <v>0</v>
      </c>
      <c r="X53" s="80">
        <v>0</v>
      </c>
      <c r="Y53" s="80">
        <v>0</v>
      </c>
      <c r="Z53" s="80">
        <v>0</v>
      </c>
      <c r="AA53" s="80">
        <v>0</v>
      </c>
      <c r="AB53" s="80">
        <v>0</v>
      </c>
      <c r="AC53" s="80">
        <v>1</v>
      </c>
      <c r="AD53" s="80">
        <v>1</v>
      </c>
      <c r="AE53" s="80">
        <v>0</v>
      </c>
      <c r="AF53" s="80">
        <v>0</v>
      </c>
      <c r="AG53" s="80">
        <v>0</v>
      </c>
      <c r="AH53" s="80">
        <v>0</v>
      </c>
      <c r="AI53" s="80">
        <f>IF(E21&gt;=7,1,0)</f>
        <v>0</v>
      </c>
    </row>
    <row r="54" spans="2:35" x14ac:dyDescent="0.3">
      <c r="B54" s="10" t="str">
        <f>S53</f>
        <v>Delaney Heard G</v>
      </c>
      <c r="C54" s="80">
        <f>T53</f>
        <v>3</v>
      </c>
      <c r="D54" s="80">
        <f>U53</f>
        <v>0</v>
      </c>
      <c r="E54" s="80">
        <f>V53</f>
        <v>1</v>
      </c>
      <c r="F54" s="80">
        <f>W53</f>
        <v>0</v>
      </c>
      <c r="G54" s="80">
        <f>X53</f>
        <v>0</v>
      </c>
      <c r="H54" s="80">
        <f>Y53</f>
        <v>0</v>
      </c>
      <c r="I54" s="80">
        <f>Z53</f>
        <v>0</v>
      </c>
      <c r="J54" s="80">
        <f>AA53</f>
        <v>0</v>
      </c>
      <c r="K54" s="80">
        <f>AB53</f>
        <v>0</v>
      </c>
      <c r="L54" s="80">
        <f>AC53</f>
        <v>1</v>
      </c>
      <c r="M54" s="80">
        <f>AD53</f>
        <v>1</v>
      </c>
      <c r="N54" s="80">
        <f>AE53</f>
        <v>0</v>
      </c>
      <c r="O54" s="80">
        <f>AF53</f>
        <v>0</v>
      </c>
      <c r="P54" s="80">
        <f>AG53</f>
        <v>0</v>
      </c>
      <c r="Q54" s="80">
        <f>AH53</f>
        <v>0</v>
      </c>
    </row>
    <row r="55" spans="2:35" x14ac:dyDescent="0.3">
      <c r="B55" s="4" t="e">
        <f>#REF!</f>
        <v>#REF!</v>
      </c>
      <c r="C55" s="78">
        <f>SUM(C37:C54)</f>
        <v>6623</v>
      </c>
      <c r="D55" s="78">
        <f t="shared" ref="D55:Q55" si="16">SUM(D37:D54)</f>
        <v>924</v>
      </c>
      <c r="E55" s="78">
        <f t="shared" si="16"/>
        <v>2125</v>
      </c>
      <c r="F55" s="78">
        <f t="shared" si="16"/>
        <v>433</v>
      </c>
      <c r="G55" s="78">
        <f t="shared" si="16"/>
        <v>612</v>
      </c>
      <c r="H55" s="78">
        <f t="shared" si="16"/>
        <v>348</v>
      </c>
      <c r="I55" s="78">
        <f t="shared" si="16"/>
        <v>989</v>
      </c>
      <c r="J55" s="78">
        <f t="shared" si="16"/>
        <v>2629</v>
      </c>
      <c r="K55" s="78">
        <f t="shared" si="16"/>
        <v>348</v>
      </c>
      <c r="L55" s="78">
        <f t="shared" si="16"/>
        <v>860</v>
      </c>
      <c r="M55" s="78">
        <f t="shared" si="16"/>
        <v>1208</v>
      </c>
      <c r="N55" s="78">
        <f t="shared" si="16"/>
        <v>464</v>
      </c>
      <c r="O55" s="78">
        <f t="shared" si="16"/>
        <v>452</v>
      </c>
      <c r="P55" s="78">
        <f t="shared" si="16"/>
        <v>280</v>
      </c>
      <c r="Q55" s="78">
        <f t="shared" si="16"/>
        <v>143</v>
      </c>
    </row>
    <row r="56" spans="2:35" x14ac:dyDescent="0.3">
      <c r="B56" s="10" t="s">
        <v>218</v>
      </c>
      <c r="C56" s="80">
        <f>SUMPRODUCT(C37:C54,$AI$36:$AI$53)</f>
        <v>6403</v>
      </c>
      <c r="D56" s="80">
        <f>SUMPRODUCT(D37:D54,$AI$36:$AI$53)</f>
        <v>896</v>
      </c>
      <c r="E56" s="80">
        <f>SUMPRODUCT(E37:E54,$AI$36:$AI$53)</f>
        <v>2061</v>
      </c>
      <c r="F56" s="80">
        <f>SUMPRODUCT(F37:F54,$AI$36:$AI$53)</f>
        <v>423</v>
      </c>
      <c r="G56" s="80">
        <f>SUMPRODUCT(G37:G54,$AI$36:$AI$53)</f>
        <v>595</v>
      </c>
      <c r="H56" s="80">
        <f>SUMPRODUCT(H37:H54,$AI$36:$AI$53)</f>
        <v>339</v>
      </c>
      <c r="I56" s="80">
        <f>SUMPRODUCT(I37:I54,$AI$36:$AI$53)</f>
        <v>959</v>
      </c>
      <c r="J56" s="80">
        <f>SUMPRODUCT(J37:J54,$AI$36:$AI$53)</f>
        <v>2554</v>
      </c>
      <c r="K56" s="80">
        <f>SUMPRODUCT(K37:K54,$AI$36:$AI$53)</f>
        <v>337</v>
      </c>
      <c r="L56" s="80">
        <f>SUMPRODUCT(L37:L54,$AI$36:$AI$53)</f>
        <v>823</v>
      </c>
      <c r="M56" s="80">
        <f>SUMPRODUCT(M37:M54,$AI$36:$AI$53)</f>
        <v>1160</v>
      </c>
      <c r="N56" s="80">
        <f>SUMPRODUCT(N37:N54,$AI$36:$AI$53)</f>
        <v>455</v>
      </c>
      <c r="O56" s="80">
        <f>SUMPRODUCT(O37:O54,$AI$36:$AI$53)</f>
        <v>431</v>
      </c>
      <c r="P56" s="80">
        <f>SUMPRODUCT(P37:P54,$AI$36:$AI$53)</f>
        <v>272</v>
      </c>
      <c r="Q56" s="80">
        <f>SUMPRODUCT(Q37:Q54,$AI$36:$AI$53)</f>
        <v>137</v>
      </c>
    </row>
  </sheetData>
  <mergeCells count="9">
    <mergeCell ref="B35:Q35"/>
    <mergeCell ref="B2:N2"/>
    <mergeCell ref="B26:E26"/>
    <mergeCell ref="H26:N26"/>
    <mergeCell ref="H27:K27"/>
    <mergeCell ref="H28:K28"/>
    <mergeCell ref="H29:K29"/>
    <mergeCell ref="H31:K31"/>
    <mergeCell ref="H30:K30"/>
  </mergeCells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2D0B2-0592-4D60-9C4E-D0B288C263DE}">
  <dimension ref="B1:AG35"/>
  <sheetViews>
    <sheetView zoomScale="75" zoomScaleNormal="75" workbookViewId="0">
      <selection activeCell="I25" sqref="I25"/>
    </sheetView>
  </sheetViews>
  <sheetFormatPr defaultRowHeight="14.4" x14ac:dyDescent="0.3"/>
  <cols>
    <col min="3" max="3" width="19" bestFit="1" customWidth="1"/>
    <col min="10" max="10" width="6.109375" customWidth="1"/>
    <col min="11" max="11" width="6.21875" customWidth="1"/>
    <col min="14" max="14" width="4" customWidth="1"/>
    <col min="15" max="16" width="7.77734375" customWidth="1"/>
    <col min="17" max="17" width="4" bestFit="1" customWidth="1"/>
    <col min="18" max="18" width="4.109375" bestFit="1" customWidth="1"/>
    <col min="19" max="19" width="9.33203125" customWidth="1"/>
    <col min="20" max="20" width="8.88671875" customWidth="1"/>
    <col min="21" max="21" width="4.5546875" customWidth="1"/>
    <col min="22" max="22" width="2.6640625" customWidth="1"/>
    <col min="23" max="23" width="9.21875" customWidth="1"/>
    <col min="24" max="24" width="8.6640625" customWidth="1"/>
    <col min="25" max="25" width="5.109375" customWidth="1"/>
    <col min="26" max="26" width="3.33203125" customWidth="1"/>
    <col min="27" max="28" width="7.77734375" customWidth="1"/>
    <col min="29" max="29" width="5" customWidth="1"/>
    <col min="30" max="30" width="2.6640625" customWidth="1"/>
    <col min="31" max="32" width="7.77734375" customWidth="1"/>
    <col min="33" max="33" width="4.6640625" customWidth="1"/>
    <col min="34" max="35" width="5.44140625" customWidth="1"/>
    <col min="36" max="36" width="6.5546875" customWidth="1"/>
    <col min="37" max="37" width="6.88671875" customWidth="1"/>
  </cols>
  <sheetData>
    <row r="1" spans="2:33" ht="15" x14ac:dyDescent="0.35">
      <c r="D1" s="156" t="s">
        <v>52</v>
      </c>
      <c r="E1" s="156"/>
      <c r="F1" s="156"/>
      <c r="G1" s="156"/>
      <c r="H1" s="156" t="s">
        <v>53</v>
      </c>
      <c r="I1" s="156"/>
      <c r="J1" s="156"/>
      <c r="K1" s="156"/>
      <c r="M1" t="str">
        <f>""</f>
        <v/>
      </c>
      <c r="N1" s="155" t="s">
        <v>184</v>
      </c>
      <c r="O1" s="144"/>
      <c r="P1" s="144"/>
      <c r="Q1" s="144"/>
      <c r="R1" s="144" t="s">
        <v>185</v>
      </c>
      <c r="S1" s="144"/>
      <c r="T1" s="144"/>
      <c r="U1" s="144"/>
      <c r="V1" s="144" t="s">
        <v>186</v>
      </c>
      <c r="W1" s="144"/>
      <c r="X1" s="144"/>
      <c r="Y1" s="144"/>
      <c r="Z1" s="144" t="s">
        <v>187</v>
      </c>
      <c r="AA1" s="144"/>
      <c r="AB1" s="144"/>
      <c r="AC1" s="144"/>
      <c r="AD1" s="144" t="s">
        <v>188</v>
      </c>
      <c r="AE1" s="144"/>
      <c r="AF1" s="144"/>
      <c r="AG1" s="145"/>
    </row>
    <row r="2" spans="2:33" ht="15" x14ac:dyDescent="0.35">
      <c r="B2" s="89" t="s">
        <v>175</v>
      </c>
      <c r="C2" s="89" t="s">
        <v>177</v>
      </c>
      <c r="D2" s="90" t="s">
        <v>183</v>
      </c>
      <c r="E2" s="90" t="s">
        <v>130</v>
      </c>
      <c r="F2" s="89" t="s">
        <v>176</v>
      </c>
      <c r="G2" s="89" t="s">
        <v>207</v>
      </c>
      <c r="H2" s="90" t="s">
        <v>183</v>
      </c>
      <c r="I2" s="90" t="s">
        <v>130</v>
      </c>
      <c r="J2" s="90" t="s">
        <v>176</v>
      </c>
      <c r="K2" s="90" t="s">
        <v>207</v>
      </c>
      <c r="M2" t="str">
        <f>""</f>
        <v/>
      </c>
      <c r="N2" s="146" t="s">
        <v>189</v>
      </c>
      <c r="O2" s="147"/>
      <c r="P2" s="147"/>
      <c r="Q2" s="147"/>
      <c r="R2" s="147" t="s">
        <v>190</v>
      </c>
      <c r="S2" s="147"/>
      <c r="T2" s="147"/>
      <c r="U2" s="147"/>
      <c r="V2" s="147" t="s">
        <v>191</v>
      </c>
      <c r="W2" s="147"/>
      <c r="X2" s="147"/>
      <c r="Y2" s="147"/>
      <c r="Z2" s="147" t="s">
        <v>192</v>
      </c>
      <c r="AA2" s="147"/>
      <c r="AB2" s="147"/>
      <c r="AC2" s="147"/>
      <c r="AD2" s="147" t="s">
        <v>193</v>
      </c>
      <c r="AE2" s="147"/>
      <c r="AF2" s="147"/>
      <c r="AG2" s="148"/>
    </row>
    <row r="3" spans="2:33" ht="16.8" x14ac:dyDescent="0.4">
      <c r="B3" s="89">
        <v>1</v>
      </c>
      <c r="C3" s="91" t="s">
        <v>178</v>
      </c>
      <c r="D3" s="92">
        <v>16</v>
      </c>
      <c r="E3" s="92">
        <v>2</v>
      </c>
      <c r="F3" s="92" t="s">
        <v>179</v>
      </c>
      <c r="G3" s="93">
        <f>D3/(D3+E3)</f>
        <v>0.88888888888888884</v>
      </c>
      <c r="H3" s="94">
        <v>20</v>
      </c>
      <c r="I3" s="94">
        <v>6</v>
      </c>
      <c r="J3" s="93"/>
      <c r="K3" s="93">
        <f>H3/(H3+I3)</f>
        <v>0.76923076923076927</v>
      </c>
      <c r="L3" t="str">
        <f>""</f>
        <v/>
      </c>
      <c r="M3" t="str">
        <f>""</f>
        <v/>
      </c>
      <c r="N3" s="86"/>
      <c r="O3" s="86"/>
      <c r="P3" s="86"/>
      <c r="Q3" s="86"/>
      <c r="R3" s="137" t="s">
        <v>196</v>
      </c>
      <c r="S3" s="138"/>
      <c r="T3" s="138"/>
      <c r="U3" s="149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</row>
    <row r="4" spans="2:33" ht="15" x14ac:dyDescent="0.35">
      <c r="B4" s="89">
        <v>2</v>
      </c>
      <c r="C4" s="95" t="s">
        <v>29</v>
      </c>
      <c r="D4" s="92">
        <v>13</v>
      </c>
      <c r="E4" s="92">
        <v>4</v>
      </c>
      <c r="F4" s="96">
        <f t="shared" ref="F4:F11" si="0">(($D$3-D4)/2)+((E4-$E$3)/2)</f>
        <v>2.5</v>
      </c>
      <c r="G4" s="93">
        <f t="shared" ref="G4:G16" si="1">D4/(D4+E4)</f>
        <v>0.76470588235294112</v>
      </c>
      <c r="H4" s="94">
        <v>20</v>
      </c>
      <c r="I4" s="94">
        <v>5</v>
      </c>
      <c r="J4" s="97">
        <f>(($H$3-H4)/2)+((I4-I3)/2)</f>
        <v>-0.5</v>
      </c>
      <c r="K4" s="93">
        <f t="shared" ref="K4:K16" si="2">H4/(H4+I4)</f>
        <v>0.8</v>
      </c>
      <c r="L4" t="str">
        <f>""</f>
        <v/>
      </c>
      <c r="M4" t="str">
        <f>""</f>
        <v/>
      </c>
      <c r="N4" s="86"/>
      <c r="O4" s="86"/>
      <c r="P4" s="86"/>
      <c r="Q4" s="86"/>
      <c r="R4" s="152">
        <v>8</v>
      </c>
      <c r="S4" s="153" t="str">
        <f>VLOOKUP(R4,$B$2:$G$16,2)</f>
        <v>Kentucky</v>
      </c>
      <c r="T4" s="153"/>
      <c r="U4" s="152">
        <v>73</v>
      </c>
      <c r="V4" s="138" t="s">
        <v>197</v>
      </c>
      <c r="W4" s="138"/>
      <c r="X4" s="138"/>
      <c r="Y4" s="149"/>
      <c r="Z4" s="87"/>
      <c r="AA4" s="87"/>
      <c r="AB4" s="87"/>
      <c r="AC4" s="87"/>
      <c r="AD4" s="87"/>
      <c r="AE4" s="87"/>
      <c r="AF4" s="87"/>
      <c r="AG4" s="87"/>
    </row>
    <row r="5" spans="2:33" ht="15" x14ac:dyDescent="0.35">
      <c r="B5" s="89">
        <v>3</v>
      </c>
      <c r="C5" s="98" t="s">
        <v>30</v>
      </c>
      <c r="D5" s="92">
        <v>11</v>
      </c>
      <c r="E5" s="92">
        <v>6</v>
      </c>
      <c r="F5" s="96">
        <f t="shared" si="0"/>
        <v>4.5</v>
      </c>
      <c r="G5" s="93">
        <f t="shared" si="1"/>
        <v>0.6470588235294118</v>
      </c>
      <c r="H5" s="94">
        <v>15</v>
      </c>
      <c r="I5" s="94">
        <v>8</v>
      </c>
      <c r="J5" s="97">
        <f t="shared" ref="J5:J16" si="3">(($H$3-H5)/2)+((I5-I4)/2)</f>
        <v>4</v>
      </c>
      <c r="K5" s="93">
        <f t="shared" si="2"/>
        <v>0.65217391304347827</v>
      </c>
      <c r="L5" t="str">
        <f>""</f>
        <v/>
      </c>
      <c r="M5" t="str">
        <f>""</f>
        <v/>
      </c>
      <c r="N5" s="86"/>
      <c r="O5" s="86"/>
      <c r="P5" s="86"/>
      <c r="Q5" s="86"/>
      <c r="R5" s="152"/>
      <c r="S5" s="153"/>
      <c r="T5" s="153"/>
      <c r="U5" s="152"/>
      <c r="V5" s="150">
        <v>1</v>
      </c>
      <c r="W5" s="168" t="str">
        <f>VLOOKUP(V5,$B$2:$G$16,2)</f>
        <v>Alabama</v>
      </c>
      <c r="X5" s="168"/>
      <c r="Y5" s="168">
        <v>85</v>
      </c>
      <c r="Z5" s="87"/>
      <c r="AA5" s="87"/>
      <c r="AB5" s="87"/>
      <c r="AC5" s="87"/>
      <c r="AD5" s="87"/>
      <c r="AE5" s="87"/>
      <c r="AF5" s="87"/>
      <c r="AG5" s="87"/>
    </row>
    <row r="6" spans="2:33" ht="16.8" customHeight="1" x14ac:dyDescent="0.35">
      <c r="B6" s="89">
        <v>4</v>
      </c>
      <c r="C6" s="99" t="s">
        <v>20</v>
      </c>
      <c r="D6" s="92">
        <v>10</v>
      </c>
      <c r="E6" s="92">
        <v>7</v>
      </c>
      <c r="F6" s="96">
        <f t="shared" si="0"/>
        <v>5.5</v>
      </c>
      <c r="G6" s="93">
        <f t="shared" ref="G6:G11" si="4">D6/(D6+E6)</f>
        <v>0.58823529411764708</v>
      </c>
      <c r="H6" s="94">
        <v>16</v>
      </c>
      <c r="I6" s="94">
        <v>7</v>
      </c>
      <c r="J6" s="97">
        <f>(($H$3-H6)/2)+((I6-I7)/2)</f>
        <v>2.5</v>
      </c>
      <c r="K6" s="93">
        <f t="shared" ref="K6:K11" si="5">H6/(H6+I6)</f>
        <v>0.69565217391304346</v>
      </c>
      <c r="L6" t="str">
        <f>""</f>
        <v/>
      </c>
      <c r="M6" t="str">
        <f>""</f>
        <v/>
      </c>
      <c r="N6" s="86"/>
      <c r="O6" s="86"/>
      <c r="P6" s="86"/>
      <c r="Q6" s="86"/>
      <c r="R6" s="151">
        <v>9</v>
      </c>
      <c r="S6" s="154" t="str">
        <f>VLOOKUP(R6,$B$2:$G$16,2)</f>
        <v>Mississippi State</v>
      </c>
      <c r="T6" s="154"/>
      <c r="U6" s="154">
        <v>74</v>
      </c>
      <c r="V6" s="150"/>
      <c r="W6" s="168"/>
      <c r="X6" s="168"/>
      <c r="Y6" s="168"/>
      <c r="Z6" s="87"/>
      <c r="AA6" s="87"/>
      <c r="AB6" s="87"/>
      <c r="AC6" s="87"/>
      <c r="AD6" s="87"/>
      <c r="AE6" s="87"/>
      <c r="AF6" s="87"/>
      <c r="AG6" s="87"/>
    </row>
    <row r="7" spans="2:33" ht="16.8" customHeight="1" x14ac:dyDescent="0.35">
      <c r="B7" s="89">
        <v>5</v>
      </c>
      <c r="C7" s="109" t="s">
        <v>23</v>
      </c>
      <c r="D7" s="92">
        <v>9</v>
      </c>
      <c r="E7" s="92">
        <v>7</v>
      </c>
      <c r="F7" s="96">
        <f t="shared" si="0"/>
        <v>6</v>
      </c>
      <c r="G7" s="93">
        <f t="shared" si="4"/>
        <v>0.5625</v>
      </c>
      <c r="H7" s="94">
        <v>13</v>
      </c>
      <c r="I7" s="94">
        <v>6</v>
      </c>
      <c r="J7" s="97">
        <f>(($H$3-H7)/2)+((I7-I5)/2)</f>
        <v>2.5</v>
      </c>
      <c r="K7" s="93">
        <f t="shared" si="5"/>
        <v>0.68421052631578949</v>
      </c>
      <c r="L7" t="str">
        <f>""</f>
        <v/>
      </c>
      <c r="M7" t="str">
        <f>""</f>
        <v/>
      </c>
      <c r="N7" s="86"/>
      <c r="O7" s="86"/>
      <c r="P7" s="86"/>
      <c r="Q7" s="86"/>
      <c r="R7" s="151"/>
      <c r="S7" s="154"/>
      <c r="T7" s="154"/>
      <c r="U7" s="154"/>
      <c r="V7" s="151">
        <f>IF(U6&gt;U4,R6,R4)</f>
        <v>9</v>
      </c>
      <c r="W7" s="154" t="str">
        <f>IF(U6&gt;0,VLOOKUP(V7,$B$2:$G$16,2),"")</f>
        <v>Mississippi State</v>
      </c>
      <c r="X7" s="154"/>
      <c r="Y7" s="154">
        <v>48</v>
      </c>
      <c r="Z7" s="87"/>
      <c r="AA7" s="87"/>
      <c r="AB7" s="87"/>
      <c r="AC7" s="87"/>
      <c r="AD7" s="87"/>
      <c r="AE7" s="87"/>
      <c r="AF7" s="87"/>
      <c r="AG7" s="87"/>
    </row>
    <row r="8" spans="2:33" ht="15" x14ac:dyDescent="0.35">
      <c r="B8" s="89">
        <v>6</v>
      </c>
      <c r="C8" s="108" t="s">
        <v>180</v>
      </c>
      <c r="D8" s="92">
        <v>10</v>
      </c>
      <c r="E8" s="92">
        <v>8</v>
      </c>
      <c r="F8" s="96">
        <f t="shared" si="0"/>
        <v>6</v>
      </c>
      <c r="G8" s="93">
        <f t="shared" si="4"/>
        <v>0.55555555555555558</v>
      </c>
      <c r="H8" s="94">
        <v>14</v>
      </c>
      <c r="I8" s="94">
        <v>10</v>
      </c>
      <c r="J8" s="97">
        <f>(($H$3-H8)/2)+((I8-I6)/2)</f>
        <v>4.5</v>
      </c>
      <c r="K8" s="93">
        <f t="shared" si="5"/>
        <v>0.58333333333333337</v>
      </c>
      <c r="L8" t="str">
        <f>""</f>
        <v/>
      </c>
      <c r="M8" t="str">
        <f>""</f>
        <v/>
      </c>
      <c r="N8" s="86"/>
      <c r="O8" s="86"/>
      <c r="P8" s="86"/>
      <c r="Q8" s="86"/>
      <c r="R8" s="87"/>
      <c r="S8" s="87"/>
      <c r="T8" s="87"/>
      <c r="U8" s="87"/>
      <c r="V8" s="151"/>
      <c r="W8" s="154"/>
      <c r="X8" s="154"/>
      <c r="Y8" s="154"/>
      <c r="Z8" s="87"/>
      <c r="AA8" s="87"/>
      <c r="AB8" s="87"/>
      <c r="AC8" s="87"/>
      <c r="AD8" s="87"/>
      <c r="AE8" s="87"/>
      <c r="AF8" s="87"/>
      <c r="AG8" s="87"/>
    </row>
    <row r="9" spans="2:33" ht="15" x14ac:dyDescent="0.35">
      <c r="B9" s="89">
        <v>7</v>
      </c>
      <c r="C9" s="100" t="s">
        <v>33</v>
      </c>
      <c r="D9" s="92">
        <v>8</v>
      </c>
      <c r="E9" s="92">
        <v>8</v>
      </c>
      <c r="F9" s="96">
        <f t="shared" si="0"/>
        <v>7</v>
      </c>
      <c r="G9" s="93">
        <f t="shared" si="4"/>
        <v>0.5</v>
      </c>
      <c r="H9" s="94">
        <v>14</v>
      </c>
      <c r="I9" s="94">
        <v>7</v>
      </c>
      <c r="J9" s="97">
        <f>(($H$3-H9)/2)+((I9-I8)/2)</f>
        <v>1.5</v>
      </c>
      <c r="K9" s="93">
        <f t="shared" si="5"/>
        <v>0.66666666666666663</v>
      </c>
      <c r="L9" t="str">
        <f>""</f>
        <v/>
      </c>
      <c r="M9" t="str">
        <f>""</f>
        <v/>
      </c>
      <c r="N9" s="86"/>
      <c r="O9" s="86"/>
      <c r="P9" s="86"/>
      <c r="Q9" s="86"/>
      <c r="R9" s="87"/>
      <c r="S9" s="87"/>
      <c r="T9" s="87"/>
      <c r="U9" s="87"/>
      <c r="V9" s="87"/>
      <c r="W9" s="87"/>
      <c r="X9" s="87"/>
      <c r="Y9" s="87"/>
      <c r="Z9" s="163" t="s">
        <v>203</v>
      </c>
      <c r="AA9" s="164"/>
      <c r="AB9" s="164"/>
      <c r="AC9" s="165"/>
      <c r="AD9" s="87"/>
      <c r="AE9" s="87"/>
      <c r="AF9" s="87"/>
      <c r="AG9" s="87"/>
    </row>
    <row r="10" spans="2:33" ht="15" x14ac:dyDescent="0.35">
      <c r="B10" s="89">
        <v>8</v>
      </c>
      <c r="C10" s="102" t="s">
        <v>27</v>
      </c>
      <c r="D10" s="92">
        <v>8</v>
      </c>
      <c r="E10" s="92">
        <v>9</v>
      </c>
      <c r="F10" s="96">
        <f t="shared" si="0"/>
        <v>7.5</v>
      </c>
      <c r="G10" s="93">
        <f t="shared" si="4"/>
        <v>0.47058823529411764</v>
      </c>
      <c r="H10" s="94">
        <v>8</v>
      </c>
      <c r="I10" s="94">
        <v>15</v>
      </c>
      <c r="J10" s="97">
        <f>(($H$3-H10)/2)+((I10-I11)/2)</f>
        <v>7.5</v>
      </c>
      <c r="K10" s="93">
        <f t="shared" si="5"/>
        <v>0.34782608695652173</v>
      </c>
      <c r="L10" t="str">
        <f>""</f>
        <v/>
      </c>
      <c r="M10" t="str">
        <f>""</f>
        <v/>
      </c>
      <c r="N10" s="86"/>
      <c r="O10" s="86"/>
      <c r="P10" s="86"/>
      <c r="Q10" s="86"/>
      <c r="R10" s="87"/>
      <c r="S10" s="87"/>
      <c r="T10" s="87"/>
      <c r="U10" s="87"/>
      <c r="V10" s="87"/>
      <c r="W10" s="87"/>
      <c r="X10" s="87"/>
      <c r="Y10" s="87"/>
      <c r="Z10" s="150">
        <f>IF(Y7&gt;Y5,V7,V5)</f>
        <v>1</v>
      </c>
      <c r="AA10" s="168" t="str">
        <f>IF(Y7&gt;0,VLOOKUP(Z10,$B$2:$G$16,2),"")</f>
        <v>Alabama</v>
      </c>
      <c r="AB10" s="168"/>
      <c r="AC10" s="168">
        <v>73</v>
      </c>
      <c r="AD10" s="87"/>
      <c r="AE10" s="87"/>
      <c r="AF10" s="87"/>
      <c r="AG10" s="87"/>
    </row>
    <row r="11" spans="2:33" ht="15" x14ac:dyDescent="0.35">
      <c r="B11" s="89">
        <v>9</v>
      </c>
      <c r="C11" s="101" t="s">
        <v>181</v>
      </c>
      <c r="D11" s="92">
        <v>8</v>
      </c>
      <c r="E11" s="92">
        <v>10</v>
      </c>
      <c r="F11" s="96">
        <f t="shared" si="0"/>
        <v>8</v>
      </c>
      <c r="G11" s="93">
        <f t="shared" si="4"/>
        <v>0.44444444444444442</v>
      </c>
      <c r="H11" s="94">
        <v>13</v>
      </c>
      <c r="I11" s="94">
        <v>12</v>
      </c>
      <c r="J11" s="97">
        <f>(($H$3-H11)/2)+((I11-I9)/2)</f>
        <v>6</v>
      </c>
      <c r="K11" s="93">
        <f t="shared" si="5"/>
        <v>0.52</v>
      </c>
      <c r="L11" t="str">
        <f>""</f>
        <v/>
      </c>
      <c r="M11" t="str">
        <f>""</f>
        <v/>
      </c>
      <c r="N11" s="86"/>
      <c r="O11" s="86"/>
      <c r="P11" s="86"/>
      <c r="Q11" s="86"/>
      <c r="R11" s="137" t="s">
        <v>198</v>
      </c>
      <c r="S11" s="138"/>
      <c r="T11" s="138"/>
      <c r="U11" s="149"/>
      <c r="V11" s="87"/>
      <c r="W11" s="87"/>
      <c r="X11" s="87"/>
      <c r="Y11" s="87"/>
      <c r="Z11" s="150"/>
      <c r="AA11" s="168"/>
      <c r="AB11" s="168"/>
      <c r="AC11" s="168"/>
      <c r="AD11" s="87"/>
      <c r="AE11" s="87"/>
      <c r="AF11" s="87"/>
      <c r="AG11" s="87"/>
    </row>
    <row r="12" spans="2:33" ht="15" x14ac:dyDescent="0.35">
      <c r="B12" s="89">
        <v>10</v>
      </c>
      <c r="C12" s="103" t="s">
        <v>35</v>
      </c>
      <c r="D12" s="92">
        <v>7</v>
      </c>
      <c r="E12" s="92">
        <v>11</v>
      </c>
      <c r="F12" s="96">
        <f t="shared" ref="F12" si="6">(($D$3-D12)/2)+((E12-$E$3)/2)</f>
        <v>9</v>
      </c>
      <c r="G12" s="93">
        <f t="shared" si="1"/>
        <v>0.3888888888888889</v>
      </c>
      <c r="H12" s="94">
        <v>14</v>
      </c>
      <c r="I12" s="94">
        <v>10</v>
      </c>
      <c r="J12" s="97">
        <f>(($H$3-H12)/2)+((I12-I10)/2)</f>
        <v>0.5</v>
      </c>
      <c r="K12" s="93">
        <f t="shared" si="2"/>
        <v>0.58333333333333337</v>
      </c>
      <c r="L12" t="str">
        <f>""</f>
        <v/>
      </c>
      <c r="M12" t="str">
        <f>""</f>
        <v/>
      </c>
      <c r="N12" s="86"/>
      <c r="O12" s="86"/>
      <c r="P12" s="86"/>
      <c r="Q12" s="86"/>
      <c r="R12" s="159">
        <v>5</v>
      </c>
      <c r="S12" s="161" t="str">
        <f>VLOOKUP(R12,$B$2:$G$16,2)</f>
        <v>Florida</v>
      </c>
      <c r="T12" s="161"/>
      <c r="U12" s="161">
        <v>69</v>
      </c>
      <c r="V12" s="138" t="s">
        <v>195</v>
      </c>
      <c r="W12" s="138"/>
      <c r="X12" s="138"/>
      <c r="Y12" s="149"/>
      <c r="Z12" s="166">
        <f>IF(Y15&gt;Y13,V15,V13)</f>
        <v>4</v>
      </c>
      <c r="AA12" s="169" t="str">
        <f>IF(Y15&gt;0,VLOOKUP(Z12,$B$2:$G$16,2),"")</f>
        <v>Tennessee</v>
      </c>
      <c r="AB12" s="169"/>
      <c r="AC12" s="166">
        <v>68</v>
      </c>
      <c r="AD12" s="87"/>
      <c r="AE12" s="87"/>
      <c r="AF12" s="87"/>
      <c r="AG12" s="87"/>
    </row>
    <row r="13" spans="2:33" ht="15" x14ac:dyDescent="0.35">
      <c r="B13" s="89">
        <v>11</v>
      </c>
      <c r="C13" s="107" t="s">
        <v>182</v>
      </c>
      <c r="D13" s="92">
        <v>4</v>
      </c>
      <c r="E13" s="92">
        <v>12</v>
      </c>
      <c r="F13" s="96">
        <f>(($D$3-D13)/2)+((E13-$E$3)/2)</f>
        <v>11</v>
      </c>
      <c r="G13" s="93">
        <f t="shared" si="1"/>
        <v>0.25</v>
      </c>
      <c r="H13" s="94">
        <v>6</v>
      </c>
      <c r="I13" s="94">
        <v>13</v>
      </c>
      <c r="J13" s="97">
        <f t="shared" si="3"/>
        <v>8.5</v>
      </c>
      <c r="K13" s="93">
        <f t="shared" si="2"/>
        <v>0.31578947368421051</v>
      </c>
      <c r="L13" t="str">
        <f>""</f>
        <v/>
      </c>
      <c r="M13" t="str">
        <f>""</f>
        <v/>
      </c>
      <c r="N13" s="86"/>
      <c r="O13" s="86"/>
      <c r="P13" s="86"/>
      <c r="Q13" s="86"/>
      <c r="R13" s="159"/>
      <c r="S13" s="161"/>
      <c r="T13" s="161"/>
      <c r="U13" s="161"/>
      <c r="V13" s="166">
        <v>4</v>
      </c>
      <c r="W13" s="169" t="str">
        <f>VLOOKUP(V13,$B$2:$G$16,2)</f>
        <v>Tennessee</v>
      </c>
      <c r="X13" s="169"/>
      <c r="Y13" s="166">
        <v>78</v>
      </c>
      <c r="Z13" s="166"/>
      <c r="AA13" s="169"/>
      <c r="AB13" s="169"/>
      <c r="AC13" s="166"/>
      <c r="AD13" s="87"/>
      <c r="AE13" s="87"/>
      <c r="AF13" s="87"/>
      <c r="AG13" s="87"/>
    </row>
    <row r="14" spans="2:33" ht="15" x14ac:dyDescent="0.35">
      <c r="B14" s="89">
        <v>12</v>
      </c>
      <c r="C14" s="104" t="s">
        <v>36</v>
      </c>
      <c r="D14" s="92">
        <v>2</v>
      </c>
      <c r="E14" s="92">
        <v>8</v>
      </c>
      <c r="F14" s="96">
        <f>(($D$3-D14)/2)+((E14-$E$3)/2)</f>
        <v>10</v>
      </c>
      <c r="G14" s="93">
        <f t="shared" si="1"/>
        <v>0.2</v>
      </c>
      <c r="H14" s="94">
        <v>8</v>
      </c>
      <c r="I14" s="94">
        <v>7</v>
      </c>
      <c r="J14" s="97">
        <f t="shared" si="3"/>
        <v>3</v>
      </c>
      <c r="K14" s="93">
        <f t="shared" si="2"/>
        <v>0.53333333333333333</v>
      </c>
      <c r="L14" t="str">
        <f>""</f>
        <v/>
      </c>
      <c r="M14" t="str">
        <f>""</f>
        <v/>
      </c>
      <c r="N14" s="86"/>
      <c r="O14" s="86"/>
      <c r="P14" s="86"/>
      <c r="Q14" s="86"/>
      <c r="R14" s="160">
        <f>IF(Q16&gt;0,IF(Q18&gt;Q16,N18,N16),"")</f>
        <v>13</v>
      </c>
      <c r="S14" s="162" t="str">
        <f>IF(Q16&gt;0,VLOOKUP(R14,$B$2:$G$16,2),"")</f>
        <v>Vanderbilt</v>
      </c>
      <c r="T14" s="162"/>
      <c r="U14" s="160">
        <v>63</v>
      </c>
      <c r="V14" s="166"/>
      <c r="W14" s="169"/>
      <c r="X14" s="169"/>
      <c r="Y14" s="166"/>
      <c r="Z14" s="87"/>
      <c r="AA14" s="87"/>
      <c r="AB14" s="87"/>
      <c r="AC14" s="87"/>
      <c r="AD14" s="87"/>
      <c r="AE14" s="87"/>
      <c r="AF14" s="87"/>
      <c r="AG14" s="87"/>
    </row>
    <row r="15" spans="2:33" ht="15" x14ac:dyDescent="0.35">
      <c r="B15" s="89">
        <v>13</v>
      </c>
      <c r="C15" s="105" t="s">
        <v>37</v>
      </c>
      <c r="D15" s="92">
        <v>3</v>
      </c>
      <c r="E15" s="92">
        <v>13</v>
      </c>
      <c r="F15" s="96">
        <f>(($D$3-D15)/2)+((E15-$E$3)/2)</f>
        <v>12</v>
      </c>
      <c r="G15" s="93">
        <f t="shared" si="1"/>
        <v>0.1875</v>
      </c>
      <c r="H15" s="94">
        <v>7</v>
      </c>
      <c r="I15" s="94">
        <v>14</v>
      </c>
      <c r="J15" s="97">
        <f t="shared" si="3"/>
        <v>10</v>
      </c>
      <c r="K15" s="93">
        <f t="shared" si="2"/>
        <v>0.33333333333333331</v>
      </c>
      <c r="L15" t="str">
        <f>""</f>
        <v/>
      </c>
      <c r="M15" t="str">
        <f>""</f>
        <v/>
      </c>
      <c r="N15" s="137" t="s">
        <v>194</v>
      </c>
      <c r="O15" s="138"/>
      <c r="P15" s="138"/>
      <c r="Q15" s="138"/>
      <c r="R15" s="160"/>
      <c r="S15" s="162"/>
      <c r="T15" s="162"/>
      <c r="U15" s="160"/>
      <c r="V15" s="159">
        <f>IF(U14&gt;U12,R14,R12)</f>
        <v>5</v>
      </c>
      <c r="W15" s="161" t="str">
        <f>IF(U12&gt;0,VLOOKUP(V15,$B$2:$G$16,2),"")</f>
        <v>Florida</v>
      </c>
      <c r="X15" s="161"/>
      <c r="Y15" s="161">
        <v>66</v>
      </c>
      <c r="Z15" s="87"/>
      <c r="AA15" s="87"/>
      <c r="AB15" s="87"/>
      <c r="AC15" s="87"/>
      <c r="AD15" s="163" t="s">
        <v>206</v>
      </c>
      <c r="AE15" s="164"/>
      <c r="AF15" s="164"/>
      <c r="AG15" s="165"/>
    </row>
    <row r="16" spans="2:33" ht="15" x14ac:dyDescent="0.35">
      <c r="B16" s="89">
        <v>14</v>
      </c>
      <c r="C16" s="106" t="s">
        <v>25</v>
      </c>
      <c r="D16" s="92">
        <v>7</v>
      </c>
      <c r="E16" s="92">
        <v>11</v>
      </c>
      <c r="F16" s="96">
        <f>(($D$3-D16)/2)+((E16-$E$3)/2)</f>
        <v>9</v>
      </c>
      <c r="G16" s="93">
        <f t="shared" si="1"/>
        <v>0.3888888888888889</v>
      </c>
      <c r="H16" s="94">
        <v>12</v>
      </c>
      <c r="I16" s="94">
        <v>14</v>
      </c>
      <c r="J16" s="97">
        <f t="shared" si="3"/>
        <v>4</v>
      </c>
      <c r="K16" s="93">
        <f t="shared" si="2"/>
        <v>0.46153846153846156</v>
      </c>
      <c r="L16" t="str">
        <f>""</f>
        <v/>
      </c>
      <c r="M16" t="str">
        <f>""</f>
        <v/>
      </c>
      <c r="N16" s="157">
        <v>12</v>
      </c>
      <c r="O16" s="171" t="str">
        <f>VLOOKUP(N16,$B$2:$G$16,2)</f>
        <v>Texas A&amp;M</v>
      </c>
      <c r="P16" s="171"/>
      <c r="Q16" s="157">
        <v>68</v>
      </c>
      <c r="R16" s="87"/>
      <c r="S16" s="87"/>
      <c r="T16" s="87"/>
      <c r="U16" s="87"/>
      <c r="V16" s="159"/>
      <c r="W16" s="161"/>
      <c r="X16" s="161"/>
      <c r="Y16" s="161"/>
      <c r="Z16" s="87"/>
      <c r="AA16" s="87"/>
      <c r="AB16" s="87"/>
      <c r="AC16" s="87"/>
      <c r="AD16" s="150">
        <f>IF(AC12&gt;AC10,Z12,Z10)</f>
        <v>1</v>
      </c>
      <c r="AE16" s="168" t="str">
        <f>IF(AC12&gt;0,VLOOKUP(AD16,$B$2:$G$16,2),"")</f>
        <v>Alabama</v>
      </c>
      <c r="AF16" s="168"/>
      <c r="AG16" s="168">
        <v>0</v>
      </c>
    </row>
    <row r="17" spans="3:33" ht="15.6" thickBot="1" x14ac:dyDescent="0.4">
      <c r="L17" t="str">
        <f>""</f>
        <v/>
      </c>
      <c r="M17" t="str">
        <f>""</f>
        <v/>
      </c>
      <c r="N17" s="157"/>
      <c r="O17" s="171"/>
      <c r="P17" s="171"/>
      <c r="Q17" s="157"/>
      <c r="R17" s="88"/>
      <c r="S17" s="88"/>
      <c r="T17" s="88"/>
      <c r="U17" s="87"/>
      <c r="V17" s="88"/>
      <c r="W17" s="88"/>
      <c r="X17" s="88"/>
      <c r="Y17" s="87"/>
      <c r="Z17" s="87"/>
      <c r="AA17" s="87"/>
      <c r="AB17" s="87"/>
      <c r="AC17" s="87"/>
      <c r="AD17" s="150"/>
      <c r="AE17" s="168"/>
      <c r="AF17" s="168"/>
      <c r="AG17" s="168"/>
    </row>
    <row r="18" spans="3:33" ht="15.6" thickBot="1" x14ac:dyDescent="0.4">
      <c r="C18" s="188" t="s">
        <v>219</v>
      </c>
      <c r="E18" s="190" t="s">
        <v>220</v>
      </c>
      <c r="F18" s="191"/>
      <c r="L18" t="str">
        <f>""</f>
        <v/>
      </c>
      <c r="M18" t="str">
        <f>""</f>
        <v/>
      </c>
      <c r="N18" s="158">
        <v>13</v>
      </c>
      <c r="O18" s="162" t="str">
        <f>VLOOKUP(N18,$B$2:$G$16,2)</f>
        <v>Vanderbilt</v>
      </c>
      <c r="P18" s="162"/>
      <c r="Q18" s="158">
        <v>79</v>
      </c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173">
        <f>IF(AC23&gt;AC25,Z23,Z25)</f>
        <v>3</v>
      </c>
      <c r="AE18" s="172" t="str">
        <f>IF(AC23&gt;0,VLOOKUP(AD18,$B$2:$G$16,2),"")</f>
        <v>LSU</v>
      </c>
      <c r="AF18" s="172"/>
      <c r="AG18" s="173">
        <v>0</v>
      </c>
    </row>
    <row r="19" spans="3:33" ht="15.6" thickBot="1" x14ac:dyDescent="0.4">
      <c r="C19" s="188"/>
      <c r="E19" s="190"/>
      <c r="F19" s="191"/>
      <c r="L19" t="str">
        <f>""</f>
        <v/>
      </c>
      <c r="M19" t="str">
        <f>""</f>
        <v/>
      </c>
      <c r="N19" s="158"/>
      <c r="O19" s="162"/>
      <c r="P19" s="162"/>
      <c r="Q19" s="158"/>
      <c r="R19" s="87"/>
      <c r="S19" s="87"/>
      <c r="T19" s="87"/>
      <c r="U19" s="87"/>
      <c r="V19" s="137" t="s">
        <v>201</v>
      </c>
      <c r="W19" s="138"/>
      <c r="X19" s="138"/>
      <c r="Y19" s="149"/>
      <c r="Z19" s="87"/>
      <c r="AA19" s="87"/>
      <c r="AB19" s="87"/>
      <c r="AC19" s="87"/>
      <c r="AD19" s="173"/>
      <c r="AE19" s="172"/>
      <c r="AF19" s="172"/>
      <c r="AG19" s="173"/>
    </row>
    <row r="20" spans="3:33" ht="15.6" thickBot="1" x14ac:dyDescent="0.4">
      <c r="C20" s="189" t="s">
        <v>51</v>
      </c>
      <c r="E20" s="192" t="s">
        <v>221</v>
      </c>
      <c r="F20" s="193"/>
      <c r="L20" t="str">
        <f>""</f>
        <v/>
      </c>
      <c r="M20" t="str">
        <f>""</f>
        <v/>
      </c>
      <c r="N20" s="87"/>
      <c r="O20" s="87"/>
      <c r="P20" s="87"/>
      <c r="Q20" s="87"/>
      <c r="R20" s="137" t="s">
        <v>199</v>
      </c>
      <c r="S20" s="138"/>
      <c r="T20" s="138"/>
      <c r="U20" s="138"/>
      <c r="V20" s="140">
        <f>IF(U21&gt;U23,R21,R23)</f>
        <v>7</v>
      </c>
      <c r="W20" s="142" t="str">
        <f>IF(U21&gt;0,VLOOKUP(V20,$B$2:$G$16,2),"")</f>
        <v>Missouri</v>
      </c>
      <c r="X20" s="142"/>
      <c r="Y20" s="140">
        <v>64</v>
      </c>
      <c r="Z20" s="87"/>
      <c r="AA20" s="87"/>
      <c r="AB20" s="87"/>
      <c r="AC20" s="87"/>
      <c r="AD20" s="163" t="s">
        <v>205</v>
      </c>
      <c r="AE20" s="164"/>
      <c r="AF20" s="164"/>
      <c r="AG20" s="165"/>
    </row>
    <row r="21" spans="3:33" ht="15.6" thickBot="1" x14ac:dyDescent="0.4">
      <c r="C21" s="189"/>
      <c r="E21" s="192"/>
      <c r="F21" s="193"/>
      <c r="L21" t="str">
        <f>""</f>
        <v/>
      </c>
      <c r="M21" t="str">
        <f>""</f>
        <v/>
      </c>
      <c r="N21" s="87"/>
      <c r="O21" s="87"/>
      <c r="P21" s="87"/>
      <c r="Q21" s="87"/>
      <c r="R21" s="139">
        <v>10</v>
      </c>
      <c r="S21" s="141" t="str">
        <f>VLOOKUP(R21,$B$2:$G$16,2)</f>
        <v>Georgia</v>
      </c>
      <c r="T21" s="141"/>
      <c r="U21" s="141">
        <v>70</v>
      </c>
      <c r="V21" s="140"/>
      <c r="W21" s="142"/>
      <c r="X21" s="142"/>
      <c r="Y21" s="140"/>
      <c r="Z21" s="87"/>
      <c r="AA21" s="87"/>
      <c r="AB21" s="87"/>
      <c r="AC21" s="87"/>
      <c r="AD21" s="87"/>
      <c r="AE21" s="87"/>
      <c r="AF21" s="87"/>
      <c r="AG21" s="87"/>
    </row>
    <row r="22" spans="3:33" ht="15" x14ac:dyDescent="0.35">
      <c r="L22" t="str">
        <f>""</f>
        <v/>
      </c>
      <c r="M22" t="str">
        <f>""</f>
        <v/>
      </c>
      <c r="N22" s="87"/>
      <c r="O22" s="87"/>
      <c r="P22" s="87"/>
      <c r="Q22" s="87"/>
      <c r="R22" s="139"/>
      <c r="S22" s="141"/>
      <c r="T22" s="141"/>
      <c r="U22" s="141"/>
      <c r="V22" s="167">
        <v>2</v>
      </c>
      <c r="W22" s="170" t="str">
        <f>VLOOKUP(V22,$B$2:$G$16,2)</f>
        <v>Arkansas</v>
      </c>
      <c r="X22" s="170"/>
      <c r="Y22" s="167">
        <v>70</v>
      </c>
      <c r="Z22" s="164" t="s">
        <v>204</v>
      </c>
      <c r="AA22" s="164"/>
      <c r="AB22" s="164"/>
      <c r="AC22" s="165"/>
      <c r="AD22" s="87"/>
      <c r="AE22" s="87"/>
      <c r="AF22" s="87"/>
      <c r="AG22" s="87"/>
    </row>
    <row r="23" spans="3:33" ht="15" x14ac:dyDescent="0.35">
      <c r="L23" t="str">
        <f>""</f>
        <v/>
      </c>
      <c r="M23" t="str">
        <f>""</f>
        <v/>
      </c>
      <c r="N23" s="87"/>
      <c r="O23" s="87"/>
      <c r="P23" s="87"/>
      <c r="Q23" s="87"/>
      <c r="R23" s="140">
        <v>7</v>
      </c>
      <c r="S23" s="142" t="str">
        <f>VLOOKUP(R23,$B$2:$G$16,2)</f>
        <v>Missouri</v>
      </c>
      <c r="T23" s="142"/>
      <c r="U23" s="140">
        <v>73</v>
      </c>
      <c r="V23" s="167"/>
      <c r="W23" s="170"/>
      <c r="X23" s="170"/>
      <c r="Y23" s="167"/>
      <c r="Z23" s="167">
        <f>IF(Y20&gt;Y22,V20,V22)</f>
        <v>2</v>
      </c>
      <c r="AA23" s="170" t="str">
        <f>IF(Y20&gt;0,VLOOKUP(Z23,$B$2:$G$16,2),"")</f>
        <v>Arkansas</v>
      </c>
      <c r="AB23" s="170"/>
      <c r="AC23" s="167">
        <v>71</v>
      </c>
      <c r="AD23" s="87"/>
      <c r="AE23" s="87"/>
      <c r="AF23" s="87"/>
      <c r="AG23" s="87"/>
    </row>
    <row r="24" spans="3:33" ht="15" x14ac:dyDescent="0.35">
      <c r="L24" t="str">
        <f>""</f>
        <v/>
      </c>
      <c r="M24" t="str">
        <f>""</f>
        <v/>
      </c>
      <c r="N24" s="87"/>
      <c r="O24" s="87"/>
      <c r="P24" s="87"/>
      <c r="Q24" s="87"/>
      <c r="R24" s="140"/>
      <c r="S24" s="142"/>
      <c r="T24" s="142"/>
      <c r="U24" s="140"/>
      <c r="V24" s="87"/>
      <c r="W24" s="87"/>
      <c r="X24" s="87"/>
      <c r="Y24" s="87"/>
      <c r="Z24" s="167"/>
      <c r="AA24" s="170"/>
      <c r="AB24" s="170"/>
      <c r="AC24" s="167"/>
      <c r="AD24" s="87"/>
      <c r="AE24" s="87"/>
      <c r="AF24" s="87"/>
      <c r="AG24" s="87"/>
    </row>
    <row r="25" spans="3:33" ht="15" x14ac:dyDescent="0.35">
      <c r="L25" t="str">
        <f>""</f>
        <v/>
      </c>
      <c r="M25" t="str">
        <f>""</f>
        <v/>
      </c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173">
        <f>IF(Y28&gt;Y30,V28,V30)</f>
        <v>3</v>
      </c>
      <c r="AA25" s="172" t="str">
        <f>IF(Y28&gt;0,VLOOKUP(Z25,$B$2:$G$16,2),"")</f>
        <v>LSU</v>
      </c>
      <c r="AB25" s="172"/>
      <c r="AC25" s="173">
        <v>78</v>
      </c>
      <c r="AD25" s="87"/>
      <c r="AE25" s="87"/>
      <c r="AF25" s="87"/>
      <c r="AG25" s="87"/>
    </row>
    <row r="26" spans="3:33" ht="15" x14ac:dyDescent="0.35">
      <c r="L26" t="str">
        <f>""</f>
        <v/>
      </c>
      <c r="M26" t="str">
        <f>""</f>
        <v/>
      </c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173"/>
      <c r="AA26" s="172"/>
      <c r="AB26" s="172"/>
      <c r="AC26" s="173"/>
      <c r="AD26" s="87"/>
      <c r="AE26" s="87"/>
      <c r="AF26" s="87"/>
      <c r="AG26" s="87"/>
    </row>
    <row r="27" spans="3:33" ht="15" x14ac:dyDescent="0.35">
      <c r="L27" t="str">
        <f>""</f>
        <v/>
      </c>
      <c r="M27" t="str">
        <f>""</f>
        <v/>
      </c>
      <c r="N27" s="87"/>
      <c r="O27" s="87"/>
      <c r="P27" s="87"/>
      <c r="Q27" s="87"/>
      <c r="R27" s="87"/>
      <c r="S27" s="87"/>
      <c r="T27" s="87"/>
      <c r="U27" s="87"/>
      <c r="V27" s="137" t="s">
        <v>202</v>
      </c>
      <c r="W27" s="138"/>
      <c r="X27" s="138"/>
      <c r="Y27" s="149"/>
      <c r="Z27" s="87"/>
      <c r="AA27" s="87"/>
      <c r="AB27" s="87"/>
      <c r="AC27" s="87"/>
      <c r="AD27" s="87"/>
      <c r="AE27" s="87"/>
      <c r="AF27" s="87"/>
      <c r="AG27" s="87"/>
    </row>
    <row r="28" spans="3:33" ht="15" x14ac:dyDescent="0.35">
      <c r="L28" t="str">
        <f>""</f>
        <v/>
      </c>
      <c r="M28" t="str">
        <f>""</f>
        <v/>
      </c>
      <c r="N28" s="87"/>
      <c r="O28" s="87"/>
      <c r="P28" s="87"/>
      <c r="Q28" s="87"/>
      <c r="R28" s="137" t="s">
        <v>200</v>
      </c>
      <c r="S28" s="138"/>
      <c r="T28" s="138"/>
      <c r="U28" s="138"/>
      <c r="V28" s="136">
        <f>IF(U29&gt;U31,R29,R31)</f>
        <v>6</v>
      </c>
      <c r="W28" s="136" t="str">
        <f>IF(U29&gt;0,VLOOKUP(V28,$B$2:$G$16,2),"")</f>
        <v>Ole Miss</v>
      </c>
      <c r="X28" s="136"/>
      <c r="Y28" s="136">
        <v>73</v>
      </c>
      <c r="Z28" s="87"/>
      <c r="AA28" s="87"/>
      <c r="AB28" s="87"/>
      <c r="AC28" s="87"/>
      <c r="AD28" s="87"/>
      <c r="AE28" s="87"/>
      <c r="AF28" s="87"/>
      <c r="AG28" s="87"/>
    </row>
    <row r="29" spans="3:33" ht="15" x14ac:dyDescent="0.35">
      <c r="L29" t="str">
        <f>""</f>
        <v/>
      </c>
      <c r="M29" t="str">
        <f>""</f>
        <v/>
      </c>
      <c r="N29" s="87"/>
      <c r="O29" s="87"/>
      <c r="P29" s="87"/>
      <c r="Q29" s="87"/>
      <c r="R29" s="135">
        <v>11</v>
      </c>
      <c r="S29" s="143" t="str">
        <f>VLOOKUP(R29,$B$2:$G$16,2)</f>
        <v>South Carolina</v>
      </c>
      <c r="T29" s="143"/>
      <c r="U29" s="143">
        <v>59</v>
      </c>
      <c r="V29" s="136"/>
      <c r="W29" s="136"/>
      <c r="X29" s="136"/>
      <c r="Y29" s="136"/>
      <c r="Z29" s="87"/>
      <c r="AA29" s="87"/>
      <c r="AB29" s="87"/>
      <c r="AC29" s="87"/>
      <c r="AD29" s="87"/>
      <c r="AE29" s="87"/>
      <c r="AF29" s="87"/>
      <c r="AG29" s="87"/>
    </row>
    <row r="30" spans="3:33" ht="15" x14ac:dyDescent="0.35">
      <c r="L30" t="str">
        <f>""</f>
        <v/>
      </c>
      <c r="M30" t="str">
        <f>""</f>
        <v/>
      </c>
      <c r="N30" s="87"/>
      <c r="O30" s="87"/>
      <c r="P30" s="87"/>
      <c r="Q30" s="87"/>
      <c r="R30" s="135"/>
      <c r="S30" s="143"/>
      <c r="T30" s="143"/>
      <c r="U30" s="143"/>
      <c r="V30" s="173">
        <v>3</v>
      </c>
      <c r="W30" s="172" t="str">
        <f>VLOOKUP(V30,$B$2:$G$16,2)</f>
        <v>LSU</v>
      </c>
      <c r="X30" s="172"/>
      <c r="Y30" s="173">
        <v>76</v>
      </c>
      <c r="Z30" s="87"/>
      <c r="AA30" s="87"/>
      <c r="AB30" s="87"/>
      <c r="AC30" s="87"/>
      <c r="AD30" s="87"/>
      <c r="AE30" s="87"/>
      <c r="AF30" s="87"/>
      <c r="AG30" s="87"/>
    </row>
    <row r="31" spans="3:33" x14ac:dyDescent="0.35">
      <c r="L31" t="str">
        <f>""</f>
        <v/>
      </c>
      <c r="M31" t="str">
        <f>""</f>
        <v/>
      </c>
      <c r="N31" s="87"/>
      <c r="O31" s="87"/>
      <c r="P31" s="87"/>
      <c r="Q31" s="87"/>
      <c r="R31" s="136">
        <v>6</v>
      </c>
      <c r="S31" s="136" t="str">
        <f>VLOOKUP(R31,$B$2:$G$16,2)</f>
        <v>Ole Miss</v>
      </c>
      <c r="T31" s="136"/>
      <c r="U31" s="136">
        <v>76</v>
      </c>
      <c r="V31" s="173"/>
      <c r="W31" s="172"/>
      <c r="X31" s="172"/>
      <c r="Y31" s="173"/>
      <c r="Z31" s="87"/>
      <c r="AA31" s="87"/>
      <c r="AB31" s="87"/>
      <c r="AC31" s="87"/>
      <c r="AD31" s="87"/>
      <c r="AE31" s="87"/>
      <c r="AF31" s="87"/>
      <c r="AG31" s="87"/>
    </row>
    <row r="32" spans="3:33" ht="15" x14ac:dyDescent="0.35">
      <c r="L32" t="str">
        <f>""</f>
        <v/>
      </c>
      <c r="M32" t="str">
        <f>""</f>
        <v/>
      </c>
      <c r="N32" s="87"/>
      <c r="O32" s="87"/>
      <c r="P32" s="87"/>
      <c r="Q32" s="87"/>
      <c r="R32" s="136"/>
      <c r="S32" s="136"/>
      <c r="T32" s="136"/>
      <c r="U32" s="136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</row>
    <row r="33" spans="12:13" x14ac:dyDescent="0.3">
      <c r="L33" t="str">
        <f>""</f>
        <v/>
      </c>
      <c r="M33" t="str">
        <f>""</f>
        <v/>
      </c>
    </row>
    <row r="34" spans="12:13" x14ac:dyDescent="0.3">
      <c r="L34" t="str">
        <f>""</f>
        <v/>
      </c>
      <c r="M34" t="str">
        <f>""</f>
        <v/>
      </c>
    </row>
    <row r="35" spans="12:13" x14ac:dyDescent="0.3">
      <c r="L35" t="str">
        <f>""</f>
        <v/>
      </c>
      <c r="M35" t="str">
        <f>""</f>
        <v/>
      </c>
    </row>
  </sheetData>
  <mergeCells count="101">
    <mergeCell ref="C18:C19"/>
    <mergeCell ref="E18:F19"/>
    <mergeCell ref="C20:C21"/>
    <mergeCell ref="E20:F21"/>
    <mergeCell ref="AA25:AB26"/>
    <mergeCell ref="AC25:AC26"/>
    <mergeCell ref="Z25:Z26"/>
    <mergeCell ref="Y22:Y23"/>
    <mergeCell ref="Y28:Y29"/>
    <mergeCell ref="V13:V14"/>
    <mergeCell ref="V19:Y19"/>
    <mergeCell ref="Y5:Y6"/>
    <mergeCell ref="W7:X8"/>
    <mergeCell ref="Y7:Y8"/>
    <mergeCell ref="W13:X14"/>
    <mergeCell ref="Y13:Y14"/>
    <mergeCell ref="W30:X31"/>
    <mergeCell ref="V28:V29"/>
    <mergeCell ref="V30:V31"/>
    <mergeCell ref="V22:V23"/>
    <mergeCell ref="V27:Y27"/>
    <mergeCell ref="Y30:Y31"/>
    <mergeCell ref="W5:X6"/>
    <mergeCell ref="W15:X16"/>
    <mergeCell ref="W20:X21"/>
    <mergeCell ref="W22:X23"/>
    <mergeCell ref="W28:X29"/>
    <mergeCell ref="Y20:Y21"/>
    <mergeCell ref="AE18:AF19"/>
    <mergeCell ref="AG18:AG19"/>
    <mergeCell ref="AD15:AG15"/>
    <mergeCell ref="AD16:AD17"/>
    <mergeCell ref="AD18:AD19"/>
    <mergeCell ref="AG16:AG17"/>
    <mergeCell ref="AE16:AF17"/>
    <mergeCell ref="V20:V21"/>
    <mergeCell ref="V15:V16"/>
    <mergeCell ref="Z22:AC22"/>
    <mergeCell ref="Z23:Z24"/>
    <mergeCell ref="AA10:AB11"/>
    <mergeCell ref="AC10:AC11"/>
    <mergeCell ref="AA12:AB13"/>
    <mergeCell ref="AC12:AC13"/>
    <mergeCell ref="AA23:AB24"/>
    <mergeCell ref="AC23:AC24"/>
    <mergeCell ref="AD20:AG20"/>
    <mergeCell ref="D1:G1"/>
    <mergeCell ref="H1:K1"/>
    <mergeCell ref="N16:N17"/>
    <mergeCell ref="N18:N19"/>
    <mergeCell ref="N15:Q15"/>
    <mergeCell ref="Z1:AC1"/>
    <mergeCell ref="V12:Y12"/>
    <mergeCell ref="R11:U11"/>
    <mergeCell ref="R12:R13"/>
    <mergeCell ref="R14:R15"/>
    <mergeCell ref="S12:T13"/>
    <mergeCell ref="U12:U13"/>
    <mergeCell ref="S14:T15"/>
    <mergeCell ref="U14:U15"/>
    <mergeCell ref="Z9:AC9"/>
    <mergeCell ref="Z10:Z11"/>
    <mergeCell ref="Z12:Z13"/>
    <mergeCell ref="O16:P17"/>
    <mergeCell ref="Q16:Q17"/>
    <mergeCell ref="O18:P19"/>
    <mergeCell ref="Q18:Q19"/>
    <mergeCell ref="Y15:Y16"/>
    <mergeCell ref="AD1:AG1"/>
    <mergeCell ref="N2:Q2"/>
    <mergeCell ref="R2:U2"/>
    <mergeCell ref="V2:Y2"/>
    <mergeCell ref="Z2:AC2"/>
    <mergeCell ref="AD2:AG2"/>
    <mergeCell ref="V4:Y4"/>
    <mergeCell ref="V5:V6"/>
    <mergeCell ref="V7:V8"/>
    <mergeCell ref="R3:U3"/>
    <mergeCell ref="R4:R5"/>
    <mergeCell ref="R6:R7"/>
    <mergeCell ref="S4:T5"/>
    <mergeCell ref="U4:U5"/>
    <mergeCell ref="S6:T7"/>
    <mergeCell ref="U6:U7"/>
    <mergeCell ref="N1:Q1"/>
    <mergeCell ref="R1:U1"/>
    <mergeCell ref="V1:Y1"/>
    <mergeCell ref="R29:R30"/>
    <mergeCell ref="R31:R32"/>
    <mergeCell ref="R20:U20"/>
    <mergeCell ref="R21:R22"/>
    <mergeCell ref="R23:R24"/>
    <mergeCell ref="R28:U28"/>
    <mergeCell ref="S21:T22"/>
    <mergeCell ref="U21:U22"/>
    <mergeCell ref="S23:T24"/>
    <mergeCell ref="U23:U24"/>
    <mergeCell ref="S29:T30"/>
    <mergeCell ref="U29:U30"/>
    <mergeCell ref="S31:T32"/>
    <mergeCell ref="U31:U32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EF7C7-2E9D-47F7-8581-91EE25BDD89B}">
  <dimension ref="B1:CE54"/>
  <sheetViews>
    <sheetView zoomScale="60" zoomScaleNormal="60" workbookViewId="0">
      <selection activeCell="BP38" sqref="BP38"/>
    </sheetView>
  </sheetViews>
  <sheetFormatPr defaultRowHeight="14.4" x14ac:dyDescent="0.3"/>
  <cols>
    <col min="1" max="1" width="3.77734375" customWidth="1"/>
    <col min="2" max="50" width="3.21875" customWidth="1"/>
    <col min="51" max="60" width="3.77734375" customWidth="1"/>
    <col min="61" max="61" width="5.77734375" bestFit="1" customWidth="1"/>
    <col min="62" max="82" width="3.77734375" customWidth="1"/>
    <col min="83" max="83" width="4.33203125" bestFit="1" customWidth="1"/>
    <col min="84" max="86" width="3.77734375" customWidth="1"/>
  </cols>
  <sheetData>
    <row r="1" spans="2:67" ht="15" thickBot="1" x14ac:dyDescent="0.35">
      <c r="C1" s="32"/>
    </row>
    <row r="2" spans="2:67" ht="18" customHeight="1" thickTop="1" thickBot="1" x14ac:dyDescent="0.35">
      <c r="B2" s="56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4"/>
    </row>
    <row r="3" spans="2:67" ht="18" customHeight="1" thickTop="1" x14ac:dyDescent="0.3">
      <c r="B3" s="55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4"/>
      <c r="AX3" s="55"/>
    </row>
    <row r="4" spans="2:67" ht="18" customHeight="1" x14ac:dyDescent="0.3">
      <c r="B4" s="55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4"/>
      <c r="AX4" s="55"/>
    </row>
    <row r="5" spans="2:67" ht="18" customHeight="1" x14ac:dyDescent="0.3">
      <c r="B5" s="55"/>
      <c r="C5" s="32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4"/>
      <c r="AX5" s="55"/>
    </row>
    <row r="6" spans="2:67" ht="18" customHeight="1" thickBot="1" x14ac:dyDescent="0.35">
      <c r="B6" s="55"/>
      <c r="C6" s="32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5"/>
      <c r="AX6" s="55"/>
    </row>
    <row r="7" spans="2:67" ht="18" customHeight="1" x14ac:dyDescent="0.3">
      <c r="B7" s="55"/>
      <c r="C7" s="32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4"/>
      <c r="AX7" s="55"/>
      <c r="BN7" s="30"/>
      <c r="BO7" s="30"/>
    </row>
    <row r="8" spans="2:67" ht="18" customHeight="1" x14ac:dyDescent="0.3">
      <c r="B8" s="55"/>
      <c r="C8" s="32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4"/>
      <c r="AX8" s="55"/>
      <c r="BN8" s="30"/>
      <c r="BO8" s="30"/>
    </row>
    <row r="9" spans="2:67" ht="18" customHeight="1" x14ac:dyDescent="0.3">
      <c r="B9" s="55"/>
      <c r="C9" s="32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4"/>
      <c r="AX9" s="55"/>
      <c r="BN9" s="30"/>
      <c r="BO9" s="30"/>
    </row>
    <row r="10" spans="2:67" ht="18" customHeight="1" x14ac:dyDescent="0.3">
      <c r="B10" s="55"/>
      <c r="C10" s="32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4"/>
      <c r="AX10" s="55"/>
      <c r="BN10" s="30"/>
      <c r="BO10" s="30"/>
    </row>
    <row r="11" spans="2:67" ht="18" customHeight="1" x14ac:dyDescent="0.3">
      <c r="B11" s="55"/>
      <c r="C11" s="32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4"/>
      <c r="AX11" s="55"/>
      <c r="BN11" s="30"/>
      <c r="BO11" s="30"/>
    </row>
    <row r="12" spans="2:67" ht="18" customHeight="1" x14ac:dyDescent="0.3">
      <c r="B12" s="55"/>
      <c r="C12" s="32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4"/>
      <c r="AX12" s="55"/>
      <c r="BI12" s="31"/>
      <c r="BN12" s="30"/>
      <c r="BO12" s="30"/>
    </row>
    <row r="13" spans="2:67" ht="18" customHeight="1" x14ac:dyDescent="0.3">
      <c r="B13" s="55"/>
      <c r="C13" s="3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4"/>
      <c r="AX13" s="55"/>
      <c r="BI13" s="31"/>
      <c r="BN13" s="30"/>
      <c r="BO13" s="30"/>
    </row>
    <row r="14" spans="2:67" ht="18" customHeight="1" x14ac:dyDescent="0.3">
      <c r="B14" s="55"/>
      <c r="C14" s="32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4"/>
      <c r="AX14" s="55"/>
      <c r="BN14" s="30"/>
      <c r="BO14" s="30"/>
    </row>
    <row r="15" spans="2:67" ht="18" customHeight="1" x14ac:dyDescent="0.3">
      <c r="B15" s="55"/>
      <c r="C15" s="32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4"/>
      <c r="AX15" s="55"/>
    </row>
    <row r="16" spans="2:67" ht="18" customHeight="1" x14ac:dyDescent="0.3">
      <c r="B16" s="55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4"/>
      <c r="AX16" s="55"/>
    </row>
    <row r="17" spans="2:83" ht="18" customHeight="1" x14ac:dyDescent="0.3">
      <c r="B17" s="55"/>
      <c r="C17" s="32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4"/>
      <c r="AX17" s="55"/>
    </row>
    <row r="18" spans="2:83" ht="18" customHeight="1" x14ac:dyDescent="0.3">
      <c r="B18" s="55"/>
      <c r="C18" s="32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4"/>
      <c r="AX18" s="55"/>
    </row>
    <row r="19" spans="2:83" ht="18" customHeight="1" x14ac:dyDescent="0.3">
      <c r="B19" s="55"/>
      <c r="C19" s="32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4"/>
      <c r="AX19" s="55"/>
    </row>
    <row r="20" spans="2:83" ht="18" customHeight="1" x14ac:dyDescent="0.3">
      <c r="B20" s="55"/>
      <c r="C20" s="32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4"/>
      <c r="AX20" s="55"/>
    </row>
    <row r="21" spans="2:83" ht="18" customHeight="1" thickBot="1" x14ac:dyDescent="0.35">
      <c r="B21" s="55"/>
      <c r="C21" s="32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5"/>
      <c r="AX21" s="57" t="s">
        <v>129</v>
      </c>
      <c r="CE21" s="31"/>
    </row>
    <row r="22" spans="2:83" ht="18" customHeight="1" x14ac:dyDescent="0.3">
      <c r="B22" s="55"/>
      <c r="C22" s="32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44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6"/>
      <c r="AX22" s="57"/>
    </row>
    <row r="23" spans="2:83" ht="18" customHeight="1" x14ac:dyDescent="0.3">
      <c r="B23" s="55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47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6"/>
      <c r="AX23" s="57" t="s">
        <v>132</v>
      </c>
    </row>
    <row r="24" spans="2:83" ht="18" customHeight="1" x14ac:dyDescent="0.3">
      <c r="B24" s="55"/>
      <c r="C24" s="32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47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6"/>
      <c r="AX24" s="57"/>
    </row>
    <row r="25" spans="2:83" ht="18" customHeight="1" x14ac:dyDescent="0.3">
      <c r="B25" s="55"/>
      <c r="C25" s="32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47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6"/>
      <c r="AX25" s="57" t="s">
        <v>129</v>
      </c>
    </row>
    <row r="26" spans="2:83" ht="18" customHeight="1" x14ac:dyDescent="0.3">
      <c r="B26" s="55"/>
      <c r="C26" s="32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47"/>
      <c r="AF26" s="174" t="s">
        <v>128</v>
      </c>
      <c r="AG26" s="174"/>
      <c r="AH26" s="174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6"/>
      <c r="AX26" s="57"/>
    </row>
    <row r="27" spans="2:83" ht="18" customHeight="1" x14ac:dyDescent="0.3">
      <c r="B27" s="55"/>
      <c r="C27" s="32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43"/>
      <c r="AE27" s="45"/>
      <c r="AF27" s="174"/>
      <c r="AG27" s="174"/>
      <c r="AH27" s="174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6"/>
      <c r="AX27" s="57" t="s">
        <v>131</v>
      </c>
    </row>
    <row r="28" spans="2:83" ht="18" customHeight="1" x14ac:dyDescent="0.3">
      <c r="B28" s="55"/>
      <c r="C28" s="32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47"/>
      <c r="AF28" s="174"/>
      <c r="AG28" s="174"/>
      <c r="AH28" s="174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6"/>
      <c r="AX28" s="57"/>
    </row>
    <row r="29" spans="2:83" ht="18" customHeight="1" x14ac:dyDescent="0.3">
      <c r="B29" s="55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47"/>
      <c r="AF29" s="174"/>
      <c r="AG29" s="174"/>
      <c r="AH29" s="174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6"/>
      <c r="AX29" s="57" t="s">
        <v>129</v>
      </c>
    </row>
    <row r="30" spans="2:83" ht="18" customHeight="1" x14ac:dyDescent="0.3">
      <c r="B30" s="55"/>
      <c r="C30" s="32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47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6"/>
      <c r="AX30" s="57"/>
    </row>
    <row r="31" spans="2:83" ht="18" customHeight="1" x14ac:dyDescent="0.3">
      <c r="B31" s="55"/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47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6"/>
      <c r="AX31" s="57" t="s">
        <v>130</v>
      </c>
    </row>
    <row r="32" spans="2:83" ht="18" customHeight="1" x14ac:dyDescent="0.3">
      <c r="B32" s="55"/>
      <c r="C32" s="32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47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6"/>
      <c r="AX32" s="57"/>
    </row>
    <row r="33" spans="2:50" ht="18" customHeight="1" thickBot="1" x14ac:dyDescent="0.35">
      <c r="B33" s="55"/>
      <c r="C33" s="32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48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50"/>
      <c r="AX33" s="57" t="s">
        <v>129</v>
      </c>
    </row>
    <row r="34" spans="2:50" ht="18" customHeight="1" x14ac:dyDescent="0.3">
      <c r="B34" s="55"/>
      <c r="C34" s="32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4"/>
      <c r="AX34" s="55"/>
    </row>
    <row r="35" spans="2:50" ht="18" customHeight="1" x14ac:dyDescent="0.3">
      <c r="B35" s="55"/>
      <c r="C35" s="32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4"/>
      <c r="AX35" s="55"/>
    </row>
    <row r="36" spans="2:50" ht="18" customHeight="1" x14ac:dyDescent="0.3">
      <c r="B36" s="55"/>
      <c r="C36" s="32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4"/>
      <c r="AX36" s="55"/>
    </row>
    <row r="37" spans="2:50" ht="18" customHeight="1" x14ac:dyDescent="0.3">
      <c r="B37" s="55"/>
      <c r="C37" s="32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4"/>
      <c r="AX37" s="55"/>
    </row>
    <row r="38" spans="2:50" ht="18" customHeight="1" x14ac:dyDescent="0.3">
      <c r="B38" s="55"/>
      <c r="C38" s="32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4"/>
      <c r="AX38" s="55"/>
    </row>
    <row r="39" spans="2:50" ht="18" customHeight="1" x14ac:dyDescent="0.3">
      <c r="B39" s="55"/>
      <c r="C39" s="32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4"/>
      <c r="AX39" s="55"/>
    </row>
    <row r="40" spans="2:50" ht="18" customHeight="1" x14ac:dyDescent="0.3">
      <c r="B40" s="55"/>
      <c r="C40" s="32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4"/>
      <c r="AX40" s="55"/>
    </row>
    <row r="41" spans="2:50" ht="18" customHeight="1" x14ac:dyDescent="0.3">
      <c r="B41" s="55"/>
      <c r="C41" s="32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4"/>
      <c r="AX41" s="55"/>
    </row>
    <row r="42" spans="2:50" ht="18" customHeight="1" x14ac:dyDescent="0.3">
      <c r="B42" s="55"/>
      <c r="C42" s="32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4"/>
      <c r="AX42" s="55"/>
    </row>
    <row r="43" spans="2:50" ht="18" customHeight="1" x14ac:dyDescent="0.3">
      <c r="B43" s="55"/>
      <c r="C43" s="32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4"/>
      <c r="AX43" s="55"/>
    </row>
    <row r="44" spans="2:50" ht="18" customHeight="1" x14ac:dyDescent="0.3">
      <c r="B44" s="55"/>
      <c r="C44" s="32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4"/>
      <c r="AX44" s="55"/>
    </row>
    <row r="45" spans="2:50" ht="18" customHeight="1" x14ac:dyDescent="0.3">
      <c r="B45" s="55"/>
      <c r="C45" s="32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4"/>
      <c r="AX45" s="55"/>
    </row>
    <row r="46" spans="2:50" ht="18" customHeight="1" x14ac:dyDescent="0.3">
      <c r="B46" s="55"/>
      <c r="C46" s="32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4"/>
      <c r="AX46" s="55"/>
    </row>
    <row r="47" spans="2:50" ht="18" customHeight="1" x14ac:dyDescent="0.3">
      <c r="B47" s="55"/>
      <c r="C47" s="32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4"/>
      <c r="AX47" s="55"/>
    </row>
    <row r="48" spans="2:50" ht="18" customHeight="1" thickBot="1" x14ac:dyDescent="0.35">
      <c r="B48" s="55"/>
      <c r="C48" s="32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4"/>
      <c r="AX48" s="55"/>
    </row>
    <row r="49" spans="2:50" ht="18" customHeight="1" thickTop="1" x14ac:dyDescent="0.3">
      <c r="B49" s="55"/>
      <c r="C49" s="32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7"/>
      <c r="AX49" s="55"/>
    </row>
    <row r="50" spans="2:50" ht="18" customHeight="1" x14ac:dyDescent="0.3">
      <c r="B50" s="55"/>
      <c r="C50" s="32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4"/>
      <c r="AX50" s="55"/>
    </row>
    <row r="51" spans="2:50" ht="18" customHeight="1" x14ac:dyDescent="0.3">
      <c r="B51" s="55"/>
      <c r="C51" s="32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4"/>
      <c r="AX51" s="55"/>
    </row>
    <row r="52" spans="2:50" ht="18" customHeight="1" thickBot="1" x14ac:dyDescent="0.35">
      <c r="B52" s="55"/>
      <c r="C52" s="38"/>
      <c r="D52" s="39"/>
      <c r="E52" s="39"/>
      <c r="F52" s="42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41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40"/>
      <c r="AX52" s="55"/>
    </row>
    <row r="53" spans="2:50" ht="18" customHeight="1" thickTop="1" thickBot="1" x14ac:dyDescent="0.35">
      <c r="B53" s="52"/>
      <c r="C53" s="51"/>
      <c r="D53" s="58"/>
      <c r="E53" s="58"/>
      <c r="F53" s="58"/>
      <c r="G53" s="58"/>
      <c r="H53" s="58"/>
      <c r="I53" s="58"/>
      <c r="J53" s="59"/>
      <c r="K53" s="60"/>
      <c r="L53" s="60"/>
      <c r="M53" s="60"/>
      <c r="N53" s="60" t="s">
        <v>133</v>
      </c>
      <c r="O53" s="60"/>
      <c r="P53" s="60" t="s">
        <v>134</v>
      </c>
      <c r="Q53" s="60"/>
      <c r="R53" s="60" t="s">
        <v>61</v>
      </c>
      <c r="S53" s="60"/>
      <c r="T53" s="60" t="s">
        <v>132</v>
      </c>
      <c r="U53" s="60"/>
      <c r="V53" s="60" t="s">
        <v>135</v>
      </c>
      <c r="W53" s="60"/>
      <c r="X53" s="60" t="s">
        <v>136</v>
      </c>
      <c r="Y53" s="60"/>
      <c r="Z53" s="60" t="s">
        <v>137</v>
      </c>
      <c r="AA53" s="60"/>
      <c r="AB53" s="60"/>
      <c r="AC53" s="60"/>
      <c r="AD53" s="60" t="s">
        <v>138</v>
      </c>
      <c r="AE53" s="60"/>
      <c r="AF53" s="60" t="s">
        <v>61</v>
      </c>
      <c r="AG53" s="60"/>
      <c r="AH53" s="60" t="s">
        <v>139</v>
      </c>
      <c r="AI53" s="60"/>
      <c r="AJ53" s="60" t="s">
        <v>140</v>
      </c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3"/>
    </row>
    <row r="54" spans="2:50" ht="15" thickTop="1" x14ac:dyDescent="0.3"/>
  </sheetData>
  <mergeCells count="1">
    <mergeCell ref="AF26:AH2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8DB6-9158-4343-BCA5-51B0BB1B1AEA}">
  <dimension ref="B3:P34"/>
  <sheetViews>
    <sheetView workbookViewId="0">
      <selection activeCell="L12" sqref="L12"/>
    </sheetView>
  </sheetViews>
  <sheetFormatPr defaultRowHeight="14.4" x14ac:dyDescent="0.3"/>
  <cols>
    <col min="2" max="2" width="11.109375" bestFit="1" customWidth="1"/>
    <col min="3" max="3" width="2.5546875" customWidth="1"/>
    <col min="4" max="4" width="11.21875" bestFit="1" customWidth="1"/>
    <col min="8" max="8" width="11.21875" bestFit="1" customWidth="1"/>
    <col min="10" max="10" width="13.88671875" bestFit="1" customWidth="1"/>
    <col min="14" max="14" width="17.21875" bestFit="1" customWidth="1"/>
  </cols>
  <sheetData>
    <row r="3" spans="2:16" ht="14.4" customHeight="1" x14ac:dyDescent="0.3">
      <c r="B3" s="175" t="s">
        <v>88</v>
      </c>
      <c r="C3" s="176" t="s">
        <v>89</v>
      </c>
    </row>
    <row r="4" spans="2:16" x14ac:dyDescent="0.3">
      <c r="B4" s="175"/>
      <c r="C4" s="176"/>
    </row>
    <row r="5" spans="2:16" x14ac:dyDescent="0.3">
      <c r="B5" s="175"/>
      <c r="C5" s="176"/>
    </row>
    <row r="8" spans="2:16" ht="15" thickBot="1" x14ac:dyDescent="0.35">
      <c r="D8" s="28" t="s">
        <v>38</v>
      </c>
      <c r="E8" s="28" t="s">
        <v>39</v>
      </c>
      <c r="F8" s="28" t="s">
        <v>44</v>
      </c>
      <c r="G8" s="28" t="s">
        <v>45</v>
      </c>
      <c r="H8" s="28" t="s">
        <v>46</v>
      </c>
      <c r="I8" s="28" t="s">
        <v>50</v>
      </c>
      <c r="J8" s="29" t="s">
        <v>88</v>
      </c>
    </row>
    <row r="9" spans="2:16" ht="15" thickTop="1" x14ac:dyDescent="0.3">
      <c r="D9" s="26" t="s">
        <v>0</v>
      </c>
      <c r="E9" s="27">
        <f>Dashboard!E8</f>
        <v>1</v>
      </c>
      <c r="F9" s="27">
        <f>Dashboard!J8</f>
        <v>81</v>
      </c>
      <c r="G9" s="27">
        <f>Dashboard!K8</f>
        <v>57</v>
      </c>
      <c r="H9" s="27">
        <f>IF(Dashboard!L8="I",1,IF(Dashboard!L8="II",2,IF(Dashboard!L8="III",3,4)))</f>
        <v>4</v>
      </c>
      <c r="I9" s="27">
        <f>Dashboard!M8</f>
        <v>164</v>
      </c>
      <c r="J9" s="8">
        <f>IF(E9=1,SQRT(F9-G9)/((1+H9)^2),-(SQRT((G9-F9)/(5-H9)))*SQRT(ABS(1-H9)))</f>
        <v>0.19595917942265423</v>
      </c>
      <c r="N9" s="12" t="s">
        <v>92</v>
      </c>
      <c r="O9" s="12" t="s">
        <v>90</v>
      </c>
      <c r="P9" s="12" t="s">
        <v>97</v>
      </c>
    </row>
    <row r="10" spans="2:16" x14ac:dyDescent="0.3">
      <c r="D10" s="12" t="s">
        <v>3</v>
      </c>
      <c r="E10" s="27">
        <f>Dashboard!E9</f>
        <v>0</v>
      </c>
      <c r="F10" s="27">
        <f>Dashboard!J9</f>
        <v>64</v>
      </c>
      <c r="G10" s="27">
        <f>Dashboard!K9</f>
        <v>82</v>
      </c>
      <c r="H10" s="27">
        <f>IF(Dashboard!L9="I",1,IF(Dashboard!L9="II",2,IF(Dashboard!L9="III",3,4)))</f>
        <v>2</v>
      </c>
      <c r="I10" s="27">
        <f>Dashboard!M9</f>
        <v>64</v>
      </c>
      <c r="J10" s="73">
        <f t="shared" ref="J10:J33" si="0">IF(E10=1,SQRT(F10-G10)/((1+H10)^2),-(SQRT((G10-F10)/(5-H10)))*SQRT(ABS(1-H10)))</f>
        <v>-2.4494897427831779</v>
      </c>
      <c r="N10" s="12" t="s">
        <v>91</v>
      </c>
      <c r="O10" s="8">
        <v>2</v>
      </c>
      <c r="P10" s="8">
        <v>1</v>
      </c>
    </row>
    <row r="11" spans="2:16" x14ac:dyDescent="0.3">
      <c r="D11" s="12" t="s">
        <v>6</v>
      </c>
      <c r="E11" s="27">
        <f>Dashboard!E10</f>
        <v>1</v>
      </c>
      <c r="F11" s="27">
        <f>Dashboard!J10</f>
        <v>86</v>
      </c>
      <c r="G11" s="27">
        <f>Dashboard!K10</f>
        <v>74</v>
      </c>
      <c r="H11" s="27">
        <f>IF(Dashboard!L10="I",1,IF(Dashboard!L10="II",2,IF(Dashboard!L10="III",3,4)))</f>
        <v>3</v>
      </c>
      <c r="I11" s="27">
        <f>Dashboard!M10</f>
        <v>178</v>
      </c>
      <c r="J11" s="73">
        <f t="shared" si="0"/>
        <v>0.21650635094610965</v>
      </c>
      <c r="N11" s="12" t="s">
        <v>93</v>
      </c>
      <c r="O11" s="8">
        <v>2</v>
      </c>
      <c r="P11" s="8">
        <v>1</v>
      </c>
    </row>
    <row r="12" spans="2:16" x14ac:dyDescent="0.3">
      <c r="D12" s="12" t="s">
        <v>8</v>
      </c>
      <c r="E12" s="27">
        <f>Dashboard!E11</f>
        <v>1</v>
      </c>
      <c r="F12" s="27">
        <f>Dashboard!J11</f>
        <v>88</v>
      </c>
      <c r="G12" s="27">
        <f>Dashboard!K11</f>
        <v>71</v>
      </c>
      <c r="H12" s="27">
        <f>IF(Dashboard!L11="I",1,IF(Dashboard!L11="II",2,IF(Dashboard!L11="III",3,4)))</f>
        <v>2</v>
      </c>
      <c r="I12" s="27">
        <f>Dashboard!M11</f>
        <v>79</v>
      </c>
      <c r="J12" s="73">
        <f t="shared" si="0"/>
        <v>0.45812284729085118</v>
      </c>
      <c r="N12" s="12" t="s">
        <v>94</v>
      </c>
      <c r="O12" s="8">
        <v>1</v>
      </c>
      <c r="P12" s="8">
        <v>1</v>
      </c>
    </row>
    <row r="13" spans="2:16" x14ac:dyDescent="0.3">
      <c r="D13" s="12" t="s">
        <v>10</v>
      </c>
      <c r="E13" s="27">
        <f>Dashboard!E12</f>
        <v>0</v>
      </c>
      <c r="F13" s="27">
        <f>Dashboard!J12</f>
        <v>56</v>
      </c>
      <c r="G13" s="27">
        <f>Dashboard!K12</f>
        <v>64</v>
      </c>
      <c r="H13" s="27">
        <f>IF(Dashboard!L12="I",1,IF(Dashboard!L12="II",2,IF(Dashboard!L12="III",3,4)))</f>
        <v>1</v>
      </c>
      <c r="I13" s="27">
        <f>Dashboard!M12</f>
        <v>34</v>
      </c>
      <c r="J13" s="73">
        <f t="shared" si="0"/>
        <v>0</v>
      </c>
      <c r="N13" s="12" t="s">
        <v>95</v>
      </c>
      <c r="O13" s="8">
        <v>2</v>
      </c>
      <c r="P13" s="8">
        <v>1</v>
      </c>
    </row>
    <row r="14" spans="2:16" x14ac:dyDescent="0.3">
      <c r="D14" s="12" t="s">
        <v>12</v>
      </c>
      <c r="E14" s="27">
        <f>Dashboard!E13</f>
        <v>1</v>
      </c>
      <c r="F14" s="27">
        <f>Dashboard!J13</f>
        <v>83</v>
      </c>
      <c r="G14" s="27">
        <f>Dashboard!K13</f>
        <v>80</v>
      </c>
      <c r="H14" s="27">
        <f>IF(Dashboard!L13="I",1,IF(Dashboard!L13="II",2,IF(Dashboard!L13="III",3,4)))</f>
        <v>2</v>
      </c>
      <c r="I14" s="27">
        <f>Dashboard!M13</f>
        <v>75</v>
      </c>
      <c r="J14" s="73">
        <f t="shared" si="0"/>
        <v>0.19245008972987523</v>
      </c>
      <c r="N14" s="12" t="s">
        <v>98</v>
      </c>
      <c r="O14" s="8">
        <v>2</v>
      </c>
      <c r="P14" s="8">
        <v>1</v>
      </c>
    </row>
    <row r="15" spans="2:16" x14ac:dyDescent="0.3">
      <c r="D15" s="12" t="s">
        <v>14</v>
      </c>
      <c r="E15" s="27">
        <f>Dashboard!E14</f>
        <v>0</v>
      </c>
      <c r="F15" s="27">
        <f>Dashboard!J14</f>
        <v>71</v>
      </c>
      <c r="G15" s="27">
        <f>Dashboard!K14</f>
        <v>73</v>
      </c>
      <c r="H15" s="27">
        <f>IF(Dashboard!L14="I",1,IF(Dashboard!L14="II",2,IF(Dashboard!L14="III",3,4)))</f>
        <v>2</v>
      </c>
      <c r="I15" s="27">
        <f>Dashboard!M14</f>
        <v>74</v>
      </c>
      <c r="J15" s="73">
        <f t="shared" si="0"/>
        <v>-0.81649658092772603</v>
      </c>
      <c r="N15" s="12" t="s">
        <v>96</v>
      </c>
      <c r="O15" s="8">
        <v>2</v>
      </c>
      <c r="P15" s="8">
        <v>1</v>
      </c>
    </row>
    <row r="16" spans="2:16" x14ac:dyDescent="0.3">
      <c r="D16" s="12" t="s">
        <v>16</v>
      </c>
      <c r="E16" s="27">
        <f>Dashboard!E15</f>
        <v>1</v>
      </c>
      <c r="F16" s="27">
        <f>Dashboard!J15</f>
        <v>85</v>
      </c>
      <c r="G16" s="27">
        <f>Dashboard!K15</f>
        <v>69</v>
      </c>
      <c r="H16" s="27">
        <f>IF(Dashboard!L15="I",1,IF(Dashboard!L15="II",2,IF(Dashboard!L15="III",3,4)))</f>
        <v>3</v>
      </c>
      <c r="I16" s="27">
        <f>Dashboard!M15</f>
        <v>132</v>
      </c>
      <c r="J16" s="73">
        <f t="shared" si="0"/>
        <v>0.25</v>
      </c>
      <c r="N16" s="23" t="s">
        <v>99</v>
      </c>
      <c r="O16" s="73">
        <f>AVERAGE(O10:O15)</f>
        <v>1.8333333333333333</v>
      </c>
      <c r="P16" s="72">
        <f>SUM(P10:P15)/6</f>
        <v>1</v>
      </c>
    </row>
    <row r="17" spans="4:10" x14ac:dyDescent="0.3">
      <c r="D17" s="12" t="s">
        <v>18</v>
      </c>
      <c r="E17" s="27">
        <f>Dashboard!E16</f>
        <v>1</v>
      </c>
      <c r="F17" s="27">
        <f>Dashboard!J16</f>
        <v>82</v>
      </c>
      <c r="G17" s="27">
        <f>Dashboard!K16</f>
        <v>64</v>
      </c>
      <c r="H17" s="27">
        <f>IF(Dashboard!L16="I",1,IF(Dashboard!L16="II",2,IF(Dashboard!L16="III",3,4)))</f>
        <v>2</v>
      </c>
      <c r="I17" s="27">
        <f>Dashboard!M16</f>
        <v>61</v>
      </c>
      <c r="J17" s="73">
        <f t="shared" si="0"/>
        <v>0.47140452079103162</v>
      </c>
    </row>
    <row r="18" spans="4:10" x14ac:dyDescent="0.3">
      <c r="D18" s="12" t="s">
        <v>20</v>
      </c>
      <c r="E18" s="27">
        <f>Dashboard!E17</f>
        <v>1</v>
      </c>
      <c r="F18" s="27">
        <f>Dashboard!J17</f>
        <v>71</v>
      </c>
      <c r="G18" s="27">
        <f>Dashboard!K17</f>
        <v>63</v>
      </c>
      <c r="H18" s="27">
        <f>IF(Dashboard!L17="I",1,IF(Dashboard!L17="II",2,IF(Dashboard!L17="III",3,4)))</f>
        <v>1</v>
      </c>
      <c r="I18" s="27">
        <f>Dashboard!M17</f>
        <v>22</v>
      </c>
      <c r="J18" s="73">
        <f t="shared" si="0"/>
        <v>0.70710678118654757</v>
      </c>
    </row>
    <row r="19" spans="4:10" x14ac:dyDescent="0.3">
      <c r="D19" s="12" t="s">
        <v>23</v>
      </c>
      <c r="E19" s="27">
        <f>Dashboard!E18</f>
        <v>1</v>
      </c>
      <c r="F19" s="27">
        <f>Dashboard!J18</f>
        <v>86</v>
      </c>
      <c r="G19" s="27">
        <f>Dashboard!K18</f>
        <v>71</v>
      </c>
      <c r="H19" s="27">
        <f>IF(Dashboard!L18="I",1,IF(Dashboard!L18="II",2,IF(Dashboard!L18="III",3,4)))</f>
        <v>1</v>
      </c>
      <c r="I19" s="27">
        <f>Dashboard!M18</f>
        <v>26</v>
      </c>
      <c r="J19" s="73">
        <f t="shared" si="0"/>
        <v>0.96824583655185426</v>
      </c>
    </row>
    <row r="20" spans="4:10" x14ac:dyDescent="0.3">
      <c r="D20" s="12" t="s">
        <v>25</v>
      </c>
      <c r="E20" s="27">
        <f>Dashboard!E19</f>
        <v>1</v>
      </c>
      <c r="F20" s="27">
        <f>Dashboard!J19</f>
        <v>94</v>
      </c>
      <c r="G20" s="27">
        <f>Dashboard!K19</f>
        <v>90</v>
      </c>
      <c r="H20" s="27">
        <f>IF(Dashboard!L19="I",1,IF(Dashboard!L19="II",2,IF(Dashboard!L19="III",3,4)))</f>
        <v>1</v>
      </c>
      <c r="I20" s="27">
        <f>Dashboard!M19</f>
        <v>70</v>
      </c>
      <c r="J20" s="73">
        <f t="shared" si="0"/>
        <v>0.5</v>
      </c>
    </row>
    <row r="21" spans="4:10" x14ac:dyDescent="0.3">
      <c r="D21" s="12" t="s">
        <v>27</v>
      </c>
      <c r="E21" s="27">
        <f>Dashboard!E20</f>
        <v>1</v>
      </c>
      <c r="F21" s="27">
        <f>Dashboard!J20</f>
        <v>85</v>
      </c>
      <c r="G21" s="27">
        <f>Dashboard!K20</f>
        <v>65</v>
      </c>
      <c r="H21" s="27">
        <f>IF(Dashboard!L20="I",1,IF(Dashboard!L20="II",2,IF(Dashboard!L20="III",3,4)))</f>
        <v>1</v>
      </c>
      <c r="I21" s="27">
        <f>Dashboard!M20</f>
        <v>65</v>
      </c>
      <c r="J21" s="73">
        <f t="shared" si="0"/>
        <v>1.1180339887498949</v>
      </c>
    </row>
    <row r="22" spans="4:10" x14ac:dyDescent="0.3">
      <c r="D22" s="12" t="s">
        <v>29</v>
      </c>
      <c r="E22" s="27">
        <f>Dashboard!E21</f>
        <v>1</v>
      </c>
      <c r="F22" s="27">
        <f>Dashboard!J21</f>
        <v>90</v>
      </c>
      <c r="G22" s="27">
        <f>Dashboard!K21</f>
        <v>59</v>
      </c>
      <c r="H22" s="27">
        <f>IF(Dashboard!L21="I",1,IF(Dashboard!L21="II",2,IF(Dashboard!L21="III",3,4)))</f>
        <v>1</v>
      </c>
      <c r="I22" s="27">
        <f>Dashboard!M21</f>
        <v>19</v>
      </c>
      <c r="J22" s="73">
        <f t="shared" si="0"/>
        <v>1.3919410907075054</v>
      </c>
    </row>
    <row r="23" spans="4:10" x14ac:dyDescent="0.3">
      <c r="D23" s="12" t="s">
        <v>30</v>
      </c>
      <c r="E23" s="27">
        <f>Dashboard!E22</f>
        <v>1</v>
      </c>
      <c r="F23" s="27">
        <f>Dashboard!J22</f>
        <v>105</v>
      </c>
      <c r="G23" s="27">
        <f>Dashboard!K22</f>
        <v>75</v>
      </c>
      <c r="H23" s="27">
        <f>IF(Dashboard!L22="I",1,IF(Dashboard!L22="II",2,IF(Dashboard!L22="III",3,4)))</f>
        <v>1</v>
      </c>
      <c r="I23" s="27">
        <f>Dashboard!M22</f>
        <v>31</v>
      </c>
      <c r="J23" s="73">
        <f t="shared" si="0"/>
        <v>1.3693063937629153</v>
      </c>
    </row>
    <row r="24" spans="4:10" x14ac:dyDescent="0.3">
      <c r="D24" s="12" t="s">
        <v>31</v>
      </c>
      <c r="E24" s="27">
        <f>Dashboard!E23</f>
        <v>1</v>
      </c>
      <c r="F24" s="27">
        <f>Dashboard!J23</f>
        <v>81</v>
      </c>
      <c r="G24" s="27">
        <f>Dashboard!K23</f>
        <v>73</v>
      </c>
      <c r="H24" s="27">
        <f>IF(Dashboard!L23="I",1,IF(Dashboard!L23="II",2,IF(Dashboard!L23="III",3,4)))</f>
        <v>3</v>
      </c>
      <c r="I24" s="27">
        <f>Dashboard!M23</f>
        <v>80</v>
      </c>
      <c r="J24" s="73">
        <f t="shared" si="0"/>
        <v>0.17677669529663689</v>
      </c>
    </row>
    <row r="25" spans="4:10" x14ac:dyDescent="0.3">
      <c r="D25" s="12" t="s">
        <v>27</v>
      </c>
      <c r="E25" s="27">
        <f>Dashboard!E24</f>
        <v>1</v>
      </c>
      <c r="F25" s="27">
        <f>Dashboard!J24</f>
        <v>70</v>
      </c>
      <c r="G25" s="27">
        <f>Dashboard!K24</f>
        <v>59</v>
      </c>
      <c r="H25" s="27">
        <f>IF(Dashboard!L24="I",1,IF(Dashboard!L24="II",2,IF(Dashboard!L24="III",3,4)))</f>
        <v>2</v>
      </c>
      <c r="I25" s="27">
        <f>Dashboard!M24</f>
        <v>65</v>
      </c>
      <c r="J25" s="73">
        <f t="shared" si="0"/>
        <v>0.3685138655950444</v>
      </c>
    </row>
    <row r="26" spans="4:10" x14ac:dyDescent="0.3">
      <c r="D26" s="12" t="s">
        <v>32</v>
      </c>
      <c r="E26" s="27">
        <f>Dashboard!E25</f>
        <v>0</v>
      </c>
      <c r="F26" s="27">
        <f>Dashboard!J25</f>
        <v>61</v>
      </c>
      <c r="G26" s="27">
        <f>Dashboard!K25</f>
        <v>66</v>
      </c>
      <c r="H26" s="27">
        <f>IF(Dashboard!L25="I",1,IF(Dashboard!L25="II",2,IF(Dashboard!L25="III",3,4)))</f>
        <v>1</v>
      </c>
      <c r="I26" s="27">
        <f>Dashboard!M25</f>
        <v>30</v>
      </c>
      <c r="J26" s="77">
        <f t="shared" si="0"/>
        <v>0</v>
      </c>
    </row>
    <row r="27" spans="4:10" x14ac:dyDescent="0.3">
      <c r="D27" s="12" t="s">
        <v>30</v>
      </c>
      <c r="E27" s="27">
        <f>Dashboard!E26</f>
        <v>1</v>
      </c>
      <c r="F27" s="27">
        <f>Dashboard!J26</f>
        <v>78</v>
      </c>
      <c r="G27" s="27">
        <f>Dashboard!K26</f>
        <v>60</v>
      </c>
      <c r="H27" s="27">
        <f>IF(Dashboard!L26="I",1,IF(Dashboard!L26="II",2,IF(Dashboard!L26="III",3,4)))</f>
        <v>2</v>
      </c>
      <c r="I27" s="27">
        <f>Dashboard!M26</f>
        <v>31</v>
      </c>
      <c r="J27" s="77">
        <f t="shared" si="0"/>
        <v>0.47140452079103162</v>
      </c>
    </row>
    <row r="28" spans="4:10" x14ac:dyDescent="0.3">
      <c r="D28" s="12" t="s">
        <v>33</v>
      </c>
      <c r="E28" s="27">
        <f>Dashboard!E27</f>
        <v>0</v>
      </c>
      <c r="F28" s="27">
        <f>Dashboard!J27</f>
        <v>65</v>
      </c>
      <c r="G28" s="27">
        <f>Dashboard!K27</f>
        <v>68</v>
      </c>
      <c r="H28" s="27">
        <f>IF(Dashboard!L27="I",1,IF(Dashboard!L27="II",2,IF(Dashboard!L27="III",3,4)))</f>
        <v>1</v>
      </c>
      <c r="I28" s="27">
        <f>Dashboard!M27</f>
        <v>47</v>
      </c>
      <c r="J28" s="77">
        <f t="shared" si="0"/>
        <v>0</v>
      </c>
    </row>
    <row r="29" spans="4:10" x14ac:dyDescent="0.3">
      <c r="D29" s="12" t="s">
        <v>34</v>
      </c>
      <c r="E29" s="27">
        <f>Dashboard!E28</f>
        <v>1</v>
      </c>
      <c r="F29" s="27">
        <f>Dashboard!J28</f>
        <v>81</v>
      </c>
      <c r="G29" s="27">
        <f>Dashboard!K28</f>
        <v>78</v>
      </c>
      <c r="H29" s="27">
        <f>IF(Dashboard!L28="I",1,IF(Dashboard!L28="II",2,IF(Dashboard!L28="III",3,4)))</f>
        <v>2</v>
      </c>
      <c r="I29" s="27">
        <f>Dashboard!M28</f>
        <v>112</v>
      </c>
      <c r="J29" s="77">
        <f t="shared" si="0"/>
        <v>0.19245008972987523</v>
      </c>
    </row>
    <row r="30" spans="4:10" x14ac:dyDescent="0.3">
      <c r="D30" s="12" t="s">
        <v>35</v>
      </c>
      <c r="E30" s="27">
        <f>Dashboard!E29</f>
        <v>1</v>
      </c>
      <c r="F30" s="27">
        <f>Dashboard!J29</f>
        <v>115</v>
      </c>
      <c r="G30" s="27">
        <f>Dashboard!K29</f>
        <v>82</v>
      </c>
      <c r="H30" s="27">
        <f>IF(Dashboard!L29="I",1,IF(Dashboard!L29="II",2,IF(Dashboard!L29="III",3,4)))</f>
        <v>3</v>
      </c>
      <c r="I30" s="27">
        <f>Dashboard!M29</f>
        <v>94</v>
      </c>
      <c r="J30" s="77">
        <f t="shared" si="0"/>
        <v>0.35903516540862679</v>
      </c>
    </row>
    <row r="31" spans="4:10" x14ac:dyDescent="0.3">
      <c r="D31" s="12" t="s">
        <v>37</v>
      </c>
      <c r="E31" s="27">
        <f>Dashboard!E30</f>
        <v>1</v>
      </c>
      <c r="F31" s="27">
        <f>Dashboard!J30</f>
        <v>82</v>
      </c>
      <c r="G31" s="27">
        <f>Dashboard!K30</f>
        <v>78</v>
      </c>
      <c r="H31" s="27">
        <f>IF(Dashboard!L30="I",1,IF(Dashboard!L30="II",2,IF(Dashboard!L30="III",3,4)))</f>
        <v>3</v>
      </c>
      <c r="I31" s="27">
        <f>Dashboard!M30</f>
        <v>118</v>
      </c>
      <c r="J31" s="77">
        <f t="shared" si="0"/>
        <v>0.125</v>
      </c>
    </row>
    <row r="32" spans="4:10" x14ac:dyDescent="0.3">
      <c r="D32" s="12" t="s">
        <v>29</v>
      </c>
      <c r="E32" s="27">
        <v>0</v>
      </c>
      <c r="F32" s="27">
        <f>Dashboard!J31</f>
        <v>66</v>
      </c>
      <c r="G32" s="27">
        <f>Dashboard!K31</f>
        <v>81</v>
      </c>
      <c r="H32" s="27">
        <f>IF(Dashboard!L31="I",1,IF(Dashboard!L31="II",2,IF(Dashboard!L31="III",3,4)))</f>
        <v>1</v>
      </c>
      <c r="I32" s="27">
        <f>Dashboard!M31</f>
        <v>19</v>
      </c>
      <c r="J32" s="77">
        <f t="shared" si="0"/>
        <v>0</v>
      </c>
    </row>
    <row r="33" spans="4:10" x14ac:dyDescent="0.3">
      <c r="D33" s="12" t="s">
        <v>31</v>
      </c>
      <c r="E33" s="27">
        <v>1</v>
      </c>
      <c r="F33" s="27">
        <f>Dashboard!J32</f>
        <v>64</v>
      </c>
      <c r="G33" s="27">
        <f>Dashboard!K32</f>
        <v>59</v>
      </c>
      <c r="H33" s="27">
        <f>IF(Dashboard!L32="I",1,IF(Dashboard!L32="II",2,IF(Dashboard!L32="III",3,4)))</f>
        <v>2</v>
      </c>
      <c r="I33" s="27">
        <f>Dashboard!M32</f>
        <v>80</v>
      </c>
      <c r="J33" s="77">
        <f t="shared" si="0"/>
        <v>0.24845199749997665</v>
      </c>
    </row>
    <row r="34" spans="4:10" x14ac:dyDescent="0.3">
      <c r="D34" s="12" t="s">
        <v>25</v>
      </c>
      <c r="E34" s="27"/>
      <c r="F34" s="27">
        <f>Dashboard!J33</f>
        <v>70</v>
      </c>
      <c r="G34" s="27">
        <f>Dashboard!K33</f>
        <v>58</v>
      </c>
      <c r="H34" s="27">
        <f>IF(Dashboard!L33="I",1,IF(Dashboard!L33="II",2,IF(Dashboard!L33="III",3,4)))</f>
        <v>2</v>
      </c>
      <c r="I34" s="27">
        <f>Dashboard!M33</f>
        <v>70</v>
      </c>
      <c r="J34" s="66"/>
    </row>
  </sheetData>
  <mergeCells count="2">
    <mergeCell ref="B3:B5"/>
    <mergeCell ref="C3:C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3C092-36D5-4CED-AEFA-D206BC2CC0DF}">
  <dimension ref="D2:K29"/>
  <sheetViews>
    <sheetView tabSelected="1" workbookViewId="0">
      <selection activeCell="K19" sqref="K19"/>
    </sheetView>
  </sheetViews>
  <sheetFormatPr defaultRowHeight="14.4" x14ac:dyDescent="0.3"/>
  <cols>
    <col min="4" max="4" width="10.5546875" bestFit="1" customWidth="1"/>
    <col min="5" max="6" width="10.5546875" customWidth="1"/>
  </cols>
  <sheetData>
    <row r="2" spans="4:11" x14ac:dyDescent="0.3"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</row>
    <row r="3" spans="4:11" x14ac:dyDescent="0.3">
      <c r="D3" s="3" t="s">
        <v>0</v>
      </c>
      <c r="E3" t="str">
        <f>LEFT(G3,1)</f>
        <v>W</v>
      </c>
      <c r="F3" t="str">
        <f>RIGHT(G3,LEN(G3)-FIND(E3,G3))</f>
        <v xml:space="preserve"> 81-57</v>
      </c>
      <c r="G3" t="s">
        <v>1</v>
      </c>
      <c r="H3" t="s">
        <v>2</v>
      </c>
      <c r="I3" s="1">
        <v>44525</v>
      </c>
      <c r="J3">
        <f>_xlfn.NUMBERVALUE(LEFT(F3,FIND("-",F3)-1))</f>
        <v>81</v>
      </c>
      <c r="K3">
        <f>_xlfn.NUMBERVALUE(RIGHT(F3,FIND("-",F3)-2))</f>
        <v>57</v>
      </c>
    </row>
    <row r="4" spans="4:11" x14ac:dyDescent="0.3">
      <c r="D4" s="3" t="s">
        <v>3</v>
      </c>
      <c r="E4" t="str">
        <f t="shared" ref="E4:E29" si="0">LEFT(G4,1)</f>
        <v>L</v>
      </c>
      <c r="F4" t="str">
        <f t="shared" ref="F4:F15" si="1">RIGHT(G4,LEN(G4)-FIND(E4,G4))</f>
        <v xml:space="preserve"> 64-82</v>
      </c>
      <c r="G4" t="s">
        <v>4</v>
      </c>
      <c r="H4" t="s">
        <v>5</v>
      </c>
      <c r="I4" s="2">
        <v>44530</v>
      </c>
      <c r="J4">
        <f t="shared" ref="J4:J15" si="2">_xlfn.NUMBERVALUE(LEFT(F4,FIND("-",F4)-1))</f>
        <v>64</v>
      </c>
      <c r="K4">
        <f t="shared" ref="K4:K15" si="3">_xlfn.NUMBERVALUE(RIGHT(F4,FIND("-",F4)-2))</f>
        <v>82</v>
      </c>
    </row>
    <row r="5" spans="4:11" x14ac:dyDescent="0.3">
      <c r="D5" s="3" t="s">
        <v>6</v>
      </c>
      <c r="E5" t="str">
        <f t="shared" si="0"/>
        <v>W</v>
      </c>
      <c r="F5" t="str">
        <f t="shared" si="1"/>
        <v xml:space="preserve"> 86-74</v>
      </c>
      <c r="G5" t="s">
        <v>7</v>
      </c>
      <c r="H5" t="s">
        <v>5</v>
      </c>
      <c r="I5" s="1">
        <v>44197</v>
      </c>
      <c r="J5">
        <f t="shared" si="2"/>
        <v>86</v>
      </c>
      <c r="K5">
        <f t="shared" si="3"/>
        <v>74</v>
      </c>
    </row>
    <row r="6" spans="4:11" x14ac:dyDescent="0.3">
      <c r="D6" s="3" t="s">
        <v>8</v>
      </c>
      <c r="E6" t="str">
        <f t="shared" si="0"/>
        <v>W</v>
      </c>
      <c r="F6" t="str">
        <f t="shared" si="1"/>
        <v xml:space="preserve"> 88-71</v>
      </c>
      <c r="G6" t="s">
        <v>9</v>
      </c>
      <c r="H6" t="s">
        <v>5</v>
      </c>
      <c r="I6" s="1">
        <v>44228</v>
      </c>
      <c r="J6">
        <f t="shared" si="2"/>
        <v>88</v>
      </c>
      <c r="K6">
        <f t="shared" si="3"/>
        <v>71</v>
      </c>
    </row>
    <row r="7" spans="4:11" x14ac:dyDescent="0.3">
      <c r="D7" s="3" t="s">
        <v>10</v>
      </c>
      <c r="E7" t="str">
        <f t="shared" si="0"/>
        <v>L</v>
      </c>
      <c r="F7" t="str">
        <f t="shared" si="1"/>
        <v xml:space="preserve"> 56-64</v>
      </c>
      <c r="G7" t="s">
        <v>11</v>
      </c>
      <c r="H7" t="s">
        <v>5</v>
      </c>
      <c r="I7" s="1">
        <v>44256</v>
      </c>
      <c r="J7">
        <f t="shared" si="2"/>
        <v>56</v>
      </c>
      <c r="K7">
        <f t="shared" si="3"/>
        <v>64</v>
      </c>
    </row>
    <row r="8" spans="4:11" x14ac:dyDescent="0.3">
      <c r="D8" s="3" t="s">
        <v>12</v>
      </c>
      <c r="E8" t="str">
        <f t="shared" si="0"/>
        <v>W</v>
      </c>
      <c r="F8" t="str">
        <f t="shared" si="1"/>
        <v xml:space="preserve"> 83-80</v>
      </c>
      <c r="G8" t="s">
        <v>13</v>
      </c>
      <c r="H8" t="s">
        <v>2</v>
      </c>
      <c r="I8" s="1">
        <v>44257</v>
      </c>
      <c r="J8">
        <f t="shared" si="2"/>
        <v>83</v>
      </c>
      <c r="K8">
        <f t="shared" si="3"/>
        <v>80</v>
      </c>
    </row>
    <row r="9" spans="4:11" x14ac:dyDescent="0.3">
      <c r="D9" s="3" t="s">
        <v>14</v>
      </c>
      <c r="E9" t="str">
        <f t="shared" si="0"/>
        <v>L</v>
      </c>
      <c r="F9" t="str">
        <f t="shared" si="1"/>
        <v xml:space="preserve"> 71-73</v>
      </c>
      <c r="G9" t="s">
        <v>15</v>
      </c>
      <c r="H9" t="s">
        <v>2</v>
      </c>
      <c r="I9" s="1">
        <v>44288</v>
      </c>
      <c r="J9">
        <f t="shared" si="2"/>
        <v>71</v>
      </c>
      <c r="K9">
        <f t="shared" si="3"/>
        <v>73</v>
      </c>
    </row>
    <row r="10" spans="4:11" x14ac:dyDescent="0.3">
      <c r="D10" s="3" t="s">
        <v>16</v>
      </c>
      <c r="E10" t="str">
        <f t="shared" si="0"/>
        <v>W</v>
      </c>
      <c r="F10" t="str">
        <f t="shared" si="1"/>
        <v xml:space="preserve"> 85-69</v>
      </c>
      <c r="G10" t="s">
        <v>17</v>
      </c>
      <c r="H10" t="s">
        <v>2</v>
      </c>
      <c r="I10" s="1">
        <v>44289</v>
      </c>
      <c r="J10">
        <f t="shared" si="2"/>
        <v>85</v>
      </c>
      <c r="K10">
        <f t="shared" si="3"/>
        <v>69</v>
      </c>
    </row>
    <row r="11" spans="4:11" x14ac:dyDescent="0.3">
      <c r="D11" s="3" t="s">
        <v>18</v>
      </c>
      <c r="E11" t="str">
        <f t="shared" si="0"/>
        <v>W</v>
      </c>
      <c r="F11" t="str">
        <f t="shared" si="1"/>
        <v xml:space="preserve"> 82-64</v>
      </c>
      <c r="G11" t="s">
        <v>19</v>
      </c>
      <c r="H11" t="s">
        <v>2</v>
      </c>
      <c r="I11" s="1">
        <v>44319</v>
      </c>
      <c r="J11">
        <f t="shared" si="2"/>
        <v>82</v>
      </c>
      <c r="K11">
        <f t="shared" si="3"/>
        <v>64</v>
      </c>
    </row>
    <row r="12" spans="4:11" x14ac:dyDescent="0.3">
      <c r="D12" s="3" t="s">
        <v>20</v>
      </c>
      <c r="E12" t="str">
        <f t="shared" si="0"/>
        <v>W</v>
      </c>
      <c r="F12" t="str">
        <f t="shared" si="1"/>
        <v xml:space="preserve"> 71-63</v>
      </c>
      <c r="G12" t="s">
        <v>21</v>
      </c>
      <c r="H12" t="s">
        <v>22</v>
      </c>
      <c r="I12" s="1">
        <v>44350</v>
      </c>
      <c r="J12">
        <f t="shared" si="2"/>
        <v>71</v>
      </c>
      <c r="K12">
        <f t="shared" si="3"/>
        <v>63</v>
      </c>
    </row>
    <row r="13" spans="4:11" x14ac:dyDescent="0.3">
      <c r="D13" s="3" t="s">
        <v>23</v>
      </c>
      <c r="E13" t="str">
        <f t="shared" si="0"/>
        <v>W</v>
      </c>
      <c r="F13" t="str">
        <f t="shared" si="1"/>
        <v xml:space="preserve"> 86-71</v>
      </c>
      <c r="G13" t="s">
        <v>24</v>
      </c>
      <c r="H13" t="s">
        <v>2</v>
      </c>
      <c r="I13" s="1">
        <v>44380</v>
      </c>
      <c r="J13">
        <f t="shared" si="2"/>
        <v>86</v>
      </c>
      <c r="K13">
        <f t="shared" si="3"/>
        <v>71</v>
      </c>
    </row>
    <row r="14" spans="4:11" x14ac:dyDescent="0.3">
      <c r="D14" s="3" t="s">
        <v>25</v>
      </c>
      <c r="E14" t="str">
        <f t="shared" si="0"/>
        <v>W</v>
      </c>
      <c r="F14" t="str">
        <f t="shared" si="1"/>
        <v xml:space="preserve"> 94-90</v>
      </c>
      <c r="G14" t="s">
        <v>26</v>
      </c>
      <c r="H14" t="s">
        <v>22</v>
      </c>
      <c r="I14" s="1">
        <v>44411</v>
      </c>
      <c r="J14">
        <f t="shared" si="2"/>
        <v>94</v>
      </c>
      <c r="K14">
        <f t="shared" si="3"/>
        <v>90</v>
      </c>
    </row>
    <row r="15" spans="4:11" x14ac:dyDescent="0.3">
      <c r="D15" s="3" t="s">
        <v>27</v>
      </c>
      <c r="E15" t="str">
        <f t="shared" si="0"/>
        <v>W</v>
      </c>
      <c r="F15" t="str">
        <f t="shared" si="1"/>
        <v xml:space="preserve"> 85-65</v>
      </c>
      <c r="G15" t="s">
        <v>28</v>
      </c>
      <c r="H15" t="s">
        <v>22</v>
      </c>
      <c r="I15" s="1">
        <v>44442</v>
      </c>
      <c r="J15">
        <f t="shared" si="2"/>
        <v>85</v>
      </c>
      <c r="K15">
        <f t="shared" si="3"/>
        <v>65</v>
      </c>
    </row>
    <row r="16" spans="4:11" x14ac:dyDescent="0.3">
      <c r="D16" s="3" t="s">
        <v>29</v>
      </c>
      <c r="E16" t="str">
        <f t="shared" si="0"/>
        <v/>
      </c>
      <c r="H16" t="s">
        <v>2</v>
      </c>
      <c r="I16" s="1">
        <v>44472</v>
      </c>
    </row>
    <row r="17" spans="4:8" x14ac:dyDescent="0.3">
      <c r="D17" s="3" t="s">
        <v>30</v>
      </c>
      <c r="E17" t="str">
        <f t="shared" si="0"/>
        <v/>
      </c>
      <c r="H17" t="s">
        <v>22</v>
      </c>
    </row>
    <row r="18" spans="4:8" x14ac:dyDescent="0.3">
      <c r="D18" s="3" t="s">
        <v>31</v>
      </c>
      <c r="E18" t="str">
        <f t="shared" si="0"/>
        <v/>
      </c>
      <c r="H18" t="s">
        <v>2</v>
      </c>
    </row>
    <row r="19" spans="4:8" x14ac:dyDescent="0.3">
      <c r="D19" s="3" t="s">
        <v>27</v>
      </c>
      <c r="E19" t="str">
        <f t="shared" si="0"/>
        <v/>
      </c>
      <c r="H19" t="s">
        <v>2</v>
      </c>
    </row>
    <row r="20" spans="4:8" x14ac:dyDescent="0.3">
      <c r="D20" s="3" t="s">
        <v>32</v>
      </c>
      <c r="E20" t="str">
        <f t="shared" si="0"/>
        <v/>
      </c>
      <c r="H20" t="s">
        <v>22</v>
      </c>
    </row>
    <row r="21" spans="4:8" x14ac:dyDescent="0.3">
      <c r="D21" s="3" t="s">
        <v>30</v>
      </c>
      <c r="E21" t="str">
        <f t="shared" si="0"/>
        <v/>
      </c>
      <c r="H21" t="s">
        <v>2</v>
      </c>
    </row>
    <row r="22" spans="4:8" x14ac:dyDescent="0.3">
      <c r="D22" s="3" t="s">
        <v>33</v>
      </c>
      <c r="E22" t="str">
        <f t="shared" si="0"/>
        <v/>
      </c>
      <c r="H22" t="s">
        <v>22</v>
      </c>
    </row>
    <row r="23" spans="4:8" x14ac:dyDescent="0.3">
      <c r="D23" s="3" t="s">
        <v>34</v>
      </c>
      <c r="E23" t="str">
        <f t="shared" si="0"/>
        <v/>
      </c>
      <c r="H23" t="s">
        <v>22</v>
      </c>
    </row>
    <row r="24" spans="4:8" x14ac:dyDescent="0.3">
      <c r="D24" s="3" t="s">
        <v>35</v>
      </c>
      <c r="E24" t="str">
        <f t="shared" si="0"/>
        <v/>
      </c>
      <c r="H24" t="s">
        <v>2</v>
      </c>
    </row>
    <row r="25" spans="4:8" x14ac:dyDescent="0.3">
      <c r="D25" s="3" t="s">
        <v>36</v>
      </c>
      <c r="E25" t="str">
        <f t="shared" si="0"/>
        <v/>
      </c>
      <c r="H25" t="s">
        <v>22</v>
      </c>
    </row>
    <row r="26" spans="4:8" x14ac:dyDescent="0.3">
      <c r="D26" s="3" t="s">
        <v>37</v>
      </c>
      <c r="E26" t="str">
        <f t="shared" si="0"/>
        <v/>
      </c>
      <c r="H26" t="s">
        <v>2</v>
      </c>
    </row>
    <row r="27" spans="4:8" x14ac:dyDescent="0.3">
      <c r="D27" s="3" t="s">
        <v>29</v>
      </c>
      <c r="E27" t="str">
        <f t="shared" si="0"/>
        <v/>
      </c>
      <c r="H27" t="s">
        <v>22</v>
      </c>
    </row>
    <row r="28" spans="4:8" x14ac:dyDescent="0.3">
      <c r="D28" s="3" t="s">
        <v>31</v>
      </c>
      <c r="E28" t="str">
        <f t="shared" si="0"/>
        <v/>
      </c>
      <c r="H28" t="s">
        <v>22</v>
      </c>
    </row>
    <row r="29" spans="4:8" x14ac:dyDescent="0.3">
      <c r="D29" s="3" t="s">
        <v>25</v>
      </c>
      <c r="E29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Player Stats</vt:lpstr>
      <vt:lpstr>SEC Tournament</vt:lpstr>
      <vt:lpstr>Court Diagram</vt:lpstr>
      <vt:lpstr>Dashboard Calculations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16154</dc:creator>
  <cp:lastModifiedBy>16154</cp:lastModifiedBy>
  <cp:lastPrinted>2021-03-10T16:48:51Z</cp:lastPrinted>
  <dcterms:created xsi:type="dcterms:W3CDTF">2021-01-13T23:20:49Z</dcterms:created>
  <dcterms:modified xsi:type="dcterms:W3CDTF">2021-04-03T16:46:24Z</dcterms:modified>
</cp:coreProperties>
</file>