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Лист1!$A$1:$H$292</definedName>
  </definedNames>
  <calcPr calcId="152511"/>
</workbook>
</file>

<file path=xl/calcChain.xml><?xml version="1.0" encoding="utf-8"?>
<calcChain xmlns="http://schemas.openxmlformats.org/spreadsheetml/2006/main">
  <c r="H278" i="1" l="1"/>
  <c r="H279" i="1"/>
  <c r="H280" i="1"/>
  <c r="H281" i="1"/>
  <c r="H282" i="1"/>
  <c r="H283" i="1"/>
  <c r="H284" i="1"/>
  <c r="H285" i="1"/>
  <c r="H286" i="1"/>
  <c r="H287" i="1"/>
  <c r="H288" i="1"/>
  <c r="H277" i="1"/>
  <c r="H275" i="1"/>
  <c r="H276" i="1"/>
  <c r="H274" i="1"/>
  <c r="H221" i="1" l="1"/>
  <c r="G221" i="1"/>
  <c r="H220" i="1"/>
  <c r="G220" i="1"/>
  <c r="H219" i="1"/>
  <c r="G219" i="1"/>
  <c r="H218" i="1"/>
  <c r="G218" i="1"/>
  <c r="H217" i="1"/>
  <c r="G217" i="1"/>
  <c r="H216" i="1"/>
  <c r="G216" i="1"/>
  <c r="H215" i="1"/>
  <c r="H214" i="1"/>
  <c r="H213" i="1"/>
  <c r="G215" i="1"/>
  <c r="G214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H187" i="1"/>
  <c r="H186" i="1"/>
  <c r="G188" i="1"/>
  <c r="G187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H178" i="1"/>
  <c r="H177" i="1"/>
  <c r="G179" i="1"/>
  <c r="G178" i="1"/>
  <c r="G177" i="1"/>
  <c r="H176" i="1" l="1"/>
  <c r="G176" i="1"/>
  <c r="H175" i="1"/>
  <c r="G175" i="1"/>
  <c r="H174" i="1"/>
  <c r="G174" i="1"/>
  <c r="H173" i="1"/>
  <c r="G173" i="1"/>
  <c r="H172" i="1"/>
  <c r="G172" i="1"/>
  <c r="H171" i="1"/>
  <c r="G171" i="1"/>
  <c r="H170" i="1"/>
  <c r="H169" i="1"/>
  <c r="H168" i="1"/>
  <c r="G169" i="1"/>
  <c r="G170" i="1"/>
  <c r="G168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H128" i="1"/>
  <c r="H127" i="1"/>
  <c r="H126" i="1"/>
  <c r="H125" i="1"/>
  <c r="H124" i="1"/>
  <c r="G129" i="1"/>
  <c r="G128" i="1"/>
  <c r="G127" i="1"/>
  <c r="G126" i="1"/>
  <c r="G125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G105" i="1"/>
  <c r="H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H92" i="1"/>
  <c r="H91" i="1"/>
  <c r="H90" i="1"/>
  <c r="H89" i="1"/>
  <c r="H88" i="1"/>
  <c r="G93" i="1"/>
  <c r="G92" i="1"/>
  <c r="G91" i="1"/>
  <c r="G90" i="1"/>
  <c r="G89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H80" i="1"/>
  <c r="H79" i="1"/>
  <c r="H78" i="1"/>
  <c r="H77" i="1"/>
  <c r="H76" i="1"/>
  <c r="G81" i="1"/>
  <c r="G80" i="1"/>
  <c r="G79" i="1"/>
  <c r="G78" i="1"/>
  <c r="G77" i="1"/>
  <c r="G76" i="1"/>
  <c r="H75" i="1"/>
  <c r="H74" i="1"/>
  <c r="H73" i="1"/>
  <c r="H72" i="1"/>
  <c r="H71" i="1"/>
  <c r="G75" i="1"/>
  <c r="G74" i="1"/>
  <c r="G73" i="1"/>
  <c r="G72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H56" i="1"/>
  <c r="H55" i="1"/>
  <c r="H54" i="1"/>
  <c r="H53" i="1"/>
  <c r="H52" i="1"/>
  <c r="G57" i="1"/>
  <c r="G56" i="1"/>
  <c r="G55" i="1"/>
  <c r="G54" i="1"/>
  <c r="G53" i="1"/>
  <c r="G52" i="1"/>
  <c r="G281" i="1"/>
  <c r="G282" i="1"/>
  <c r="G283" i="1"/>
  <c r="G284" i="1"/>
  <c r="G285" i="1"/>
  <c r="G286" i="1"/>
  <c r="G287" i="1"/>
  <c r="G288" i="1"/>
  <c r="G278" i="1"/>
  <c r="G279" i="1"/>
  <c r="G280" i="1"/>
  <c r="G277" i="1"/>
  <c r="G275" i="1"/>
  <c r="G276" i="1"/>
  <c r="G274" i="1"/>
  <c r="F234" i="1"/>
  <c r="G234" i="1"/>
  <c r="F236" i="1"/>
  <c r="G236" i="1"/>
  <c r="G232" i="1"/>
  <c r="F232" i="1"/>
  <c r="G230" i="1"/>
  <c r="F230" i="1"/>
  <c r="G228" i="1"/>
  <c r="F228" i="1"/>
  <c r="G226" i="1"/>
  <c r="F226" i="1"/>
  <c r="H162" i="1"/>
  <c r="H163" i="1"/>
  <c r="H161" i="1"/>
  <c r="H159" i="1"/>
  <c r="H160" i="1"/>
  <c r="H158" i="1"/>
  <c r="H156" i="1"/>
  <c r="H157" i="1"/>
  <c r="H155" i="1"/>
  <c r="H153" i="1"/>
  <c r="H154" i="1"/>
  <c r="H152" i="1"/>
  <c r="H150" i="1"/>
  <c r="H151" i="1"/>
  <c r="H149" i="1"/>
  <c r="H147" i="1"/>
  <c r="H148" i="1"/>
  <c r="H146" i="1"/>
  <c r="G162" i="1"/>
  <c r="G163" i="1"/>
  <c r="G161" i="1"/>
  <c r="G159" i="1"/>
  <c r="G160" i="1"/>
  <c r="G158" i="1"/>
  <c r="G156" i="1"/>
  <c r="G157" i="1"/>
  <c r="G155" i="1"/>
  <c r="G153" i="1"/>
  <c r="G154" i="1"/>
  <c r="G152" i="1"/>
  <c r="G150" i="1"/>
  <c r="G151" i="1"/>
  <c r="G149" i="1"/>
  <c r="G147" i="1"/>
  <c r="G148" i="1"/>
  <c r="G146" i="1"/>
  <c r="H268" i="1"/>
  <c r="H269" i="1"/>
  <c r="H267" i="1"/>
  <c r="H265" i="1"/>
  <c r="H266" i="1"/>
  <c r="H264" i="1"/>
  <c r="H262" i="1"/>
  <c r="H263" i="1"/>
  <c r="H261" i="1"/>
  <c r="H260" i="1"/>
  <c r="H259" i="1"/>
  <c r="H258" i="1"/>
  <c r="G268" i="1"/>
  <c r="G269" i="1"/>
  <c r="G267" i="1"/>
  <c r="G265" i="1"/>
  <c r="G266" i="1"/>
  <c r="G264" i="1"/>
  <c r="G262" i="1"/>
  <c r="G263" i="1"/>
  <c r="G261" i="1"/>
  <c r="G260" i="1"/>
  <c r="G259" i="1"/>
  <c r="G258" i="1"/>
  <c r="H247" i="1"/>
  <c r="H248" i="1"/>
  <c r="H249" i="1"/>
  <c r="H250" i="1"/>
  <c r="H251" i="1"/>
  <c r="H252" i="1"/>
  <c r="H253" i="1"/>
  <c r="H254" i="1"/>
  <c r="H246" i="1"/>
  <c r="H244" i="1"/>
  <c r="H245" i="1"/>
  <c r="H243" i="1"/>
  <c r="G252" i="1"/>
  <c r="G253" i="1"/>
  <c r="G254" i="1"/>
  <c r="G250" i="1"/>
  <c r="G251" i="1"/>
  <c r="G249" i="1"/>
  <c r="G247" i="1"/>
  <c r="G248" i="1"/>
  <c r="G246" i="1"/>
  <c r="G244" i="1"/>
  <c r="G245" i="1"/>
  <c r="G243" i="1"/>
  <c r="G43" i="1"/>
  <c r="G44" i="1"/>
  <c r="G45" i="1"/>
  <c r="G46" i="1"/>
  <c r="G47" i="1"/>
  <c r="G42" i="1"/>
  <c r="G40" i="1"/>
  <c r="G41" i="1"/>
  <c r="G39" i="1"/>
  <c r="G38" i="1"/>
  <c r="G37" i="1"/>
  <c r="G36" i="1"/>
  <c r="G34" i="1"/>
  <c r="G35" i="1"/>
  <c r="G33" i="1"/>
  <c r="F45" i="1"/>
  <c r="F46" i="1"/>
  <c r="F47" i="1"/>
  <c r="F43" i="1"/>
  <c r="F44" i="1"/>
  <c r="F42" i="1"/>
  <c r="F40" i="1"/>
  <c r="F41" i="1"/>
  <c r="F39" i="1"/>
  <c r="F38" i="1"/>
  <c r="F37" i="1"/>
  <c r="F36" i="1"/>
  <c r="F34" i="1"/>
  <c r="F35" i="1"/>
  <c r="F33" i="1"/>
</calcChain>
</file>

<file path=xl/sharedStrings.xml><?xml version="1.0" encoding="utf-8"?>
<sst xmlns="http://schemas.openxmlformats.org/spreadsheetml/2006/main" count="629" uniqueCount="323">
  <si>
    <t>Условия проведения калибровки:</t>
  </si>
  <si>
    <t>3. Определение метрологических характеристик</t>
  </si>
  <si>
    <t>Частота</t>
  </si>
  <si>
    <t>50 кГц</t>
  </si>
  <si>
    <t>300 кГц</t>
  </si>
  <si>
    <t>10 Гц</t>
  </si>
  <si>
    <t>20 кГц</t>
  </si>
  <si>
    <t>100 кГц</t>
  </si>
  <si>
    <t>3.1 Определение  погрешности измерения напряжения постоянного тока</t>
  </si>
  <si>
    <t>3.2 Определение  погрешности измерения напряжения переменного тока</t>
  </si>
  <si>
    <t>50 Гц</t>
  </si>
  <si>
    <t>3.3 Определение  погрешности измерения силы постоянного тока</t>
  </si>
  <si>
    <t>3.4 Определение  погрешности измерения силы переменного тока</t>
  </si>
  <si>
    <t>10 кГц</t>
  </si>
  <si>
    <t>3.5 Определение  погрешности измерения частоты переменного тока</t>
  </si>
  <si>
    <t>3.7 Определение  погрешности измерения электрической емкости</t>
  </si>
  <si>
    <t>Предел измерений, нФ</t>
  </si>
  <si>
    <t>Поверяемая точка, нФ</t>
  </si>
  <si>
    <t>Показание прибора, нФ</t>
  </si>
  <si>
    <t>Дата:</t>
  </si>
  <si>
    <t>(</t>
  </si>
  <si>
    <t>)</t>
  </si>
  <si>
    <r>
      <t>1. Внешний осмотр: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</si>
  <si>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>2. Опробование:</t>
    </r>
    <r>
      <rPr>
        <b/>
        <i/>
        <u/>
        <sz val="10"/>
        <rFont val="Times New Roman"/>
        <family val="1"/>
        <charset val="204"/>
      </rPr>
      <t>соответствует</t>
    </r>
  </si>
  <si>
    <t>Параметр</t>
  </si>
  <si>
    <t>Действительные значения</t>
  </si>
  <si>
    <t>Допускаемые значения</t>
  </si>
  <si>
    <t>Температура окружающего воздуха</t>
  </si>
  <si>
    <r>
      <t xml:space="preserve">(23 </t>
    </r>
    <r>
      <rPr>
        <sz val="10"/>
        <rFont val="Calibri"/>
        <family val="2"/>
        <charset val="204"/>
      </rPr>
      <t>±</t>
    </r>
    <r>
      <rPr>
        <sz val="10"/>
        <rFont val="Times New Roman"/>
        <family val="1"/>
        <charset val="204"/>
      </rPr>
      <t xml:space="preserve"> 5)°С</t>
    </r>
  </si>
  <si>
    <t>Относительная влажность</t>
  </si>
  <si>
    <t>от 30 до 80 %</t>
  </si>
  <si>
    <t>Атмосферное давление</t>
  </si>
  <si>
    <t>от 84 до 106 кПа</t>
  </si>
  <si>
    <t>Напряжение питания переменного тока</t>
  </si>
  <si>
    <t>(220 ± 2,2) В</t>
  </si>
  <si>
    <t>(50,0 ± 0,5) Гц</t>
  </si>
  <si>
    <r>
      <t xml:space="preserve">Эталоны: </t>
    </r>
    <r>
      <rPr>
        <b/>
        <i/>
        <u/>
        <sz val="9"/>
        <rFont val="Times New Roman"/>
        <family val="1"/>
        <charset val="204"/>
      </rPr>
      <t>Fluke 5522A № 2581902, 33210А № MY48016270</t>
    </r>
  </si>
  <si>
    <t>_type</t>
  </si>
  <si>
    <t>_numb</t>
  </si>
  <si>
    <t>_temp</t>
  </si>
  <si>
    <t>_hum</t>
  </si>
  <si>
    <t>_pres</t>
  </si>
  <si>
    <t>_pov</t>
  </si>
  <si>
    <t>_date</t>
  </si>
  <si>
    <t>dcv_1</t>
  </si>
  <si>
    <t>dcv_2</t>
  </si>
  <si>
    <t>dcv_3</t>
  </si>
  <si>
    <t>dcv_4</t>
  </si>
  <si>
    <t>dcv_5</t>
  </si>
  <si>
    <t>dcv_6</t>
  </si>
  <si>
    <t>dcv_7</t>
  </si>
  <si>
    <t>dcv_8</t>
  </si>
  <si>
    <t>dcv_9</t>
  </si>
  <si>
    <t>dcv_10</t>
  </si>
  <si>
    <t>dcv_11</t>
  </si>
  <si>
    <t>dcv_12</t>
  </si>
  <si>
    <t>dcv_13</t>
  </si>
  <si>
    <t>dcv_14</t>
  </si>
  <si>
    <t>dcv_15</t>
  </si>
  <si>
    <t>acv_1</t>
  </si>
  <si>
    <t>acv_2</t>
  </si>
  <si>
    <t>acv_3</t>
  </si>
  <si>
    <t>acv_4</t>
  </si>
  <si>
    <t>acv_5</t>
  </si>
  <si>
    <t>acv_6</t>
  </si>
  <si>
    <t>acv_7</t>
  </si>
  <si>
    <t>acv_8</t>
  </si>
  <si>
    <t>acv_9</t>
  </si>
  <si>
    <t>acv_10</t>
  </si>
  <si>
    <t>acv_11</t>
  </si>
  <si>
    <t>acv_12</t>
  </si>
  <si>
    <t>acv_13</t>
  </si>
  <si>
    <t>acv_14</t>
  </si>
  <si>
    <t>acv_15</t>
  </si>
  <si>
    <t>acv_16</t>
  </si>
  <si>
    <t>acv_17</t>
  </si>
  <si>
    <t>acv_18</t>
  </si>
  <si>
    <t>acv_19</t>
  </si>
  <si>
    <t>acv_20</t>
  </si>
  <si>
    <t>acv_21</t>
  </si>
  <si>
    <t>acv_22</t>
  </si>
  <si>
    <t>acv_23</t>
  </si>
  <si>
    <t>acv_24</t>
  </si>
  <si>
    <t>acv_25</t>
  </si>
  <si>
    <t>acv_26</t>
  </si>
  <si>
    <t>acv_27</t>
  </si>
  <si>
    <t>acv_28</t>
  </si>
  <si>
    <t>acv_29</t>
  </si>
  <si>
    <t>acv_30</t>
  </si>
  <si>
    <t>acv_31</t>
  </si>
  <si>
    <t>acv_32</t>
  </si>
  <si>
    <t>acv_33</t>
  </si>
  <si>
    <t>acv_34</t>
  </si>
  <si>
    <t>acv_35</t>
  </si>
  <si>
    <t>acv_36</t>
  </si>
  <si>
    <t>acv_37</t>
  </si>
  <si>
    <t>acv_38</t>
  </si>
  <si>
    <t>acv_39</t>
  </si>
  <si>
    <t>acv_40</t>
  </si>
  <si>
    <t>acv_41</t>
  </si>
  <si>
    <t>acv_42</t>
  </si>
  <si>
    <t>acv_43</t>
  </si>
  <si>
    <t>acv_44</t>
  </si>
  <si>
    <t>acv_45</t>
  </si>
  <si>
    <t>acv_46</t>
  </si>
  <si>
    <t>acv_47</t>
  </si>
  <si>
    <t>acv_48</t>
  </si>
  <si>
    <t>acv_49</t>
  </si>
  <si>
    <t>acv_50</t>
  </si>
  <si>
    <t>acv_51</t>
  </si>
  <si>
    <t>acv_52</t>
  </si>
  <si>
    <t>acv_53</t>
  </si>
  <si>
    <t>acv_54</t>
  </si>
  <si>
    <t>acv_55</t>
  </si>
  <si>
    <t>acv_56</t>
  </si>
  <si>
    <t>acv_57</t>
  </si>
  <si>
    <t>acv_58</t>
  </si>
  <si>
    <t>acv_59</t>
  </si>
  <si>
    <t>acv_60</t>
  </si>
  <si>
    <t>acv_61</t>
  </si>
  <si>
    <t>acv_62</t>
  </si>
  <si>
    <t>acv_63</t>
  </si>
  <si>
    <t>acv_64</t>
  </si>
  <si>
    <t>acv_65</t>
  </si>
  <si>
    <t>dci_1</t>
  </si>
  <si>
    <t>dci_2</t>
  </si>
  <si>
    <t>dci_3</t>
  </si>
  <si>
    <t>dci_4</t>
  </si>
  <si>
    <t>dci_5</t>
  </si>
  <si>
    <t>dci_6</t>
  </si>
  <si>
    <t>dci_7</t>
  </si>
  <si>
    <t>dci_8</t>
  </si>
  <si>
    <t>dci_9</t>
  </si>
  <si>
    <t>dci_10</t>
  </si>
  <si>
    <t>dci_11</t>
  </si>
  <si>
    <t>dci_12</t>
  </si>
  <si>
    <t>dci_13</t>
  </si>
  <si>
    <t>dci_14</t>
  </si>
  <si>
    <t>dci_15</t>
  </si>
  <si>
    <t>dci_16</t>
  </si>
  <si>
    <t>dci_17</t>
  </si>
  <si>
    <t>dci_18</t>
  </si>
  <si>
    <t>aci_1</t>
  </si>
  <si>
    <t>aci_2</t>
  </si>
  <si>
    <t>aci_3</t>
  </si>
  <si>
    <t>aci_4</t>
  </si>
  <si>
    <t>aci_5</t>
  </si>
  <si>
    <t>aci_6</t>
  </si>
  <si>
    <t>aci_7</t>
  </si>
  <si>
    <t>aci_8</t>
  </si>
  <si>
    <t>aci_9</t>
  </si>
  <si>
    <t>aci_10</t>
  </si>
  <si>
    <t>aci_11</t>
  </si>
  <si>
    <t>aci_12</t>
  </si>
  <si>
    <t>aci_13</t>
  </si>
  <si>
    <t>aci_14</t>
  </si>
  <si>
    <t>aci_15</t>
  </si>
  <si>
    <t>aci_16</t>
  </si>
  <si>
    <t>aci_17</t>
  </si>
  <si>
    <t>aci_18</t>
  </si>
  <si>
    <t>aci_19</t>
  </si>
  <si>
    <t>aci_20</t>
  </si>
  <si>
    <t>aci_21</t>
  </si>
  <si>
    <t>aci_22</t>
  </si>
  <si>
    <t>aci_23</t>
  </si>
  <si>
    <t>aci_24</t>
  </si>
  <si>
    <t>aci_25</t>
  </si>
  <si>
    <t>aci_26</t>
  </si>
  <si>
    <t>aci_27</t>
  </si>
  <si>
    <t>aci_28</t>
  </si>
  <si>
    <t>aci_29</t>
  </si>
  <si>
    <t>aci_30</t>
  </si>
  <si>
    <t>aci_31</t>
  </si>
  <si>
    <t>aci_32</t>
  </si>
  <si>
    <t>aci_33</t>
  </si>
  <si>
    <t>aci_34</t>
  </si>
  <si>
    <t>aci_35</t>
  </si>
  <si>
    <t>aci_36</t>
  </si>
  <si>
    <t>aci_37</t>
  </si>
  <si>
    <t>aci_38</t>
  </si>
  <si>
    <t>aci_39</t>
  </si>
  <si>
    <t>aci_40</t>
  </si>
  <si>
    <t>aci_41</t>
  </si>
  <si>
    <t>aci_42</t>
  </si>
  <si>
    <t>aci_43</t>
  </si>
  <si>
    <t>aci_44</t>
  </si>
  <si>
    <t>aci_45</t>
  </si>
  <si>
    <t>aci_46</t>
  </si>
  <si>
    <t>aci_47</t>
  </si>
  <si>
    <t>aci_48</t>
  </si>
  <si>
    <t>aci_49</t>
  </si>
  <si>
    <t>aci_50</t>
  </si>
  <si>
    <t>aci_51</t>
  </si>
  <si>
    <t>aci_52</t>
  </si>
  <si>
    <t>aci_53</t>
  </si>
  <si>
    <t>aci_54</t>
  </si>
  <si>
    <t>f_1</t>
  </si>
  <si>
    <t>f_2</t>
  </si>
  <si>
    <t>f_3</t>
  </si>
  <si>
    <t>f_4</t>
  </si>
  <si>
    <t>f_5</t>
  </si>
  <si>
    <t>f_6</t>
  </si>
  <si>
    <t>f_7</t>
  </si>
  <si>
    <t>f_8</t>
  </si>
  <si>
    <t>f_9</t>
  </si>
  <si>
    <t>f_10</t>
  </si>
  <si>
    <t>f_11</t>
  </si>
  <si>
    <t>f_12</t>
  </si>
  <si>
    <t>r4_1</t>
  </si>
  <si>
    <t>r4_2</t>
  </si>
  <si>
    <t>r4_3</t>
  </si>
  <si>
    <t>r4_4</t>
  </si>
  <si>
    <t>r4_5</t>
  </si>
  <si>
    <t>r4_6</t>
  </si>
  <si>
    <t>r4_7</t>
  </si>
  <si>
    <t>r4_8</t>
  </si>
  <si>
    <t>r4_9</t>
  </si>
  <si>
    <t>r4_10</t>
  </si>
  <si>
    <t>r4_11</t>
  </si>
  <si>
    <t>r4_12</t>
  </si>
  <si>
    <t>r2_1</t>
  </si>
  <si>
    <t>r2_2</t>
  </si>
  <si>
    <t>r2_3</t>
  </si>
  <si>
    <t>r2_4</t>
  </si>
  <si>
    <t>r2_5</t>
  </si>
  <si>
    <t>r2_6</t>
  </si>
  <si>
    <t>r2_7</t>
  </si>
  <si>
    <t>r2_8</t>
  </si>
  <si>
    <t>r2_9</t>
  </si>
  <si>
    <t>r2_10</t>
  </si>
  <si>
    <t>r2_11</t>
  </si>
  <si>
    <t>r2_12</t>
  </si>
  <si>
    <t>c_1</t>
  </si>
  <si>
    <t>c_2</t>
  </si>
  <si>
    <t>c_3</t>
  </si>
  <si>
    <t>c_4</t>
  </si>
  <si>
    <t>c_5</t>
  </si>
  <si>
    <t>c_6</t>
  </si>
  <si>
    <t>c_7</t>
  </si>
  <si>
    <t>c_8</t>
  </si>
  <si>
    <t>c_9</t>
  </si>
  <si>
    <t>c_10</t>
  </si>
  <si>
    <t>c_11</t>
  </si>
  <si>
    <t>c_12</t>
  </si>
  <si>
    <t>c_13</t>
  </si>
  <si>
    <t>c_14</t>
  </si>
  <si>
    <t>c_15</t>
  </si>
  <si>
    <t xml:space="preserve">Наименование и тип СИ: </t>
  </si>
  <si>
    <t>Мультиметр цифровой</t>
  </si>
  <si>
    <t>Заводской номер:</t>
  </si>
  <si>
    <t xml:space="preserve">Год выпуска: </t>
  </si>
  <si>
    <t>Номер в реестре:</t>
  </si>
  <si>
    <t>Заказчик:</t>
  </si>
  <si>
    <t xml:space="preserve">Методика поверки: </t>
  </si>
  <si>
    <t xml:space="preserve">Вид поверки (калибровки): </t>
  </si>
  <si>
    <t>периодическая</t>
  </si>
  <si>
    <t>Поверку провёл:</t>
  </si>
  <si>
    <t>МП 238/447-2011</t>
  </si>
  <si>
    <t>_customer</t>
  </si>
  <si>
    <t>Протокол поверки №</t>
  </si>
  <si>
    <t>Показание прибора</t>
  </si>
  <si>
    <t>мВ</t>
  </si>
  <si>
    <t>В</t>
  </si>
  <si>
    <t>Установленное значение</t>
  </si>
  <si>
    <t>Ом</t>
  </si>
  <si>
    <t>кОм</t>
  </si>
  <si>
    <t>Предел</t>
  </si>
  <si>
    <t>МОм</t>
  </si>
  <si>
    <t>3.6 Определение  погрешности измерения электрического сопротивления</t>
  </si>
  <si>
    <t>3.6.1 по 4-х проводной схеме</t>
  </si>
  <si>
    <t>3.6.2 по 2-х проводной схеме</t>
  </si>
  <si>
    <t>ГОм</t>
  </si>
  <si>
    <t>нФ</t>
  </si>
  <si>
    <t>мкФ</t>
  </si>
  <si>
    <t>Напряжений, В</t>
  </si>
  <si>
    <t>Гц</t>
  </si>
  <si>
    <t>кГц</t>
  </si>
  <si>
    <t>Устновленное значение</t>
  </si>
  <si>
    <t>мкА</t>
  </si>
  <si>
    <t>мА</t>
  </si>
  <si>
    <t>А</t>
  </si>
  <si>
    <t>Предел, В</t>
  </si>
  <si>
    <t>100 мВ</t>
  </si>
  <si>
    <t>1 В</t>
  </si>
  <si>
    <t>10 В</t>
  </si>
  <si>
    <t>100 В</t>
  </si>
  <si>
    <t>acv_66</t>
  </si>
  <si>
    <t>acv_67</t>
  </si>
  <si>
    <t>acv_68</t>
  </si>
  <si>
    <t>acv_69</t>
  </si>
  <si>
    <t>acv_70</t>
  </si>
  <si>
    <t>acv_71</t>
  </si>
  <si>
    <t>acv_72</t>
  </si>
  <si>
    <t>750 В</t>
  </si>
  <si>
    <t>acv_73</t>
  </si>
  <si>
    <t>acv_74</t>
  </si>
  <si>
    <t>acv_75</t>
  </si>
  <si>
    <t>acv_76</t>
  </si>
  <si>
    <t>acv_77</t>
  </si>
  <si>
    <t>acv_78</t>
  </si>
  <si>
    <t>acv_79</t>
  </si>
  <si>
    <t>acv_80</t>
  </si>
  <si>
    <t>acv_81</t>
  </si>
  <si>
    <t>acv_82</t>
  </si>
  <si>
    <t>acv_83</t>
  </si>
  <si>
    <t>acv_84</t>
  </si>
  <si>
    <t>acv_85</t>
  </si>
  <si>
    <t>acv_86</t>
  </si>
  <si>
    <t>acv_87</t>
  </si>
  <si>
    <t>acv_88</t>
  </si>
  <si>
    <t>acv_89</t>
  </si>
  <si>
    <t>acv_90</t>
  </si>
  <si>
    <t>100 мкА</t>
  </si>
  <si>
    <t>1 мА</t>
  </si>
  <si>
    <t>10 мА</t>
  </si>
  <si>
    <t>100 мА</t>
  </si>
  <si>
    <t>1 А</t>
  </si>
  <si>
    <t>3 А</t>
  </si>
  <si>
    <t xml:space="preserve"> 5 кГц</t>
  </si>
  <si>
    <t xml:space="preserve"> Допуск</t>
  </si>
  <si>
    <t>-</t>
  </si>
  <si>
    <t>+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</si>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</sst>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* #,##0.00\ &quot;₽&quot;_-;\-* #,##0.00\ &quot;₽&quot;_-;_-* &quot;-&quot;??\ &quot;₽&quot;_-;_-@_-"/>
    <numFmt numFmtId="164" formatCode="0.000"/>
    <numFmt numFmtId="165" formatCode="0.000000"/>
    <numFmt numFmtId="166" formatCode="0.0000"/>
    <numFmt numFmtId="167" formatCode="0.0000000"/>
    <numFmt numFmtId="168" formatCode="0.0"/>
    <numFmt numFmtId="169" formatCode="0.00000"/>
    <numFmt numFmtId="170" formatCode="0.00000000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9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u/>
      <sz val="10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b/>
      <i/>
      <u/>
      <sz val="9"/>
      <name val="Times New Roman"/>
      <family val="1"/>
      <charset val="204"/>
    </font>
    <font>
      <sz val="10"/>
      <name val="Calibri"/>
      <family val="2"/>
      <charset val="204"/>
    </font>
    <font>
      <b/>
      <i/>
      <sz val="10"/>
      <color rgb="FF0070C0"/>
      <name val="Times New Roman"/>
      <family val="1"/>
      <charset val="204"/>
    </font>
    <font>
      <b/>
      <i/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/>
    <xf numFmtId="164" fontId="4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2" fontId="4" fillId="0" borderId="0" xfId="1" applyNumberFormat="1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3" fontId="4" fillId="0" borderId="0" xfId="0" applyNumberFormat="1" applyFont="1" applyAlignment="1">
      <alignment horizontal="left" vertical="center"/>
    </xf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9" fillId="0" borderId="0" xfId="0" applyFont="1" applyBorder="1"/>
    <xf numFmtId="0" fontId="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4" fillId="0" borderId="3" xfId="0" applyFont="1" applyBorder="1" applyAlignment="1" applyProtection="1">
      <alignment vertical="center"/>
      <protection locked="0"/>
    </xf>
    <xf numFmtId="0" fontId="4" fillId="0" borderId="4" xfId="0" applyFont="1" applyBorder="1" applyAlignment="1" applyProtection="1">
      <alignment vertical="center"/>
      <protection locked="0"/>
    </xf>
    <xf numFmtId="0" fontId="13" fillId="0" borderId="6" xfId="0" applyFont="1" applyBorder="1" applyAlignment="1">
      <alignment horizontal="left"/>
    </xf>
    <xf numFmtId="0" fontId="4" fillId="0" borderId="5" xfId="0" applyFont="1" applyBorder="1" applyAlignment="1" applyProtection="1">
      <alignment vertical="center"/>
      <protection locked="0"/>
    </xf>
    <xf numFmtId="0" fontId="13" fillId="0" borderId="7" xfId="0" applyFont="1" applyBorder="1" applyAlignment="1">
      <alignment horizontal="left"/>
    </xf>
    <xf numFmtId="0" fontId="4" fillId="0" borderId="3" xfId="0" applyFont="1" applyBorder="1" applyAlignment="1" applyProtection="1">
      <alignment horizontal="left" vertical="center"/>
      <protection locked="0"/>
    </xf>
    <xf numFmtId="1" fontId="4" fillId="0" borderId="1" xfId="0" applyNumberFormat="1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7" fontId="13" fillId="0" borderId="0" xfId="0" applyNumberFormat="1" applyFont="1" applyBorder="1" applyAlignment="1">
      <alignment horizontal="center" vertical="center"/>
    </xf>
    <xf numFmtId="0" fontId="7" fillId="0" borderId="0" xfId="0" applyFont="1" applyBorder="1"/>
    <xf numFmtId="0" fontId="3" fillId="0" borderId="0" xfId="0" applyFont="1" applyBorder="1"/>
    <xf numFmtId="165" fontId="1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169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17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6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3" fillId="0" borderId="3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1" fontId="4" fillId="0" borderId="1" xfId="1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13" fillId="0" borderId="2" xfId="0" applyFont="1" applyBorder="1" applyAlignment="1">
      <alignment horizontal="left"/>
    </xf>
    <xf numFmtId="0" fontId="4" fillId="0" borderId="0" xfId="0" applyFont="1" applyAlignment="1">
      <alignment horizontal="right"/>
    </xf>
    <xf numFmtId="0" fontId="4" fillId="0" borderId="1" xfId="0" applyFont="1" applyBorder="1"/>
    <xf numFmtId="0" fontId="13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2"/>
  <sheetViews>
    <sheetView tabSelected="1" view="pageBreakPreview" zoomScale="115" zoomScaleNormal="100" zoomScaleSheetLayoutView="115" workbookViewId="0">
      <selection activeCell="A5" sqref="A5:H5"/>
    </sheetView>
  </sheetViews>
  <sheetFormatPr defaultRowHeight="15" x14ac:dyDescent="0.25"/>
  <cols>
    <col min="1" max="1" width="10.7109375" style="6" customWidth="1"/>
    <col min="2" max="3" width="11.7109375" style="6" customWidth="1"/>
    <col min="4" max="8" width="10.7109375" style="6" customWidth="1"/>
    <col min="9" max="9" width="9.42578125" style="6" customWidth="1"/>
    <col min="10" max="16384" width="9.140625" style="2"/>
  </cols>
  <sheetData>
    <row r="1" spans="1:9" x14ac:dyDescent="0.25">
      <c r="A1" s="68"/>
      <c r="B1" s="68"/>
      <c r="C1" s="68"/>
      <c r="D1" s="68"/>
      <c r="E1" s="68"/>
      <c r="F1" s="68"/>
      <c r="G1" s="68"/>
      <c r="H1" s="68"/>
      <c r="I1" s="1"/>
    </row>
    <row r="2" spans="1:9" x14ac:dyDescent="0.25">
      <c r="A2" s="68"/>
      <c r="B2" s="68"/>
      <c r="C2" s="68"/>
      <c r="D2" s="68"/>
      <c r="E2" s="68"/>
      <c r="F2" s="68"/>
      <c r="G2" s="68"/>
      <c r="H2" s="68"/>
      <c r="I2" s="1"/>
    </row>
    <row r="3" spans="1:9" x14ac:dyDescent="0.25">
      <c r="A3" s="68" t="s">
        <v>322</v>
      </c>
      <c r="B3" s="68"/>
      <c r="C3" s="68"/>
      <c r="D3" s="68"/>
      <c r="E3" s="68"/>
      <c r="F3" s="68"/>
      <c r="G3" s="68"/>
      <c r="H3" s="68"/>
      <c r="I3" s="1"/>
    </row>
    <row r="4" spans="1:9" x14ac:dyDescent="0.25">
      <c r="A4" s="82"/>
      <c r="B4" s="82"/>
      <c r="C4" s="82"/>
      <c r="D4" s="82"/>
      <c r="E4" s="82"/>
      <c r="F4" s="82"/>
      <c r="G4" s="82"/>
      <c r="H4" s="82"/>
      <c r="I4" s="3"/>
    </row>
    <row r="5" spans="1:9" x14ac:dyDescent="0.25">
      <c r="A5" s="82"/>
      <c r="B5" s="82"/>
      <c r="C5" s="82"/>
      <c r="D5" s="82"/>
      <c r="E5" s="82"/>
      <c r="F5" s="82"/>
      <c r="G5" s="82"/>
      <c r="H5" s="82"/>
      <c r="I5" s="3"/>
    </row>
    <row r="6" spans="1:9" x14ac:dyDescent="0.25">
      <c r="A6" s="37"/>
      <c r="B6" s="37"/>
      <c r="C6" s="37"/>
      <c r="D6" s="37"/>
      <c r="E6" s="37"/>
      <c r="F6" s="37"/>
      <c r="G6" s="37"/>
      <c r="H6" s="37"/>
      <c r="I6" s="3"/>
    </row>
    <row r="7" spans="1:9" x14ac:dyDescent="0.25">
      <c r="A7" s="84" t="s">
        <v>259</v>
      </c>
      <c r="B7" s="84"/>
      <c r="C7" s="84"/>
      <c r="D7" s="84"/>
      <c r="E7" s="84"/>
      <c r="F7" s="84"/>
      <c r="G7" s="84"/>
      <c r="H7" s="84"/>
      <c r="I7" s="3"/>
    </row>
    <row r="8" spans="1:9" x14ac:dyDescent="0.25">
      <c r="A8" s="5"/>
      <c r="B8" s="5"/>
      <c r="C8" s="5"/>
      <c r="D8" s="5"/>
      <c r="E8" s="5"/>
      <c r="F8" s="5"/>
      <c r="G8" s="5"/>
      <c r="H8" s="5"/>
      <c r="I8" s="3"/>
    </row>
    <row r="9" spans="1:9" x14ac:dyDescent="0.25">
      <c r="A9" s="85" t="s">
        <v>247</v>
      </c>
      <c r="B9" s="85"/>
      <c r="C9" s="85"/>
      <c r="D9" s="41" t="s">
        <v>248</v>
      </c>
      <c r="E9" s="42"/>
      <c r="F9" s="43" t="s">
        <v>37</v>
      </c>
      <c r="G9" s="43"/>
      <c r="H9" s="44"/>
      <c r="I9" s="3"/>
    </row>
    <row r="10" spans="1:9" x14ac:dyDescent="0.25">
      <c r="A10" s="85" t="s">
        <v>249</v>
      </c>
      <c r="B10" s="85"/>
      <c r="C10" s="85"/>
      <c r="D10" s="45" t="s">
        <v>38</v>
      </c>
      <c r="E10" s="42"/>
      <c r="F10" s="42"/>
      <c r="G10" s="42"/>
      <c r="H10" s="44"/>
      <c r="I10" s="3"/>
    </row>
    <row r="11" spans="1:9" x14ac:dyDescent="0.25">
      <c r="A11" s="85" t="s">
        <v>250</v>
      </c>
      <c r="B11" s="85"/>
      <c r="C11" s="85"/>
      <c r="D11" s="41"/>
      <c r="E11" s="42"/>
      <c r="F11" s="42"/>
      <c r="G11" s="42"/>
      <c r="H11" s="44"/>
      <c r="I11" s="3"/>
    </row>
    <row r="12" spans="1:9" x14ac:dyDescent="0.25">
      <c r="A12" s="85" t="s">
        <v>251</v>
      </c>
      <c r="B12" s="85"/>
      <c r="C12" s="85"/>
      <c r="D12" s="46"/>
      <c r="E12" s="42"/>
      <c r="F12" s="42"/>
      <c r="G12" s="42"/>
      <c r="H12" s="44"/>
    </row>
    <row r="13" spans="1:9" x14ac:dyDescent="0.25">
      <c r="A13" s="85" t="s">
        <v>252</v>
      </c>
      <c r="B13" s="85"/>
      <c r="C13" s="85"/>
      <c r="D13" s="45" t="s">
        <v>258</v>
      </c>
      <c r="E13" s="42"/>
      <c r="F13" s="42"/>
      <c r="G13" s="42"/>
      <c r="H13" s="44"/>
      <c r="I13" s="4"/>
    </row>
    <row r="14" spans="1:9" x14ac:dyDescent="0.25">
      <c r="A14" s="85" t="s">
        <v>253</v>
      </c>
      <c r="B14" s="85"/>
      <c r="C14" s="85"/>
      <c r="D14" s="46" t="s">
        <v>257</v>
      </c>
      <c r="E14" s="42"/>
      <c r="F14" s="42"/>
      <c r="G14" s="42"/>
      <c r="H14" s="44"/>
      <c r="I14" s="4"/>
    </row>
    <row r="15" spans="1:9" x14ac:dyDescent="0.25">
      <c r="A15" s="85" t="s">
        <v>254</v>
      </c>
      <c r="B15" s="85"/>
      <c r="C15" s="85"/>
      <c r="D15" s="41" t="s">
        <v>255</v>
      </c>
      <c r="E15" s="42"/>
      <c r="F15" s="42"/>
      <c r="G15" s="42"/>
      <c r="H15" s="44"/>
    </row>
    <row r="16" spans="1:9" x14ac:dyDescent="0.25">
      <c r="B16" s="38"/>
      <c r="H16" s="7"/>
    </row>
    <row r="17" spans="1:9" x14ac:dyDescent="0.25">
      <c r="A17" s="6" t="s">
        <v>0</v>
      </c>
    </row>
    <row r="18" spans="1:9" ht="15" customHeight="1" x14ac:dyDescent="0.25">
      <c r="A18" s="71" t="s">
        <v>24</v>
      </c>
      <c r="B18" s="72"/>
      <c r="C18" s="73"/>
      <c r="D18" s="69" t="s">
        <v>25</v>
      </c>
      <c r="E18" s="69"/>
      <c r="F18" s="69" t="s">
        <v>26</v>
      </c>
      <c r="G18" s="69"/>
      <c r="H18" s="13"/>
    </row>
    <row r="19" spans="1:9" x14ac:dyDescent="0.25">
      <c r="A19" s="74" t="s">
        <v>27</v>
      </c>
      <c r="B19" s="75"/>
      <c r="C19" s="76"/>
      <c r="D19" s="70" t="s">
        <v>39</v>
      </c>
      <c r="E19" s="70"/>
      <c r="F19" s="71" t="s">
        <v>28</v>
      </c>
      <c r="G19" s="73"/>
      <c r="H19" s="10"/>
    </row>
    <row r="20" spans="1:9" x14ac:dyDescent="0.25">
      <c r="A20" s="77" t="s">
        <v>29</v>
      </c>
      <c r="B20" s="77"/>
      <c r="C20" s="77"/>
      <c r="D20" s="70" t="s">
        <v>40</v>
      </c>
      <c r="E20" s="70"/>
      <c r="F20" s="71" t="s">
        <v>30</v>
      </c>
      <c r="G20" s="73"/>
      <c r="H20" s="10"/>
    </row>
    <row r="21" spans="1:9" x14ac:dyDescent="0.25">
      <c r="A21" s="74" t="s">
        <v>31</v>
      </c>
      <c r="B21" s="75"/>
      <c r="C21" s="76"/>
      <c r="D21" s="78" t="s">
        <v>41</v>
      </c>
      <c r="E21" s="79"/>
      <c r="F21" s="71" t="s">
        <v>32</v>
      </c>
      <c r="G21" s="73"/>
      <c r="H21" s="10"/>
    </row>
    <row r="22" spans="1:9" x14ac:dyDescent="0.25">
      <c r="A22" s="74" t="s">
        <v>33</v>
      </c>
      <c r="B22" s="75"/>
      <c r="C22" s="76"/>
      <c r="D22" s="80"/>
      <c r="E22" s="81"/>
      <c r="F22" s="71" t="s">
        <v>34</v>
      </c>
      <c r="G22" s="73"/>
      <c r="H22" s="10"/>
    </row>
    <row r="23" spans="1:9" x14ac:dyDescent="0.25">
      <c r="A23" s="74" t="s">
        <v>2</v>
      </c>
      <c r="B23" s="75"/>
      <c r="C23" s="76"/>
      <c r="D23" s="80"/>
      <c r="E23" s="81"/>
      <c r="F23" s="71" t="s">
        <v>35</v>
      </c>
      <c r="G23" s="73"/>
      <c r="H23" s="10"/>
    </row>
    <row r="24" spans="1:9" x14ac:dyDescent="0.25">
      <c r="A24" s="39"/>
      <c r="B24" s="39"/>
      <c r="C24" s="39"/>
      <c r="D24" s="40"/>
      <c r="E24" s="40"/>
      <c r="F24" s="32"/>
      <c r="G24" s="32"/>
      <c r="H24" s="10"/>
    </row>
    <row r="25" spans="1:9" x14ac:dyDescent="0.25">
      <c r="A25" s="8" t="s">
        <v>36</v>
      </c>
      <c r="B25" s="39"/>
      <c r="C25" s="39"/>
      <c r="D25" s="40"/>
      <c r="E25" s="40"/>
      <c r="F25" s="32"/>
      <c r="G25" s="32"/>
      <c r="H25" s="10"/>
    </row>
    <row r="26" spans="1:9" x14ac:dyDescent="0.25">
      <c r="A26" s="39"/>
      <c r="B26" s="39"/>
      <c r="C26" s="39"/>
      <c r="D26" s="40"/>
      <c r="E26" s="40"/>
      <c r="F26" s="32"/>
      <c r="G26" s="32"/>
      <c r="H26" s="10"/>
    </row>
    <row r="27" spans="1:9" x14ac:dyDescent="0.25">
      <c r="A27" s="6" t="s">
        <v>22</v>
      </c>
    </row>
    <row r="28" spans="1:9" x14ac:dyDescent="0.25">
      <c r="A28" s="6" t="s">
        <v>23</v>
      </c>
    </row>
    <row r="29" spans="1:9" x14ac:dyDescent="0.25">
      <c r="A29" s="11" t="s">
        <v>1</v>
      </c>
      <c r="B29" s="11"/>
      <c r="C29" s="11"/>
      <c r="D29" s="11"/>
      <c r="E29" s="11"/>
      <c r="F29" s="11"/>
      <c r="G29" s="11"/>
      <c r="H29" s="11"/>
      <c r="I29" s="11"/>
    </row>
    <row r="30" spans="1:9" x14ac:dyDescent="0.25">
      <c r="A30" s="4" t="s">
        <v>8</v>
      </c>
      <c r="B30" s="12"/>
      <c r="C30" s="12"/>
      <c r="D30" s="12"/>
      <c r="E30" s="12"/>
      <c r="F30" s="12"/>
      <c r="G30" s="12"/>
      <c r="H30" s="12"/>
      <c r="I30" s="12"/>
    </row>
    <row r="31" spans="1:9" ht="15" customHeight="1" x14ac:dyDescent="0.25">
      <c r="A31" s="61" t="s">
        <v>281</v>
      </c>
      <c r="B31" s="61" t="s">
        <v>263</v>
      </c>
      <c r="C31" s="61"/>
      <c r="D31" s="61" t="s">
        <v>260</v>
      </c>
      <c r="E31" s="61"/>
      <c r="F31" s="61" t="s">
        <v>319</v>
      </c>
      <c r="G31" s="61"/>
      <c r="I31" s="13"/>
    </row>
    <row r="32" spans="1:9" x14ac:dyDescent="0.25">
      <c r="A32" s="61"/>
      <c r="B32" s="61"/>
      <c r="C32" s="61"/>
      <c r="D32" s="61"/>
      <c r="E32" s="61"/>
      <c r="F32" s="55" t="s">
        <v>320</v>
      </c>
      <c r="G32" s="55" t="s">
        <v>321</v>
      </c>
      <c r="I32" s="13"/>
    </row>
    <row r="33" spans="1:9" x14ac:dyDescent="0.25">
      <c r="A33" s="61">
        <v>0.1</v>
      </c>
      <c r="B33" s="47">
        <v>5</v>
      </c>
      <c r="C33" s="65" t="s">
        <v>261</v>
      </c>
      <c r="D33" s="53" t="s">
        <v>44</v>
      </c>
      <c r="E33" s="65" t="s">
        <v>261</v>
      </c>
      <c r="F33" s="57">
        <f>B33-((B33*0.005/100)+(A33*1000*0.0035/100))</f>
        <v>4.9962499999999999</v>
      </c>
      <c r="G33" s="57">
        <f>B33+((B33*0.005/100)+(A33*1000*0.0035/100))</f>
        <v>5.0037500000000001</v>
      </c>
      <c r="I33" s="10"/>
    </row>
    <row r="34" spans="1:9" x14ac:dyDescent="0.25">
      <c r="A34" s="61"/>
      <c r="B34" s="47">
        <v>50</v>
      </c>
      <c r="C34" s="65"/>
      <c r="D34" s="53" t="s">
        <v>45</v>
      </c>
      <c r="E34" s="65"/>
      <c r="F34" s="16">
        <f t="shared" ref="F34:F35" si="0">B34-((B34*0.005/100)+(A34*1000*0.0035/100))</f>
        <v>49.997500000000002</v>
      </c>
      <c r="G34" s="16">
        <f t="shared" ref="G34:G35" si="1">B34+((B34*0.005/100)+(A34*1000*0.0035/100))</f>
        <v>50.002499999999998</v>
      </c>
      <c r="I34" s="23"/>
    </row>
    <row r="35" spans="1:9" x14ac:dyDescent="0.25">
      <c r="A35" s="61"/>
      <c r="B35" s="47">
        <v>95</v>
      </c>
      <c r="C35" s="65"/>
      <c r="D35" s="53" t="s">
        <v>46</v>
      </c>
      <c r="E35" s="65"/>
      <c r="F35" s="57">
        <f t="shared" si="0"/>
        <v>94.995249999999999</v>
      </c>
      <c r="G35" s="57">
        <f t="shared" si="1"/>
        <v>95.004750000000001</v>
      </c>
      <c r="I35" s="10"/>
    </row>
    <row r="36" spans="1:9" x14ac:dyDescent="0.25">
      <c r="A36" s="61">
        <v>1</v>
      </c>
      <c r="B36" s="47">
        <v>50</v>
      </c>
      <c r="C36" s="65"/>
      <c r="D36" s="53" t="s">
        <v>47</v>
      </c>
      <c r="E36" s="65"/>
      <c r="F36" s="57">
        <f>B36-((B36*0.0035/100)+(A36*1000*0.0007/100))</f>
        <v>49.991250000000001</v>
      </c>
      <c r="G36" s="57">
        <f>B36+((B36*0.0035/100)+(A36*1000*0.0007/100))</f>
        <v>50.008749999999999</v>
      </c>
      <c r="I36" s="10"/>
    </row>
    <row r="37" spans="1:9" x14ac:dyDescent="0.25">
      <c r="A37" s="61"/>
      <c r="B37" s="48">
        <v>0.5</v>
      </c>
      <c r="C37" s="65" t="s">
        <v>262</v>
      </c>
      <c r="D37" s="53" t="s">
        <v>48</v>
      </c>
      <c r="E37" s="65" t="s">
        <v>262</v>
      </c>
      <c r="F37" s="59">
        <f>B37-((B37*0.0035/100)+(A37*0.0007/100))</f>
        <v>0.4999825</v>
      </c>
      <c r="G37" s="59">
        <f>B37+((B37*0.0035/100)+(A37*0.0007/100))</f>
        <v>0.5000175</v>
      </c>
      <c r="I37" s="10"/>
    </row>
    <row r="38" spans="1:9" x14ac:dyDescent="0.25">
      <c r="A38" s="61"/>
      <c r="B38" s="17">
        <v>0.95</v>
      </c>
      <c r="C38" s="65"/>
      <c r="D38" s="53" t="s">
        <v>49</v>
      </c>
      <c r="E38" s="65"/>
      <c r="F38" s="60">
        <f>B38-((B38*0.0035/100)+(A38*0.0007/100))</f>
        <v>0.94996674999999997</v>
      </c>
      <c r="G38" s="60">
        <f>B38+((B38*0.0035/100)+(A38*0.0007/100))</f>
        <v>0.95003324999999994</v>
      </c>
      <c r="I38" s="10"/>
    </row>
    <row r="39" spans="1:9" x14ac:dyDescent="0.25">
      <c r="A39" s="61">
        <v>10</v>
      </c>
      <c r="B39" s="48">
        <v>0.5</v>
      </c>
      <c r="C39" s="65"/>
      <c r="D39" s="53" t="s">
        <v>50</v>
      </c>
      <c r="E39" s="65"/>
      <c r="F39" s="58">
        <f>B39-((B39*0.003/100)+(A39*0.0005/100))</f>
        <v>0.49993500000000002</v>
      </c>
      <c r="G39" s="58">
        <f>B39+((B39*0.003/100)+(A39*0.0005/100))</f>
        <v>0.50006499999999998</v>
      </c>
      <c r="I39" s="18"/>
    </row>
    <row r="40" spans="1:9" x14ac:dyDescent="0.25">
      <c r="A40" s="61"/>
      <c r="B40" s="47">
        <v>5</v>
      </c>
      <c r="C40" s="65"/>
      <c r="D40" s="53" t="s">
        <v>51</v>
      </c>
      <c r="E40" s="65"/>
      <c r="F40" s="57">
        <f t="shared" ref="F40:F41" si="2">B40-((B40*0.003/100)+(A40*0.0005/100))</f>
        <v>4.9998500000000003</v>
      </c>
      <c r="G40" s="57">
        <f t="shared" ref="G40:G41" si="3">B40+((B40*0.003/100)+(A40*0.0005/100))</f>
        <v>5.0001499999999997</v>
      </c>
      <c r="I40" s="18"/>
    </row>
    <row r="41" spans="1:9" x14ac:dyDescent="0.25">
      <c r="A41" s="61"/>
      <c r="B41" s="48">
        <v>9.5</v>
      </c>
      <c r="C41" s="65"/>
      <c r="D41" s="53" t="s">
        <v>52</v>
      </c>
      <c r="E41" s="65"/>
      <c r="F41" s="58">
        <f t="shared" si="2"/>
        <v>9.4997150000000001</v>
      </c>
      <c r="G41" s="58">
        <f t="shared" si="3"/>
        <v>9.5002849999999999</v>
      </c>
      <c r="I41" s="18"/>
    </row>
    <row r="42" spans="1:9" x14ac:dyDescent="0.25">
      <c r="A42" s="61">
        <v>100</v>
      </c>
      <c r="B42" s="47">
        <v>5</v>
      </c>
      <c r="C42" s="65"/>
      <c r="D42" s="53" t="s">
        <v>53</v>
      </c>
      <c r="E42" s="65"/>
      <c r="F42" s="16">
        <f>B42-((B42*0.004/100)+(A42*0.0006/100))</f>
        <v>4.9992000000000001</v>
      </c>
      <c r="G42" s="16">
        <f>B42+((B42*0.004/100)+(A42*0.0006/100))</f>
        <v>5.0007999999999999</v>
      </c>
      <c r="I42" s="18"/>
    </row>
    <row r="43" spans="1:9" x14ac:dyDescent="0.25">
      <c r="A43" s="61"/>
      <c r="B43" s="47">
        <v>50</v>
      </c>
      <c r="C43" s="65"/>
      <c r="D43" s="53" t="s">
        <v>54</v>
      </c>
      <c r="E43" s="65"/>
      <c r="F43" s="15">
        <f t="shared" ref="F43:F47" si="4">B43-((B43*0.004/100)+(A43*0.0006/100))</f>
        <v>49.997999999999998</v>
      </c>
      <c r="G43" s="15">
        <f t="shared" ref="G43:G47" si="5">B43+((B43*0.004/100)+(A43*0.0006/100))</f>
        <v>50.002000000000002</v>
      </c>
      <c r="I43" s="18"/>
    </row>
    <row r="44" spans="1:9" x14ac:dyDescent="0.25">
      <c r="A44" s="61"/>
      <c r="B44" s="47">
        <v>95</v>
      </c>
      <c r="C44" s="65"/>
      <c r="D44" s="53" t="s">
        <v>55</v>
      </c>
      <c r="E44" s="65"/>
      <c r="F44" s="16">
        <f t="shared" si="4"/>
        <v>94.996200000000002</v>
      </c>
      <c r="G44" s="16">
        <f t="shared" si="5"/>
        <v>95.003799999999998</v>
      </c>
      <c r="I44" s="18"/>
    </row>
    <row r="45" spans="1:9" x14ac:dyDescent="0.25">
      <c r="A45" s="83">
        <v>1000</v>
      </c>
      <c r="B45" s="47">
        <v>50</v>
      </c>
      <c r="C45" s="65"/>
      <c r="D45" s="53" t="s">
        <v>56</v>
      </c>
      <c r="E45" s="65"/>
      <c r="F45" s="15">
        <f t="shared" si="4"/>
        <v>49.991999999999997</v>
      </c>
      <c r="G45" s="15">
        <f t="shared" si="5"/>
        <v>50.008000000000003</v>
      </c>
      <c r="I45" s="18"/>
    </row>
    <row r="46" spans="1:9" x14ac:dyDescent="0.25">
      <c r="A46" s="83"/>
      <c r="B46" s="47">
        <v>500</v>
      </c>
      <c r="C46" s="65"/>
      <c r="D46" s="53" t="s">
        <v>57</v>
      </c>
      <c r="E46" s="65"/>
      <c r="F46" s="17">
        <f t="shared" si="4"/>
        <v>499.98</v>
      </c>
      <c r="G46" s="17">
        <f t="shared" si="5"/>
        <v>500.02</v>
      </c>
      <c r="I46" s="18"/>
    </row>
    <row r="47" spans="1:9" x14ac:dyDescent="0.25">
      <c r="A47" s="83"/>
      <c r="B47" s="47">
        <v>950</v>
      </c>
      <c r="C47" s="65"/>
      <c r="D47" s="53" t="s">
        <v>58</v>
      </c>
      <c r="E47" s="65"/>
      <c r="F47" s="15">
        <f t="shared" si="4"/>
        <v>949.96199999999999</v>
      </c>
      <c r="G47" s="15">
        <f t="shared" si="5"/>
        <v>950.03800000000001</v>
      </c>
      <c r="I47" s="18"/>
    </row>
    <row r="49" spans="1:8" ht="15" customHeight="1" x14ac:dyDescent="0.25">
      <c r="A49" s="4" t="s">
        <v>9</v>
      </c>
      <c r="B49" s="12"/>
      <c r="C49" s="12"/>
      <c r="D49" s="12"/>
      <c r="E49" s="12"/>
      <c r="F49" s="12"/>
      <c r="G49" s="12"/>
      <c r="H49" s="12"/>
    </row>
    <row r="50" spans="1:8" ht="15" customHeight="1" x14ac:dyDescent="0.25">
      <c r="A50" s="61" t="s">
        <v>266</v>
      </c>
      <c r="B50" s="61" t="s">
        <v>263</v>
      </c>
      <c r="C50" s="61"/>
      <c r="D50" s="61" t="s">
        <v>2</v>
      </c>
      <c r="E50" s="61" t="s">
        <v>260</v>
      </c>
      <c r="F50" s="61"/>
      <c r="G50" s="61" t="s">
        <v>319</v>
      </c>
      <c r="H50" s="61"/>
    </row>
    <row r="51" spans="1:8" x14ac:dyDescent="0.25">
      <c r="A51" s="61"/>
      <c r="B51" s="61"/>
      <c r="C51" s="61"/>
      <c r="D51" s="61"/>
      <c r="E51" s="61"/>
      <c r="F51" s="61"/>
      <c r="G51" s="55" t="s">
        <v>320</v>
      </c>
      <c r="H51" s="55" t="s">
        <v>321</v>
      </c>
    </row>
    <row r="52" spans="1:8" x14ac:dyDescent="0.25">
      <c r="A52" s="65" t="s">
        <v>282</v>
      </c>
      <c r="B52" s="66">
        <v>5</v>
      </c>
      <c r="C52" s="66" t="s">
        <v>261</v>
      </c>
      <c r="D52" s="49" t="s">
        <v>5</v>
      </c>
      <c r="E52" s="53" t="s">
        <v>59</v>
      </c>
      <c r="F52" s="66" t="s">
        <v>261</v>
      </c>
      <c r="G52" s="15">
        <f>B52-((B52*0.1/100)+(100*0.03/100))</f>
        <v>4.9649999999999999</v>
      </c>
      <c r="H52" s="15">
        <f>B52+((B52*0.1/100)+(100*0.03/100))</f>
        <v>5.0350000000000001</v>
      </c>
    </row>
    <row r="53" spans="1:8" x14ac:dyDescent="0.25">
      <c r="A53" s="65"/>
      <c r="B53" s="66"/>
      <c r="C53" s="66"/>
      <c r="D53" s="49" t="s">
        <v>10</v>
      </c>
      <c r="E53" s="53" t="s">
        <v>60</v>
      </c>
      <c r="F53" s="66"/>
      <c r="G53" s="15">
        <f>B52-((B52*0.06/100)+(100*0.03/100))</f>
        <v>4.9669999999999996</v>
      </c>
      <c r="H53" s="15">
        <f>B52+((B52*0.06/100)+(100*0.03/100))</f>
        <v>5.0330000000000004</v>
      </c>
    </row>
    <row r="54" spans="1:8" x14ac:dyDescent="0.25">
      <c r="A54" s="65"/>
      <c r="B54" s="66"/>
      <c r="C54" s="66"/>
      <c r="D54" s="49" t="s">
        <v>6</v>
      </c>
      <c r="E54" s="53" t="s">
        <v>61</v>
      </c>
      <c r="F54" s="66"/>
      <c r="G54" s="15">
        <f>B52-((B52*0.06/100)+(100*0.03/100))</f>
        <v>4.9669999999999996</v>
      </c>
      <c r="H54" s="15">
        <f>B52+((B52*0.06/100)+(100*0.03/100))</f>
        <v>5.0330000000000004</v>
      </c>
    </row>
    <row r="55" spans="1:8" x14ac:dyDescent="0.25">
      <c r="A55" s="65"/>
      <c r="B55" s="66"/>
      <c r="C55" s="66"/>
      <c r="D55" s="49" t="s">
        <v>3</v>
      </c>
      <c r="E55" s="53" t="s">
        <v>62</v>
      </c>
      <c r="F55" s="66"/>
      <c r="G55" s="15">
        <f>B52-((B52*0.1/100)+(100*0.05/100))</f>
        <v>4.9450000000000003</v>
      </c>
      <c r="H55" s="15">
        <f>B52+((B52*0.1/100)+(100*0.05/100))</f>
        <v>5.0549999999999997</v>
      </c>
    </row>
    <row r="56" spans="1:8" x14ac:dyDescent="0.25">
      <c r="A56" s="65"/>
      <c r="B56" s="66"/>
      <c r="C56" s="66"/>
      <c r="D56" s="49" t="s">
        <v>7</v>
      </c>
      <c r="E56" s="53" t="s">
        <v>63</v>
      </c>
      <c r="F56" s="66"/>
      <c r="G56" s="48">
        <f>B52-((B52*0.4/100)+(100*0.08/100))</f>
        <v>4.9000000000000004</v>
      </c>
      <c r="H56" s="48">
        <f>B52+((B52*0.4/100)+(100*0.08/100))</f>
        <v>5.0999999999999996</v>
      </c>
    </row>
    <row r="57" spans="1:8" x14ac:dyDescent="0.25">
      <c r="A57" s="65"/>
      <c r="B57" s="66"/>
      <c r="C57" s="66"/>
      <c r="D57" s="49" t="s">
        <v>4</v>
      </c>
      <c r="E57" s="53" t="s">
        <v>64</v>
      </c>
      <c r="F57" s="66"/>
      <c r="G57" s="17">
        <f>B52-((B52*1.2/100)+(100*0.5/100))</f>
        <v>4.4399999999999995</v>
      </c>
      <c r="H57" s="17">
        <f>B52+((B52*1.2/100)+(100*0.5/100))</f>
        <v>5.5600000000000005</v>
      </c>
    </row>
    <row r="58" spans="1:8" x14ac:dyDescent="0.25">
      <c r="A58" s="65"/>
      <c r="B58" s="66">
        <v>50</v>
      </c>
      <c r="C58" s="66" t="s">
        <v>261</v>
      </c>
      <c r="D58" s="49" t="s">
        <v>5</v>
      </c>
      <c r="E58" s="53" t="s">
        <v>65</v>
      </c>
      <c r="F58" s="66" t="s">
        <v>261</v>
      </c>
      <c r="G58" s="15">
        <f>B58-((B58*0.1/100)+(100*0.03/100))</f>
        <v>49.92</v>
      </c>
      <c r="H58" s="15">
        <f>B58+((B58*0.1/100)+(100*0.03/100))</f>
        <v>50.08</v>
      </c>
    </row>
    <row r="59" spans="1:8" x14ac:dyDescent="0.25">
      <c r="A59" s="65"/>
      <c r="B59" s="66"/>
      <c r="C59" s="66"/>
      <c r="D59" s="49" t="s">
        <v>10</v>
      </c>
      <c r="E59" s="53" t="s">
        <v>66</v>
      </c>
      <c r="F59" s="66"/>
      <c r="G59" s="15">
        <f>B58-((B58*0.06/100)+(100*0.03/100))</f>
        <v>49.94</v>
      </c>
      <c r="H59" s="15">
        <f>B58+((B58*0.06/100)+(100*0.03/100))</f>
        <v>50.06</v>
      </c>
    </row>
    <row r="60" spans="1:8" x14ac:dyDescent="0.25">
      <c r="A60" s="65"/>
      <c r="B60" s="66"/>
      <c r="C60" s="66"/>
      <c r="D60" s="49" t="s">
        <v>6</v>
      </c>
      <c r="E60" s="53" t="s">
        <v>67</v>
      </c>
      <c r="F60" s="66"/>
      <c r="G60" s="15">
        <f>B58-((B58*0.06/100)+(100*0.03/100))</f>
        <v>49.94</v>
      </c>
      <c r="H60" s="15">
        <f>B58+((B58*0.06/100)+(100*0.03/100))</f>
        <v>50.06</v>
      </c>
    </row>
    <row r="61" spans="1:8" x14ac:dyDescent="0.25">
      <c r="A61" s="65"/>
      <c r="B61" s="66"/>
      <c r="C61" s="66"/>
      <c r="D61" s="49" t="s">
        <v>3</v>
      </c>
      <c r="E61" s="53" t="s">
        <v>68</v>
      </c>
      <c r="F61" s="66"/>
      <c r="G61" s="15">
        <f>B58-((B58*0.1/100)+(100*0.05/100))</f>
        <v>49.9</v>
      </c>
      <c r="H61" s="15">
        <f>B58+((B58*0.1/100)+(100*0.05/100))</f>
        <v>50.1</v>
      </c>
    </row>
    <row r="62" spans="1:8" x14ac:dyDescent="0.25">
      <c r="A62" s="65"/>
      <c r="B62" s="66"/>
      <c r="C62" s="66"/>
      <c r="D62" s="49" t="s">
        <v>7</v>
      </c>
      <c r="E62" s="53" t="s">
        <v>69</v>
      </c>
      <c r="F62" s="66"/>
      <c r="G62" s="48">
        <f>B58-((B58*0.4/100)+(100*0.08/100))</f>
        <v>49.72</v>
      </c>
      <c r="H62" s="48">
        <f>B58+((B58*0.4/100)+(100*0.08/100))</f>
        <v>50.28</v>
      </c>
    </row>
    <row r="63" spans="1:8" x14ac:dyDescent="0.25">
      <c r="A63" s="65"/>
      <c r="B63" s="66"/>
      <c r="C63" s="66"/>
      <c r="D63" s="49" t="s">
        <v>4</v>
      </c>
      <c r="E63" s="53" t="s">
        <v>70</v>
      </c>
      <c r="F63" s="66"/>
      <c r="G63" s="17">
        <f>B58-((B58*1.2/100)+(100*0.5/100))</f>
        <v>48.9</v>
      </c>
      <c r="H63" s="17">
        <f>B58+((B58*1.2/100)+(100*0.5/100))</f>
        <v>51.1</v>
      </c>
    </row>
    <row r="64" spans="1:8" x14ac:dyDescent="0.25">
      <c r="A64" s="65"/>
      <c r="B64" s="66">
        <v>95</v>
      </c>
      <c r="C64" s="66" t="s">
        <v>261</v>
      </c>
      <c r="D64" s="49" t="s">
        <v>5</v>
      </c>
      <c r="E64" s="53" t="s">
        <v>71</v>
      </c>
      <c r="F64" s="66" t="s">
        <v>261</v>
      </c>
      <c r="G64" s="15">
        <f>B64-((B64*0.1/100)+(100*0.03/100))</f>
        <v>94.875</v>
      </c>
      <c r="H64" s="15">
        <f>B64+((B64*0.1/100)+(100*0.03/100))</f>
        <v>95.125</v>
      </c>
    </row>
    <row r="65" spans="1:8" x14ac:dyDescent="0.25">
      <c r="A65" s="65"/>
      <c r="B65" s="66"/>
      <c r="C65" s="66"/>
      <c r="D65" s="49" t="s">
        <v>10</v>
      </c>
      <c r="E65" s="53" t="s">
        <v>72</v>
      </c>
      <c r="F65" s="66"/>
      <c r="G65" s="15">
        <f>B64-((B64*0.06/100)+(100*0.03/100))</f>
        <v>94.912999999999997</v>
      </c>
      <c r="H65" s="15">
        <f>B64+((B64*0.06/100)+(100*0.03/100))</f>
        <v>95.087000000000003</v>
      </c>
    </row>
    <row r="66" spans="1:8" x14ac:dyDescent="0.25">
      <c r="A66" s="65"/>
      <c r="B66" s="66"/>
      <c r="C66" s="66"/>
      <c r="D66" s="49" t="s">
        <v>6</v>
      </c>
      <c r="E66" s="53" t="s">
        <v>73</v>
      </c>
      <c r="F66" s="66"/>
      <c r="G66" s="15">
        <f>B64-((B64*0.06/100)+(100*0.03/100))</f>
        <v>94.912999999999997</v>
      </c>
      <c r="H66" s="15">
        <f>B64+((B64*0.06/100)+(100*0.03/100))</f>
        <v>95.087000000000003</v>
      </c>
    </row>
    <row r="67" spans="1:8" x14ac:dyDescent="0.25">
      <c r="A67" s="65"/>
      <c r="B67" s="66"/>
      <c r="C67" s="66"/>
      <c r="D67" s="49" t="s">
        <v>3</v>
      </c>
      <c r="E67" s="53" t="s">
        <v>74</v>
      </c>
      <c r="F67" s="66"/>
      <c r="G67" s="15">
        <f>B64-((B64*0.1/100)+(100*0.05/100))</f>
        <v>94.855000000000004</v>
      </c>
      <c r="H67" s="15">
        <f>B64+((B64*0.1/100)+(100*0.05/100))</f>
        <v>95.144999999999996</v>
      </c>
    </row>
    <row r="68" spans="1:8" x14ac:dyDescent="0.25">
      <c r="A68" s="65"/>
      <c r="B68" s="66"/>
      <c r="C68" s="66"/>
      <c r="D68" s="49" t="s">
        <v>7</v>
      </c>
      <c r="E68" s="53" t="s">
        <v>75</v>
      </c>
      <c r="F68" s="66"/>
      <c r="G68" s="48">
        <f>B64-((B64*0.4/100)+(100*0.08/100))</f>
        <v>94.54</v>
      </c>
      <c r="H68" s="48">
        <f>B64+((B64*0.4/100)+(100*0.08/100))</f>
        <v>95.46</v>
      </c>
    </row>
    <row r="69" spans="1:8" x14ac:dyDescent="0.25">
      <c r="A69" s="65"/>
      <c r="B69" s="66"/>
      <c r="C69" s="66"/>
      <c r="D69" s="49" t="s">
        <v>4</v>
      </c>
      <c r="E69" s="53" t="s">
        <v>76</v>
      </c>
      <c r="F69" s="66"/>
      <c r="G69" s="17">
        <f>B64-((B64*1.2/100)+(100*0.5/100))</f>
        <v>93.36</v>
      </c>
      <c r="H69" s="17">
        <f>B64+((B64*1.2/100)+(100*0.5/100))</f>
        <v>96.64</v>
      </c>
    </row>
    <row r="70" spans="1:8" x14ac:dyDescent="0.25">
      <c r="A70" s="65" t="s">
        <v>283</v>
      </c>
      <c r="B70" s="66">
        <v>50</v>
      </c>
      <c r="C70" s="66" t="s">
        <v>261</v>
      </c>
      <c r="D70" s="49" t="s">
        <v>5</v>
      </c>
      <c r="E70" s="53" t="s">
        <v>77</v>
      </c>
      <c r="F70" s="66" t="s">
        <v>261</v>
      </c>
      <c r="G70" s="15">
        <f>B70-((B70*0.1/100)+(1000*0.03/100))</f>
        <v>49.65</v>
      </c>
      <c r="H70" s="15">
        <f>B70+((B70*0.1/100)+(1000*0.03/100))</f>
        <v>50.35</v>
      </c>
    </row>
    <row r="71" spans="1:8" x14ac:dyDescent="0.25">
      <c r="A71" s="65"/>
      <c r="B71" s="66"/>
      <c r="C71" s="66"/>
      <c r="D71" s="49" t="s">
        <v>10</v>
      </c>
      <c r="E71" s="53" t="s">
        <v>78</v>
      </c>
      <c r="F71" s="66"/>
      <c r="G71" s="15">
        <f>B70-((B70*0.06/100)+(1000*0.03/100))</f>
        <v>49.67</v>
      </c>
      <c r="H71" s="15">
        <f>B70+((B70*0.06/100)+(1000*0.03/100))</f>
        <v>50.33</v>
      </c>
    </row>
    <row r="72" spans="1:8" x14ac:dyDescent="0.25">
      <c r="A72" s="65"/>
      <c r="B72" s="66"/>
      <c r="C72" s="66"/>
      <c r="D72" s="49" t="s">
        <v>6</v>
      </c>
      <c r="E72" s="53" t="s">
        <v>79</v>
      </c>
      <c r="F72" s="66"/>
      <c r="G72" s="15">
        <f>B70-((B70*0.06/100)+(1000*0.03/100))</f>
        <v>49.67</v>
      </c>
      <c r="H72" s="15">
        <f>B70+((B70*0.06/100)+(1000*0.03/100))</f>
        <v>50.33</v>
      </c>
    </row>
    <row r="73" spans="1:8" x14ac:dyDescent="0.25">
      <c r="A73" s="65"/>
      <c r="B73" s="66"/>
      <c r="C73" s="66"/>
      <c r="D73" s="49" t="s">
        <v>3</v>
      </c>
      <c r="E73" s="53" t="s">
        <v>80</v>
      </c>
      <c r="F73" s="66"/>
      <c r="G73" s="15">
        <f>B70-((B70*0.1/100)+(1000*0.05/100))</f>
        <v>49.45</v>
      </c>
      <c r="H73" s="15">
        <f>B70+((B70*0.1/100)+(1000*0.05/100))</f>
        <v>50.55</v>
      </c>
    </row>
    <row r="74" spans="1:8" x14ac:dyDescent="0.25">
      <c r="A74" s="65"/>
      <c r="B74" s="66"/>
      <c r="C74" s="66"/>
      <c r="D74" s="49" t="s">
        <v>7</v>
      </c>
      <c r="E74" s="53" t="s">
        <v>81</v>
      </c>
      <c r="F74" s="66"/>
      <c r="G74" s="48">
        <f>B70-((B70*0.4/100)+(1000*0.08/100))</f>
        <v>49</v>
      </c>
      <c r="H74" s="48">
        <f>B70+((B70*0.4/100)+(1000*0.08/100))</f>
        <v>51</v>
      </c>
    </row>
    <row r="75" spans="1:8" x14ac:dyDescent="0.25">
      <c r="A75" s="65"/>
      <c r="B75" s="66"/>
      <c r="C75" s="66"/>
      <c r="D75" s="49" t="s">
        <v>4</v>
      </c>
      <c r="E75" s="53" t="s">
        <v>82</v>
      </c>
      <c r="F75" s="66"/>
      <c r="G75" s="17">
        <f>B70-((B70*1.2/100)+(1000*0.5/100))</f>
        <v>44.4</v>
      </c>
      <c r="H75" s="17">
        <f>B70+((B70*1.2/100)+(1000*0.5/100))</f>
        <v>55.6</v>
      </c>
    </row>
    <row r="76" spans="1:8" x14ac:dyDescent="0.25">
      <c r="A76" s="65"/>
      <c r="B76" s="66">
        <v>0.5</v>
      </c>
      <c r="C76" s="66" t="s">
        <v>262</v>
      </c>
      <c r="D76" s="49" t="s">
        <v>5</v>
      </c>
      <c r="E76" s="53" t="s">
        <v>83</v>
      </c>
      <c r="F76" s="66" t="s">
        <v>262</v>
      </c>
      <c r="G76" s="16">
        <f>B76-((B76*0.1/100)+(1*0.03/100))</f>
        <v>0.49919999999999998</v>
      </c>
      <c r="H76" s="16">
        <f>B76+((B76*0.1/100)+(1*0.03/100))</f>
        <v>0.50080000000000002</v>
      </c>
    </row>
    <row r="77" spans="1:8" x14ac:dyDescent="0.25">
      <c r="A77" s="65"/>
      <c r="B77" s="66"/>
      <c r="C77" s="66"/>
      <c r="D77" s="49" t="s">
        <v>10</v>
      </c>
      <c r="E77" s="53" t="s">
        <v>84</v>
      </c>
      <c r="F77" s="66"/>
      <c r="G77" s="16">
        <f>B76-((B76*0.06/100)+(1*0.03/100))</f>
        <v>0.49940000000000001</v>
      </c>
      <c r="H77" s="16">
        <f>B76+((B76*0.06/100)+(1*0.03/100))</f>
        <v>0.50060000000000004</v>
      </c>
    </row>
    <row r="78" spans="1:8" x14ac:dyDescent="0.25">
      <c r="A78" s="65"/>
      <c r="B78" s="66"/>
      <c r="C78" s="66"/>
      <c r="D78" s="49" t="s">
        <v>6</v>
      </c>
      <c r="E78" s="53" t="s">
        <v>85</v>
      </c>
      <c r="F78" s="66"/>
      <c r="G78" s="16">
        <f>B76-((B76*0.06/100)+(1*0.03/100))</f>
        <v>0.49940000000000001</v>
      </c>
      <c r="H78" s="16">
        <f>B76+((B76*0.06/100)+(1*0.03/100))</f>
        <v>0.50060000000000004</v>
      </c>
    </row>
    <row r="79" spans="1:8" x14ac:dyDescent="0.25">
      <c r="A79" s="65"/>
      <c r="B79" s="66"/>
      <c r="C79" s="66"/>
      <c r="D79" s="49" t="s">
        <v>3</v>
      </c>
      <c r="E79" s="53" t="s">
        <v>86</v>
      </c>
      <c r="F79" s="66"/>
      <c r="G79" s="15">
        <f>B76-((B76*0.1/100)+(1*0.05/100))</f>
        <v>0.499</v>
      </c>
      <c r="H79" s="15">
        <f>B76+((B76*0.1/100)+(1*0.05/100))</f>
        <v>0.501</v>
      </c>
    </row>
    <row r="80" spans="1:8" x14ac:dyDescent="0.25">
      <c r="A80" s="65"/>
      <c r="B80" s="66"/>
      <c r="C80" s="66"/>
      <c r="D80" s="49" t="s">
        <v>7</v>
      </c>
      <c r="E80" s="53" t="s">
        <v>87</v>
      </c>
      <c r="F80" s="66"/>
      <c r="G80" s="16">
        <f>B76-((B76*0.4/100)+(1*0.08/100))</f>
        <v>0.49719999999999998</v>
      </c>
      <c r="H80" s="16">
        <f>B76+((B76*0.4/100)+(1*0.08/100))</f>
        <v>0.50280000000000002</v>
      </c>
    </row>
    <row r="81" spans="1:8" x14ac:dyDescent="0.25">
      <c r="A81" s="65"/>
      <c r="B81" s="66"/>
      <c r="C81" s="66"/>
      <c r="D81" s="49" t="s">
        <v>4</v>
      </c>
      <c r="E81" s="53" t="s">
        <v>88</v>
      </c>
      <c r="F81" s="66"/>
      <c r="G81" s="15">
        <f>B76-((B76*1.2/100)+(1*0.5/100))</f>
        <v>0.48899999999999999</v>
      </c>
      <c r="H81" s="15">
        <f>B76+((B76*1.2/100)+(1*0.5/100))</f>
        <v>0.51100000000000001</v>
      </c>
    </row>
    <row r="82" spans="1:8" x14ac:dyDescent="0.25">
      <c r="A82" s="65"/>
      <c r="B82" s="66">
        <v>0.95</v>
      </c>
      <c r="C82" s="66" t="s">
        <v>262</v>
      </c>
      <c r="D82" s="49" t="s">
        <v>5</v>
      </c>
      <c r="E82" s="53" t="s">
        <v>89</v>
      </c>
      <c r="F82" s="66" t="s">
        <v>262</v>
      </c>
      <c r="G82" s="57">
        <f>B82-((B82*0.1/100)+(1*0.03/100))</f>
        <v>0.94874999999999998</v>
      </c>
      <c r="H82" s="57">
        <f>B82+((B82*0.1/100)+(1*0.03/100))</f>
        <v>0.95124999999999993</v>
      </c>
    </row>
    <row r="83" spans="1:8" x14ac:dyDescent="0.25">
      <c r="A83" s="65"/>
      <c r="B83" s="66"/>
      <c r="C83" s="66"/>
      <c r="D83" s="49" t="s">
        <v>10</v>
      </c>
      <c r="E83" s="53" t="s">
        <v>90</v>
      </c>
      <c r="F83" s="66"/>
      <c r="G83" s="57">
        <f>B82-((B82*0.06/100)+(1*0.03/100))</f>
        <v>0.94912999999999992</v>
      </c>
      <c r="H83" s="57">
        <f>B82+((B82*0.06/100)+(1*0.03/100))</f>
        <v>0.95086999999999999</v>
      </c>
    </row>
    <row r="84" spans="1:8" x14ac:dyDescent="0.25">
      <c r="A84" s="65"/>
      <c r="B84" s="66"/>
      <c r="C84" s="66"/>
      <c r="D84" s="49" t="s">
        <v>6</v>
      </c>
      <c r="E84" s="53" t="s">
        <v>91</v>
      </c>
      <c r="F84" s="66"/>
      <c r="G84" s="57">
        <f>B82-((B82*0.06/100)+(1*0.03/100))</f>
        <v>0.94912999999999992</v>
      </c>
      <c r="H84" s="57">
        <f>B82+((B82*0.06/100)+(1*0.03/100))</f>
        <v>0.95086999999999999</v>
      </c>
    </row>
    <row r="85" spans="1:8" x14ac:dyDescent="0.25">
      <c r="A85" s="65"/>
      <c r="B85" s="66"/>
      <c r="C85" s="66"/>
      <c r="D85" s="49" t="s">
        <v>3</v>
      </c>
      <c r="E85" s="53" t="s">
        <v>92</v>
      </c>
      <c r="F85" s="66"/>
      <c r="G85" s="57">
        <f>B82-((B82*0.1/100)+(1*0.05/100))</f>
        <v>0.94855</v>
      </c>
      <c r="H85" s="57">
        <f>B82+((B82*0.1/100)+(1*0.05/100))</f>
        <v>0.95144999999999991</v>
      </c>
    </row>
    <row r="86" spans="1:8" x14ac:dyDescent="0.25">
      <c r="A86" s="65"/>
      <c r="B86" s="66"/>
      <c r="C86" s="66"/>
      <c r="D86" s="49" t="s">
        <v>7</v>
      </c>
      <c r="E86" s="53" t="s">
        <v>93</v>
      </c>
      <c r="F86" s="66"/>
      <c r="G86" s="16">
        <f>B82-((B82*0.4/100)+(1*0.08/100))</f>
        <v>0.94539999999999991</v>
      </c>
      <c r="H86" s="16">
        <f>B82+((B82*0.4/100)+(1*0.08/100))</f>
        <v>0.9546</v>
      </c>
    </row>
    <row r="87" spans="1:8" x14ac:dyDescent="0.25">
      <c r="A87" s="65"/>
      <c r="B87" s="66"/>
      <c r="C87" s="66"/>
      <c r="D87" s="49" t="s">
        <v>4</v>
      </c>
      <c r="E87" s="53" t="s">
        <v>94</v>
      </c>
      <c r="F87" s="66"/>
      <c r="G87" s="16">
        <f>B82-((B82*1.2/100)+(1*0.5/100))</f>
        <v>0.93359999999999999</v>
      </c>
      <c r="H87" s="16">
        <f>B82+((B82*1.2/100)+(1*0.5/100))</f>
        <v>0.96639999999999993</v>
      </c>
    </row>
    <row r="88" spans="1:8" x14ac:dyDescent="0.25">
      <c r="A88" s="65" t="s">
        <v>284</v>
      </c>
      <c r="B88" s="66">
        <v>0.5</v>
      </c>
      <c r="C88" s="66" t="s">
        <v>262</v>
      </c>
      <c r="D88" s="49" t="s">
        <v>5</v>
      </c>
      <c r="E88" s="53" t="s">
        <v>95</v>
      </c>
      <c r="F88" s="66" t="s">
        <v>262</v>
      </c>
      <c r="G88" s="16">
        <f>B88-((B88*0.1/100)+(10*0.03/100))</f>
        <v>0.4965</v>
      </c>
      <c r="H88" s="16">
        <f>B88+((B88*0.1/100)+(10*0.03/100))</f>
        <v>0.50349999999999995</v>
      </c>
    </row>
    <row r="89" spans="1:8" x14ac:dyDescent="0.25">
      <c r="A89" s="65"/>
      <c r="B89" s="66"/>
      <c r="C89" s="66"/>
      <c r="D89" s="49" t="s">
        <v>10</v>
      </c>
      <c r="E89" s="53" t="s">
        <v>96</v>
      </c>
      <c r="F89" s="66"/>
      <c r="G89" s="16">
        <f>B88-((B88*0.06/100)+(10*0.03/100))</f>
        <v>0.49669999999999997</v>
      </c>
      <c r="H89" s="16">
        <f>B88+((B88*0.06/100)+(10*0.03/100))</f>
        <v>0.50329999999999997</v>
      </c>
    </row>
    <row r="90" spans="1:8" x14ac:dyDescent="0.25">
      <c r="A90" s="65"/>
      <c r="B90" s="66"/>
      <c r="C90" s="66"/>
      <c r="D90" s="49" t="s">
        <v>6</v>
      </c>
      <c r="E90" s="53" t="s">
        <v>97</v>
      </c>
      <c r="F90" s="66"/>
      <c r="G90" s="16">
        <f>B88-((B88*0.06/100)+(10*0.03/100))</f>
        <v>0.49669999999999997</v>
      </c>
      <c r="H90" s="16">
        <f>B88+((B88*0.06/100)+(10*0.03/100))</f>
        <v>0.50329999999999997</v>
      </c>
    </row>
    <row r="91" spans="1:8" x14ac:dyDescent="0.25">
      <c r="A91" s="65"/>
      <c r="B91" s="66"/>
      <c r="C91" s="66"/>
      <c r="D91" s="49" t="s">
        <v>3</v>
      </c>
      <c r="E91" s="53" t="s">
        <v>98</v>
      </c>
      <c r="F91" s="66"/>
      <c r="G91" s="16">
        <f>B88-((B88*0.1/100)+(10*0.05/100))</f>
        <v>0.4945</v>
      </c>
      <c r="H91" s="16">
        <f>B88+((B88*0.1/100)+(10*0.05/100))</f>
        <v>0.50549999999999995</v>
      </c>
    </row>
    <row r="92" spans="1:8" x14ac:dyDescent="0.25">
      <c r="A92" s="65"/>
      <c r="B92" s="66"/>
      <c r="C92" s="66"/>
      <c r="D92" s="49" t="s">
        <v>7</v>
      </c>
      <c r="E92" s="53" t="s">
        <v>99</v>
      </c>
      <c r="F92" s="66"/>
      <c r="G92" s="17">
        <f>B88-((B88*0.4/100)+(10*0.08/100))</f>
        <v>0.49</v>
      </c>
      <c r="H92" s="17">
        <f>B88+((B88*0.4/100)+(10*0.08/100))</f>
        <v>0.51</v>
      </c>
    </row>
    <row r="93" spans="1:8" x14ac:dyDescent="0.25">
      <c r="A93" s="65"/>
      <c r="B93" s="66"/>
      <c r="C93" s="66"/>
      <c r="D93" s="49" t="s">
        <v>4</v>
      </c>
      <c r="E93" s="53" t="s">
        <v>100</v>
      </c>
      <c r="F93" s="66"/>
      <c r="G93" s="15">
        <f>B88-((B88*1.2/100)+(10*0.5/100))</f>
        <v>0.44400000000000001</v>
      </c>
      <c r="H93" s="15">
        <f>B88+((B88*1.2/100)+(10*0.5/100))</f>
        <v>0.55600000000000005</v>
      </c>
    </row>
    <row r="94" spans="1:8" x14ac:dyDescent="0.25">
      <c r="A94" s="65"/>
      <c r="B94" s="66">
        <v>5</v>
      </c>
      <c r="C94" s="66" t="s">
        <v>262</v>
      </c>
      <c r="D94" s="49" t="s">
        <v>5</v>
      </c>
      <c r="E94" s="53" t="s">
        <v>101</v>
      </c>
      <c r="F94" s="66" t="s">
        <v>262</v>
      </c>
      <c r="G94" s="15">
        <f>B94-((B94*0.1/100)+(10*0.03/100))</f>
        <v>4.992</v>
      </c>
      <c r="H94" s="15">
        <f>B94+((B94*0.1/100)+(10*0.03/100))</f>
        <v>5.008</v>
      </c>
    </row>
    <row r="95" spans="1:8" x14ac:dyDescent="0.25">
      <c r="A95" s="65"/>
      <c r="B95" s="66"/>
      <c r="C95" s="66"/>
      <c r="D95" s="49" t="s">
        <v>10</v>
      </c>
      <c r="E95" s="53" t="s">
        <v>102</v>
      </c>
      <c r="F95" s="66"/>
      <c r="G95" s="15">
        <f>B94-((B94*0.06/100)+(10*0.03/100))</f>
        <v>4.9939999999999998</v>
      </c>
      <c r="H95" s="15">
        <f>B94+((B94*0.06/100)+(10*0.03/100))</f>
        <v>5.0060000000000002</v>
      </c>
    </row>
    <row r="96" spans="1:8" x14ac:dyDescent="0.25">
      <c r="A96" s="65"/>
      <c r="B96" s="66"/>
      <c r="C96" s="66"/>
      <c r="D96" s="49" t="s">
        <v>6</v>
      </c>
      <c r="E96" s="53" t="s">
        <v>103</v>
      </c>
      <c r="F96" s="66"/>
      <c r="G96" s="15">
        <f>B94-((B94*0.06/100)+(10*0.03/100))</f>
        <v>4.9939999999999998</v>
      </c>
      <c r="H96" s="15">
        <f>B94+((B94*0.06/100)+(10*0.03/100))</f>
        <v>5.0060000000000002</v>
      </c>
    </row>
    <row r="97" spans="1:8" x14ac:dyDescent="0.25">
      <c r="A97" s="65"/>
      <c r="B97" s="66"/>
      <c r="C97" s="66"/>
      <c r="D97" s="49" t="s">
        <v>3</v>
      </c>
      <c r="E97" s="53" t="s">
        <v>104</v>
      </c>
      <c r="F97" s="66"/>
      <c r="G97" s="17">
        <f>B94-((B94*0.1/100)+(10*0.05/100))</f>
        <v>4.99</v>
      </c>
      <c r="H97" s="15">
        <f>B94+((B94*0.1/100)+(10*0.05/100))</f>
        <v>5.01</v>
      </c>
    </row>
    <row r="98" spans="1:8" x14ac:dyDescent="0.25">
      <c r="A98" s="65"/>
      <c r="B98" s="66"/>
      <c r="C98" s="66"/>
      <c r="D98" s="49" t="s">
        <v>7</v>
      </c>
      <c r="E98" s="53" t="s">
        <v>105</v>
      </c>
      <c r="F98" s="66"/>
      <c r="G98" s="15">
        <f>B94-((B94*0.4/100)+(10*0.08/100))</f>
        <v>4.9720000000000004</v>
      </c>
      <c r="H98" s="15">
        <f>B94+((B94*0.4/100)+(10*0.08/100))</f>
        <v>5.0279999999999996</v>
      </c>
    </row>
    <row r="99" spans="1:8" x14ac:dyDescent="0.25">
      <c r="A99" s="65"/>
      <c r="B99" s="66"/>
      <c r="C99" s="66"/>
      <c r="D99" s="49" t="s">
        <v>4</v>
      </c>
      <c r="E99" s="53" t="s">
        <v>106</v>
      </c>
      <c r="F99" s="66"/>
      <c r="G99" s="17">
        <f>B94-((B94*1.2/100)+(10*0.5/100))</f>
        <v>4.8899999999999997</v>
      </c>
      <c r="H99" s="17">
        <f>B94+((B94*1.2/100)+(10*0.5/100))</f>
        <v>5.1100000000000003</v>
      </c>
    </row>
    <row r="100" spans="1:8" x14ac:dyDescent="0.25">
      <c r="A100" s="65"/>
      <c r="B100" s="66">
        <v>9.5</v>
      </c>
      <c r="C100" s="66" t="s">
        <v>262</v>
      </c>
      <c r="D100" s="49" t="s">
        <v>5</v>
      </c>
      <c r="E100" s="53" t="s">
        <v>107</v>
      </c>
      <c r="F100" s="66" t="s">
        <v>262</v>
      </c>
      <c r="G100" s="16">
        <f>B100-((B100*0.1/100)+(10*0.03/100))</f>
        <v>9.4875000000000007</v>
      </c>
      <c r="H100" s="16">
        <f>B100+((B100*0.1/100)+(10*0.03/100))</f>
        <v>9.5124999999999993</v>
      </c>
    </row>
    <row r="101" spans="1:8" x14ac:dyDescent="0.25">
      <c r="A101" s="65"/>
      <c r="B101" s="66"/>
      <c r="C101" s="66"/>
      <c r="D101" s="49" t="s">
        <v>10</v>
      </c>
      <c r="E101" s="53" t="s">
        <v>108</v>
      </c>
      <c r="F101" s="66"/>
      <c r="G101" s="16">
        <f>B100-((B100*0.06/100)+(10*0.03/100))</f>
        <v>9.4913000000000007</v>
      </c>
      <c r="H101" s="16">
        <f>B100+((B100*0.06/100)+(10*0.03/100))</f>
        <v>9.5086999999999993</v>
      </c>
    </row>
    <row r="102" spans="1:8" x14ac:dyDescent="0.25">
      <c r="A102" s="65"/>
      <c r="B102" s="66"/>
      <c r="C102" s="66"/>
      <c r="D102" s="49" t="s">
        <v>6</v>
      </c>
      <c r="E102" s="53" t="s">
        <v>109</v>
      </c>
      <c r="F102" s="66"/>
      <c r="G102" s="16">
        <f>B100-((B100*0.06/100)+(10*0.03/100))</f>
        <v>9.4913000000000007</v>
      </c>
      <c r="H102" s="16">
        <f>B100+((B100*0.06/100)+(10*0.03/100))</f>
        <v>9.5086999999999993</v>
      </c>
    </row>
    <row r="103" spans="1:8" x14ac:dyDescent="0.25">
      <c r="A103" s="65"/>
      <c r="B103" s="66"/>
      <c r="C103" s="66"/>
      <c r="D103" s="49" t="s">
        <v>3</v>
      </c>
      <c r="E103" s="53" t="s">
        <v>110</v>
      </c>
      <c r="F103" s="66"/>
      <c r="G103" s="16">
        <f>B100-((B100*0.1/100)+(10*0.05/100))</f>
        <v>9.4855</v>
      </c>
      <c r="H103" s="16">
        <f>B100+((B100*0.1/100)+(10*0.05/100))</f>
        <v>9.5145</v>
      </c>
    </row>
    <row r="104" spans="1:8" x14ac:dyDescent="0.25">
      <c r="A104" s="65"/>
      <c r="B104" s="66"/>
      <c r="C104" s="66"/>
      <c r="D104" s="49" t="s">
        <v>7</v>
      </c>
      <c r="E104" s="53" t="s">
        <v>111</v>
      </c>
      <c r="F104" s="66"/>
      <c r="G104" s="15">
        <f>B100-((B100*0.4/100)+(10*0.08/100))</f>
        <v>9.4540000000000006</v>
      </c>
      <c r="H104" s="15">
        <f>B100+((B100*0.4/100)+(10*0.08/100))</f>
        <v>9.5459999999999994</v>
      </c>
    </row>
    <row r="105" spans="1:8" x14ac:dyDescent="0.25">
      <c r="A105" s="65"/>
      <c r="B105" s="66"/>
      <c r="C105" s="66"/>
      <c r="D105" s="49" t="s">
        <v>4</v>
      </c>
      <c r="E105" s="53" t="s">
        <v>112</v>
      </c>
      <c r="F105" s="66"/>
      <c r="G105" s="15">
        <f>B100-((B100*1.2/100)+(10*0.5/100))</f>
        <v>9.3360000000000003</v>
      </c>
      <c r="H105" s="15">
        <f>B100+((B100*1.2/100)+(10*0.5/100))</f>
        <v>9.6639999999999997</v>
      </c>
    </row>
    <row r="106" spans="1:8" x14ac:dyDescent="0.25">
      <c r="A106" s="65" t="s">
        <v>285</v>
      </c>
      <c r="B106" s="66">
        <v>5</v>
      </c>
      <c r="C106" s="66" t="s">
        <v>262</v>
      </c>
      <c r="D106" s="49" t="s">
        <v>5</v>
      </c>
      <c r="E106" s="53" t="s">
        <v>113</v>
      </c>
      <c r="F106" s="66" t="s">
        <v>262</v>
      </c>
      <c r="G106" s="15">
        <f>B106-((B106*0.1/100)+(100*0.03/100))</f>
        <v>4.9649999999999999</v>
      </c>
      <c r="H106" s="15">
        <f>B106+((B106*0.1/100)+(100*0.03/100))</f>
        <v>5.0350000000000001</v>
      </c>
    </row>
    <row r="107" spans="1:8" x14ac:dyDescent="0.25">
      <c r="A107" s="65"/>
      <c r="B107" s="66"/>
      <c r="C107" s="66"/>
      <c r="D107" s="49" t="s">
        <v>10</v>
      </c>
      <c r="E107" s="53" t="s">
        <v>114</v>
      </c>
      <c r="F107" s="66"/>
      <c r="G107" s="15">
        <f>B106-((B106*0.06/100)+(100*0.03/100))</f>
        <v>4.9669999999999996</v>
      </c>
      <c r="H107" s="15">
        <f>B106+((B106*0.06/100)+(100*0.03/100))</f>
        <v>5.0330000000000004</v>
      </c>
    </row>
    <row r="108" spans="1:8" x14ac:dyDescent="0.25">
      <c r="A108" s="65"/>
      <c r="B108" s="66"/>
      <c r="C108" s="66"/>
      <c r="D108" s="49" t="s">
        <v>6</v>
      </c>
      <c r="E108" s="53" t="s">
        <v>115</v>
      </c>
      <c r="F108" s="66"/>
      <c r="G108" s="15">
        <f>B106-((B106*0.06/100)+(100*0.03/100))</f>
        <v>4.9669999999999996</v>
      </c>
      <c r="H108" s="15">
        <f>B106+((B106*0.06/100)+(100*0.03/100))</f>
        <v>5.0330000000000004</v>
      </c>
    </row>
    <row r="109" spans="1:8" x14ac:dyDescent="0.25">
      <c r="A109" s="65"/>
      <c r="B109" s="66"/>
      <c r="C109" s="66"/>
      <c r="D109" s="49" t="s">
        <v>3</v>
      </c>
      <c r="E109" s="53" t="s">
        <v>116</v>
      </c>
      <c r="F109" s="66"/>
      <c r="G109" s="15">
        <f>B106-((B106*0.1/100)+(100*0.05/100))</f>
        <v>4.9450000000000003</v>
      </c>
      <c r="H109" s="15">
        <f>B106+((B106*0.1/100)+(100*0.05/100))</f>
        <v>5.0549999999999997</v>
      </c>
    </row>
    <row r="110" spans="1:8" x14ac:dyDescent="0.25">
      <c r="A110" s="65"/>
      <c r="B110" s="66"/>
      <c r="C110" s="66"/>
      <c r="D110" s="49" t="s">
        <v>7</v>
      </c>
      <c r="E110" s="53" t="s">
        <v>117</v>
      </c>
      <c r="F110" s="66"/>
      <c r="G110" s="48">
        <f>B106-((B106*0.4/100)+(100*0.08/100))</f>
        <v>4.9000000000000004</v>
      </c>
      <c r="H110" s="48">
        <f>B106+((B106*0.4/100)+(100*0.08/100))</f>
        <v>5.0999999999999996</v>
      </c>
    </row>
    <row r="111" spans="1:8" x14ac:dyDescent="0.25">
      <c r="A111" s="65"/>
      <c r="B111" s="66"/>
      <c r="C111" s="66"/>
      <c r="D111" s="49" t="s">
        <v>4</v>
      </c>
      <c r="E111" s="53" t="s">
        <v>118</v>
      </c>
      <c r="F111" s="66"/>
      <c r="G111" s="17">
        <f>B106-((B106*1.2/100)+(100*0.5/100))</f>
        <v>4.4399999999999995</v>
      </c>
      <c r="H111" s="17">
        <f>B106+((B106*1.2/100)+(100*0.5/100))</f>
        <v>5.5600000000000005</v>
      </c>
    </row>
    <row r="112" spans="1:8" x14ac:dyDescent="0.25">
      <c r="A112" s="65"/>
      <c r="B112" s="66">
        <v>50</v>
      </c>
      <c r="C112" s="66" t="s">
        <v>262</v>
      </c>
      <c r="D112" s="49" t="s">
        <v>5</v>
      </c>
      <c r="E112" s="53" t="s">
        <v>119</v>
      </c>
      <c r="F112" s="66" t="s">
        <v>262</v>
      </c>
      <c r="G112" s="15">
        <f>B112-((B112*0.1/100)+(100*0.03/100))</f>
        <v>49.92</v>
      </c>
      <c r="H112" s="15">
        <f>B112+((B112*0.1/100)+(100*0.03/100))</f>
        <v>50.08</v>
      </c>
    </row>
    <row r="113" spans="1:8" x14ac:dyDescent="0.25">
      <c r="A113" s="65"/>
      <c r="B113" s="66"/>
      <c r="C113" s="66"/>
      <c r="D113" s="49" t="s">
        <v>10</v>
      </c>
      <c r="E113" s="53" t="s">
        <v>120</v>
      </c>
      <c r="F113" s="66"/>
      <c r="G113" s="15">
        <f>B112-((B112*0.06/100)+(100*0.03/100))</f>
        <v>49.94</v>
      </c>
      <c r="H113" s="15">
        <f>B112+((B112*0.06/100)+(100*0.03/100))</f>
        <v>50.06</v>
      </c>
    </row>
    <row r="114" spans="1:8" x14ac:dyDescent="0.25">
      <c r="A114" s="65"/>
      <c r="B114" s="66"/>
      <c r="C114" s="66"/>
      <c r="D114" s="49" t="s">
        <v>6</v>
      </c>
      <c r="E114" s="53" t="s">
        <v>121</v>
      </c>
      <c r="F114" s="66"/>
      <c r="G114" s="15">
        <f>B112-((B112*0.06/100)+(100*0.03/100))</f>
        <v>49.94</v>
      </c>
      <c r="H114" s="15">
        <f>B112+((B112*0.06/100)+(100*0.03/100))</f>
        <v>50.06</v>
      </c>
    </row>
    <row r="115" spans="1:8" x14ac:dyDescent="0.25">
      <c r="A115" s="65"/>
      <c r="B115" s="66"/>
      <c r="C115" s="66"/>
      <c r="D115" s="49" t="s">
        <v>3</v>
      </c>
      <c r="E115" s="53" t="s">
        <v>122</v>
      </c>
      <c r="F115" s="66"/>
      <c r="G115" s="15">
        <f>B112-((B112*0.1/100)+(100*0.05/100))</f>
        <v>49.9</v>
      </c>
      <c r="H115" s="15">
        <f>B112+((B112*0.1/100)+(100*0.05/100))</f>
        <v>50.1</v>
      </c>
    </row>
    <row r="116" spans="1:8" x14ac:dyDescent="0.25">
      <c r="A116" s="65"/>
      <c r="B116" s="66"/>
      <c r="C116" s="66"/>
      <c r="D116" s="49" t="s">
        <v>7</v>
      </c>
      <c r="E116" s="53" t="s">
        <v>123</v>
      </c>
      <c r="F116" s="66"/>
      <c r="G116" s="48">
        <f>B112-((B112*0.4/100)+(100*0.08/100))</f>
        <v>49.72</v>
      </c>
      <c r="H116" s="48">
        <f>B112+((B112*0.4/100)+(100*0.08/100))</f>
        <v>50.28</v>
      </c>
    </row>
    <row r="117" spans="1:8" x14ac:dyDescent="0.25">
      <c r="A117" s="65"/>
      <c r="B117" s="66"/>
      <c r="C117" s="66"/>
      <c r="D117" s="49" t="s">
        <v>4</v>
      </c>
      <c r="E117" s="53" t="s">
        <v>286</v>
      </c>
      <c r="F117" s="66"/>
      <c r="G117" s="17">
        <f>B112-((B112*1.2/100)+(100*0.5/100))</f>
        <v>48.9</v>
      </c>
      <c r="H117" s="17">
        <f>B112+((B112*1.2/100)+(100*0.5/100))</f>
        <v>51.1</v>
      </c>
    </row>
    <row r="118" spans="1:8" x14ac:dyDescent="0.25">
      <c r="A118" s="65"/>
      <c r="B118" s="66">
        <v>95</v>
      </c>
      <c r="C118" s="66" t="s">
        <v>262</v>
      </c>
      <c r="D118" s="49" t="s">
        <v>5</v>
      </c>
      <c r="E118" s="53" t="s">
        <v>287</v>
      </c>
      <c r="F118" s="66" t="s">
        <v>262</v>
      </c>
      <c r="G118" s="15">
        <f>B118-((B118*0.1/100)+(100*0.03/100))</f>
        <v>94.875</v>
      </c>
      <c r="H118" s="15">
        <f>B118+((B118*0.1/100)+(100*0.03/100))</f>
        <v>95.125</v>
      </c>
    </row>
    <row r="119" spans="1:8" x14ac:dyDescent="0.25">
      <c r="A119" s="65"/>
      <c r="B119" s="66"/>
      <c r="C119" s="66"/>
      <c r="D119" s="49" t="s">
        <v>10</v>
      </c>
      <c r="E119" s="53" t="s">
        <v>288</v>
      </c>
      <c r="F119" s="66"/>
      <c r="G119" s="15">
        <f>B118-((B118*0.06/100)+(100*0.03/100))</f>
        <v>94.912999999999997</v>
      </c>
      <c r="H119" s="15">
        <f>B118+((B118*0.06/100)+(100*0.03/100))</f>
        <v>95.087000000000003</v>
      </c>
    </row>
    <row r="120" spans="1:8" x14ac:dyDescent="0.25">
      <c r="A120" s="65"/>
      <c r="B120" s="66"/>
      <c r="C120" s="66"/>
      <c r="D120" s="49" t="s">
        <v>6</v>
      </c>
      <c r="E120" s="53" t="s">
        <v>289</v>
      </c>
      <c r="F120" s="66"/>
      <c r="G120" s="15">
        <f>B118-((B118*0.06/100)+(100*0.03/100))</f>
        <v>94.912999999999997</v>
      </c>
      <c r="H120" s="15">
        <f>B118+((B118*0.06/100)+(100*0.03/100))</f>
        <v>95.087000000000003</v>
      </c>
    </row>
    <row r="121" spans="1:8" x14ac:dyDescent="0.25">
      <c r="A121" s="65"/>
      <c r="B121" s="66"/>
      <c r="C121" s="66"/>
      <c r="D121" s="49" t="s">
        <v>3</v>
      </c>
      <c r="E121" s="53" t="s">
        <v>290</v>
      </c>
      <c r="F121" s="66"/>
      <c r="G121" s="15">
        <f>B118-((B118*0.1/100)+(100*0.05/100))</f>
        <v>94.855000000000004</v>
      </c>
      <c r="H121" s="15">
        <f>B118+((B118*0.1/100)+(100*0.05/100))</f>
        <v>95.144999999999996</v>
      </c>
    </row>
    <row r="122" spans="1:8" x14ac:dyDescent="0.25">
      <c r="A122" s="65"/>
      <c r="B122" s="66"/>
      <c r="C122" s="66"/>
      <c r="D122" s="49" t="s">
        <v>7</v>
      </c>
      <c r="E122" s="53" t="s">
        <v>291</v>
      </c>
      <c r="F122" s="66"/>
      <c r="G122" s="48">
        <f>B118-((B118*0.4/100)+(100*0.08/100))</f>
        <v>94.54</v>
      </c>
      <c r="H122" s="48">
        <f>B118+((B118*0.4/100)+(100*0.08/100))</f>
        <v>95.46</v>
      </c>
    </row>
    <row r="123" spans="1:8" x14ac:dyDescent="0.25">
      <c r="A123" s="65"/>
      <c r="B123" s="66"/>
      <c r="C123" s="66"/>
      <c r="D123" s="49" t="s">
        <v>4</v>
      </c>
      <c r="E123" s="53" t="s">
        <v>292</v>
      </c>
      <c r="F123" s="66"/>
      <c r="G123" s="17">
        <f>B118-((B118*1.2/100)+(100*0.5/100))</f>
        <v>93.36</v>
      </c>
      <c r="H123" s="17">
        <f>B118+((B118*1.2/100)+(100*0.5/100))</f>
        <v>96.64</v>
      </c>
    </row>
    <row r="124" spans="1:8" x14ac:dyDescent="0.25">
      <c r="A124" s="65" t="s">
        <v>293</v>
      </c>
      <c r="B124" s="66">
        <v>37.5</v>
      </c>
      <c r="C124" s="66" t="s">
        <v>262</v>
      </c>
      <c r="D124" s="49" t="s">
        <v>5</v>
      </c>
      <c r="E124" s="53" t="s">
        <v>294</v>
      </c>
      <c r="F124" s="66" t="s">
        <v>262</v>
      </c>
      <c r="G124" s="15">
        <f>B124-((B124*0.1/100)+(750*0.03/100))</f>
        <v>37.237499999999997</v>
      </c>
      <c r="H124" s="15">
        <f>B124+((B124*0.1/100)+(750*0.03/100))</f>
        <v>37.762500000000003</v>
      </c>
    </row>
    <row r="125" spans="1:8" x14ac:dyDescent="0.25">
      <c r="A125" s="65"/>
      <c r="B125" s="66"/>
      <c r="C125" s="66"/>
      <c r="D125" s="49" t="s">
        <v>10</v>
      </c>
      <c r="E125" s="53" t="s">
        <v>295</v>
      </c>
      <c r="F125" s="66"/>
      <c r="G125" s="15">
        <f>B124-((B124*0.06/100)+(750*0.03/100))</f>
        <v>37.252499999999998</v>
      </c>
      <c r="H125" s="15">
        <f>B124+((B124*0.06/100)+(750*0.03/100))</f>
        <v>37.747500000000002</v>
      </c>
    </row>
    <row r="126" spans="1:8" x14ac:dyDescent="0.25">
      <c r="A126" s="65"/>
      <c r="B126" s="66"/>
      <c r="C126" s="66"/>
      <c r="D126" s="49" t="s">
        <v>6</v>
      </c>
      <c r="E126" s="53" t="s">
        <v>296</v>
      </c>
      <c r="F126" s="66"/>
      <c r="G126" s="15">
        <f>B124-((B124*0.06/100)+(750*0.03/100))</f>
        <v>37.252499999999998</v>
      </c>
      <c r="H126" s="15">
        <f>B124+((B124*0.06/100)+(750*0.03/100))</f>
        <v>37.747500000000002</v>
      </c>
    </row>
    <row r="127" spans="1:8" x14ac:dyDescent="0.25">
      <c r="A127" s="65"/>
      <c r="B127" s="66"/>
      <c r="C127" s="66"/>
      <c r="D127" s="49" t="s">
        <v>3</v>
      </c>
      <c r="E127" s="53" t="s">
        <v>297</v>
      </c>
      <c r="F127" s="66"/>
      <c r="G127" s="15">
        <f>B124-((B124*0.1/100)+(750*0.05/100))</f>
        <v>37.087499999999999</v>
      </c>
      <c r="H127" s="15">
        <f>B124+((B124*0.1/100)+(750*0.05/100))</f>
        <v>37.912500000000001</v>
      </c>
    </row>
    <row r="128" spans="1:8" x14ac:dyDescent="0.25">
      <c r="A128" s="65"/>
      <c r="B128" s="66"/>
      <c r="C128" s="66"/>
      <c r="D128" s="49" t="s">
        <v>7</v>
      </c>
      <c r="E128" s="53" t="s">
        <v>298</v>
      </c>
      <c r="F128" s="66"/>
      <c r="G128" s="48">
        <f>B124-((B124*0.4/100)+(750*0.08/100))</f>
        <v>36.75</v>
      </c>
      <c r="H128" s="48">
        <f>B124+((B124*0.4/100)+(750*0.08/100))</f>
        <v>38.25</v>
      </c>
    </row>
    <row r="129" spans="1:8" x14ac:dyDescent="0.25">
      <c r="A129" s="65"/>
      <c r="B129" s="66"/>
      <c r="C129" s="66"/>
      <c r="D129" s="49" t="s">
        <v>4</v>
      </c>
      <c r="E129" s="53" t="s">
        <v>299</v>
      </c>
      <c r="F129" s="66"/>
      <c r="G129" s="17">
        <f>B124-((B124*1.2/100)+(750*0.5/100))</f>
        <v>33.299999999999997</v>
      </c>
      <c r="H129" s="17">
        <f>B124+((B124*1.2/100)+(750*0.5/100))</f>
        <v>41.7</v>
      </c>
    </row>
    <row r="130" spans="1:8" x14ac:dyDescent="0.25">
      <c r="A130" s="65"/>
      <c r="B130" s="66">
        <v>375</v>
      </c>
      <c r="C130" s="66" t="s">
        <v>262</v>
      </c>
      <c r="D130" s="49" t="s">
        <v>5</v>
      </c>
      <c r="E130" s="53" t="s">
        <v>300</v>
      </c>
      <c r="F130" s="66" t="s">
        <v>262</v>
      </c>
      <c r="G130" s="15">
        <f>B130-((B130*0.1/100)+(750*0.03/100))</f>
        <v>374.4</v>
      </c>
      <c r="H130" s="15">
        <f>B130+((B130*0.1/100)+(750*0.03/100))</f>
        <v>375.6</v>
      </c>
    </row>
    <row r="131" spans="1:8" x14ac:dyDescent="0.25">
      <c r="A131" s="65"/>
      <c r="B131" s="66"/>
      <c r="C131" s="66"/>
      <c r="D131" s="49" t="s">
        <v>10</v>
      </c>
      <c r="E131" s="53" t="s">
        <v>301</v>
      </c>
      <c r="F131" s="66"/>
      <c r="G131" s="15">
        <f>B130-((B130*0.06/100)+(750*0.03/100))</f>
        <v>374.55</v>
      </c>
      <c r="H131" s="15">
        <f>B130+((B130*0.06/100)+(750*0.03/100))</f>
        <v>375.45</v>
      </c>
    </row>
    <row r="132" spans="1:8" x14ac:dyDescent="0.25">
      <c r="A132" s="65"/>
      <c r="B132" s="66"/>
      <c r="C132" s="66"/>
      <c r="D132" s="49" t="s">
        <v>6</v>
      </c>
      <c r="E132" s="53" t="s">
        <v>302</v>
      </c>
      <c r="F132" s="66"/>
      <c r="G132" s="15">
        <f>B130-((B130*0.06/100)+(750*0.03/100))</f>
        <v>374.55</v>
      </c>
      <c r="H132" s="15">
        <f>B130+((B130*0.06/100)+(750*0.03/100))</f>
        <v>375.45</v>
      </c>
    </row>
    <row r="133" spans="1:8" x14ac:dyDescent="0.25">
      <c r="A133" s="65"/>
      <c r="B133" s="66"/>
      <c r="C133" s="66"/>
      <c r="D133" s="49" t="s">
        <v>3</v>
      </c>
      <c r="E133" s="53" t="s">
        <v>303</v>
      </c>
      <c r="F133" s="66"/>
      <c r="G133" s="15">
        <f>B130-((B130*0.1/100)+(750*0.05/100))</f>
        <v>374.25</v>
      </c>
      <c r="H133" s="15">
        <f>B130+((B130*0.1/100)+(750*0.05/100))</f>
        <v>375.75</v>
      </c>
    </row>
    <row r="134" spans="1:8" x14ac:dyDescent="0.25">
      <c r="A134" s="65"/>
      <c r="B134" s="66"/>
      <c r="C134" s="66"/>
      <c r="D134" s="49" t="s">
        <v>7</v>
      </c>
      <c r="E134" s="53" t="s">
        <v>304</v>
      </c>
      <c r="F134" s="66"/>
      <c r="G134" s="48">
        <f>B130-((B130*0.4/100)+(750*0.08/100))</f>
        <v>372.9</v>
      </c>
      <c r="H134" s="48">
        <f>B130+((B130*0.4/100)+(750*0.08/100))</f>
        <v>377.1</v>
      </c>
    </row>
    <row r="135" spans="1:8" x14ac:dyDescent="0.25">
      <c r="A135" s="65"/>
      <c r="B135" s="66"/>
      <c r="C135" s="66"/>
      <c r="D135" s="49" t="s">
        <v>4</v>
      </c>
      <c r="E135" s="53" t="s">
        <v>305</v>
      </c>
      <c r="F135" s="66"/>
      <c r="G135" s="17">
        <f>B130-((B130*1.2/100)+(750*0.5/100))</f>
        <v>366.75</v>
      </c>
      <c r="H135" s="17">
        <f>B130+((B130*1.2/100)+(750*0.5/100))</f>
        <v>383.25</v>
      </c>
    </row>
    <row r="136" spans="1:8" x14ac:dyDescent="0.25">
      <c r="A136" s="65"/>
      <c r="B136" s="66">
        <v>712</v>
      </c>
      <c r="C136" s="66" t="s">
        <v>262</v>
      </c>
      <c r="D136" s="49" t="s">
        <v>5</v>
      </c>
      <c r="E136" s="53" t="s">
        <v>306</v>
      </c>
      <c r="F136" s="66" t="s">
        <v>262</v>
      </c>
      <c r="G136" s="15">
        <f>B136-((B136*0.1/100)+(750*0.03/100))</f>
        <v>711.06299999999999</v>
      </c>
      <c r="H136" s="15">
        <f>B136+((B136*0.1/100)+(750*0.03/100))</f>
        <v>712.93700000000001</v>
      </c>
    </row>
    <row r="137" spans="1:8" x14ac:dyDescent="0.25">
      <c r="A137" s="65"/>
      <c r="B137" s="66"/>
      <c r="C137" s="66"/>
      <c r="D137" s="49" t="s">
        <v>10</v>
      </c>
      <c r="E137" s="53" t="s">
        <v>307</v>
      </c>
      <c r="F137" s="66"/>
      <c r="G137" s="15">
        <f>B136-((B136*0.06/100)+(750*0.03/100))</f>
        <v>711.34780000000001</v>
      </c>
      <c r="H137" s="15">
        <f>B136+((B136*0.06/100)+(750*0.03/100))</f>
        <v>712.65219999999999</v>
      </c>
    </row>
    <row r="138" spans="1:8" x14ac:dyDescent="0.25">
      <c r="A138" s="65"/>
      <c r="B138" s="66"/>
      <c r="C138" s="66"/>
      <c r="D138" s="49" t="s">
        <v>6</v>
      </c>
      <c r="E138" s="53" t="s">
        <v>308</v>
      </c>
      <c r="F138" s="66"/>
      <c r="G138" s="15">
        <f>B136-((B136*0.06/100)+(750*0.03/100))</f>
        <v>711.34780000000001</v>
      </c>
      <c r="H138" s="15">
        <f>B136+((B136*0.06/100)+(750*0.03/100))</f>
        <v>712.65219999999999</v>
      </c>
    </row>
    <row r="139" spans="1:8" x14ac:dyDescent="0.25">
      <c r="A139" s="65"/>
      <c r="B139" s="66"/>
      <c r="C139" s="66"/>
      <c r="D139" s="49" t="s">
        <v>3</v>
      </c>
      <c r="E139" s="53" t="s">
        <v>309</v>
      </c>
      <c r="F139" s="66"/>
      <c r="G139" s="15">
        <f>B136-((B136*0.1/100)+(750*0.05/100))</f>
        <v>710.91300000000001</v>
      </c>
      <c r="H139" s="15">
        <f>B136+((B136*0.1/100)+(750*0.05/100))</f>
        <v>713.08699999999999</v>
      </c>
    </row>
    <row r="140" spans="1:8" x14ac:dyDescent="0.25">
      <c r="A140" s="65"/>
      <c r="B140" s="66"/>
      <c r="C140" s="66"/>
      <c r="D140" s="49" t="s">
        <v>7</v>
      </c>
      <c r="E140" s="53" t="s">
        <v>310</v>
      </c>
      <c r="F140" s="66"/>
      <c r="G140" s="48">
        <f>B136-((B136*0.4/100)+(750*0.08/100))</f>
        <v>708.55200000000002</v>
      </c>
      <c r="H140" s="48">
        <f>B136+((B136*0.4/100)+(750*0.08/100))</f>
        <v>715.44799999999998</v>
      </c>
    </row>
    <row r="141" spans="1:8" x14ac:dyDescent="0.25">
      <c r="A141" s="65"/>
      <c r="B141" s="66"/>
      <c r="C141" s="66"/>
      <c r="D141" s="49" t="s">
        <v>4</v>
      </c>
      <c r="E141" s="53" t="s">
        <v>311</v>
      </c>
      <c r="F141" s="66"/>
      <c r="G141" s="17">
        <f>B136-((B136*1.2/100)+(750*0.5/100))</f>
        <v>699.70600000000002</v>
      </c>
      <c r="H141" s="17">
        <f>B136+((B136*1.2/100)+(750*0.5/100))</f>
        <v>724.29399999999998</v>
      </c>
    </row>
    <row r="142" spans="1:8" x14ac:dyDescent="0.25">
      <c r="A142" s="19"/>
      <c r="B142" s="20"/>
      <c r="C142" s="21"/>
      <c r="D142" s="22"/>
      <c r="E142" s="23"/>
      <c r="F142" s="24"/>
    </row>
    <row r="143" spans="1:8" x14ac:dyDescent="0.25">
      <c r="A143" s="25" t="s">
        <v>11</v>
      </c>
      <c r="B143" s="20"/>
      <c r="C143" s="21"/>
      <c r="D143" s="22"/>
      <c r="E143" s="23"/>
      <c r="F143" s="24"/>
    </row>
    <row r="144" spans="1:8" ht="15" customHeight="1" x14ac:dyDescent="0.25">
      <c r="A144" s="61" t="s">
        <v>266</v>
      </c>
      <c r="B144" s="61"/>
      <c r="C144" s="61" t="s">
        <v>277</v>
      </c>
      <c r="D144" s="61"/>
      <c r="E144" s="61" t="s">
        <v>260</v>
      </c>
      <c r="F144" s="61"/>
      <c r="G144" s="61" t="s">
        <v>319</v>
      </c>
      <c r="H144" s="61"/>
    </row>
    <row r="145" spans="1:10" x14ac:dyDescent="0.25">
      <c r="A145" s="61"/>
      <c r="B145" s="61"/>
      <c r="C145" s="61"/>
      <c r="D145" s="61"/>
      <c r="E145" s="61"/>
      <c r="F145" s="61"/>
      <c r="G145" s="55" t="s">
        <v>320</v>
      </c>
      <c r="H145" s="55" t="s">
        <v>321</v>
      </c>
    </row>
    <row r="146" spans="1:10" x14ac:dyDescent="0.25">
      <c r="A146" s="65">
        <v>100</v>
      </c>
      <c r="B146" s="65" t="s">
        <v>278</v>
      </c>
      <c r="C146" s="54">
        <v>5</v>
      </c>
      <c r="D146" s="65" t="s">
        <v>278</v>
      </c>
      <c r="E146" s="53" t="s">
        <v>124</v>
      </c>
      <c r="F146" s="65" t="s">
        <v>278</v>
      </c>
      <c r="G146" s="16">
        <f>C146-((C146*0.05/100)+(A146*0.025/100))</f>
        <v>4.9725000000000001</v>
      </c>
      <c r="H146" s="16">
        <f>C146+((C146*0.05/100)+(A146*0.025/100))</f>
        <v>5.0274999999999999</v>
      </c>
      <c r="J146" s="50"/>
    </row>
    <row r="147" spans="1:10" x14ac:dyDescent="0.25">
      <c r="A147" s="65"/>
      <c r="B147" s="65"/>
      <c r="C147" s="54">
        <v>50</v>
      </c>
      <c r="D147" s="65"/>
      <c r="E147" s="53" t="s">
        <v>125</v>
      </c>
      <c r="F147" s="65"/>
      <c r="G147" s="15">
        <f t="shared" ref="G147:G148" si="6">C147-((C147*0.05/100)+(A147*0.025/100))</f>
        <v>49.975000000000001</v>
      </c>
      <c r="H147" s="15">
        <f t="shared" ref="H147:H148" si="7">C147+((C147*0.05/100)+(A147*0.025/100))</f>
        <v>50.024999999999999</v>
      </c>
      <c r="J147" s="50"/>
    </row>
    <row r="148" spans="1:10" x14ac:dyDescent="0.25">
      <c r="A148" s="65"/>
      <c r="B148" s="65"/>
      <c r="C148" s="54">
        <v>95</v>
      </c>
      <c r="D148" s="65"/>
      <c r="E148" s="53" t="s">
        <v>126</v>
      </c>
      <c r="F148" s="65"/>
      <c r="G148" s="16">
        <f t="shared" si="6"/>
        <v>94.952500000000001</v>
      </c>
      <c r="H148" s="16">
        <f t="shared" si="7"/>
        <v>95.047499999999999</v>
      </c>
      <c r="J148" s="50"/>
    </row>
    <row r="149" spans="1:10" x14ac:dyDescent="0.25">
      <c r="A149" s="65">
        <v>1</v>
      </c>
      <c r="B149" s="65" t="s">
        <v>279</v>
      </c>
      <c r="C149" s="54">
        <v>0.05</v>
      </c>
      <c r="D149" s="65" t="s">
        <v>279</v>
      </c>
      <c r="E149" s="53" t="s">
        <v>127</v>
      </c>
      <c r="F149" s="65" t="s">
        <v>279</v>
      </c>
      <c r="G149" s="58">
        <f>C149-((C149*0.05/100)+(A149*0.006/100))</f>
        <v>4.9915000000000001E-2</v>
      </c>
      <c r="H149" s="58">
        <f>C149+((C149*0.05/100)+(A149*0.006/100))</f>
        <v>5.0085000000000005E-2</v>
      </c>
      <c r="J149" s="50"/>
    </row>
    <row r="150" spans="1:10" x14ac:dyDescent="0.25">
      <c r="A150" s="65"/>
      <c r="B150" s="65"/>
      <c r="C150" s="54">
        <v>0.5</v>
      </c>
      <c r="D150" s="65"/>
      <c r="E150" s="53" t="s">
        <v>128</v>
      </c>
      <c r="F150" s="65"/>
      <c r="G150" s="57">
        <f t="shared" ref="G150:G151" si="8">C150-((C150*0.05/100)+(A150*0.006/100))</f>
        <v>0.49975000000000003</v>
      </c>
      <c r="H150" s="57">
        <f t="shared" ref="H150:H151" si="9">C150+((C150*0.05/100)+(A150*0.006/100))</f>
        <v>0.50024999999999997</v>
      </c>
      <c r="J150" s="50"/>
    </row>
    <row r="151" spans="1:10" x14ac:dyDescent="0.25">
      <c r="A151" s="65"/>
      <c r="B151" s="65"/>
      <c r="C151" s="54">
        <v>0.95</v>
      </c>
      <c r="D151" s="65"/>
      <c r="E151" s="53" t="s">
        <v>129</v>
      </c>
      <c r="F151" s="65"/>
      <c r="G151" s="58">
        <f t="shared" si="8"/>
        <v>0.94952499999999995</v>
      </c>
      <c r="H151" s="58">
        <f t="shared" si="9"/>
        <v>0.95047499999999996</v>
      </c>
      <c r="J151" s="50"/>
    </row>
    <row r="152" spans="1:10" x14ac:dyDescent="0.25">
      <c r="A152" s="65">
        <v>10</v>
      </c>
      <c r="B152" s="65" t="s">
        <v>279</v>
      </c>
      <c r="C152" s="54">
        <v>0.5</v>
      </c>
      <c r="D152" s="65" t="s">
        <v>279</v>
      </c>
      <c r="E152" s="53" t="s">
        <v>130</v>
      </c>
      <c r="F152" s="65" t="s">
        <v>279</v>
      </c>
      <c r="G152" s="57">
        <f>C152-((C152*0.05/100)+(A152*0.02/100))</f>
        <v>0.49775000000000003</v>
      </c>
      <c r="H152" s="57">
        <f>C152+((C152*0.05/100)+(A152*0.02/100))</f>
        <v>0.50224999999999997</v>
      </c>
      <c r="J152" s="50"/>
    </row>
    <row r="153" spans="1:10" x14ac:dyDescent="0.25">
      <c r="A153" s="65"/>
      <c r="B153" s="65"/>
      <c r="C153" s="54">
        <v>5</v>
      </c>
      <c r="D153" s="65"/>
      <c r="E153" s="53" t="s">
        <v>131</v>
      </c>
      <c r="F153" s="65"/>
      <c r="G153" s="16">
        <f t="shared" ref="G153:G154" si="10">C153-((C153*0.05/100)+(A153*0.02/100))</f>
        <v>4.9974999999999996</v>
      </c>
      <c r="H153" s="16">
        <f t="shared" ref="H153:H154" si="11">C153+((C153*0.05/100)+(A153*0.02/100))</f>
        <v>5.0025000000000004</v>
      </c>
      <c r="J153" s="50"/>
    </row>
    <row r="154" spans="1:10" x14ac:dyDescent="0.25">
      <c r="A154" s="65"/>
      <c r="B154" s="65"/>
      <c r="C154" s="54">
        <v>9.5</v>
      </c>
      <c r="D154" s="65"/>
      <c r="E154" s="53" t="s">
        <v>132</v>
      </c>
      <c r="F154" s="65"/>
      <c r="G154" s="57">
        <f t="shared" si="10"/>
        <v>9.4952500000000004</v>
      </c>
      <c r="H154" s="57">
        <f t="shared" si="11"/>
        <v>9.5047499999999996</v>
      </c>
      <c r="J154" s="50"/>
    </row>
    <row r="155" spans="1:10" x14ac:dyDescent="0.25">
      <c r="A155" s="65">
        <v>100</v>
      </c>
      <c r="B155" s="65" t="s">
        <v>279</v>
      </c>
      <c r="C155" s="54">
        <v>5</v>
      </c>
      <c r="D155" s="65" t="s">
        <v>279</v>
      </c>
      <c r="E155" s="53" t="s">
        <v>133</v>
      </c>
      <c r="F155" s="65" t="s">
        <v>279</v>
      </c>
      <c r="G155" s="16">
        <f>C155-((C155*0.05/100)+(A155*0.005/100))</f>
        <v>4.9924999999999997</v>
      </c>
      <c r="H155" s="16">
        <f>C155+((C155*0.05/100)+(A155*0.005/100))</f>
        <v>5.0075000000000003</v>
      </c>
      <c r="J155" s="50"/>
    </row>
    <row r="156" spans="1:10" x14ac:dyDescent="0.25">
      <c r="A156" s="65"/>
      <c r="B156" s="65"/>
      <c r="C156" s="54">
        <v>50</v>
      </c>
      <c r="D156" s="65"/>
      <c r="E156" s="53" t="s">
        <v>134</v>
      </c>
      <c r="F156" s="65"/>
      <c r="G156" s="15">
        <f t="shared" ref="G156:G157" si="12">C156-((C156*0.05/100)+(A156*0.005/100))</f>
        <v>49.975000000000001</v>
      </c>
      <c r="H156" s="15">
        <f t="shared" ref="H156:H157" si="13">C156+((C156*0.05/100)+(A156*0.005/100))</f>
        <v>50.024999999999999</v>
      </c>
      <c r="J156" s="50"/>
    </row>
    <row r="157" spans="1:10" x14ac:dyDescent="0.25">
      <c r="A157" s="65"/>
      <c r="B157" s="65"/>
      <c r="C157" s="54">
        <v>95</v>
      </c>
      <c r="D157" s="65"/>
      <c r="E157" s="53" t="s">
        <v>135</v>
      </c>
      <c r="F157" s="65"/>
      <c r="G157" s="16">
        <f t="shared" si="12"/>
        <v>94.952500000000001</v>
      </c>
      <c r="H157" s="16">
        <f t="shared" si="13"/>
        <v>95.047499999999999</v>
      </c>
      <c r="J157" s="50"/>
    </row>
    <row r="158" spans="1:10" x14ac:dyDescent="0.25">
      <c r="A158" s="65">
        <v>1</v>
      </c>
      <c r="B158" s="65" t="s">
        <v>280</v>
      </c>
      <c r="C158" s="54">
        <v>0.05</v>
      </c>
      <c r="D158" s="65" t="s">
        <v>280</v>
      </c>
      <c r="E158" s="53" t="s">
        <v>136</v>
      </c>
      <c r="F158" s="65" t="s">
        <v>280</v>
      </c>
      <c r="G158" s="57">
        <f>C158-((C158*0.1/100)+(A158*0.01/100))</f>
        <v>4.9850000000000005E-2</v>
      </c>
      <c r="H158" s="57">
        <f>C158+((C158*0.1/100)+(A158*0.01/100))</f>
        <v>5.015E-2</v>
      </c>
      <c r="J158" s="50"/>
    </row>
    <row r="159" spans="1:10" x14ac:dyDescent="0.25">
      <c r="A159" s="65"/>
      <c r="B159" s="65"/>
      <c r="C159" s="54">
        <v>0.5</v>
      </c>
      <c r="D159" s="65"/>
      <c r="E159" s="53" t="s">
        <v>137</v>
      </c>
      <c r="F159" s="65"/>
      <c r="G159" s="16">
        <f t="shared" ref="G159:G160" si="14">C159-((C159*0.1/100)+(A159*0.01/100))</f>
        <v>0.4995</v>
      </c>
      <c r="H159" s="16">
        <f t="shared" ref="H159:H160" si="15">C159+((C159*0.1/100)+(A159*0.01/100))</f>
        <v>0.50049999999999994</v>
      </c>
      <c r="J159" s="50"/>
    </row>
    <row r="160" spans="1:10" x14ac:dyDescent="0.25">
      <c r="A160" s="65"/>
      <c r="B160" s="65"/>
      <c r="C160" s="54">
        <v>0.95</v>
      </c>
      <c r="D160" s="65"/>
      <c r="E160" s="53" t="s">
        <v>138</v>
      </c>
      <c r="F160" s="65"/>
      <c r="G160" s="57">
        <f t="shared" si="14"/>
        <v>0.94904999999999995</v>
      </c>
      <c r="H160" s="15">
        <f t="shared" si="15"/>
        <v>0.95094999999999996</v>
      </c>
      <c r="J160" s="50"/>
    </row>
    <row r="161" spans="1:10" x14ac:dyDescent="0.25">
      <c r="A161" s="65">
        <v>3</v>
      </c>
      <c r="B161" s="65" t="s">
        <v>280</v>
      </c>
      <c r="C161" s="54">
        <v>0.15</v>
      </c>
      <c r="D161" s="65" t="s">
        <v>280</v>
      </c>
      <c r="E161" s="53" t="s">
        <v>139</v>
      </c>
      <c r="F161" s="65" t="s">
        <v>280</v>
      </c>
      <c r="G161" s="58">
        <f>C161-((C161*0.15/100)+(A161*0.02/100))</f>
        <v>0.149175</v>
      </c>
      <c r="H161" s="58">
        <f>C161+((C161*0.15/100)+(A161*0.02/100))</f>
        <v>0.15082499999999999</v>
      </c>
      <c r="J161" s="50"/>
    </row>
    <row r="162" spans="1:10" x14ac:dyDescent="0.25">
      <c r="A162" s="65"/>
      <c r="B162" s="65"/>
      <c r="C162" s="54">
        <v>1.5</v>
      </c>
      <c r="D162" s="65"/>
      <c r="E162" s="53" t="s">
        <v>140</v>
      </c>
      <c r="F162" s="65"/>
      <c r="G162" s="57">
        <f t="shared" ref="G162:G163" si="16">C162-((C162*0.15/100)+(A162*0.02/100))</f>
        <v>1.4977499999999999</v>
      </c>
      <c r="H162" s="57">
        <f t="shared" ref="H162:H163" si="17">C162+((C162*0.15/100)+(A162*0.02/100))</f>
        <v>1.5022500000000001</v>
      </c>
      <c r="J162" s="50"/>
    </row>
    <row r="163" spans="1:10" x14ac:dyDescent="0.25">
      <c r="A163" s="65"/>
      <c r="B163" s="65"/>
      <c r="C163" s="54">
        <v>2.85</v>
      </c>
      <c r="D163" s="65"/>
      <c r="E163" s="53" t="s">
        <v>141</v>
      </c>
      <c r="F163" s="65"/>
      <c r="G163" s="58">
        <f t="shared" si="16"/>
        <v>2.8457250000000003</v>
      </c>
      <c r="H163" s="58">
        <f t="shared" si="17"/>
        <v>2.8542749999999999</v>
      </c>
      <c r="J163" s="50"/>
    </row>
    <row r="164" spans="1:10" x14ac:dyDescent="0.25">
      <c r="A164" s="19"/>
      <c r="B164" s="19"/>
      <c r="C164" s="21"/>
      <c r="D164" s="22"/>
      <c r="E164" s="23"/>
      <c r="F164" s="24"/>
    </row>
    <row r="165" spans="1:10" x14ac:dyDescent="0.25">
      <c r="A165" s="25" t="s">
        <v>12</v>
      </c>
      <c r="B165" s="19"/>
      <c r="C165" s="21"/>
      <c r="D165" s="22"/>
      <c r="E165" s="23"/>
      <c r="F165" s="24"/>
    </row>
    <row r="166" spans="1:10" ht="15" customHeight="1" x14ac:dyDescent="0.25">
      <c r="A166" s="61" t="s">
        <v>266</v>
      </c>
      <c r="B166" s="61" t="s">
        <v>263</v>
      </c>
      <c r="C166" s="61"/>
      <c r="D166" s="61" t="s">
        <v>2</v>
      </c>
      <c r="E166" s="61" t="s">
        <v>260</v>
      </c>
      <c r="F166" s="61"/>
      <c r="G166" s="61" t="s">
        <v>319</v>
      </c>
      <c r="H166" s="61"/>
    </row>
    <row r="167" spans="1:10" x14ac:dyDescent="0.25">
      <c r="A167" s="61"/>
      <c r="B167" s="61"/>
      <c r="C167" s="61"/>
      <c r="D167" s="61"/>
      <c r="E167" s="61"/>
      <c r="F167" s="61"/>
      <c r="G167" s="55" t="s">
        <v>320</v>
      </c>
      <c r="H167" s="55" t="s">
        <v>321</v>
      </c>
    </row>
    <row r="168" spans="1:10" x14ac:dyDescent="0.25">
      <c r="A168" s="65" t="s">
        <v>312</v>
      </c>
      <c r="B168" s="66">
        <v>30</v>
      </c>
      <c r="C168" s="65" t="s">
        <v>278</v>
      </c>
      <c r="D168" s="49" t="s">
        <v>10</v>
      </c>
      <c r="E168" s="53" t="s">
        <v>142</v>
      </c>
      <c r="F168" s="65" t="s">
        <v>278</v>
      </c>
      <c r="G168" s="17">
        <f>B168-((B168*0.1/100)+(100*0.04/100))</f>
        <v>29.93</v>
      </c>
      <c r="H168" s="17">
        <f>B168+((B168*0.1/100)+(100*0.04/100))</f>
        <v>30.07</v>
      </c>
    </row>
    <row r="169" spans="1:10" x14ac:dyDescent="0.25">
      <c r="A169" s="65"/>
      <c r="B169" s="66"/>
      <c r="C169" s="65"/>
      <c r="D169" s="49" t="s">
        <v>318</v>
      </c>
      <c r="E169" s="53" t="s">
        <v>143</v>
      </c>
      <c r="F169" s="65"/>
      <c r="G169" s="17">
        <f>B168-((B168*0.1/100)+(100*0.04/100))</f>
        <v>29.93</v>
      </c>
      <c r="H169" s="17">
        <f>B168+((B168*0.1/100)+(100*0.04/100))</f>
        <v>30.07</v>
      </c>
    </row>
    <row r="170" spans="1:10" x14ac:dyDescent="0.25">
      <c r="A170" s="65"/>
      <c r="B170" s="66"/>
      <c r="C170" s="65"/>
      <c r="D170" s="49" t="s">
        <v>13</v>
      </c>
      <c r="E170" s="53" t="s">
        <v>144</v>
      </c>
      <c r="F170" s="65"/>
      <c r="G170" s="48">
        <f>B168-((B168*0.2/100)+(100*0.04/100))</f>
        <v>29.9</v>
      </c>
      <c r="H170" s="48">
        <f>B168+((B168*0.2/100)+(100*0.04/100))</f>
        <v>30.1</v>
      </c>
    </row>
    <row r="171" spans="1:10" x14ac:dyDescent="0.25">
      <c r="A171" s="65"/>
      <c r="B171" s="66">
        <v>50</v>
      </c>
      <c r="C171" s="65" t="s">
        <v>278</v>
      </c>
      <c r="D171" s="49" t="s">
        <v>10</v>
      </c>
      <c r="E171" s="53" t="s">
        <v>145</v>
      </c>
      <c r="F171" s="65" t="s">
        <v>278</v>
      </c>
      <c r="G171" s="17">
        <f>B171-((B171*0.1/100)+(100*0.04/100))</f>
        <v>49.91</v>
      </c>
      <c r="H171" s="17">
        <f>B171+((B171*0.1/100)+(100*0.04/100))</f>
        <v>50.09</v>
      </c>
    </row>
    <row r="172" spans="1:10" x14ac:dyDescent="0.25">
      <c r="A172" s="65"/>
      <c r="B172" s="66"/>
      <c r="C172" s="65"/>
      <c r="D172" s="49" t="s">
        <v>318</v>
      </c>
      <c r="E172" s="53" t="s">
        <v>146</v>
      </c>
      <c r="F172" s="65"/>
      <c r="G172" s="17">
        <f>B171-((B171*0.1/100)+(100*0.04/100))</f>
        <v>49.91</v>
      </c>
      <c r="H172" s="17">
        <f>B171+((B171*0.1/100)+(100*0.04/100))</f>
        <v>50.09</v>
      </c>
    </row>
    <row r="173" spans="1:10" x14ac:dyDescent="0.25">
      <c r="A173" s="65"/>
      <c r="B173" s="66"/>
      <c r="C173" s="65"/>
      <c r="D173" s="49" t="s">
        <v>13</v>
      </c>
      <c r="E173" s="53" t="s">
        <v>147</v>
      </c>
      <c r="F173" s="65"/>
      <c r="G173" s="17">
        <f>B171-((B171*0.2/100)+(100*0.04/100))</f>
        <v>49.86</v>
      </c>
      <c r="H173" s="17">
        <f>B171+((B171*0.2/100)+(100*0.04/100))</f>
        <v>50.14</v>
      </c>
    </row>
    <row r="174" spans="1:10" x14ac:dyDescent="0.25">
      <c r="A174" s="65"/>
      <c r="B174" s="66">
        <v>95</v>
      </c>
      <c r="C174" s="65" t="s">
        <v>278</v>
      </c>
      <c r="D174" s="49" t="s">
        <v>10</v>
      </c>
      <c r="E174" s="53" t="s">
        <v>148</v>
      </c>
      <c r="F174" s="65" t="s">
        <v>278</v>
      </c>
      <c r="G174" s="15">
        <f>B174-((B174*0.1/100)+(100*0.04/100))</f>
        <v>94.864999999999995</v>
      </c>
      <c r="H174" s="15">
        <f>B174+((B174*0.1/100)+(100*0.04/100))</f>
        <v>95.135000000000005</v>
      </c>
    </row>
    <row r="175" spans="1:10" x14ac:dyDescent="0.25">
      <c r="A175" s="65"/>
      <c r="B175" s="66"/>
      <c r="C175" s="65"/>
      <c r="D175" s="49" t="s">
        <v>318</v>
      </c>
      <c r="E175" s="53" t="s">
        <v>149</v>
      </c>
      <c r="F175" s="65"/>
      <c r="G175" s="15">
        <f>B174-((B174*0.1/100)+(100*0.04/100))</f>
        <v>94.864999999999995</v>
      </c>
      <c r="H175" s="15">
        <f>B174+((B174*0.1/100)+(100*0.04/100))</f>
        <v>95.135000000000005</v>
      </c>
    </row>
    <row r="176" spans="1:10" x14ac:dyDescent="0.25">
      <c r="A176" s="65"/>
      <c r="B176" s="66"/>
      <c r="C176" s="65"/>
      <c r="D176" s="49" t="s">
        <v>13</v>
      </c>
      <c r="E176" s="53" t="s">
        <v>150</v>
      </c>
      <c r="F176" s="65"/>
      <c r="G176" s="17">
        <f>B174-((B174*0.2/100)+(100*0.04/100))</f>
        <v>94.77</v>
      </c>
      <c r="H176" s="17">
        <f>B174+((B174*0.2/100)+(100*0.04/100))</f>
        <v>95.23</v>
      </c>
    </row>
    <row r="177" spans="1:8" x14ac:dyDescent="0.25">
      <c r="A177" s="65" t="s">
        <v>313</v>
      </c>
      <c r="B177" s="66">
        <v>0.05</v>
      </c>
      <c r="C177" s="65" t="s">
        <v>279</v>
      </c>
      <c r="D177" s="49" t="s">
        <v>10</v>
      </c>
      <c r="E177" s="53" t="s">
        <v>151</v>
      </c>
      <c r="F177" s="65" t="s">
        <v>279</v>
      </c>
      <c r="G177" s="57">
        <f>B177-((B177*0.1/100)+(1*0.04/100))</f>
        <v>4.9550000000000004E-2</v>
      </c>
      <c r="H177" s="57">
        <f>B177+((B177*0.1/100)+(1*0.04/100))</f>
        <v>5.0450000000000002E-2</v>
      </c>
    </row>
    <row r="178" spans="1:8" x14ac:dyDescent="0.25">
      <c r="A178" s="65"/>
      <c r="B178" s="66"/>
      <c r="C178" s="65"/>
      <c r="D178" s="49" t="s">
        <v>318</v>
      </c>
      <c r="E178" s="53" t="s">
        <v>152</v>
      </c>
      <c r="F178" s="65"/>
      <c r="G178" s="57">
        <f>B177-((B177*0.1/100)+(1*0.04/100))</f>
        <v>4.9550000000000004E-2</v>
      </c>
      <c r="H178" s="57">
        <f>B177+((B177*0.1/100)+(1*0.04/100))</f>
        <v>5.0450000000000002E-2</v>
      </c>
    </row>
    <row r="179" spans="1:8" x14ac:dyDescent="0.25">
      <c r="A179" s="65"/>
      <c r="B179" s="66"/>
      <c r="C179" s="65"/>
      <c r="D179" s="49" t="s">
        <v>13</v>
      </c>
      <c r="E179" s="53" t="s">
        <v>153</v>
      </c>
      <c r="F179" s="65"/>
      <c r="G179" s="16">
        <f>B177-((B177*0.2/100)+(1*0.04/100))</f>
        <v>4.9500000000000002E-2</v>
      </c>
      <c r="H179" s="16">
        <f>B177+((B177*0.2/100)+(1*0.04/100))</f>
        <v>5.0500000000000003E-2</v>
      </c>
    </row>
    <row r="180" spans="1:8" x14ac:dyDescent="0.25">
      <c r="A180" s="65"/>
      <c r="B180" s="66">
        <v>0.5</v>
      </c>
      <c r="C180" s="65" t="s">
        <v>279</v>
      </c>
      <c r="D180" s="49" t="s">
        <v>10</v>
      </c>
      <c r="E180" s="53" t="s">
        <v>154</v>
      </c>
      <c r="F180" s="65" t="s">
        <v>279</v>
      </c>
      <c r="G180" s="16">
        <f>B180-((B180*0.1/100)+(1*0.04/100))</f>
        <v>0.49909999999999999</v>
      </c>
      <c r="H180" s="16">
        <f>B180+((B180*0.1/100)+(1*0.04/100))</f>
        <v>0.50090000000000001</v>
      </c>
    </row>
    <row r="181" spans="1:8" x14ac:dyDescent="0.25">
      <c r="A181" s="65"/>
      <c r="B181" s="66"/>
      <c r="C181" s="65"/>
      <c r="D181" s="49" t="s">
        <v>318</v>
      </c>
      <c r="E181" s="53" t="s">
        <v>155</v>
      </c>
      <c r="F181" s="65"/>
      <c r="G181" s="16">
        <f>B180-((B180*0.1/100)+(1*0.04/100))</f>
        <v>0.49909999999999999</v>
      </c>
      <c r="H181" s="16">
        <f>B180+((B180*0.1/100)+(1*0.04/100))</f>
        <v>0.50090000000000001</v>
      </c>
    </row>
    <row r="182" spans="1:8" x14ac:dyDescent="0.25">
      <c r="A182" s="65"/>
      <c r="B182" s="66"/>
      <c r="C182" s="65"/>
      <c r="D182" s="49" t="s">
        <v>13</v>
      </c>
      <c r="E182" s="53" t="s">
        <v>156</v>
      </c>
      <c r="F182" s="65"/>
      <c r="G182" s="16">
        <f>B180-((B180*0.2/100)+(1*0.04/100))</f>
        <v>0.49859999999999999</v>
      </c>
      <c r="H182" s="16">
        <f>B180+((B180*0.2/100)+(1*0.04/100))</f>
        <v>0.50139999999999996</v>
      </c>
    </row>
    <row r="183" spans="1:8" x14ac:dyDescent="0.25">
      <c r="A183" s="65"/>
      <c r="B183" s="66">
        <v>0.95</v>
      </c>
      <c r="C183" s="65" t="s">
        <v>279</v>
      </c>
      <c r="D183" s="49" t="s">
        <v>10</v>
      </c>
      <c r="E183" s="53" t="s">
        <v>157</v>
      </c>
      <c r="F183" s="65" t="s">
        <v>279</v>
      </c>
      <c r="G183" s="57">
        <f>B183-((B183*0.1/100)+(1*0.04/100))</f>
        <v>0.94864999999999999</v>
      </c>
      <c r="H183" s="57">
        <f>B183+((B183*0.1/100)+(1*0.04/100))</f>
        <v>0.95134999999999992</v>
      </c>
    </row>
    <row r="184" spans="1:8" x14ac:dyDescent="0.25">
      <c r="A184" s="65"/>
      <c r="B184" s="66"/>
      <c r="C184" s="65"/>
      <c r="D184" s="49" t="s">
        <v>318</v>
      </c>
      <c r="E184" s="53" t="s">
        <v>158</v>
      </c>
      <c r="F184" s="65"/>
      <c r="G184" s="57">
        <f>B183-((B183*0.1/100)+(1*0.04/100))</f>
        <v>0.94864999999999999</v>
      </c>
      <c r="H184" s="57">
        <f>B183+((B183*0.1/100)+(1*0.04/100))</f>
        <v>0.95134999999999992</v>
      </c>
    </row>
    <row r="185" spans="1:8" x14ac:dyDescent="0.25">
      <c r="A185" s="65"/>
      <c r="B185" s="66"/>
      <c r="C185" s="65"/>
      <c r="D185" s="49" t="s">
        <v>13</v>
      </c>
      <c r="E185" s="53" t="s">
        <v>159</v>
      </c>
      <c r="F185" s="65"/>
      <c r="G185" s="16">
        <f>B183-((B183*0.2/100)+(1*0.04/100))</f>
        <v>0.94769999999999999</v>
      </c>
      <c r="H185" s="16">
        <f>B183+((B183*0.2/100)+(1*0.04/100))</f>
        <v>0.95229999999999992</v>
      </c>
    </row>
    <row r="186" spans="1:8" x14ac:dyDescent="0.25">
      <c r="A186" s="65" t="s">
        <v>314</v>
      </c>
      <c r="B186" s="66">
        <v>0.5</v>
      </c>
      <c r="C186" s="65" t="s">
        <v>279</v>
      </c>
      <c r="D186" s="49" t="s">
        <v>10</v>
      </c>
      <c r="E186" s="53" t="s">
        <v>160</v>
      </c>
      <c r="F186" s="65" t="s">
        <v>279</v>
      </c>
      <c r="G186" s="16">
        <f>B186-((B186*0.1/100)+(10*0.04/100))</f>
        <v>0.4955</v>
      </c>
      <c r="H186" s="16">
        <f>B186+((B186*0.1/100)+(10*0.04/100))</f>
        <v>0.50449999999999995</v>
      </c>
    </row>
    <row r="187" spans="1:8" x14ac:dyDescent="0.25">
      <c r="A187" s="65"/>
      <c r="B187" s="66"/>
      <c r="C187" s="65"/>
      <c r="D187" s="49" t="s">
        <v>318</v>
      </c>
      <c r="E187" s="53" t="s">
        <v>161</v>
      </c>
      <c r="F187" s="65"/>
      <c r="G187" s="16">
        <f>B186-((B186*0.1/100)+(10*0.04/100))</f>
        <v>0.4955</v>
      </c>
      <c r="H187" s="16">
        <f>B186+((B186*0.1/100)+(10*0.04/100))</f>
        <v>0.50449999999999995</v>
      </c>
    </row>
    <row r="188" spans="1:8" x14ac:dyDescent="0.25">
      <c r="A188" s="65"/>
      <c r="B188" s="66"/>
      <c r="C188" s="65"/>
      <c r="D188" s="49" t="s">
        <v>13</v>
      </c>
      <c r="E188" s="53" t="s">
        <v>162</v>
      </c>
      <c r="F188" s="65"/>
      <c r="G188" s="16">
        <f>B186-((B186*0.2/100)+(10*0.04/100))</f>
        <v>0.495</v>
      </c>
      <c r="H188" s="16">
        <f>B186+((B186*0.2/100)+(10*0.04/100))</f>
        <v>0.505</v>
      </c>
    </row>
    <row r="189" spans="1:8" x14ac:dyDescent="0.25">
      <c r="A189" s="65"/>
      <c r="B189" s="66">
        <v>5</v>
      </c>
      <c r="C189" s="65" t="s">
        <v>279</v>
      </c>
      <c r="D189" s="49" t="s">
        <v>10</v>
      </c>
      <c r="E189" s="53" t="s">
        <v>163</v>
      </c>
      <c r="F189" s="65" t="s">
        <v>279</v>
      </c>
      <c r="G189" s="15">
        <f>B189-((B189*0.1/100)+(10*0.04/100))</f>
        <v>4.9909999999999997</v>
      </c>
      <c r="H189" s="15">
        <f>B189+((B189*0.1/100)+(10*0.04/100))</f>
        <v>5.0090000000000003</v>
      </c>
    </row>
    <row r="190" spans="1:8" x14ac:dyDescent="0.25">
      <c r="A190" s="65"/>
      <c r="B190" s="66"/>
      <c r="C190" s="65"/>
      <c r="D190" s="49" t="s">
        <v>318</v>
      </c>
      <c r="E190" s="53" t="s">
        <v>164</v>
      </c>
      <c r="F190" s="65"/>
      <c r="G190" s="15">
        <f>B189-((B189*0.1/100)+(10*0.04/100))</f>
        <v>4.9909999999999997</v>
      </c>
      <c r="H190" s="15">
        <f>B189+((B189*0.1/100)+(10*0.04/100))</f>
        <v>5.0090000000000003</v>
      </c>
    </row>
    <row r="191" spans="1:8" x14ac:dyDescent="0.25">
      <c r="A191" s="65"/>
      <c r="B191" s="66"/>
      <c r="C191" s="65"/>
      <c r="D191" s="49" t="s">
        <v>13</v>
      </c>
      <c r="E191" s="53" t="s">
        <v>165</v>
      </c>
      <c r="F191" s="65"/>
      <c r="G191" s="15">
        <f>B189-((B189*0.2/100)+(10*0.04/100))</f>
        <v>4.9859999999999998</v>
      </c>
      <c r="H191" s="15">
        <f>B189+((B189*0.2/100)+(10*0.04/100))</f>
        <v>5.0140000000000002</v>
      </c>
    </row>
    <row r="192" spans="1:8" x14ac:dyDescent="0.25">
      <c r="A192" s="65"/>
      <c r="B192" s="66">
        <v>9.5</v>
      </c>
      <c r="C192" s="65" t="s">
        <v>279</v>
      </c>
      <c r="D192" s="49" t="s">
        <v>10</v>
      </c>
      <c r="E192" s="53" t="s">
        <v>166</v>
      </c>
      <c r="F192" s="65" t="s">
        <v>279</v>
      </c>
      <c r="G192" s="15">
        <f>B192-((B192*0.1/100)+(10*0.04/100))</f>
        <v>9.4864999999999995</v>
      </c>
      <c r="H192" s="15">
        <f>B192+((B192*0.1/100)+(10*0.04/100))</f>
        <v>9.5135000000000005</v>
      </c>
    </row>
    <row r="193" spans="1:8" x14ac:dyDescent="0.25">
      <c r="A193" s="65"/>
      <c r="B193" s="66"/>
      <c r="C193" s="65"/>
      <c r="D193" s="49" t="s">
        <v>318</v>
      </c>
      <c r="E193" s="53" t="s">
        <v>167</v>
      </c>
      <c r="F193" s="65"/>
      <c r="G193" s="15">
        <f>B192-((B192*0.1/100)+(10*0.04/100))</f>
        <v>9.4864999999999995</v>
      </c>
      <c r="H193" s="15">
        <f>B192+((B192*0.1/100)+(10*0.04/100))</f>
        <v>9.5135000000000005</v>
      </c>
    </row>
    <row r="194" spans="1:8" x14ac:dyDescent="0.25">
      <c r="A194" s="65"/>
      <c r="B194" s="66"/>
      <c r="C194" s="65"/>
      <c r="D194" s="49" t="s">
        <v>13</v>
      </c>
      <c r="E194" s="53" t="s">
        <v>168</v>
      </c>
      <c r="F194" s="65"/>
      <c r="G194" s="15">
        <f>B192-((B192*0.2/100)+(10*0.04/100))</f>
        <v>9.4770000000000003</v>
      </c>
      <c r="H194" s="15">
        <f>B192+((B192*0.2/100)+(10*0.04/100))</f>
        <v>9.5229999999999997</v>
      </c>
    </row>
    <row r="195" spans="1:8" x14ac:dyDescent="0.25">
      <c r="A195" s="65" t="s">
        <v>315</v>
      </c>
      <c r="B195" s="66">
        <v>5</v>
      </c>
      <c r="C195" s="65" t="s">
        <v>279</v>
      </c>
      <c r="D195" s="49" t="s">
        <v>10</v>
      </c>
      <c r="E195" s="53" t="s">
        <v>169</v>
      </c>
      <c r="F195" s="65" t="s">
        <v>279</v>
      </c>
      <c r="G195" s="15">
        <f>B195-((B195*0.1/100)+(100*0.04/100))</f>
        <v>4.9550000000000001</v>
      </c>
      <c r="H195" s="15">
        <f>B195+((B195*0.1/100)+(100*0.04/100))</f>
        <v>5.0449999999999999</v>
      </c>
    </row>
    <row r="196" spans="1:8" x14ac:dyDescent="0.25">
      <c r="A196" s="65"/>
      <c r="B196" s="66"/>
      <c r="C196" s="65"/>
      <c r="D196" s="49" t="s">
        <v>318</v>
      </c>
      <c r="E196" s="53" t="s">
        <v>170</v>
      </c>
      <c r="F196" s="65"/>
      <c r="G196" s="15">
        <f>B195-((B195*0.1/100)+(100*0.04/100))</f>
        <v>4.9550000000000001</v>
      </c>
      <c r="H196" s="15">
        <f>B195+((B195*0.1/100)+(100*0.04/100))</f>
        <v>5.0449999999999999</v>
      </c>
    </row>
    <row r="197" spans="1:8" x14ac:dyDescent="0.25">
      <c r="A197" s="65"/>
      <c r="B197" s="66"/>
      <c r="C197" s="65"/>
      <c r="D197" s="49" t="s">
        <v>13</v>
      </c>
      <c r="E197" s="53" t="s">
        <v>171</v>
      </c>
      <c r="F197" s="65"/>
      <c r="G197" s="17">
        <f>B195-((B195*0.2/100)+(100*0.04/100))</f>
        <v>4.95</v>
      </c>
      <c r="H197" s="17">
        <f>B195+((B195*0.2/100)+(100*0.04/100))</f>
        <v>5.05</v>
      </c>
    </row>
    <row r="198" spans="1:8" x14ac:dyDescent="0.25">
      <c r="A198" s="65"/>
      <c r="B198" s="66">
        <v>50</v>
      </c>
      <c r="C198" s="65" t="s">
        <v>279</v>
      </c>
      <c r="D198" s="49" t="s">
        <v>10</v>
      </c>
      <c r="E198" s="53" t="s">
        <v>172</v>
      </c>
      <c r="F198" s="65" t="s">
        <v>279</v>
      </c>
      <c r="G198" s="17">
        <f>B198-((B198*0.1/100)+(100*0.04/100))</f>
        <v>49.91</v>
      </c>
      <c r="H198" s="17">
        <f>B198+((B198*0.1/100)+(100*0.04/100))</f>
        <v>50.09</v>
      </c>
    </row>
    <row r="199" spans="1:8" x14ac:dyDescent="0.25">
      <c r="A199" s="65"/>
      <c r="B199" s="66"/>
      <c r="C199" s="65"/>
      <c r="D199" s="49" t="s">
        <v>318</v>
      </c>
      <c r="E199" s="53" t="s">
        <v>173</v>
      </c>
      <c r="F199" s="65"/>
      <c r="G199" s="17">
        <f>B198-((B198*0.1/100)+(100*0.04/100))</f>
        <v>49.91</v>
      </c>
      <c r="H199" s="17">
        <f>B198+((B198*0.1/100)+(100*0.04/100))</f>
        <v>50.09</v>
      </c>
    </row>
    <row r="200" spans="1:8" x14ac:dyDescent="0.25">
      <c r="A200" s="65"/>
      <c r="B200" s="66"/>
      <c r="C200" s="65"/>
      <c r="D200" s="49" t="s">
        <v>13</v>
      </c>
      <c r="E200" s="53" t="s">
        <v>174</v>
      </c>
      <c r="F200" s="65"/>
      <c r="G200" s="17">
        <f>B198-((B198*0.2/100)+(100*0.04/100))</f>
        <v>49.86</v>
      </c>
      <c r="H200" s="17">
        <f>B198+((B198*0.2/100)+(100*0.04/100))</f>
        <v>50.14</v>
      </c>
    </row>
    <row r="201" spans="1:8" x14ac:dyDescent="0.25">
      <c r="A201" s="65"/>
      <c r="B201" s="66">
        <v>95</v>
      </c>
      <c r="C201" s="65" t="s">
        <v>279</v>
      </c>
      <c r="D201" s="49" t="s">
        <v>10</v>
      </c>
      <c r="E201" s="53" t="s">
        <v>175</v>
      </c>
      <c r="F201" s="65" t="s">
        <v>279</v>
      </c>
      <c r="G201" s="15">
        <f>B201-((B201*0.1/100)+(100*0.04/100))</f>
        <v>94.864999999999995</v>
      </c>
      <c r="H201" s="15">
        <f>B201+((B201*0.1/100)+(100*0.04/100))</f>
        <v>95.135000000000005</v>
      </c>
    </row>
    <row r="202" spans="1:8" x14ac:dyDescent="0.25">
      <c r="A202" s="65"/>
      <c r="B202" s="66"/>
      <c r="C202" s="65"/>
      <c r="D202" s="49" t="s">
        <v>318</v>
      </c>
      <c r="E202" s="53" t="s">
        <v>176</v>
      </c>
      <c r="F202" s="65"/>
      <c r="G202" s="15">
        <f>B201-((B201*0.1/100)+(100*0.04/100))</f>
        <v>94.864999999999995</v>
      </c>
      <c r="H202" s="15">
        <f>B201+((B201*0.1/100)+(100*0.04/100))</f>
        <v>95.135000000000005</v>
      </c>
    </row>
    <row r="203" spans="1:8" x14ac:dyDescent="0.25">
      <c r="A203" s="65"/>
      <c r="B203" s="66"/>
      <c r="C203" s="65"/>
      <c r="D203" s="49" t="s">
        <v>13</v>
      </c>
      <c r="E203" s="53" t="s">
        <v>177</v>
      </c>
      <c r="F203" s="65"/>
      <c r="G203" s="17">
        <f>B201-((B201*0.2/100)+(100*0.04/100))</f>
        <v>94.77</v>
      </c>
      <c r="H203" s="17">
        <f>B201+((B201*0.2/100)+(100*0.04/100))</f>
        <v>95.23</v>
      </c>
    </row>
    <row r="204" spans="1:8" x14ac:dyDescent="0.25">
      <c r="A204" s="65" t="s">
        <v>316</v>
      </c>
      <c r="B204" s="66">
        <v>0.05</v>
      </c>
      <c r="C204" s="65" t="s">
        <v>280</v>
      </c>
      <c r="D204" s="49" t="s">
        <v>10</v>
      </c>
      <c r="E204" s="53" t="s">
        <v>178</v>
      </c>
      <c r="F204" s="65" t="s">
        <v>280</v>
      </c>
      <c r="G204" s="57">
        <f>B204-((B204*0.1/100)+(1*0.04/100))</f>
        <v>4.9550000000000004E-2</v>
      </c>
      <c r="H204" s="57">
        <f>B204+((B204*0.1/100)+(1*0.04/100))</f>
        <v>5.0450000000000002E-2</v>
      </c>
    </row>
    <row r="205" spans="1:8" x14ac:dyDescent="0.25">
      <c r="A205" s="65"/>
      <c r="B205" s="66"/>
      <c r="C205" s="65"/>
      <c r="D205" s="49" t="s">
        <v>318</v>
      </c>
      <c r="E205" s="53" t="s">
        <v>179</v>
      </c>
      <c r="F205" s="65"/>
      <c r="G205" s="57">
        <f>B204-((B204*0.1/100)+(1*0.04/100))</f>
        <v>4.9550000000000004E-2</v>
      </c>
      <c r="H205" s="57">
        <f>B204+((B204*0.1/100)+(1*0.04/100))</f>
        <v>5.0450000000000002E-2</v>
      </c>
    </row>
    <row r="206" spans="1:8" x14ac:dyDescent="0.25">
      <c r="A206" s="65"/>
      <c r="B206" s="66"/>
      <c r="C206" s="65"/>
      <c r="D206" s="49" t="s">
        <v>13</v>
      </c>
      <c r="E206" s="53" t="s">
        <v>180</v>
      </c>
      <c r="F206" s="65"/>
      <c r="G206" s="57">
        <f>B204-((B204*0.2/100)+(1*0.04/100))</f>
        <v>4.9500000000000002E-2</v>
      </c>
      <c r="H206" s="16">
        <f>B204+((B204*0.2/100)+(1*0.04/100))</f>
        <v>5.0500000000000003E-2</v>
      </c>
    </row>
    <row r="207" spans="1:8" x14ac:dyDescent="0.25">
      <c r="A207" s="65"/>
      <c r="B207" s="66">
        <v>0.5</v>
      </c>
      <c r="C207" s="65" t="s">
        <v>280</v>
      </c>
      <c r="D207" s="49" t="s">
        <v>10</v>
      </c>
      <c r="E207" s="53" t="s">
        <v>181</v>
      </c>
      <c r="F207" s="65" t="s">
        <v>280</v>
      </c>
      <c r="G207" s="16">
        <f>B207-((B207*0.1/100)+(1*0.04/100))</f>
        <v>0.49909999999999999</v>
      </c>
      <c r="H207" s="16">
        <f>B207+((B207*0.1/100)+(1*0.04/100))</f>
        <v>0.50090000000000001</v>
      </c>
    </row>
    <row r="208" spans="1:8" x14ac:dyDescent="0.25">
      <c r="A208" s="65"/>
      <c r="B208" s="66"/>
      <c r="C208" s="65"/>
      <c r="D208" s="49" t="s">
        <v>318</v>
      </c>
      <c r="E208" s="53" t="s">
        <v>182</v>
      </c>
      <c r="F208" s="65"/>
      <c r="G208" s="16">
        <f>B207-((B207*0.1/100)+(1*0.04/100))</f>
        <v>0.49909999999999999</v>
      </c>
      <c r="H208" s="16">
        <f>B207+((B207*0.1/100)+(1*0.04/100))</f>
        <v>0.50090000000000001</v>
      </c>
    </row>
    <row r="209" spans="1:8" x14ac:dyDescent="0.25">
      <c r="A209" s="65"/>
      <c r="B209" s="66"/>
      <c r="C209" s="65"/>
      <c r="D209" s="49" t="s">
        <v>13</v>
      </c>
      <c r="E209" s="53" t="s">
        <v>183</v>
      </c>
      <c r="F209" s="65"/>
      <c r="G209" s="16">
        <f>B207-((B207*0.2/100)+(1*0.04/100))</f>
        <v>0.49859999999999999</v>
      </c>
      <c r="H209" s="16">
        <f>B207+((B207*0.2/100)+(1*0.04/100))</f>
        <v>0.50139999999999996</v>
      </c>
    </row>
    <row r="210" spans="1:8" x14ac:dyDescent="0.25">
      <c r="A210" s="65"/>
      <c r="B210" s="66">
        <v>0.95</v>
      </c>
      <c r="C210" s="65" t="s">
        <v>280</v>
      </c>
      <c r="D210" s="49" t="s">
        <v>10</v>
      </c>
      <c r="E210" s="53" t="s">
        <v>184</v>
      </c>
      <c r="F210" s="65" t="s">
        <v>280</v>
      </c>
      <c r="G210" s="57">
        <f>B210-((B210*0.1/100)+(1*0.04/100))</f>
        <v>0.94864999999999999</v>
      </c>
      <c r="H210" s="57">
        <f>B210+((B210*0.1/100)+(1*0.04/100))</f>
        <v>0.95134999999999992</v>
      </c>
    </row>
    <row r="211" spans="1:8" x14ac:dyDescent="0.25">
      <c r="A211" s="65"/>
      <c r="B211" s="66"/>
      <c r="C211" s="65"/>
      <c r="D211" s="49" t="s">
        <v>318</v>
      </c>
      <c r="E211" s="53" t="s">
        <v>185</v>
      </c>
      <c r="F211" s="65"/>
      <c r="G211" s="57">
        <f>B210-((B210*0.1/100)+(1*0.04/100))</f>
        <v>0.94864999999999999</v>
      </c>
      <c r="H211" s="57">
        <f>B210+((B210*0.1/100)+(1*0.04/100))</f>
        <v>0.95134999999999992</v>
      </c>
    </row>
    <row r="212" spans="1:8" x14ac:dyDescent="0.25">
      <c r="A212" s="65"/>
      <c r="B212" s="66"/>
      <c r="C212" s="65"/>
      <c r="D212" s="49" t="s">
        <v>13</v>
      </c>
      <c r="E212" s="53" t="s">
        <v>186</v>
      </c>
      <c r="F212" s="65"/>
      <c r="G212" s="16">
        <f>B210-((B210*0.2/100)+(1*0.04/100))</f>
        <v>0.94769999999999999</v>
      </c>
      <c r="H212" s="16">
        <f>B210+((B210*0.2/100)+(1*0.04/100))</f>
        <v>0.95229999999999992</v>
      </c>
    </row>
    <row r="213" spans="1:8" x14ac:dyDescent="0.25">
      <c r="A213" s="65" t="s">
        <v>317</v>
      </c>
      <c r="B213" s="66">
        <v>0.15</v>
      </c>
      <c r="C213" s="65" t="s">
        <v>280</v>
      </c>
      <c r="D213" s="49" t="s">
        <v>10</v>
      </c>
      <c r="E213" s="53" t="s">
        <v>187</v>
      </c>
      <c r="F213" s="65" t="s">
        <v>280</v>
      </c>
      <c r="G213" s="57">
        <f>B213-((B213*0.1/100)+(3*0.04/100))</f>
        <v>0.14865</v>
      </c>
      <c r="H213" s="57">
        <f>B213+((B213*0.1/100)+(3*0.04/100))</f>
        <v>0.15134999999999998</v>
      </c>
    </row>
    <row r="214" spans="1:8" x14ac:dyDescent="0.25">
      <c r="A214" s="65"/>
      <c r="B214" s="66"/>
      <c r="C214" s="65"/>
      <c r="D214" s="49" t="s">
        <v>318</v>
      </c>
      <c r="E214" s="53" t="s">
        <v>188</v>
      </c>
      <c r="F214" s="65"/>
      <c r="G214" s="57">
        <f>B213-((B213*0.1/100)+(3*0.04/100))</f>
        <v>0.14865</v>
      </c>
      <c r="H214" s="57">
        <f>B213+((B213*0.1/100)+(3*0.04/100))</f>
        <v>0.15134999999999998</v>
      </c>
    </row>
    <row r="215" spans="1:8" x14ac:dyDescent="0.25">
      <c r="A215" s="65"/>
      <c r="B215" s="66"/>
      <c r="C215" s="65"/>
      <c r="D215" s="49" t="s">
        <v>13</v>
      </c>
      <c r="E215" s="53" t="s">
        <v>189</v>
      </c>
      <c r="F215" s="65"/>
      <c r="G215" s="16">
        <f>B213-((B213*0.2/100)+(3*0.04/100))</f>
        <v>0.14849999999999999</v>
      </c>
      <c r="H215" s="16">
        <f>B213+((B213*0.2/100)+(3*0.04/100))</f>
        <v>0.1515</v>
      </c>
    </row>
    <row r="216" spans="1:8" x14ac:dyDescent="0.25">
      <c r="A216" s="65"/>
      <c r="B216" s="66">
        <v>1.5</v>
      </c>
      <c r="C216" s="65" t="s">
        <v>280</v>
      </c>
      <c r="D216" s="49" t="s">
        <v>10</v>
      </c>
      <c r="E216" s="53" t="s">
        <v>190</v>
      </c>
      <c r="F216" s="65" t="s">
        <v>280</v>
      </c>
      <c r="G216" s="16">
        <f>B216-((B216*0.1/100)+(3*0.04/100))</f>
        <v>1.4973000000000001</v>
      </c>
      <c r="H216" s="16">
        <f>B216+((B216*0.1/100)+(3*0.04/100))</f>
        <v>1.5026999999999999</v>
      </c>
    </row>
    <row r="217" spans="1:8" x14ac:dyDescent="0.25">
      <c r="A217" s="65"/>
      <c r="B217" s="66"/>
      <c r="C217" s="65"/>
      <c r="D217" s="49" t="s">
        <v>318</v>
      </c>
      <c r="E217" s="53" t="s">
        <v>191</v>
      </c>
      <c r="F217" s="65"/>
      <c r="G217" s="16">
        <f>B216-((B216*0.1/100)+(3*0.04/100))</f>
        <v>1.4973000000000001</v>
      </c>
      <c r="H217" s="16">
        <f>B216+((B216*0.1/100)+(3*0.04/100))</f>
        <v>1.5026999999999999</v>
      </c>
    </row>
    <row r="218" spans="1:8" x14ac:dyDescent="0.25">
      <c r="A218" s="65"/>
      <c r="B218" s="66"/>
      <c r="C218" s="65"/>
      <c r="D218" s="49" t="s">
        <v>13</v>
      </c>
      <c r="E218" s="53" t="s">
        <v>192</v>
      </c>
      <c r="F218" s="65"/>
      <c r="G218" s="16">
        <f>B216-((B216*0.2/100)+(3*0.04/100))</f>
        <v>1.4958</v>
      </c>
      <c r="H218" s="16">
        <f>B216+((B216*0.2/100)+(3*0.04/100))</f>
        <v>1.5042</v>
      </c>
    </row>
    <row r="219" spans="1:8" x14ac:dyDescent="0.25">
      <c r="A219" s="65"/>
      <c r="B219" s="66">
        <v>2.85</v>
      </c>
      <c r="C219" s="65" t="s">
        <v>280</v>
      </c>
      <c r="D219" s="49" t="s">
        <v>10</v>
      </c>
      <c r="E219" s="53" t="s">
        <v>193</v>
      </c>
      <c r="F219" s="65" t="s">
        <v>280</v>
      </c>
      <c r="G219" s="57">
        <f>B219-((B219*0.1/100)+(3*0.04/100))</f>
        <v>2.8459500000000002</v>
      </c>
      <c r="H219" s="57">
        <f>B219+((B219*0.1/100)+(3*0.04/100))</f>
        <v>2.85405</v>
      </c>
    </row>
    <row r="220" spans="1:8" x14ac:dyDescent="0.25">
      <c r="A220" s="65"/>
      <c r="B220" s="66"/>
      <c r="C220" s="65"/>
      <c r="D220" s="49" t="s">
        <v>318</v>
      </c>
      <c r="E220" s="53" t="s">
        <v>194</v>
      </c>
      <c r="F220" s="65"/>
      <c r="G220" s="57">
        <f>B219-((B219*0.1/100)+(3*0.04/100))</f>
        <v>2.8459500000000002</v>
      </c>
      <c r="H220" s="57">
        <f>B219+((B219*0.1/100)+(3*0.04/100))</f>
        <v>2.85405</v>
      </c>
    </row>
    <row r="221" spans="1:8" x14ac:dyDescent="0.25">
      <c r="A221" s="65"/>
      <c r="B221" s="66"/>
      <c r="C221" s="65"/>
      <c r="D221" s="49" t="s">
        <v>13</v>
      </c>
      <c r="E221" s="53" t="s">
        <v>195</v>
      </c>
      <c r="F221" s="65"/>
      <c r="G221" s="16">
        <f>B219-((B219*0.2/100)+(3*0.04/100))</f>
        <v>2.8431000000000002</v>
      </c>
      <c r="H221" s="16">
        <f>B219+((B219*0.2/100)+(3*0.04/100))</f>
        <v>2.8569</v>
      </c>
    </row>
    <row r="222" spans="1:8" x14ac:dyDescent="0.25">
      <c r="A222" s="19"/>
      <c r="B222" s="19"/>
      <c r="C222" s="19"/>
      <c r="D222" s="21"/>
      <c r="E222" s="21"/>
      <c r="F222" s="24"/>
    </row>
    <row r="223" spans="1:8" x14ac:dyDescent="0.25">
      <c r="A223" s="25" t="s">
        <v>14</v>
      </c>
      <c r="B223" s="19"/>
      <c r="C223" s="19"/>
      <c r="D223" s="21"/>
      <c r="E223" s="22"/>
      <c r="F223" s="24"/>
    </row>
    <row r="224" spans="1:8" ht="15" customHeight="1" x14ac:dyDescent="0.25">
      <c r="A224" s="61" t="s">
        <v>274</v>
      </c>
      <c r="B224" s="61" t="s">
        <v>277</v>
      </c>
      <c r="C224" s="61"/>
      <c r="D224" s="61" t="s">
        <v>260</v>
      </c>
      <c r="E224" s="61"/>
      <c r="F224" s="61" t="s">
        <v>319</v>
      </c>
      <c r="G224" s="61"/>
    </row>
    <row r="225" spans="1:10" x14ac:dyDescent="0.25">
      <c r="A225" s="61"/>
      <c r="B225" s="61"/>
      <c r="C225" s="61"/>
      <c r="D225" s="61"/>
      <c r="E225" s="61"/>
      <c r="F225" s="55" t="s">
        <v>320</v>
      </c>
      <c r="G225" s="55" t="s">
        <v>321</v>
      </c>
    </row>
    <row r="226" spans="1:10" x14ac:dyDescent="0.25">
      <c r="A226" s="55">
        <v>0.1</v>
      </c>
      <c r="B226" s="65">
        <v>5</v>
      </c>
      <c r="C226" s="65" t="s">
        <v>275</v>
      </c>
      <c r="D226" s="53" t="s">
        <v>196</v>
      </c>
      <c r="E226" s="65" t="s">
        <v>275</v>
      </c>
      <c r="F226" s="62">
        <f>B226-(B226*0.07/100)</f>
        <v>4.9965000000000002</v>
      </c>
      <c r="G226" s="62">
        <f>B226+(B226*0.07/100)</f>
        <v>5.0034999999999998</v>
      </c>
      <c r="H226" s="2"/>
      <c r="J226" s="50"/>
    </row>
    <row r="227" spans="1:10" x14ac:dyDescent="0.25">
      <c r="A227" s="55">
        <v>10</v>
      </c>
      <c r="B227" s="65"/>
      <c r="C227" s="65"/>
      <c r="D227" s="53" t="s">
        <v>197</v>
      </c>
      <c r="E227" s="65"/>
      <c r="F227" s="62"/>
      <c r="G227" s="62"/>
      <c r="H227" s="2"/>
      <c r="J227" s="50"/>
    </row>
    <row r="228" spans="1:10" x14ac:dyDescent="0.25">
      <c r="A228" s="55">
        <v>0.1</v>
      </c>
      <c r="B228" s="65">
        <v>10</v>
      </c>
      <c r="C228" s="65" t="s">
        <v>275</v>
      </c>
      <c r="D228" s="53" t="s">
        <v>198</v>
      </c>
      <c r="E228" s="65" t="s">
        <v>275</v>
      </c>
      <c r="F228" s="63">
        <f>B228-(B228*0.04/100)</f>
        <v>9.9960000000000004</v>
      </c>
      <c r="G228" s="63">
        <f>B228+(B228*0.04/100)</f>
        <v>10.004</v>
      </c>
      <c r="H228" s="2"/>
      <c r="J228" s="50"/>
    </row>
    <row r="229" spans="1:10" x14ac:dyDescent="0.25">
      <c r="A229" s="55">
        <v>10</v>
      </c>
      <c r="B229" s="65"/>
      <c r="C229" s="65"/>
      <c r="D229" s="53" t="s">
        <v>199</v>
      </c>
      <c r="E229" s="65"/>
      <c r="F229" s="63"/>
      <c r="G229" s="63"/>
      <c r="H229" s="2"/>
      <c r="J229" s="50"/>
    </row>
    <row r="230" spans="1:10" x14ac:dyDescent="0.25">
      <c r="A230" s="55">
        <v>0.1</v>
      </c>
      <c r="B230" s="65">
        <v>40</v>
      </c>
      <c r="C230" s="65" t="s">
        <v>275</v>
      </c>
      <c r="D230" s="53" t="s">
        <v>200</v>
      </c>
      <c r="E230" s="65" t="s">
        <v>275</v>
      </c>
      <c r="F230" s="63">
        <f>B230-(B230*0.02/100)</f>
        <v>39.991999999999997</v>
      </c>
      <c r="G230" s="63">
        <f>B230+(B230*0.02/100)</f>
        <v>40.008000000000003</v>
      </c>
      <c r="H230" s="2"/>
      <c r="J230" s="50"/>
    </row>
    <row r="231" spans="1:10" x14ac:dyDescent="0.25">
      <c r="A231" s="55">
        <v>10</v>
      </c>
      <c r="B231" s="65"/>
      <c r="C231" s="65"/>
      <c r="D231" s="53" t="s">
        <v>201</v>
      </c>
      <c r="E231" s="65"/>
      <c r="F231" s="63"/>
      <c r="G231" s="63"/>
      <c r="H231" s="2"/>
      <c r="J231" s="50"/>
    </row>
    <row r="232" spans="1:10" x14ac:dyDescent="0.25">
      <c r="A232" s="55">
        <v>0.1</v>
      </c>
      <c r="B232" s="67">
        <v>1</v>
      </c>
      <c r="C232" s="65" t="s">
        <v>276</v>
      </c>
      <c r="D232" s="53" t="s">
        <v>202</v>
      </c>
      <c r="E232" s="65" t="s">
        <v>276</v>
      </c>
      <c r="F232" s="64">
        <f>B232-(B232*0.005/100)</f>
        <v>0.99995000000000001</v>
      </c>
      <c r="G232" s="64">
        <f>B232+(B232*0.005/100)</f>
        <v>1.0000500000000001</v>
      </c>
      <c r="H232" s="2"/>
      <c r="J232" s="50"/>
    </row>
    <row r="233" spans="1:10" x14ac:dyDescent="0.25">
      <c r="A233" s="55">
        <v>10</v>
      </c>
      <c r="B233" s="67"/>
      <c r="C233" s="65"/>
      <c r="D233" s="53" t="s">
        <v>203</v>
      </c>
      <c r="E233" s="65"/>
      <c r="F233" s="64"/>
      <c r="G233" s="64"/>
      <c r="H233" s="2"/>
      <c r="J233" s="50"/>
    </row>
    <row r="234" spans="1:10" x14ac:dyDescent="0.25">
      <c r="A234" s="55">
        <v>0.1</v>
      </c>
      <c r="B234" s="67">
        <v>100</v>
      </c>
      <c r="C234" s="65" t="s">
        <v>276</v>
      </c>
      <c r="D234" s="53" t="s">
        <v>204</v>
      </c>
      <c r="E234" s="65" t="s">
        <v>276</v>
      </c>
      <c r="F234" s="63">
        <f t="shared" ref="F234" si="18">B234-(B234*0.005/100)</f>
        <v>99.995000000000005</v>
      </c>
      <c r="G234" s="63">
        <f t="shared" ref="G234" si="19">B234+(B234*0.005/100)</f>
        <v>100.005</v>
      </c>
      <c r="H234" s="2"/>
      <c r="J234" s="50"/>
    </row>
    <row r="235" spans="1:10" x14ac:dyDescent="0.25">
      <c r="A235" s="55">
        <v>10</v>
      </c>
      <c r="B235" s="67"/>
      <c r="C235" s="65"/>
      <c r="D235" s="53" t="s">
        <v>205</v>
      </c>
      <c r="E235" s="65"/>
      <c r="F235" s="63"/>
      <c r="G235" s="63"/>
      <c r="H235" s="2"/>
      <c r="J235" s="50"/>
    </row>
    <row r="236" spans="1:10" x14ac:dyDescent="0.25">
      <c r="A236" s="55">
        <v>0.1</v>
      </c>
      <c r="B236" s="67">
        <v>300</v>
      </c>
      <c r="C236" s="65" t="s">
        <v>276</v>
      </c>
      <c r="D236" s="53" t="s">
        <v>206</v>
      </c>
      <c r="E236" s="65" t="s">
        <v>276</v>
      </c>
      <c r="F236" s="63">
        <f t="shared" ref="F236" si="20">B236-(B236*0.005/100)</f>
        <v>299.98500000000001</v>
      </c>
      <c r="G236" s="63">
        <f t="shared" ref="G236" si="21">B236+(B236*0.005/100)</f>
        <v>300.01499999999999</v>
      </c>
      <c r="H236" s="2"/>
      <c r="J236" s="50"/>
    </row>
    <row r="237" spans="1:10" x14ac:dyDescent="0.25">
      <c r="A237" s="55">
        <v>10</v>
      </c>
      <c r="B237" s="67"/>
      <c r="C237" s="65"/>
      <c r="D237" s="53" t="s">
        <v>207</v>
      </c>
      <c r="E237" s="65"/>
      <c r="F237" s="63"/>
      <c r="G237" s="63"/>
      <c r="H237" s="2"/>
      <c r="J237" s="50"/>
    </row>
    <row r="238" spans="1:10" x14ac:dyDescent="0.25">
      <c r="A238" s="19"/>
      <c r="B238" s="19"/>
      <c r="C238" s="19"/>
      <c r="D238" s="21"/>
      <c r="E238" s="22"/>
      <c r="F238" s="24"/>
    </row>
    <row r="239" spans="1:10" s="9" customFormat="1" ht="12" x14ac:dyDescent="0.2">
      <c r="A239" s="8" t="s">
        <v>268</v>
      </c>
      <c r="B239" s="26"/>
      <c r="C239" s="26"/>
      <c r="D239" s="27"/>
      <c r="E239" s="28"/>
      <c r="F239" s="29"/>
      <c r="G239" s="8"/>
      <c r="H239" s="8"/>
      <c r="I239" s="8"/>
    </row>
    <row r="240" spans="1:10" s="9" customFormat="1" ht="12" x14ac:dyDescent="0.2">
      <c r="A240" s="8" t="s">
        <v>269</v>
      </c>
      <c r="B240" s="26"/>
      <c r="C240" s="26"/>
      <c r="D240" s="27"/>
      <c r="E240" s="28"/>
      <c r="F240" s="29"/>
      <c r="G240" s="8"/>
      <c r="H240" s="8"/>
      <c r="I240" s="8"/>
    </row>
    <row r="241" spans="1:10" ht="15" customHeight="1" x14ac:dyDescent="0.25">
      <c r="A241" s="61" t="s">
        <v>266</v>
      </c>
      <c r="B241" s="61"/>
      <c r="C241" s="61" t="s">
        <v>263</v>
      </c>
      <c r="D241" s="61"/>
      <c r="E241" s="61" t="s">
        <v>260</v>
      </c>
      <c r="F241" s="61"/>
      <c r="G241" s="61" t="s">
        <v>319</v>
      </c>
      <c r="H241" s="61"/>
    </row>
    <row r="242" spans="1:10" x14ac:dyDescent="0.25">
      <c r="A242" s="61"/>
      <c r="B242" s="61"/>
      <c r="C242" s="61"/>
      <c r="D242" s="61"/>
      <c r="E242" s="61"/>
      <c r="F242" s="61"/>
      <c r="G242" s="55" t="s">
        <v>320</v>
      </c>
      <c r="H242" s="55" t="s">
        <v>321</v>
      </c>
    </row>
    <row r="243" spans="1:10" x14ac:dyDescent="0.25">
      <c r="A243" s="67">
        <v>100</v>
      </c>
      <c r="B243" s="65" t="s">
        <v>264</v>
      </c>
      <c r="C243" s="54">
        <v>5</v>
      </c>
      <c r="D243" s="65" t="s">
        <v>264</v>
      </c>
      <c r="E243" s="53" t="s">
        <v>208</v>
      </c>
      <c r="F243" s="65" t="s">
        <v>264</v>
      </c>
      <c r="G243" s="16">
        <f>C243-((C243*0.01/100)+(A243*0.004/100))</f>
        <v>4.9954999999999998</v>
      </c>
      <c r="H243" s="16">
        <f>C243+((C243*0.01/100)+(A243*0.004/100))</f>
        <v>5.0045000000000002</v>
      </c>
      <c r="J243" s="50"/>
    </row>
    <row r="244" spans="1:10" x14ac:dyDescent="0.25">
      <c r="A244" s="67"/>
      <c r="B244" s="65"/>
      <c r="C244" s="54">
        <v>50</v>
      </c>
      <c r="D244" s="65"/>
      <c r="E244" s="53" t="s">
        <v>209</v>
      </c>
      <c r="F244" s="65"/>
      <c r="G244" s="15">
        <f t="shared" ref="G244:G245" si="22">C244-((C244*0.01/100)+(A244*0.004/100))</f>
        <v>49.994999999999997</v>
      </c>
      <c r="H244" s="15">
        <f t="shared" ref="H244:H245" si="23">C244+((C244*0.01/100)+(A244*0.004/100))</f>
        <v>50.005000000000003</v>
      </c>
      <c r="J244" s="50"/>
    </row>
    <row r="245" spans="1:10" x14ac:dyDescent="0.25">
      <c r="A245" s="67"/>
      <c r="B245" s="65"/>
      <c r="C245" s="54">
        <v>95</v>
      </c>
      <c r="D245" s="65"/>
      <c r="E245" s="53" t="s">
        <v>210</v>
      </c>
      <c r="F245" s="65"/>
      <c r="G245" s="16">
        <f t="shared" si="22"/>
        <v>94.990499999999997</v>
      </c>
      <c r="H245" s="16">
        <f t="shared" si="23"/>
        <v>95.009500000000003</v>
      </c>
      <c r="J245" s="50"/>
    </row>
    <row r="246" spans="1:10" x14ac:dyDescent="0.25">
      <c r="A246" s="67">
        <v>1000</v>
      </c>
      <c r="B246" s="65" t="s">
        <v>264</v>
      </c>
      <c r="C246" s="54">
        <v>50</v>
      </c>
      <c r="D246" s="65" t="s">
        <v>264</v>
      </c>
      <c r="E246" s="53" t="s">
        <v>211</v>
      </c>
      <c r="F246" s="65" t="s">
        <v>264</v>
      </c>
      <c r="G246" s="15">
        <f>C246-((C246*0.01/100)+(A246*0.001/100))</f>
        <v>49.984999999999999</v>
      </c>
      <c r="H246" s="15">
        <f>C246+((C246*0.01/100)+(A246*0.001/100))</f>
        <v>50.015000000000001</v>
      </c>
      <c r="J246" s="50"/>
    </row>
    <row r="247" spans="1:10" x14ac:dyDescent="0.25">
      <c r="A247" s="67"/>
      <c r="B247" s="65"/>
      <c r="C247" s="54">
        <v>500</v>
      </c>
      <c r="D247" s="65"/>
      <c r="E247" s="53" t="s">
        <v>212</v>
      </c>
      <c r="F247" s="65"/>
      <c r="G247" s="17">
        <f t="shared" ref="G247:G254" si="24">C247-((C247*0.01/100)+(A247*0.001/100))</f>
        <v>499.95</v>
      </c>
      <c r="H247" s="17">
        <f t="shared" ref="H247:H254" si="25">C247+((C247*0.01/100)+(A247*0.001/100))</f>
        <v>500.05</v>
      </c>
      <c r="J247" s="50"/>
    </row>
    <row r="248" spans="1:10" x14ac:dyDescent="0.25">
      <c r="A248" s="67"/>
      <c r="B248" s="65"/>
      <c r="C248" s="54">
        <v>950</v>
      </c>
      <c r="D248" s="65"/>
      <c r="E248" s="53" t="s">
        <v>213</v>
      </c>
      <c r="F248" s="65"/>
      <c r="G248" s="15">
        <f t="shared" si="24"/>
        <v>949.90499999999997</v>
      </c>
      <c r="H248" s="15">
        <f t="shared" si="25"/>
        <v>950.09500000000003</v>
      </c>
      <c r="J248" s="50"/>
    </row>
    <row r="249" spans="1:10" x14ac:dyDescent="0.25">
      <c r="A249" s="67">
        <v>10</v>
      </c>
      <c r="B249" s="65" t="s">
        <v>265</v>
      </c>
      <c r="C249" s="54">
        <v>0.5</v>
      </c>
      <c r="D249" s="65" t="s">
        <v>265</v>
      </c>
      <c r="E249" s="53" t="s">
        <v>214</v>
      </c>
      <c r="F249" s="65" t="s">
        <v>265</v>
      </c>
      <c r="G249" s="57">
        <f t="shared" si="24"/>
        <v>0.49985000000000002</v>
      </c>
      <c r="H249" s="57">
        <f t="shared" si="25"/>
        <v>0.50014999999999998</v>
      </c>
      <c r="J249" s="50"/>
    </row>
    <row r="250" spans="1:10" x14ac:dyDescent="0.25">
      <c r="A250" s="67"/>
      <c r="B250" s="65"/>
      <c r="C250" s="54">
        <v>5</v>
      </c>
      <c r="D250" s="65"/>
      <c r="E250" s="53" t="s">
        <v>215</v>
      </c>
      <c r="F250" s="65"/>
      <c r="G250" s="16">
        <f t="shared" si="24"/>
        <v>4.9995000000000003</v>
      </c>
      <c r="H250" s="16">
        <f t="shared" si="25"/>
        <v>5.0004999999999997</v>
      </c>
      <c r="J250" s="50"/>
    </row>
    <row r="251" spans="1:10" x14ac:dyDescent="0.25">
      <c r="A251" s="67"/>
      <c r="B251" s="65"/>
      <c r="C251" s="54">
        <v>9.5</v>
      </c>
      <c r="D251" s="65"/>
      <c r="E251" s="53" t="s">
        <v>216</v>
      </c>
      <c r="F251" s="65"/>
      <c r="G251" s="57">
        <f t="shared" si="24"/>
        <v>9.4990500000000004</v>
      </c>
      <c r="H251" s="57">
        <f t="shared" si="25"/>
        <v>9.5009499999999996</v>
      </c>
      <c r="J251" s="50"/>
    </row>
    <row r="252" spans="1:10" x14ac:dyDescent="0.25">
      <c r="A252" s="67">
        <v>100</v>
      </c>
      <c r="B252" s="65" t="s">
        <v>265</v>
      </c>
      <c r="C252" s="54">
        <v>5</v>
      </c>
      <c r="D252" s="65" t="s">
        <v>265</v>
      </c>
      <c r="E252" s="53" t="s">
        <v>217</v>
      </c>
      <c r="F252" s="65" t="s">
        <v>265</v>
      </c>
      <c r="G252" s="16">
        <f t="shared" si="24"/>
        <v>4.9984999999999999</v>
      </c>
      <c r="H252" s="16">
        <f t="shared" si="25"/>
        <v>5.0015000000000001</v>
      </c>
      <c r="J252" s="50"/>
    </row>
    <row r="253" spans="1:10" x14ac:dyDescent="0.25">
      <c r="A253" s="67"/>
      <c r="B253" s="65"/>
      <c r="C253" s="54">
        <v>50</v>
      </c>
      <c r="D253" s="65"/>
      <c r="E253" s="53" t="s">
        <v>218</v>
      </c>
      <c r="F253" s="65"/>
      <c r="G253" s="15">
        <f t="shared" si="24"/>
        <v>49.994999999999997</v>
      </c>
      <c r="H253" s="15">
        <f t="shared" si="25"/>
        <v>50.005000000000003</v>
      </c>
      <c r="J253" s="50"/>
    </row>
    <row r="254" spans="1:10" x14ac:dyDescent="0.25">
      <c r="A254" s="67"/>
      <c r="B254" s="65"/>
      <c r="C254" s="54">
        <v>95</v>
      </c>
      <c r="D254" s="65"/>
      <c r="E254" s="53" t="s">
        <v>219</v>
      </c>
      <c r="F254" s="65"/>
      <c r="G254" s="16">
        <f t="shared" si="24"/>
        <v>94.990499999999997</v>
      </c>
      <c r="H254" s="16">
        <f t="shared" si="25"/>
        <v>95.009500000000003</v>
      </c>
      <c r="J254" s="50"/>
    </row>
    <row r="255" spans="1:10" s="9" customFormat="1" ht="12" x14ac:dyDescent="0.2">
      <c r="A255" s="31" t="s">
        <v>270</v>
      </c>
      <c r="B255" s="26"/>
      <c r="C255" s="26"/>
      <c r="D255" s="27"/>
      <c r="E255" s="28"/>
      <c r="F255" s="29"/>
      <c r="G255" s="8"/>
      <c r="H255" s="8"/>
      <c r="I255" s="8"/>
      <c r="J255" s="51"/>
    </row>
    <row r="256" spans="1:10" ht="15" customHeight="1" x14ac:dyDescent="0.25">
      <c r="A256" s="61" t="s">
        <v>266</v>
      </c>
      <c r="B256" s="61"/>
      <c r="C256" s="61" t="s">
        <v>263</v>
      </c>
      <c r="D256" s="61"/>
      <c r="E256" s="61" t="s">
        <v>260</v>
      </c>
      <c r="F256" s="61"/>
      <c r="G256" s="61" t="s">
        <v>319</v>
      </c>
      <c r="H256" s="61"/>
      <c r="J256" s="52"/>
    </row>
    <row r="257" spans="1:10" x14ac:dyDescent="0.25">
      <c r="A257" s="61"/>
      <c r="B257" s="61"/>
      <c r="C257" s="61"/>
      <c r="D257" s="61"/>
      <c r="E257" s="61"/>
      <c r="F257" s="61"/>
      <c r="G257" s="55" t="s">
        <v>320</v>
      </c>
      <c r="H257" s="55" t="s">
        <v>321</v>
      </c>
      <c r="J257" s="52"/>
    </row>
    <row r="258" spans="1:10" x14ac:dyDescent="0.25">
      <c r="A258" s="67">
        <v>1</v>
      </c>
      <c r="B258" s="65" t="s">
        <v>267</v>
      </c>
      <c r="C258" s="54">
        <v>50</v>
      </c>
      <c r="D258" s="54" t="s">
        <v>265</v>
      </c>
      <c r="E258" s="53" t="s">
        <v>220</v>
      </c>
      <c r="F258" s="54" t="s">
        <v>265</v>
      </c>
      <c r="G258" s="15">
        <f>C258-((C258*0.012/100)+(A258*1000*0.001/100))</f>
        <v>49.984000000000002</v>
      </c>
      <c r="H258" s="15">
        <f>C258+((C258*0.012/100)+(A258*1000*0.001/100))</f>
        <v>50.015999999999998</v>
      </c>
      <c r="J258" s="50"/>
    </row>
    <row r="259" spans="1:10" x14ac:dyDescent="0.25">
      <c r="A259" s="67"/>
      <c r="B259" s="65"/>
      <c r="C259" s="54">
        <v>0.5</v>
      </c>
      <c r="D259" s="65" t="s">
        <v>267</v>
      </c>
      <c r="E259" s="53" t="s">
        <v>221</v>
      </c>
      <c r="F259" s="65" t="s">
        <v>267</v>
      </c>
      <c r="G259" s="57">
        <f>C259-((C259*0.012/100)+(A259*0.001/100))</f>
        <v>0.49994</v>
      </c>
      <c r="H259" s="57">
        <f>C259+((C259*0.012/100)+(A259*0.001/100))</f>
        <v>0.50005999999999995</v>
      </c>
      <c r="J259" s="50"/>
    </row>
    <row r="260" spans="1:10" x14ac:dyDescent="0.25">
      <c r="A260" s="67"/>
      <c r="B260" s="65"/>
      <c r="C260" s="54">
        <v>0.95</v>
      </c>
      <c r="D260" s="65"/>
      <c r="E260" s="53" t="s">
        <v>222</v>
      </c>
      <c r="F260" s="65"/>
      <c r="G260" s="58">
        <f>C260-((C260*0.012/100)+(A260*0.001/100))</f>
        <v>0.94988600000000001</v>
      </c>
      <c r="H260" s="58">
        <f>C260+((C260*0.012/100)+(A260*0.001/100))</f>
        <v>0.9501139999999999</v>
      </c>
      <c r="J260" s="50"/>
    </row>
    <row r="261" spans="1:10" x14ac:dyDescent="0.25">
      <c r="A261" s="67">
        <v>10</v>
      </c>
      <c r="B261" s="65" t="s">
        <v>267</v>
      </c>
      <c r="C261" s="54">
        <v>0.5</v>
      </c>
      <c r="D261" s="65" t="s">
        <v>267</v>
      </c>
      <c r="E261" s="53" t="s">
        <v>223</v>
      </c>
      <c r="F261" s="65" t="s">
        <v>267</v>
      </c>
      <c r="G261" s="16">
        <f>C261-((C261*0.04/100)+(A261*0.001/100))</f>
        <v>0.49969999999999998</v>
      </c>
      <c r="H261" s="16">
        <f>C261+((C261*0.04/100)+(A261*0.001/100))</f>
        <v>0.50029999999999997</v>
      </c>
      <c r="J261" s="50"/>
    </row>
    <row r="262" spans="1:10" x14ac:dyDescent="0.25">
      <c r="A262" s="67"/>
      <c r="B262" s="65"/>
      <c r="C262" s="54">
        <v>5</v>
      </c>
      <c r="D262" s="65"/>
      <c r="E262" s="53" t="s">
        <v>224</v>
      </c>
      <c r="F262" s="65"/>
      <c r="G262" s="15">
        <f t="shared" ref="G262:G263" si="26">C262-((C262*0.04/100)+(A262*0.001/100))</f>
        <v>4.9980000000000002</v>
      </c>
      <c r="H262" s="15">
        <f t="shared" ref="H262:H263" si="27">C262+((C262*0.04/100)+(A262*0.001/100))</f>
        <v>5.0019999999999998</v>
      </c>
      <c r="J262" s="50"/>
    </row>
    <row r="263" spans="1:10" x14ac:dyDescent="0.25">
      <c r="A263" s="67"/>
      <c r="B263" s="65"/>
      <c r="C263" s="54">
        <v>9.5</v>
      </c>
      <c r="D263" s="65"/>
      <c r="E263" s="53" t="s">
        <v>225</v>
      </c>
      <c r="F263" s="65"/>
      <c r="G263" s="16">
        <f t="shared" si="26"/>
        <v>9.4962</v>
      </c>
      <c r="H263" s="16">
        <f t="shared" si="27"/>
        <v>9.5038</v>
      </c>
      <c r="J263" s="50"/>
    </row>
    <row r="264" spans="1:10" x14ac:dyDescent="0.25">
      <c r="A264" s="67">
        <v>100</v>
      </c>
      <c r="B264" s="65" t="s">
        <v>267</v>
      </c>
      <c r="C264" s="54">
        <v>5</v>
      </c>
      <c r="D264" s="65" t="s">
        <v>267</v>
      </c>
      <c r="E264" s="53" t="s">
        <v>226</v>
      </c>
      <c r="F264" s="65" t="s">
        <v>267</v>
      </c>
      <c r="G264" s="15">
        <f>C264-((C264*0.8/100)+(A264*0.001/100))</f>
        <v>4.9589999999999996</v>
      </c>
      <c r="H264" s="15">
        <f>C264+((C264*0.8/100)+(A264*0.001/100))</f>
        <v>5.0410000000000004</v>
      </c>
      <c r="J264" s="50"/>
    </row>
    <row r="265" spans="1:10" x14ac:dyDescent="0.25">
      <c r="A265" s="67"/>
      <c r="B265" s="65"/>
      <c r="C265" s="54">
        <v>50</v>
      </c>
      <c r="D265" s="65"/>
      <c r="E265" s="53" t="s">
        <v>227</v>
      </c>
      <c r="F265" s="65"/>
      <c r="G265" s="48">
        <f t="shared" ref="G265:G266" si="28">C265-((C265*0.8/100)+(A265*0.001/100))</f>
        <v>49.6</v>
      </c>
      <c r="H265" s="48">
        <f t="shared" ref="H265:H266" si="29">C265+((C265*0.8/100)+(A265*0.001/100))</f>
        <v>50.4</v>
      </c>
      <c r="J265" s="50"/>
    </row>
    <row r="266" spans="1:10" x14ac:dyDescent="0.25">
      <c r="A266" s="67"/>
      <c r="B266" s="65"/>
      <c r="C266" s="54">
        <v>95</v>
      </c>
      <c r="D266" s="65"/>
      <c r="E266" s="53" t="s">
        <v>228</v>
      </c>
      <c r="F266" s="65"/>
      <c r="G266" s="17">
        <f t="shared" si="28"/>
        <v>94.24</v>
      </c>
      <c r="H266" s="17">
        <f t="shared" si="29"/>
        <v>95.76</v>
      </c>
      <c r="J266" s="50"/>
    </row>
    <row r="267" spans="1:10" x14ac:dyDescent="0.25">
      <c r="A267" s="67">
        <v>1</v>
      </c>
      <c r="B267" s="65" t="s">
        <v>271</v>
      </c>
      <c r="C267" s="54">
        <v>50</v>
      </c>
      <c r="D267" s="54" t="s">
        <v>267</v>
      </c>
      <c r="E267" s="53" t="s">
        <v>229</v>
      </c>
      <c r="F267" s="54" t="s">
        <v>267</v>
      </c>
      <c r="G267" s="57">
        <f>C267-((C267*8/100)+(A267*0.001/100))</f>
        <v>45.999989999999997</v>
      </c>
      <c r="H267" s="57">
        <f>C267+((C267*8/100)+(A267*0.001/100))</f>
        <v>54.000010000000003</v>
      </c>
      <c r="J267" s="50"/>
    </row>
    <row r="268" spans="1:10" x14ac:dyDescent="0.25">
      <c r="A268" s="67"/>
      <c r="B268" s="65"/>
      <c r="C268" s="54">
        <v>0.5</v>
      </c>
      <c r="D268" s="65" t="s">
        <v>271</v>
      </c>
      <c r="E268" s="53" t="s">
        <v>230</v>
      </c>
      <c r="F268" s="65" t="s">
        <v>271</v>
      </c>
      <c r="G268" s="17">
        <f t="shared" ref="G268:G269" si="30">C268-((C268*8/100)+(A268*0.001/100))</f>
        <v>0.46</v>
      </c>
      <c r="H268" s="17">
        <f t="shared" ref="H268:H269" si="31">C268+((C268*8/100)+(A268*0.001/100))</f>
        <v>0.54</v>
      </c>
      <c r="J268" s="50"/>
    </row>
    <row r="269" spans="1:10" x14ac:dyDescent="0.25">
      <c r="A269" s="67"/>
      <c r="B269" s="65"/>
      <c r="C269" s="56">
        <v>0.95</v>
      </c>
      <c r="D269" s="65"/>
      <c r="E269" s="53" t="s">
        <v>231</v>
      </c>
      <c r="F269" s="65"/>
      <c r="G269" s="15">
        <f t="shared" si="30"/>
        <v>0.874</v>
      </c>
      <c r="H269" s="15">
        <f t="shared" si="31"/>
        <v>1.026</v>
      </c>
      <c r="J269" s="50"/>
    </row>
    <row r="270" spans="1:10" x14ac:dyDescent="0.25">
      <c r="A270" s="30"/>
      <c r="B270" s="32"/>
      <c r="C270" s="14"/>
      <c r="D270" s="14"/>
      <c r="E270" s="14"/>
      <c r="F270" s="24"/>
    </row>
    <row r="271" spans="1:10" x14ac:dyDescent="0.25">
      <c r="A271" s="33" t="s">
        <v>15</v>
      </c>
    </row>
    <row r="272" spans="1:10" ht="15" customHeight="1" x14ac:dyDescent="0.25">
      <c r="A272" s="61" t="s">
        <v>16</v>
      </c>
      <c r="B272" s="61"/>
      <c r="C272" s="61" t="s">
        <v>17</v>
      </c>
      <c r="D272" s="61"/>
      <c r="E272" s="61" t="s">
        <v>18</v>
      </c>
      <c r="F272" s="61"/>
      <c r="G272" s="61" t="s">
        <v>319</v>
      </c>
      <c r="H272" s="61"/>
    </row>
    <row r="273" spans="1:10" x14ac:dyDescent="0.25">
      <c r="A273" s="61"/>
      <c r="B273" s="61"/>
      <c r="C273" s="61"/>
      <c r="D273" s="61"/>
      <c r="E273" s="61"/>
      <c r="F273" s="61"/>
      <c r="G273" s="55" t="s">
        <v>320</v>
      </c>
      <c r="H273" s="55" t="s">
        <v>321</v>
      </c>
    </row>
    <row r="274" spans="1:10" x14ac:dyDescent="0.25">
      <c r="A274" s="67">
        <v>1</v>
      </c>
      <c r="B274" s="65" t="s">
        <v>272</v>
      </c>
      <c r="C274" s="54">
        <v>0.35</v>
      </c>
      <c r="D274" s="65" t="s">
        <v>272</v>
      </c>
      <c r="E274" s="53" t="s">
        <v>232</v>
      </c>
      <c r="F274" s="65" t="s">
        <v>272</v>
      </c>
      <c r="G274" s="57">
        <f>C274-((C274*0.5/100)+(A274*0.5/100))</f>
        <v>0.34325</v>
      </c>
      <c r="H274" s="57">
        <f>C274+((C274*0.5/100)+(A274*0.5/100))</f>
        <v>0.35674999999999996</v>
      </c>
      <c r="J274" s="50"/>
    </row>
    <row r="275" spans="1:10" x14ac:dyDescent="0.25">
      <c r="A275" s="88"/>
      <c r="B275" s="65"/>
      <c r="C275" s="54">
        <v>0.5</v>
      </c>
      <c r="D275" s="65"/>
      <c r="E275" s="53" t="s">
        <v>233</v>
      </c>
      <c r="F275" s="65"/>
      <c r="G275" s="16">
        <f t="shared" ref="G275:G276" si="32">C275-((C275*0.5/100)+(A275*0.5/100))</f>
        <v>0.4975</v>
      </c>
      <c r="H275" s="57">
        <f t="shared" ref="H275:H276" si="33">C275+((C275*0.5/100)+(A275*0.5/100))</f>
        <v>0.50249999999999995</v>
      </c>
      <c r="J275" s="50"/>
    </row>
    <row r="276" spans="1:10" x14ac:dyDescent="0.25">
      <c r="A276" s="88"/>
      <c r="B276" s="65"/>
      <c r="C276" s="54">
        <v>0.95</v>
      </c>
      <c r="D276" s="65"/>
      <c r="E276" s="53" t="s">
        <v>234</v>
      </c>
      <c r="F276" s="65"/>
      <c r="G276" s="57">
        <f t="shared" si="32"/>
        <v>0.94524999999999992</v>
      </c>
      <c r="H276" s="57">
        <f t="shared" si="33"/>
        <v>0.95474999999999999</v>
      </c>
      <c r="J276" s="50"/>
    </row>
    <row r="277" spans="1:10" x14ac:dyDescent="0.25">
      <c r="A277" s="67">
        <v>10</v>
      </c>
      <c r="B277" s="65" t="s">
        <v>272</v>
      </c>
      <c r="C277" s="56">
        <v>0.5</v>
      </c>
      <c r="D277" s="65" t="s">
        <v>272</v>
      </c>
      <c r="E277" s="53" t="s">
        <v>235</v>
      </c>
      <c r="F277" s="65" t="s">
        <v>272</v>
      </c>
      <c r="G277" s="15">
        <f>C277-((C277*0.4/100)+(A277*0.1/100))</f>
        <v>0.48799999999999999</v>
      </c>
      <c r="H277" s="15">
        <f>C277+((C277*0.4/100)+(A277*0.1/100))</f>
        <v>0.51200000000000001</v>
      </c>
      <c r="J277" s="50"/>
    </row>
    <row r="278" spans="1:10" x14ac:dyDescent="0.25">
      <c r="A278" s="88"/>
      <c r="B278" s="65"/>
      <c r="C278" s="56">
        <v>5</v>
      </c>
      <c r="D278" s="65"/>
      <c r="E278" s="53" t="s">
        <v>236</v>
      </c>
      <c r="F278" s="65"/>
      <c r="G278" s="17">
        <f t="shared" ref="G278:G288" si="34">C278-((C278*0.4/100)+(A278*0.1/100))</f>
        <v>4.9800000000000004</v>
      </c>
      <c r="H278" s="17">
        <f t="shared" ref="H278:H288" si="35">C278+((C278*0.4/100)+(A278*0.1/100))</f>
        <v>5.0199999999999996</v>
      </c>
      <c r="J278" s="50"/>
    </row>
    <row r="279" spans="1:10" x14ac:dyDescent="0.25">
      <c r="A279" s="88"/>
      <c r="B279" s="65"/>
      <c r="C279" s="56">
        <v>9.5</v>
      </c>
      <c r="D279" s="65"/>
      <c r="E279" s="53" t="s">
        <v>237</v>
      </c>
      <c r="F279" s="65"/>
      <c r="G279" s="15">
        <f t="shared" si="34"/>
        <v>9.4619999999999997</v>
      </c>
      <c r="H279" s="15">
        <f t="shared" si="35"/>
        <v>9.5380000000000003</v>
      </c>
      <c r="J279" s="50"/>
    </row>
    <row r="280" spans="1:10" x14ac:dyDescent="0.25">
      <c r="A280" s="67">
        <v>100</v>
      </c>
      <c r="B280" s="65" t="s">
        <v>272</v>
      </c>
      <c r="C280" s="56">
        <v>5</v>
      </c>
      <c r="D280" s="65" t="s">
        <v>272</v>
      </c>
      <c r="E280" s="53" t="s">
        <v>238</v>
      </c>
      <c r="F280" s="65" t="s">
        <v>272</v>
      </c>
      <c r="G280" s="17">
        <f t="shared" si="34"/>
        <v>4.88</v>
      </c>
      <c r="H280" s="17">
        <f t="shared" si="35"/>
        <v>5.12</v>
      </c>
      <c r="J280" s="50"/>
    </row>
    <row r="281" spans="1:10" x14ac:dyDescent="0.25">
      <c r="A281" s="88"/>
      <c r="B281" s="65"/>
      <c r="C281" s="56">
        <v>50</v>
      </c>
      <c r="D281" s="65"/>
      <c r="E281" s="53" t="s">
        <v>239</v>
      </c>
      <c r="F281" s="65"/>
      <c r="G281" s="48">
        <f t="shared" si="34"/>
        <v>49.8</v>
      </c>
      <c r="H281" s="48">
        <f t="shared" si="35"/>
        <v>50.2</v>
      </c>
      <c r="J281" s="50"/>
    </row>
    <row r="282" spans="1:10" x14ac:dyDescent="0.25">
      <c r="A282" s="88"/>
      <c r="B282" s="65"/>
      <c r="C282" s="56">
        <v>95</v>
      </c>
      <c r="D282" s="65"/>
      <c r="E282" s="53" t="s">
        <v>240</v>
      </c>
      <c r="F282" s="65"/>
      <c r="G282" s="17">
        <f t="shared" si="34"/>
        <v>94.62</v>
      </c>
      <c r="H282" s="17">
        <f t="shared" si="35"/>
        <v>95.38</v>
      </c>
      <c r="J282" s="50"/>
    </row>
    <row r="283" spans="1:10" x14ac:dyDescent="0.25">
      <c r="A283" s="67">
        <v>1</v>
      </c>
      <c r="B283" s="65" t="s">
        <v>273</v>
      </c>
      <c r="C283" s="56">
        <v>50</v>
      </c>
      <c r="D283" s="54" t="s">
        <v>272</v>
      </c>
      <c r="E283" s="53" t="s">
        <v>241</v>
      </c>
      <c r="F283" s="54" t="s">
        <v>272</v>
      </c>
      <c r="G283" s="15">
        <f t="shared" si="34"/>
        <v>49.798999999999999</v>
      </c>
      <c r="H283" s="15">
        <f t="shared" si="35"/>
        <v>50.201000000000001</v>
      </c>
      <c r="J283" s="50"/>
    </row>
    <row r="284" spans="1:10" x14ac:dyDescent="0.25">
      <c r="A284" s="88"/>
      <c r="B284" s="65"/>
      <c r="C284" s="56">
        <v>0.5</v>
      </c>
      <c r="D284" s="65" t="s">
        <v>273</v>
      </c>
      <c r="E284" s="53" t="s">
        <v>242</v>
      </c>
      <c r="F284" s="65" t="s">
        <v>273</v>
      </c>
      <c r="G284" s="15">
        <f t="shared" si="34"/>
        <v>0.498</v>
      </c>
      <c r="H284" s="15">
        <f t="shared" si="35"/>
        <v>0.502</v>
      </c>
      <c r="J284" s="50"/>
    </row>
    <row r="285" spans="1:10" x14ac:dyDescent="0.25">
      <c r="A285" s="88"/>
      <c r="B285" s="65"/>
      <c r="C285" s="56">
        <v>0.95</v>
      </c>
      <c r="D285" s="65"/>
      <c r="E285" s="53" t="s">
        <v>243</v>
      </c>
      <c r="F285" s="65"/>
      <c r="G285" s="16">
        <f t="shared" si="34"/>
        <v>0.94619999999999993</v>
      </c>
      <c r="H285" s="15">
        <f t="shared" si="35"/>
        <v>0.95379999999999998</v>
      </c>
      <c r="J285" s="50"/>
    </row>
    <row r="286" spans="1:10" x14ac:dyDescent="0.25">
      <c r="A286" s="67">
        <v>10</v>
      </c>
      <c r="B286" s="65" t="s">
        <v>273</v>
      </c>
      <c r="C286" s="56">
        <v>0.5</v>
      </c>
      <c r="D286" s="65" t="s">
        <v>273</v>
      </c>
      <c r="E286" s="53" t="s">
        <v>244</v>
      </c>
      <c r="F286" s="65" t="s">
        <v>273</v>
      </c>
      <c r="G286" s="15">
        <f t="shared" si="34"/>
        <v>0.48799999999999999</v>
      </c>
      <c r="H286" s="15">
        <f t="shared" si="35"/>
        <v>0.51200000000000001</v>
      </c>
      <c r="J286" s="50"/>
    </row>
    <row r="287" spans="1:10" x14ac:dyDescent="0.25">
      <c r="A287" s="88"/>
      <c r="B287" s="65"/>
      <c r="C287" s="56">
        <v>5</v>
      </c>
      <c r="D287" s="65"/>
      <c r="E287" s="53" t="s">
        <v>245</v>
      </c>
      <c r="F287" s="65"/>
      <c r="G287" s="17">
        <f t="shared" si="34"/>
        <v>4.9800000000000004</v>
      </c>
      <c r="H287" s="17">
        <f t="shared" si="35"/>
        <v>5.0199999999999996</v>
      </c>
      <c r="J287" s="50"/>
    </row>
    <row r="288" spans="1:10" x14ac:dyDescent="0.25">
      <c r="A288" s="88"/>
      <c r="B288" s="65"/>
      <c r="C288" s="56">
        <v>9.5</v>
      </c>
      <c r="D288" s="65"/>
      <c r="E288" s="53" t="s">
        <v>246</v>
      </c>
      <c r="F288" s="65"/>
      <c r="G288" s="15">
        <f t="shared" si="34"/>
        <v>9.4619999999999997</v>
      </c>
      <c r="H288" s="15">
        <f t="shared" si="35"/>
        <v>9.5380000000000003</v>
      </c>
      <c r="J288" s="50"/>
    </row>
    <row r="289" spans="1:10" x14ac:dyDescent="0.25">
      <c r="J289" s="52"/>
    </row>
    <row r="290" spans="1:10" x14ac:dyDescent="0.25">
      <c r="A290" s="87" t="s">
        <v>256</v>
      </c>
      <c r="B290" s="87"/>
      <c r="C290" s="34"/>
      <c r="D290" s="35" t="s">
        <v>20</v>
      </c>
      <c r="E290" s="89" t="s">
        <v>42</v>
      </c>
      <c r="F290" s="90"/>
      <c r="G290" s="14" t="s">
        <v>21</v>
      </c>
      <c r="H290" s="36"/>
    </row>
    <row r="292" spans="1:10" x14ac:dyDescent="0.25">
      <c r="A292" s="87" t="s">
        <v>19</v>
      </c>
      <c r="B292" s="87"/>
      <c r="C292" s="86" t="s">
        <v>43</v>
      </c>
      <c r="D292" s="86"/>
    </row>
  </sheetData>
  <mergeCells count="294">
    <mergeCell ref="B50:C51"/>
    <mergeCell ref="D50:D51"/>
    <mergeCell ref="B52:B57"/>
    <mergeCell ref="C52:C57"/>
    <mergeCell ref="E50:F51"/>
    <mergeCell ref="F52:F57"/>
    <mergeCell ref="C112:C117"/>
    <mergeCell ref="F112:F117"/>
    <mergeCell ref="B118:B123"/>
    <mergeCell ref="A70:A87"/>
    <mergeCell ref="A88:A105"/>
    <mergeCell ref="A106:A123"/>
    <mergeCell ref="A124:A141"/>
    <mergeCell ref="B58:B63"/>
    <mergeCell ref="C58:C63"/>
    <mergeCell ref="F58:F63"/>
    <mergeCell ref="B64:B69"/>
    <mergeCell ref="C64:C69"/>
    <mergeCell ref="F64:F69"/>
    <mergeCell ref="A52:A69"/>
    <mergeCell ref="D155:D157"/>
    <mergeCell ref="F155:F157"/>
    <mergeCell ref="B158:B160"/>
    <mergeCell ref="D158:D160"/>
    <mergeCell ref="F158:F160"/>
    <mergeCell ref="B161:B163"/>
    <mergeCell ref="D161:D163"/>
    <mergeCell ref="F161:F163"/>
    <mergeCell ref="A50:A51"/>
    <mergeCell ref="B152:B154"/>
    <mergeCell ref="D152:D154"/>
    <mergeCell ref="F152:F154"/>
    <mergeCell ref="B155:B157"/>
    <mergeCell ref="A146:A148"/>
    <mergeCell ref="A149:A151"/>
    <mergeCell ref="A152:A154"/>
    <mergeCell ref="A155:A157"/>
    <mergeCell ref="E144:F145"/>
    <mergeCell ref="C144:D145"/>
    <mergeCell ref="A144:B145"/>
    <mergeCell ref="B146:B148"/>
    <mergeCell ref="D146:D148"/>
    <mergeCell ref="F146:F148"/>
    <mergeCell ref="B149:B151"/>
    <mergeCell ref="D286:D288"/>
    <mergeCell ref="F286:F288"/>
    <mergeCell ref="B274:B276"/>
    <mergeCell ref="D274:D276"/>
    <mergeCell ref="F274:F276"/>
    <mergeCell ref="B226:B227"/>
    <mergeCell ref="D224:E225"/>
    <mergeCell ref="E226:E227"/>
    <mergeCell ref="E228:E229"/>
    <mergeCell ref="E230:E231"/>
    <mergeCell ref="E232:E233"/>
    <mergeCell ref="E234:E235"/>
    <mergeCell ref="E236:E237"/>
    <mergeCell ref="G241:H241"/>
    <mergeCell ref="G256:H256"/>
    <mergeCell ref="B258:B260"/>
    <mergeCell ref="B261:B263"/>
    <mergeCell ref="B264:B266"/>
    <mergeCell ref="D259:D260"/>
    <mergeCell ref="B283:B285"/>
    <mergeCell ref="D284:D285"/>
    <mergeCell ref="F284:F285"/>
    <mergeCell ref="E256:F257"/>
    <mergeCell ref="C256:D257"/>
    <mergeCell ref="C241:D242"/>
    <mergeCell ref="E241:F242"/>
    <mergeCell ref="F252:F254"/>
    <mergeCell ref="F249:F251"/>
    <mergeCell ref="F246:F248"/>
    <mergeCell ref="D252:D254"/>
    <mergeCell ref="D249:D251"/>
    <mergeCell ref="D246:D248"/>
    <mergeCell ref="F243:F245"/>
    <mergeCell ref="D243:D245"/>
    <mergeCell ref="D261:D263"/>
    <mergeCell ref="E290:F290"/>
    <mergeCell ref="A258:A260"/>
    <mergeCell ref="A261:A263"/>
    <mergeCell ref="A264:A266"/>
    <mergeCell ref="A267:A269"/>
    <mergeCell ref="F264:F266"/>
    <mergeCell ref="F261:F263"/>
    <mergeCell ref="B267:B269"/>
    <mergeCell ref="D268:D269"/>
    <mergeCell ref="F268:F269"/>
    <mergeCell ref="F259:F260"/>
    <mergeCell ref="E272:F273"/>
    <mergeCell ref="C272:D273"/>
    <mergeCell ref="A272:B273"/>
    <mergeCell ref="A280:A282"/>
    <mergeCell ref="A283:A285"/>
    <mergeCell ref="B277:B279"/>
    <mergeCell ref="D277:D279"/>
    <mergeCell ref="F277:F279"/>
    <mergeCell ref="B280:B282"/>
    <mergeCell ref="D280:D282"/>
    <mergeCell ref="F280:F282"/>
    <mergeCell ref="B286:B288"/>
    <mergeCell ref="F31:G31"/>
    <mergeCell ref="C292:D292"/>
    <mergeCell ref="A290:B290"/>
    <mergeCell ref="A292:B292"/>
    <mergeCell ref="A286:A288"/>
    <mergeCell ref="A243:A245"/>
    <mergeCell ref="A246:A248"/>
    <mergeCell ref="A249:A251"/>
    <mergeCell ref="A252:A254"/>
    <mergeCell ref="C226:C227"/>
    <mergeCell ref="C228:C229"/>
    <mergeCell ref="C230:C231"/>
    <mergeCell ref="C232:C233"/>
    <mergeCell ref="C234:C235"/>
    <mergeCell ref="C236:C237"/>
    <mergeCell ref="A274:A276"/>
    <mergeCell ref="A277:A279"/>
    <mergeCell ref="A241:B242"/>
    <mergeCell ref="B243:B245"/>
    <mergeCell ref="B246:B248"/>
    <mergeCell ref="B249:B251"/>
    <mergeCell ref="B252:B254"/>
    <mergeCell ref="A256:B257"/>
    <mergeCell ref="D264:D266"/>
    <mergeCell ref="A23:C23"/>
    <mergeCell ref="A3:H3"/>
    <mergeCell ref="C33:C36"/>
    <mergeCell ref="A5:H5"/>
    <mergeCell ref="A4:H4"/>
    <mergeCell ref="A42:A44"/>
    <mergeCell ref="A45:A47"/>
    <mergeCell ref="D23:E23"/>
    <mergeCell ref="F23:G23"/>
    <mergeCell ref="A7:H7"/>
    <mergeCell ref="A9:C9"/>
    <mergeCell ref="A10:C10"/>
    <mergeCell ref="A11:C11"/>
    <mergeCell ref="A12:C12"/>
    <mergeCell ref="A13:C13"/>
    <mergeCell ref="A14:C14"/>
    <mergeCell ref="A15:C15"/>
    <mergeCell ref="B31:C32"/>
    <mergeCell ref="D31:E32"/>
    <mergeCell ref="A36:A38"/>
    <mergeCell ref="A39:A41"/>
    <mergeCell ref="E33:E36"/>
    <mergeCell ref="C37:C47"/>
    <mergeCell ref="E37:E47"/>
    <mergeCell ref="D166:D167"/>
    <mergeCell ref="E166:F167"/>
    <mergeCell ref="A168:A176"/>
    <mergeCell ref="A177:A185"/>
    <mergeCell ref="A186:A194"/>
    <mergeCell ref="A2:H2"/>
    <mergeCell ref="A1:H1"/>
    <mergeCell ref="A31:A32"/>
    <mergeCell ref="A33:A35"/>
    <mergeCell ref="D18:E18"/>
    <mergeCell ref="D19:E19"/>
    <mergeCell ref="D20:E20"/>
    <mergeCell ref="A18:C18"/>
    <mergeCell ref="F18:G18"/>
    <mergeCell ref="A19:C19"/>
    <mergeCell ref="F19:G19"/>
    <mergeCell ref="A20:C20"/>
    <mergeCell ref="F20:G20"/>
    <mergeCell ref="A21:C21"/>
    <mergeCell ref="D21:E21"/>
    <mergeCell ref="F21:G21"/>
    <mergeCell ref="A22:C22"/>
    <mergeCell ref="D22:E22"/>
    <mergeCell ref="F22:G22"/>
    <mergeCell ref="A224:A225"/>
    <mergeCell ref="A158:A160"/>
    <mergeCell ref="A161:A163"/>
    <mergeCell ref="B224:C225"/>
    <mergeCell ref="B236:B237"/>
    <mergeCell ref="B234:B235"/>
    <mergeCell ref="B232:B233"/>
    <mergeCell ref="B230:B231"/>
    <mergeCell ref="B228:B229"/>
    <mergeCell ref="A166:A167"/>
    <mergeCell ref="B166:C167"/>
    <mergeCell ref="D149:D151"/>
    <mergeCell ref="F149:F151"/>
    <mergeCell ref="B70:B75"/>
    <mergeCell ref="C70:C75"/>
    <mergeCell ref="F70:F75"/>
    <mergeCell ref="B76:B81"/>
    <mergeCell ref="C76:C81"/>
    <mergeCell ref="F76:F81"/>
    <mergeCell ref="B82:B87"/>
    <mergeCell ref="C82:C87"/>
    <mergeCell ref="F82:F87"/>
    <mergeCell ref="B88:B93"/>
    <mergeCell ref="C88:C93"/>
    <mergeCell ref="F88:F93"/>
    <mergeCell ref="B94:B99"/>
    <mergeCell ref="C94:C99"/>
    <mergeCell ref="F94:F99"/>
    <mergeCell ref="B100:B105"/>
    <mergeCell ref="C100:C105"/>
    <mergeCell ref="F100:F105"/>
    <mergeCell ref="B106:B111"/>
    <mergeCell ref="C106:C111"/>
    <mergeCell ref="F106:F111"/>
    <mergeCell ref="B112:B117"/>
    <mergeCell ref="C118:C123"/>
    <mergeCell ref="F118:F123"/>
    <mergeCell ref="B124:B129"/>
    <mergeCell ref="C124:C129"/>
    <mergeCell ref="F124:F129"/>
    <mergeCell ref="B130:B135"/>
    <mergeCell ref="C130:C135"/>
    <mergeCell ref="F130:F135"/>
    <mergeCell ref="B136:B141"/>
    <mergeCell ref="C136:C141"/>
    <mergeCell ref="F136:F141"/>
    <mergeCell ref="B168:B170"/>
    <mergeCell ref="C168:C170"/>
    <mergeCell ref="F168:F170"/>
    <mergeCell ref="C180:C182"/>
    <mergeCell ref="F180:F182"/>
    <mergeCell ref="C183:C185"/>
    <mergeCell ref="F183:F185"/>
    <mergeCell ref="B171:B173"/>
    <mergeCell ref="B174:B176"/>
    <mergeCell ref="B177:B179"/>
    <mergeCell ref="B180:B182"/>
    <mergeCell ref="B183:B185"/>
    <mergeCell ref="C171:C173"/>
    <mergeCell ref="F171:F173"/>
    <mergeCell ref="C174:C176"/>
    <mergeCell ref="F174:F176"/>
    <mergeCell ref="C177:C179"/>
    <mergeCell ref="F177:F179"/>
    <mergeCell ref="C195:C197"/>
    <mergeCell ref="F195:F197"/>
    <mergeCell ref="B198:B200"/>
    <mergeCell ref="C198:C200"/>
    <mergeCell ref="F198:F200"/>
    <mergeCell ref="B201:B203"/>
    <mergeCell ref="C201:C203"/>
    <mergeCell ref="F201:F203"/>
    <mergeCell ref="B186:B188"/>
    <mergeCell ref="C186:C188"/>
    <mergeCell ref="F186:F188"/>
    <mergeCell ref="B189:B191"/>
    <mergeCell ref="C189:C191"/>
    <mergeCell ref="F189:F191"/>
    <mergeCell ref="B192:B194"/>
    <mergeCell ref="C192:C194"/>
    <mergeCell ref="F192:F194"/>
    <mergeCell ref="G272:H272"/>
    <mergeCell ref="G166:H166"/>
    <mergeCell ref="A213:A221"/>
    <mergeCell ref="B213:B215"/>
    <mergeCell ref="C213:C215"/>
    <mergeCell ref="F213:F215"/>
    <mergeCell ref="B216:B218"/>
    <mergeCell ref="C216:C218"/>
    <mergeCell ref="F216:F218"/>
    <mergeCell ref="B219:B221"/>
    <mergeCell ref="C219:C221"/>
    <mergeCell ref="F219:F221"/>
    <mergeCell ref="A204:A212"/>
    <mergeCell ref="B204:B206"/>
    <mergeCell ref="C204:C206"/>
    <mergeCell ref="F204:F206"/>
    <mergeCell ref="B207:B209"/>
    <mergeCell ref="C207:C209"/>
    <mergeCell ref="F207:F209"/>
    <mergeCell ref="B210:B212"/>
    <mergeCell ref="C210:C212"/>
    <mergeCell ref="F210:F212"/>
    <mergeCell ref="A195:A203"/>
    <mergeCell ref="B195:B197"/>
    <mergeCell ref="G50:H50"/>
    <mergeCell ref="G144:H144"/>
    <mergeCell ref="F224:G224"/>
    <mergeCell ref="F226:F227"/>
    <mergeCell ref="F228:F229"/>
    <mergeCell ref="F230:F231"/>
    <mergeCell ref="F232:F233"/>
    <mergeCell ref="F234:F235"/>
    <mergeCell ref="F236:F237"/>
    <mergeCell ref="G236:G237"/>
    <mergeCell ref="G226:G227"/>
    <mergeCell ref="G228:G229"/>
    <mergeCell ref="G230:G231"/>
    <mergeCell ref="G232:G233"/>
    <mergeCell ref="G234:G235"/>
  </mergeCells>
  <pageMargins left="0.78740157480314965" right="0.39370078740157483" top="0.39370078740157483" bottom="0.39370078740157483" header="0.39370078740157483" footer="0.39370078740157483"/>
  <pageSetup paperSize="9" orientation="portrait" horizontalDpi="180" verticalDpi="180" r:id="rId1"/>
  <headerFooter>
    <oddFooter>&amp;R&amp;"Times New Roman,обычный"&amp;P страница из &amp;N</oddFooter>
  </headerFooter>
  <rowBreaks count="4" manualBreakCount="4">
    <brk id="48" max="7" man="1"/>
    <brk id="142" max="7" man="1"/>
    <brk id="238" max="7" man="1"/>
    <brk id="293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2022-08-04T05:36:27Z</dcterms:modified>
</cp:coreProperties>
</file>