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175" activeTab="3"/>
  </bookViews>
  <sheets>
    <sheet name="EPB2010" sheetId="2" r:id="rId1"/>
    <sheet name="1946-1970" sheetId="1" r:id="rId2"/>
    <sheet name="D" sheetId="10" r:id="rId3"/>
    <sheet name="SD" sheetId="7" r:id="rId4"/>
    <sheet name="T" sheetId="9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B38" i="7" l="1"/>
  <c r="B37" i="7"/>
  <c r="C33" i="7"/>
  <c r="C34" i="7"/>
  <c r="C35" i="7"/>
  <c r="C36" i="7"/>
  <c r="C37" i="7"/>
  <c r="C39" i="7"/>
  <c r="C42" i="7"/>
  <c r="C41" i="7"/>
  <c r="C36" i="9"/>
  <c r="C35" i="9"/>
  <c r="C41" i="9"/>
  <c r="C39" i="9"/>
  <c r="C37" i="9"/>
  <c r="C38" i="9"/>
  <c r="C43" i="9"/>
  <c r="C44" i="9"/>
  <c r="C11" i="9" l="1"/>
  <c r="L7" i="9" s="1"/>
  <c r="C13" i="9" l="1"/>
  <c r="L9" i="9" s="1"/>
  <c r="C31" i="9"/>
  <c r="L14" i="9" s="1"/>
  <c r="B31" i="9"/>
  <c r="C28" i="7"/>
  <c r="L17" i="7" s="1"/>
  <c r="B28" i="7"/>
  <c r="B5" i="9"/>
  <c r="C5" i="9" s="1"/>
  <c r="B4" i="9"/>
  <c r="B3" i="9"/>
  <c r="C3" i="9" s="1"/>
  <c r="L17" i="9" s="1"/>
  <c r="B4" i="7"/>
  <c r="B3" i="7"/>
  <c r="C3" i="7" s="1"/>
  <c r="L19" i="7" s="1"/>
  <c r="D21" i="7"/>
  <c r="L3" i="7" s="1"/>
  <c r="D10" i="7"/>
  <c r="L5" i="7" s="1"/>
  <c r="D27" i="7"/>
  <c r="L18" i="7" s="1"/>
  <c r="G21" i="7"/>
  <c r="L1" i="7" s="1"/>
  <c r="D12" i="9"/>
  <c r="B24" i="9"/>
  <c r="L29" i="9" s="1"/>
  <c r="D29" i="9"/>
  <c r="L16" i="9" s="1"/>
  <c r="D23" i="9"/>
  <c r="G23" i="9"/>
  <c r="L1" i="9" s="1"/>
  <c r="B12" i="9"/>
  <c r="L19" i="9" s="1"/>
  <c r="B14" i="9"/>
  <c r="D14" i="9" l="1"/>
  <c r="L5" i="9" s="1"/>
  <c r="L4" i="9"/>
  <c r="L21" i="9"/>
  <c r="C23" i="9"/>
  <c r="L3" i="9"/>
  <c r="C4" i="9"/>
  <c r="L6" i="9" s="1"/>
  <c r="L2" i="9"/>
  <c r="B39" i="9"/>
  <c r="L28" i="9"/>
  <c r="L30" i="7"/>
  <c r="C12" i="9"/>
  <c r="C25" i="9"/>
  <c r="D25" i="9"/>
  <c r="C17" i="9"/>
  <c r="L12" i="9" s="1"/>
  <c r="C15" i="9"/>
  <c r="L11" i="9" s="1"/>
  <c r="B15" i="9"/>
  <c r="B17" i="9"/>
  <c r="L23" i="9" s="1"/>
  <c r="B21" i="9"/>
  <c r="B19" i="9"/>
  <c r="B27" i="9"/>
  <c r="B28" i="9"/>
  <c r="L27" i="9" s="1"/>
  <c r="B29" i="9"/>
  <c r="C30" i="9"/>
  <c r="L15" i="9" s="1"/>
  <c r="B5" i="7"/>
  <c r="L25" i="9" l="1"/>
  <c r="B13" i="9"/>
  <c r="L20" i="9" s="1"/>
  <c r="B38" i="9"/>
  <c r="L26" i="9"/>
  <c r="B37" i="9"/>
  <c r="L13" i="9"/>
  <c r="B41" i="9"/>
  <c r="L22" i="9"/>
  <c r="B11" i="9"/>
  <c r="L18" i="9" s="1"/>
  <c r="B40" i="9"/>
  <c r="L30" i="9"/>
  <c r="L24" i="9"/>
  <c r="C14" i="9"/>
  <c r="L8" i="9"/>
  <c r="C5" i="7"/>
  <c r="B6" i="7"/>
  <c r="B26" i="7"/>
  <c r="L29" i="7" s="1"/>
  <c r="B25" i="7"/>
  <c r="D23" i="7"/>
  <c r="L4" i="7" s="1"/>
  <c r="B12" i="7"/>
  <c r="C9" i="7"/>
  <c r="D12" i="7"/>
  <c r="B15" i="7"/>
  <c r="C15" i="7"/>
  <c r="L16" i="7" s="1"/>
  <c r="C13" i="7"/>
  <c r="B13" i="7"/>
  <c r="C14" i="7"/>
  <c r="B14" i="7"/>
  <c r="B17" i="7"/>
  <c r="L27" i="7" s="1"/>
  <c r="G21" i="10"/>
  <c r="G23" i="10" s="1"/>
  <c r="B26" i="10"/>
  <c r="B25" i="10"/>
  <c r="B27" i="10" s="1"/>
  <c r="B37" i="10"/>
  <c r="D37" i="10" s="1"/>
  <c r="B34" i="10"/>
  <c r="D34" i="10" s="1"/>
  <c r="C32" i="10"/>
  <c r="E24" i="10"/>
  <c r="E22" i="10"/>
  <c r="E20" i="10"/>
  <c r="E18" i="10"/>
  <c r="E17" i="10"/>
  <c r="E16" i="10"/>
  <c r="E15" i="10"/>
  <c r="E14" i="10"/>
  <c r="E13" i="10"/>
  <c r="E9" i="10"/>
  <c r="C4" i="10"/>
  <c r="G45" i="10" s="1"/>
  <c r="E28" i="9"/>
  <c r="E27" i="9"/>
  <c r="E26" i="9"/>
  <c r="E24" i="9"/>
  <c r="G25" i="9"/>
  <c r="E22" i="9"/>
  <c r="E20" i="9"/>
  <c r="E19" i="9"/>
  <c r="E18" i="9"/>
  <c r="E17" i="9"/>
  <c r="E16" i="9"/>
  <c r="B35" i="9" l="1"/>
  <c r="L10" i="9"/>
  <c r="B36" i="9"/>
  <c r="D36" i="9" s="1"/>
  <c r="L24" i="7"/>
  <c r="B39" i="7"/>
  <c r="B10" i="7"/>
  <c r="L21" i="7" s="1"/>
  <c r="L25" i="7"/>
  <c r="L23" i="7"/>
  <c r="C10" i="7"/>
  <c r="L11" i="7" s="1"/>
  <c r="L15" i="7"/>
  <c r="B27" i="7"/>
  <c r="L28" i="7"/>
  <c r="B36" i="7"/>
  <c r="B11" i="7"/>
  <c r="L22" i="7" s="1"/>
  <c r="L26" i="7"/>
  <c r="C21" i="7"/>
  <c r="L14" i="7"/>
  <c r="C4" i="7"/>
  <c r="L2" i="7"/>
  <c r="C12" i="7"/>
  <c r="L13" i="7" s="1"/>
  <c r="L6" i="7"/>
  <c r="C11" i="7"/>
  <c r="L12" i="7" s="1"/>
  <c r="L10" i="7"/>
  <c r="C23" i="7"/>
  <c r="L9" i="7" s="1"/>
  <c r="B9" i="7"/>
  <c r="E12" i="10"/>
  <c r="E10" i="10"/>
  <c r="E26" i="10"/>
  <c r="E11" i="10"/>
  <c r="B32" i="10"/>
  <c r="D32" i="10" s="1"/>
  <c r="B35" i="10"/>
  <c r="D35" i="10" s="1"/>
  <c r="B3" i="10"/>
  <c r="B5" i="10"/>
  <c r="C5" i="10" s="1"/>
  <c r="E25" i="10"/>
  <c r="E19" i="10"/>
  <c r="E21" i="10"/>
  <c r="E13" i="9"/>
  <c r="D41" i="9"/>
  <c r="E15" i="9"/>
  <c r="E25" i="9"/>
  <c r="E23" i="9"/>
  <c r="E12" i="9"/>
  <c r="E14" i="9"/>
  <c r="E21" i="9"/>
  <c r="D38" i="9"/>
  <c r="D39" i="9"/>
  <c r="L31" i="7" l="1"/>
  <c r="B33" i="7"/>
  <c r="L20" i="7"/>
  <c r="L8" i="7"/>
  <c r="B35" i="7"/>
  <c r="B34" i="7"/>
  <c r="C6" i="7"/>
  <c r="L7" i="7"/>
  <c r="C3" i="10"/>
  <c r="E44" i="10"/>
  <c r="B4" i="10"/>
  <c r="B6" i="10" s="1"/>
  <c r="B39" i="10" s="1"/>
  <c r="D39" i="10" s="1"/>
  <c r="B36" i="10"/>
  <c r="E43" i="10"/>
  <c r="E23" i="10"/>
  <c r="B33" i="10"/>
  <c r="D37" i="9"/>
  <c r="E11" i="9"/>
  <c r="D35" i="9"/>
  <c r="E45" i="10" l="1"/>
  <c r="C6" i="10"/>
  <c r="B40" i="10" s="1"/>
  <c r="G44" i="10"/>
  <c r="D33" i="10"/>
  <c r="B43" i="10"/>
  <c r="B6" i="9"/>
  <c r="B43" i="9" s="1"/>
  <c r="D43" i="9" s="1"/>
  <c r="C6" i="9"/>
  <c r="B44" i="9" s="1"/>
  <c r="D40" i="10" l="1"/>
  <c r="B45" i="10"/>
  <c r="B44" i="10"/>
  <c r="D44" i="9"/>
  <c r="D39" i="7" l="1"/>
  <c r="D37" i="7"/>
  <c r="E26" i="7"/>
  <c r="E25" i="7"/>
  <c r="E24" i="7"/>
  <c r="E22" i="7"/>
  <c r="G23" i="7"/>
  <c r="E23" i="7"/>
  <c r="E20" i="7"/>
  <c r="E19" i="7"/>
  <c r="E18" i="7"/>
  <c r="E17" i="7"/>
  <c r="E16" i="7"/>
  <c r="E15" i="7"/>
  <c r="E14" i="7"/>
  <c r="E13" i="7"/>
  <c r="E11" i="7" l="1"/>
  <c r="E21" i="7"/>
  <c r="D34" i="7"/>
  <c r="D35" i="7"/>
  <c r="E12" i="7"/>
  <c r="E9" i="7"/>
  <c r="E10" i="7"/>
  <c r="D36" i="7"/>
  <c r="D33" i="7" l="1"/>
  <c r="B41" i="7"/>
  <c r="D41" i="7" s="1"/>
  <c r="B42" i="7" l="1"/>
  <c r="D42" i="7" l="1"/>
  <c r="I21" i="1" l="1"/>
  <c r="H21" i="1"/>
  <c r="I20" i="1"/>
  <c r="H20" i="1"/>
  <c r="I19" i="1"/>
  <c r="H19" i="1"/>
  <c r="H16" i="1" l="1"/>
  <c r="H46" i="2" l="1"/>
  <c r="H44" i="2"/>
  <c r="H45" i="1"/>
  <c r="H43" i="1" s="1"/>
  <c r="H29" i="2" l="1"/>
  <c r="H24" i="2" s="1"/>
  <c r="I12" i="1" l="1"/>
  <c r="I5" i="1"/>
  <c r="I13" i="2"/>
  <c r="I5" i="2"/>
  <c r="H2" i="2" l="1"/>
  <c r="H31" i="2" l="1"/>
  <c r="H18" i="2"/>
  <c r="H10" i="2"/>
  <c r="I42" i="2"/>
  <c r="H42" i="2"/>
  <c r="I41" i="2"/>
  <c r="H41" i="2"/>
  <c r="H37" i="2" s="1"/>
  <c r="I40" i="2"/>
  <c r="H40" i="2"/>
  <c r="I39" i="2"/>
  <c r="H39" i="2"/>
  <c r="I35" i="2"/>
  <c r="H35" i="2"/>
  <c r="I34" i="2"/>
  <c r="H34" i="2"/>
  <c r="I33" i="2"/>
  <c r="H33" i="2"/>
  <c r="I29" i="2"/>
  <c r="I28" i="2"/>
  <c r="H28" i="2"/>
  <c r="I27" i="2"/>
  <c r="H27" i="2"/>
  <c r="I26" i="2"/>
  <c r="H26" i="2"/>
  <c r="I22" i="2"/>
  <c r="H22" i="2"/>
  <c r="I21" i="2"/>
  <c r="H21" i="2"/>
  <c r="I20" i="2"/>
  <c r="H20" i="2"/>
  <c r="I16" i="2"/>
  <c r="H16" i="2"/>
  <c r="I15" i="2"/>
  <c r="H15" i="2"/>
  <c r="I14" i="2"/>
  <c r="H14" i="2"/>
  <c r="I12" i="2"/>
  <c r="H12" i="2"/>
  <c r="I8" i="2"/>
  <c r="H8" i="2"/>
  <c r="I7" i="2"/>
  <c r="H7" i="2"/>
  <c r="I6" i="2"/>
  <c r="H6" i="2"/>
  <c r="I4" i="2"/>
  <c r="H4" i="2"/>
  <c r="I41" i="1"/>
  <c r="H41" i="1"/>
  <c r="I40" i="1"/>
  <c r="H40" i="1"/>
  <c r="I39" i="1"/>
  <c r="H39" i="1"/>
  <c r="I38" i="1"/>
  <c r="H38" i="1"/>
  <c r="I34" i="1"/>
  <c r="H34" i="1"/>
  <c r="I33" i="1"/>
  <c r="H33" i="1"/>
  <c r="I32" i="1"/>
  <c r="H32" i="1"/>
  <c r="I14" i="1"/>
  <c r="H14" i="1"/>
  <c r="I13" i="1"/>
  <c r="H13" i="1"/>
  <c r="I11" i="1"/>
  <c r="H11" i="1"/>
  <c r="I28" i="1"/>
  <c r="H28" i="1"/>
  <c r="I27" i="1"/>
  <c r="H27" i="1"/>
  <c r="I26" i="1"/>
  <c r="H26" i="1"/>
  <c r="I25" i="1"/>
  <c r="H25" i="1"/>
  <c r="I7" i="1"/>
  <c r="H7" i="1"/>
  <c r="I6" i="1"/>
  <c r="H6" i="1"/>
  <c r="I4" i="1"/>
  <c r="H4" i="1"/>
  <c r="H2" i="1" l="1"/>
  <c r="H9" i="1"/>
  <c r="H23" i="1"/>
  <c r="H30" i="1"/>
  <c r="H36" i="1"/>
</calcChain>
</file>

<file path=xl/comments1.xml><?xml version="1.0" encoding="utf-8"?>
<comments xmlns="http://schemas.openxmlformats.org/spreadsheetml/2006/main">
  <authors>
    <author>bwf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Annexe 7 </t>
        </r>
      </text>
    </comment>
  </commentList>
</comments>
</file>

<file path=xl/comments2.xml><?xml version="1.0" encoding="utf-8"?>
<comments xmlns="http://schemas.openxmlformats.org/spreadsheetml/2006/main">
  <authors>
    <author>bwf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The edges to heated are not taken into account. Here: the other zone
</t>
        </r>
      </text>
    </comment>
  </commentList>
</comments>
</file>

<file path=xl/comments3.xml><?xml version="1.0" encoding="utf-8"?>
<comments xmlns="http://schemas.openxmlformats.org/spreadsheetml/2006/main">
  <authors>
    <author>Christina Protopapadaki</author>
    <author>bwf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If these are going to be air volumes, calculate differently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The edges to heated are not taken into account. Here: the neighbors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Christina Protopapadaki:</t>
        </r>
        <r>
          <rPr>
            <sz val="9"/>
            <color indexed="81"/>
            <rFont val="Tahoma"/>
            <charset val="1"/>
          </rPr>
          <t xml:space="preserve">
I don't substract the doors because I haven't "cut" the corners because of the roof either</t>
        </r>
      </text>
    </comment>
  </commentList>
</comments>
</file>

<file path=xl/comments4.xml><?xml version="1.0" encoding="utf-8"?>
<comments xmlns="http://schemas.openxmlformats.org/spreadsheetml/2006/main">
  <authors>
    <author>bwf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The edges to heated are not taken into account. Here: the neighbors</t>
        </r>
      </text>
    </comment>
  </commentList>
</comments>
</file>

<file path=xl/sharedStrings.xml><?xml version="1.0" encoding="utf-8"?>
<sst xmlns="http://schemas.openxmlformats.org/spreadsheetml/2006/main" count="672" uniqueCount="149">
  <si>
    <t>W/m²K</t>
  </si>
  <si>
    <t>Wall external</t>
  </si>
  <si>
    <t>U=</t>
  </si>
  <si>
    <t>layers</t>
  </si>
  <si>
    <t>d [m]</t>
  </si>
  <si>
    <t>λ[W/mK]</t>
  </si>
  <si>
    <t>ρ [kg/m³]</t>
  </si>
  <si>
    <t>c [J/kgK]</t>
  </si>
  <si>
    <t>R [m²K/W]</t>
  </si>
  <si>
    <t>C [J/m²K]</t>
  </si>
  <si>
    <t>Air cavity</t>
  </si>
  <si>
    <t>Plaster</t>
  </si>
  <si>
    <t>Floor</t>
  </si>
  <si>
    <t>Tiles</t>
  </si>
  <si>
    <t>Screed</t>
  </si>
  <si>
    <t>EPS</t>
  </si>
  <si>
    <t>Concrete</t>
  </si>
  <si>
    <t>Roof</t>
  </si>
  <si>
    <t>Tiled roof</t>
  </si>
  <si>
    <t>Wall internal</t>
  </si>
  <si>
    <t>High density brick</t>
  </si>
  <si>
    <t>Floor internal</t>
  </si>
  <si>
    <t>Wooden floor</t>
  </si>
  <si>
    <t>MW</t>
  </si>
  <si>
    <t>Low density brick</t>
  </si>
  <si>
    <t>Flat Roof</t>
  </si>
  <si>
    <t>Lightweight concrete</t>
  </si>
  <si>
    <t>XPS</t>
  </si>
  <si>
    <t>High density brick 2</t>
  </si>
  <si>
    <t>Wood</t>
  </si>
  <si>
    <t>Gypsum board</t>
  </si>
  <si>
    <t>Door</t>
  </si>
  <si>
    <t>door non-ins</t>
  </si>
  <si>
    <t>door ins</t>
  </si>
  <si>
    <t>Floor area</t>
  </si>
  <si>
    <t>Volume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</si>
  <si>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rgb="FF000000"/>
        <rFont val="Calibri"/>
        <family val="2"/>
        <charset val="1"/>
      </rPr>
      <t>=</t>
    </r>
  </si>
  <si>
    <t>Day zone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</si>
  <si>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rgb="FF000000"/>
        <rFont val="Calibri"/>
        <family val="2"/>
        <charset val="1"/>
      </rPr>
      <t>=</t>
    </r>
  </si>
  <si>
    <t>Night zone</t>
  </si>
  <si>
    <t>Total</t>
  </si>
  <si>
    <t>Awall_South</t>
  </si>
  <si>
    <t>Awall_West</t>
  </si>
  <si>
    <t>Awall_North</t>
  </si>
  <si>
    <t>Awall_East</t>
  </si>
  <si>
    <t>Awind_South</t>
  </si>
  <si>
    <t>Awind_West</t>
  </si>
  <si>
    <t>Awind_North</t>
  </si>
  <si>
    <t>Awind_East</t>
  </si>
  <si>
    <t>Adoor_South</t>
  </si>
  <si>
    <t>Adoor_West</t>
  </si>
  <si>
    <t>Adoor_North</t>
  </si>
  <si>
    <t>Adoor_East</t>
  </si>
  <si>
    <t>Aroof_South</t>
  </si>
  <si>
    <t>φ=</t>
  </si>
  <si>
    <t>Aroof_West</t>
  </si>
  <si>
    <t>Aroof_North</t>
  </si>
  <si>
    <t>Aroof_East</t>
  </si>
  <si>
    <t>Afloor_ground</t>
  </si>
  <si>
    <t>PerimFloor_gr</t>
  </si>
  <si>
    <t>Afloor_comm_NZ</t>
  </si>
  <si>
    <t>-</t>
  </si>
  <si>
    <t>Awall_int</t>
  </si>
  <si>
    <t>% difference</t>
  </si>
  <si>
    <r>
      <t>Total Wall Area*</t>
    </r>
    <r>
      <rPr>
        <sz val="11"/>
        <color rgb="FF000000"/>
        <rFont val="Calibri"/>
        <family val="2"/>
        <charset val="1"/>
      </rPr>
      <t>include door</t>
    </r>
  </si>
  <si>
    <t>Total Roof</t>
  </si>
  <si>
    <t>Total floor on ground</t>
  </si>
  <si>
    <t>Total Int wall</t>
  </si>
  <si>
    <t>Total Int floor</t>
  </si>
  <si>
    <t>Total Windows</t>
  </si>
  <si>
    <t>Overall</t>
  </si>
  <si>
    <t>OK</t>
  </si>
  <si>
    <t>Atran=</t>
  </si>
  <si>
    <t>ATrans=</t>
  </si>
  <si>
    <t>,</t>
  </si>
  <si>
    <t>n50=</t>
  </si>
  <si>
    <t>AZones={</t>
  </si>
  <si>
    <t>n50(renovated win)=</t>
  </si>
  <si>
    <t>VZones={</t>
  </si>
  <si>
    <t>Wall to adjacent</t>
  </si>
  <si>
    <t>Awall_West   *adj</t>
  </si>
  <si>
    <t>Awall_East    *adj</t>
  </si>
  <si>
    <t>λ [W/mK]</t>
  </si>
  <si>
    <t>screed</t>
  </si>
  <si>
    <t>concrete</t>
  </si>
  <si>
    <t>gypsum board</t>
  </si>
  <si>
    <t>Unheated</t>
  </si>
  <si>
    <t>Liège totals</t>
  </si>
  <si>
    <t>*they have a small mistake</t>
  </si>
  <si>
    <t>* I just don't understand how they calculate the volume..</t>
  </si>
  <si>
    <r>
      <t>h</t>
    </r>
    <r>
      <rPr>
        <vertAlign val="subscript"/>
        <sz val="11"/>
        <color theme="1"/>
        <rFont val="Calibri"/>
        <family val="2"/>
        <scheme val="minor"/>
      </rPr>
      <t>1u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</si>
  <si>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</si>
  <si>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1d</t>
    </r>
    <r>
      <rPr>
        <sz val="11"/>
        <color rgb="FF000000"/>
        <rFont val="Calibri"/>
        <family val="2"/>
        <charset val="1"/>
      </rPr>
      <t>=</t>
    </r>
  </si>
  <si>
    <t>length=</t>
  </si>
  <si>
    <t>depth=</t>
  </si>
  <si>
    <r>
      <t>h</t>
    </r>
    <r>
      <rPr>
        <vertAlign val="sub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</si>
  <si>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t>Afloor_int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</si>
  <si>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</si>
  <si>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</si>
  <si>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t>length</t>
  </si>
  <si>
    <t>width</t>
  </si>
  <si>
    <t>Heated</t>
  </si>
  <si>
    <t>Roof_incl</t>
  </si>
  <si>
    <t>A_Volume</t>
  </si>
  <si>
    <t>A_Aroof</t>
  </si>
  <si>
    <t>A_Awall_west </t>
  </si>
  <si>
    <t>A_Awall_east </t>
  </si>
  <si>
    <t>N_Volume</t>
  </si>
  <si>
    <t>N_Awall_south </t>
  </si>
  <si>
    <t>N_Awall_west </t>
  </si>
  <si>
    <t>N_Awall_north </t>
  </si>
  <si>
    <t>N_Awall_east </t>
  </si>
  <si>
    <t>N_Awind_south </t>
  </si>
  <si>
    <t>N_Awind_north </t>
  </si>
  <si>
    <t>N_Aroof </t>
  </si>
  <si>
    <t>N_Aintwalls </t>
  </si>
  <si>
    <t>N_Aintfloor </t>
  </si>
  <si>
    <t>N_A_Acommonfloor </t>
  </si>
  <si>
    <t>D_Volume</t>
  </si>
  <si>
    <t>D_Awall_south </t>
  </si>
  <si>
    <t>D_Awall_west </t>
  </si>
  <si>
    <t>D_Awall_north </t>
  </si>
  <si>
    <t>D_Awall_east </t>
  </si>
  <si>
    <t>D_Awind_south </t>
  </si>
  <si>
    <t>D_Awind_north </t>
  </si>
  <si>
    <r>
      <t> D_Adoor_south</t>
    </r>
    <r>
      <rPr>
        <sz val="8.25"/>
        <color rgb="FF006400"/>
        <rFont val="Courier New,courier"/>
      </rPr>
      <t/>
    </r>
  </si>
  <si>
    <t>D_Adoor_north</t>
  </si>
  <si>
    <t>D_Afloor</t>
  </si>
  <si>
    <t>D_Pfloor </t>
  </si>
  <si>
    <t> D_Aintwalls </t>
  </si>
  <si>
    <t> D_N_Acommonfloor </t>
  </si>
  <si>
    <r>
      <t>D_Aroof </t>
    </r>
    <r>
      <rPr>
        <sz val="8.25"/>
        <color rgb="FF006400"/>
        <rFont val="Courier New,courier"/>
      </rPr>
      <t/>
    </r>
  </si>
  <si>
    <t>=</t>
  </si>
  <si>
    <t>;</t>
  </si>
  <si>
    <t>A_Aroof_south</t>
  </si>
  <si>
    <t>A_Aroof_north</t>
  </si>
  <si>
    <t>A_Awall_comm</t>
  </si>
  <si>
    <t>N_Aroof _south</t>
  </si>
  <si>
    <t>N_Aroof _north</t>
  </si>
  <si>
    <t>N_Awind_west</t>
  </si>
  <si>
    <t>D_Awall_comm</t>
  </si>
  <si>
    <t>D_Awind_west</t>
  </si>
  <si>
    <r>
      <t> D_Adoor</t>
    </r>
    <r>
      <rPr>
        <sz val="8.25"/>
        <color rgb="FF006400"/>
        <rFont val="Courier New,courier"/>
      </rPr>
      <t/>
    </r>
  </si>
  <si>
    <t>parameter </t>
  </si>
  <si>
    <t>Modelica.SIunits.Area</t>
  </si>
  <si>
    <t>Modelica.SIunits.Angle</t>
  </si>
  <si>
    <t>Modelica.SIunits.Volume</t>
  </si>
  <si>
    <t>Modelica.SIunits.Length</t>
  </si>
  <si>
    <t>N_Awall_comm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</si>
</sst>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"/>
    <numFmt numFmtId="166" formatCode="_ * #,##0.00_ ;_ * \-#,##0.00_ ;_ * &quot;-&quot;??_ ;_ @_ "/>
    <numFmt numFmtId="167" formatCode="0.0"/>
    <numFmt numFmtId="168" formatCode="_([$€]* #,##0.00_);_([$€]* \(#,##0.00\);_([$€]* &quot;-&quot;??_);_(@_)"/>
  </numFmts>
  <fonts count="4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0"/>
      <name val="Arial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color indexed="12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Arial"/>
      <family val="2"/>
    </font>
    <font>
      <b/>
      <sz val="8"/>
      <color indexed="9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.25"/>
      <color rgb="FF000000"/>
      <name val="Courier New,courier"/>
    </font>
    <font>
      <sz val="8.25"/>
      <color rgb="FF006400"/>
      <name val="Courier New,courier"/>
    </font>
    <font>
      <sz val="8.25"/>
      <color rgb="FF0000FF"/>
      <name val="Courier New,courie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CC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166" fontId="13" fillId="0" borderId="0" applyBorder="0" applyAlignment="0" applyProtection="0"/>
    <xf numFmtId="0" fontId="14" fillId="0" borderId="0"/>
    <xf numFmtId="0" fontId="7" fillId="4" borderId="1" applyNumberFormat="0" applyFont="0" applyAlignment="0" applyProtection="0"/>
    <xf numFmtId="166" fontId="15" fillId="0" borderId="0" applyBorder="0" applyAlignment="0" applyProtection="0"/>
    <xf numFmtId="0" fontId="6" fillId="0" borderId="0"/>
    <xf numFmtId="0" fontId="23" fillId="0" borderId="0">
      <alignment vertical="center"/>
    </xf>
    <xf numFmtId="0" fontId="23" fillId="0" borderId="32">
      <alignment horizontal="left" vertical="center" wrapText="1"/>
    </xf>
    <xf numFmtId="0" fontId="26" fillId="6" borderId="33" applyFont="0" applyFill="0" applyBorder="0" applyAlignment="0">
      <alignment horizontal="left" vertical="top" wrapText="1"/>
    </xf>
    <xf numFmtId="0" fontId="27" fillId="7" borderId="32">
      <alignment vertical="center" shrinkToFit="1"/>
      <protection locked="0"/>
    </xf>
    <xf numFmtId="0" fontId="23" fillId="8" borderId="32">
      <alignment horizontal="center" vertical="center"/>
      <protection locked="0"/>
    </xf>
    <xf numFmtId="0" fontId="27" fillId="7" borderId="32">
      <alignment horizontal="center" vertical="center" shrinkToFit="1"/>
      <protection locked="0"/>
    </xf>
    <xf numFmtId="0" fontId="27" fillId="7" borderId="32">
      <alignment vertical="center" wrapText="1" shrinkToFit="1"/>
      <protection locked="0"/>
    </xf>
    <xf numFmtId="168" fontId="23" fillId="0" borderId="0" applyFont="0" applyFill="0" applyBorder="0" applyAlignment="0" applyProtection="0">
      <alignment vertical="center"/>
    </xf>
    <xf numFmtId="0" fontId="23" fillId="9" borderId="32">
      <alignment horizontal="center" vertical="center"/>
    </xf>
    <xf numFmtId="0" fontId="23" fillId="9" borderId="32">
      <alignment horizontal="center" vertical="center"/>
    </xf>
    <xf numFmtId="0" fontId="28" fillId="10" borderId="0">
      <alignment horizontal="left" vertical="center" indent="1"/>
    </xf>
    <xf numFmtId="0" fontId="26" fillId="6" borderId="33">
      <alignment horizontal="left" vertical="top" wrapText="1"/>
    </xf>
    <xf numFmtId="0" fontId="29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>
      <alignment vertical="center"/>
    </xf>
    <xf numFmtId="0" fontId="30" fillId="11" borderId="0">
      <alignment horizontal="left" vertical="center" indent="1"/>
    </xf>
    <xf numFmtId="0" fontId="5" fillId="2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</cellStyleXfs>
  <cellXfs count="200">
    <xf numFmtId="0" fontId="0" fillId="0" borderId="0" xfId="0"/>
    <xf numFmtId="0" fontId="0" fillId="0" borderId="0" xfId="0" applyBorder="1"/>
    <xf numFmtId="0" fontId="9" fillId="0" borderId="0" xfId="2" applyFont="1" applyFill="1" applyBorder="1" applyAlignment="1" applyProtection="1"/>
    <xf numFmtId="2" fontId="0" fillId="0" borderId="0" xfId="0" applyNumberFormat="1"/>
    <xf numFmtId="0" fontId="0" fillId="0" borderId="5" xfId="0" applyBorder="1"/>
    <xf numFmtId="0" fontId="10" fillId="0" borderId="6" xfId="0" applyFont="1" applyBorder="1"/>
    <xf numFmtId="0" fontId="10" fillId="0" borderId="7" xfId="0" applyFont="1" applyBorder="1"/>
    <xf numFmtId="0" fontId="0" fillId="0" borderId="8" xfId="0" applyBorder="1"/>
    <xf numFmtId="0" fontId="0" fillId="0" borderId="0" xfId="0" applyFont="1" applyBorder="1"/>
    <xf numFmtId="164" fontId="0" fillId="0" borderId="0" xfId="0" applyNumberFormat="1" applyBorder="1"/>
    <xf numFmtId="0" fontId="0" fillId="0" borderId="9" xfId="0" applyBorder="1"/>
    <xf numFmtId="165" fontId="0" fillId="0" borderId="0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2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0" fontId="11" fillId="0" borderId="9" xfId="0" applyFont="1" applyFill="1" applyBorder="1"/>
    <xf numFmtId="0" fontId="8" fillId="0" borderId="13" xfId="1" applyBorder="1"/>
    <xf numFmtId="0" fontId="7" fillId="2" borderId="5" xfId="3" applyBorder="1"/>
    <xf numFmtId="0" fontId="7" fillId="2" borderId="6" xfId="3" applyBorder="1"/>
    <xf numFmtId="0" fontId="7" fillId="2" borderId="6" xfId="3" applyBorder="1" applyAlignment="1">
      <alignment horizontal="right"/>
    </xf>
    <xf numFmtId="2" fontId="7" fillId="2" borderId="6" xfId="3" applyNumberFormat="1" applyBorder="1" applyAlignment="1">
      <alignment horizontal="center"/>
    </xf>
    <xf numFmtId="0" fontId="7" fillId="2" borderId="7" xfId="3" applyBorder="1"/>
    <xf numFmtId="0" fontId="8" fillId="0" borderId="0" xfId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" xfId="0" applyBorder="1"/>
    <xf numFmtId="0" fontId="11" fillId="2" borderId="5" xfId="3" applyFont="1" applyBorder="1"/>
    <xf numFmtId="0" fontId="12" fillId="2" borderId="6" xfId="3" applyFont="1" applyBorder="1"/>
    <xf numFmtId="164" fontId="7" fillId="2" borderId="6" xfId="3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2" fontId="16" fillId="2" borderId="6" xfId="3" applyNumberFormat="1" applyFont="1" applyBorder="1" applyAlignment="1">
      <alignment horizontal="center"/>
    </xf>
    <xf numFmtId="0" fontId="17" fillId="0" borderId="0" xfId="0" applyFont="1" applyBorder="1"/>
    <xf numFmtId="2" fontId="0" fillId="0" borderId="11" xfId="0" applyNumberFormat="1" applyBorder="1"/>
    <xf numFmtId="164" fontId="11" fillId="0" borderId="0" xfId="0" applyNumberFormat="1" applyFont="1" applyBorder="1"/>
    <xf numFmtId="0" fontId="11" fillId="0" borderId="9" xfId="0" applyFont="1" applyBorder="1"/>
    <xf numFmtId="0" fontId="11" fillId="0" borderId="0" xfId="0" applyFont="1" applyBorder="1"/>
    <xf numFmtId="1" fontId="17" fillId="0" borderId="9" xfId="0" applyNumberFormat="1" applyFont="1" applyBorder="1"/>
    <xf numFmtId="0" fontId="17" fillId="0" borderId="12" xfId="0" applyFont="1" applyBorder="1"/>
    <xf numFmtId="0" fontId="17" fillId="0" borderId="11" xfId="0" applyFont="1" applyBorder="1"/>
    <xf numFmtId="0" fontId="6" fillId="2" borderId="5" xfId="3" applyFont="1" applyBorder="1"/>
    <xf numFmtId="0" fontId="5" fillId="2" borderId="5" xfId="27" applyBorder="1"/>
    <xf numFmtId="0" fontId="0" fillId="0" borderId="5" xfId="0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0" fillId="0" borderId="8" xfId="0" applyFill="1" applyBorder="1"/>
    <xf numFmtId="0" fontId="0" fillId="0" borderId="0" xfId="0" applyFont="1" applyFill="1" applyBorder="1"/>
    <xf numFmtId="0" fontId="32" fillId="0" borderId="0" xfId="0" applyFont="1" applyFill="1" applyBorder="1"/>
    <xf numFmtId="164" fontId="0" fillId="0" borderId="0" xfId="0" applyNumberFormat="1" applyFill="1" applyBorder="1"/>
    <xf numFmtId="0" fontId="0" fillId="0" borderId="9" xfId="0" applyFill="1" applyBorder="1"/>
    <xf numFmtId="0" fontId="16" fillId="0" borderId="0" xfId="0" applyFont="1" applyFill="1" applyBorder="1"/>
    <xf numFmtId="0" fontId="33" fillId="0" borderId="0" xfId="0" applyFont="1" applyBorder="1"/>
    <xf numFmtId="0" fontId="16" fillId="0" borderId="0" xfId="0" applyFont="1" applyBorder="1"/>
    <xf numFmtId="0" fontId="0" fillId="0" borderId="10" xfId="0" applyFill="1" applyBorder="1"/>
    <xf numFmtId="0" fontId="33" fillId="0" borderId="11" xfId="0" applyFont="1" applyFill="1" applyBorder="1"/>
    <xf numFmtId="164" fontId="0" fillId="0" borderId="11" xfId="0" applyNumberFormat="1" applyFill="1" applyBorder="1"/>
    <xf numFmtId="0" fontId="4" fillId="0" borderId="0" xfId="28"/>
    <xf numFmtId="0" fontId="18" fillId="0" borderId="0" xfId="28" applyFont="1" applyAlignment="1"/>
    <xf numFmtId="0" fontId="4" fillId="0" borderId="0" xfId="28" applyAlignment="1"/>
    <xf numFmtId="0" fontId="4" fillId="0" borderId="14" xfId="28" applyBorder="1"/>
    <xf numFmtId="0" fontId="4" fillId="0" borderId="15" xfId="28" applyBorder="1"/>
    <xf numFmtId="0" fontId="4" fillId="0" borderId="0" xfId="28" applyAlignment="1">
      <alignment horizontal="right"/>
    </xf>
    <xf numFmtId="0" fontId="4" fillId="0" borderId="0" xfId="28" applyAlignment="1">
      <alignment horizontal="left"/>
    </xf>
    <xf numFmtId="0" fontId="19" fillId="0" borderId="16" xfId="28" applyFont="1" applyBorder="1"/>
    <xf numFmtId="167" fontId="16" fillId="0" borderId="14" xfId="28" applyNumberFormat="1" applyFont="1" applyBorder="1"/>
    <xf numFmtId="167" fontId="16" fillId="0" borderId="15" xfId="28" applyNumberFormat="1" applyFont="1" applyBorder="1"/>
    <xf numFmtId="0" fontId="4" fillId="0" borderId="0" xfId="28" applyBorder="1"/>
    <xf numFmtId="0" fontId="18" fillId="0" borderId="0" xfId="28" applyFont="1"/>
    <xf numFmtId="167" fontId="16" fillId="0" borderId="16" xfId="28" applyNumberFormat="1" applyFont="1" applyBorder="1"/>
    <xf numFmtId="167" fontId="16" fillId="0" borderId="17" xfId="28" applyNumberFormat="1" applyFont="1" applyBorder="1"/>
    <xf numFmtId="0" fontId="4" fillId="0" borderId="0" xfId="28" applyFill="1" applyBorder="1"/>
    <xf numFmtId="0" fontId="19" fillId="0" borderId="18" xfId="28" applyFont="1" applyBorder="1"/>
    <xf numFmtId="167" fontId="18" fillId="0" borderId="16" xfId="28" applyNumberFormat="1" applyFont="1" applyBorder="1"/>
    <xf numFmtId="167" fontId="18" fillId="0" borderId="17" xfId="28" applyNumberFormat="1" applyFont="1" applyBorder="1"/>
    <xf numFmtId="167" fontId="4" fillId="0" borderId="19" xfId="28" applyNumberFormat="1" applyBorder="1"/>
    <xf numFmtId="167" fontId="4" fillId="0" borderId="20" xfId="28" applyNumberFormat="1" applyBorder="1"/>
    <xf numFmtId="0" fontId="19" fillId="0" borderId="0" xfId="28" applyFont="1"/>
    <xf numFmtId="0" fontId="19" fillId="0" borderId="0" xfId="28" applyFont="1" applyBorder="1"/>
    <xf numFmtId="167" fontId="4" fillId="0" borderId="14" xfId="28" applyNumberFormat="1" applyBorder="1"/>
    <xf numFmtId="1" fontId="4" fillId="0" borderId="13" xfId="28" applyNumberFormat="1" applyBorder="1"/>
    <xf numFmtId="167" fontId="4" fillId="0" borderId="0" xfId="28" applyNumberFormat="1" applyBorder="1"/>
    <xf numFmtId="167" fontId="4" fillId="0" borderId="16" xfId="28" applyNumberFormat="1" applyBorder="1"/>
    <xf numFmtId="1" fontId="4" fillId="0" borderId="17" xfId="28" applyNumberFormat="1" applyBorder="1"/>
    <xf numFmtId="1" fontId="4" fillId="0" borderId="0" xfId="28" applyNumberFormat="1" applyBorder="1"/>
    <xf numFmtId="167" fontId="4" fillId="0" borderId="17" xfId="28" applyNumberFormat="1" applyBorder="1"/>
    <xf numFmtId="0" fontId="19" fillId="0" borderId="21" xfId="28" applyFont="1" applyBorder="1"/>
    <xf numFmtId="167" fontId="4" fillId="0" borderId="18" xfId="28" applyNumberFormat="1" applyBorder="1"/>
    <xf numFmtId="167" fontId="4" fillId="0" borderId="21" xfId="28" applyNumberFormat="1" applyBorder="1"/>
    <xf numFmtId="0" fontId="19" fillId="0" borderId="13" xfId="28" applyFont="1" applyBorder="1"/>
    <xf numFmtId="0" fontId="4" fillId="0" borderId="13" xfId="28" applyBorder="1"/>
    <xf numFmtId="0" fontId="4" fillId="0" borderId="16" xfId="28" applyBorder="1"/>
    <xf numFmtId="0" fontId="4" fillId="0" borderId="17" xfId="28" applyBorder="1"/>
    <xf numFmtId="0" fontId="4" fillId="0" borderId="18" xfId="28" applyBorder="1"/>
    <xf numFmtId="0" fontId="4" fillId="0" borderId="21" xfId="28" applyBorder="1"/>
    <xf numFmtId="0" fontId="4" fillId="0" borderId="34" xfId="28" applyBorder="1"/>
    <xf numFmtId="1" fontId="4" fillId="0" borderId="18" xfId="28" applyNumberFormat="1" applyBorder="1"/>
    <xf numFmtId="0" fontId="16" fillId="0" borderId="0" xfId="28" applyFont="1"/>
    <xf numFmtId="167" fontId="4" fillId="0" borderId="13" xfId="28" applyNumberFormat="1" applyBorder="1"/>
    <xf numFmtId="1" fontId="4" fillId="0" borderId="15" xfId="28" applyNumberFormat="1" applyBorder="1"/>
    <xf numFmtId="2" fontId="4" fillId="0" borderId="0" xfId="28" applyNumberFormat="1" applyAlignment="1">
      <alignment horizontal="left"/>
    </xf>
    <xf numFmtId="1" fontId="4" fillId="0" borderId="16" xfId="28" applyNumberFormat="1" applyBorder="1"/>
    <xf numFmtId="0" fontId="4" fillId="0" borderId="0" xfId="28" applyFill="1" applyBorder="1" applyAlignment="1">
      <alignment horizontal="left"/>
    </xf>
    <xf numFmtId="1" fontId="4" fillId="0" borderId="34" xfId="28" applyNumberFormat="1" applyBorder="1"/>
    <xf numFmtId="0" fontId="21" fillId="0" borderId="0" xfId="28" applyFont="1"/>
    <xf numFmtId="167" fontId="4" fillId="0" borderId="0" xfId="28" applyNumberFormat="1"/>
    <xf numFmtId="0" fontId="4" fillId="0" borderId="0" xfId="28" applyFont="1" applyFill="1" applyBorder="1"/>
    <xf numFmtId="167" fontId="16" fillId="0" borderId="18" xfId="28" applyNumberFormat="1" applyFont="1" applyBorder="1"/>
    <xf numFmtId="167" fontId="16" fillId="0" borderId="21" xfId="28" applyNumberFormat="1" applyFont="1" applyBorder="1"/>
    <xf numFmtId="167" fontId="16" fillId="0" borderId="34" xfId="28" applyNumberFormat="1" applyFont="1" applyBorder="1"/>
    <xf numFmtId="0" fontId="19" fillId="0" borderId="22" xfId="28" applyFont="1" applyBorder="1"/>
    <xf numFmtId="0" fontId="4" fillId="0" borderId="23" xfId="28" applyBorder="1"/>
    <xf numFmtId="167" fontId="4" fillId="0" borderId="24" xfId="28" applyNumberFormat="1" applyBorder="1"/>
    <xf numFmtId="167" fontId="4" fillId="0" borderId="25" xfId="28" applyNumberFormat="1" applyBorder="1"/>
    <xf numFmtId="167" fontId="4" fillId="0" borderId="23" xfId="28" applyNumberFormat="1" applyBorder="1"/>
    <xf numFmtId="167" fontId="4" fillId="0" borderId="26" xfId="28" applyNumberFormat="1" applyBorder="1"/>
    <xf numFmtId="167" fontId="16" fillId="0" borderId="27" xfId="28" applyNumberFormat="1" applyFont="1" applyBorder="1"/>
    <xf numFmtId="167" fontId="4" fillId="0" borderId="28" xfId="28" applyNumberFormat="1" applyBorder="1"/>
    <xf numFmtId="167" fontId="4" fillId="0" borderId="27" xfId="28" applyNumberFormat="1" applyBorder="1"/>
    <xf numFmtId="0" fontId="22" fillId="0" borderId="16" xfId="28" applyFont="1" applyBorder="1"/>
    <xf numFmtId="167" fontId="22" fillId="0" borderId="28" xfId="28" applyNumberFormat="1" applyFont="1" applyBorder="1"/>
    <xf numFmtId="0" fontId="22" fillId="0" borderId="0" xfId="28" applyFont="1"/>
    <xf numFmtId="167" fontId="4" fillId="0" borderId="29" xfId="28" applyNumberFormat="1" applyBorder="1"/>
    <xf numFmtId="167" fontId="4" fillId="0" borderId="30" xfId="28" applyNumberFormat="1" applyBorder="1"/>
    <xf numFmtId="167" fontId="4" fillId="0" borderId="31" xfId="28" applyNumberFormat="1" applyBorder="1"/>
    <xf numFmtId="0" fontId="4" fillId="5" borderId="0" xfId="28" applyFill="1"/>
    <xf numFmtId="167" fontId="4" fillId="0" borderId="0" xfId="28" applyNumberFormat="1" applyFill="1" applyBorder="1"/>
    <xf numFmtId="167" fontId="16" fillId="0" borderId="0" xfId="28" applyNumberFormat="1" applyFont="1"/>
    <xf numFmtId="0" fontId="19" fillId="0" borderId="0" xfId="28" applyFont="1" applyFill="1" applyBorder="1"/>
    <xf numFmtId="167" fontId="18" fillId="0" borderId="0" xfId="28" applyNumberFormat="1" applyFont="1" applyBorder="1"/>
    <xf numFmtId="2" fontId="4" fillId="0" borderId="0" xfId="28" applyNumberFormat="1" applyBorder="1"/>
    <xf numFmtId="167" fontId="18" fillId="0" borderId="0" xfId="28" applyNumberFormat="1" applyFont="1"/>
    <xf numFmtId="2" fontId="4" fillId="0" borderId="17" xfId="28" applyNumberFormat="1" applyBorder="1"/>
    <xf numFmtId="167" fontId="4" fillId="0" borderId="15" xfId="28" applyNumberFormat="1" applyBorder="1"/>
    <xf numFmtId="0" fontId="31" fillId="0" borderId="21" xfId="28" applyFont="1" applyBorder="1"/>
    <xf numFmtId="167" fontId="18" fillId="0" borderId="18" xfId="28" applyNumberFormat="1" applyFont="1" applyBorder="1"/>
    <xf numFmtId="167" fontId="18" fillId="0" borderId="21" xfId="28" applyNumberFormat="1" applyFont="1" applyBorder="1"/>
    <xf numFmtId="0" fontId="18" fillId="0" borderId="21" xfId="28" applyFont="1" applyBorder="1"/>
    <xf numFmtId="0" fontId="18" fillId="0" borderId="0" xfId="28" applyFont="1" applyAlignment="1">
      <alignment horizontal="left"/>
    </xf>
    <xf numFmtId="167" fontId="4" fillId="0" borderId="34" xfId="28" applyNumberFormat="1" applyBorder="1"/>
    <xf numFmtId="0" fontId="18" fillId="0" borderId="16" xfId="28" applyFont="1" applyBorder="1"/>
    <xf numFmtId="1" fontId="4" fillId="0" borderId="0" xfId="28" applyNumberFormat="1"/>
    <xf numFmtId="0" fontId="31" fillId="0" borderId="0" xfId="28" applyFont="1" applyBorder="1"/>
    <xf numFmtId="0" fontId="16" fillId="0" borderId="16" xfId="28" applyFont="1" applyBorder="1"/>
    <xf numFmtId="0" fontId="18" fillId="0" borderId="0" xfId="28" applyFont="1" applyAlignment="1">
      <alignment horizontal="right"/>
    </xf>
    <xf numFmtId="0" fontId="18" fillId="0" borderId="0" xfId="28" applyFont="1" applyFill="1" applyBorder="1" applyAlignment="1">
      <alignment horizontal="left"/>
    </xf>
    <xf numFmtId="2" fontId="4" fillId="0" borderId="13" xfId="28" applyNumberFormat="1" applyBorder="1"/>
    <xf numFmtId="2" fontId="4" fillId="0" borderId="15" xfId="28" applyNumberFormat="1" applyBorder="1"/>
    <xf numFmtId="167" fontId="31" fillId="0" borderId="17" xfId="28" applyNumberFormat="1" applyFont="1" applyFill="1" applyBorder="1"/>
    <xf numFmtId="0" fontId="3" fillId="0" borderId="0" xfId="28" applyFont="1" applyAlignment="1">
      <alignment horizontal="right"/>
    </xf>
    <xf numFmtId="0" fontId="3" fillId="0" borderId="0" xfId="28" applyFont="1"/>
    <xf numFmtId="0" fontId="2" fillId="0" borderId="0" xfId="28" applyFont="1"/>
    <xf numFmtId="2" fontId="4" fillId="0" borderId="14" xfId="28" applyNumberFormat="1" applyBorder="1"/>
    <xf numFmtId="2" fontId="18" fillId="0" borderId="16" xfId="28" applyNumberFormat="1" applyFont="1" applyBorder="1"/>
    <xf numFmtId="2" fontId="18" fillId="0" borderId="0" xfId="28" applyNumberFormat="1" applyFont="1" applyBorder="1"/>
    <xf numFmtId="2" fontId="18" fillId="0" borderId="17" xfId="28" applyNumberFormat="1" applyFont="1" applyBorder="1"/>
    <xf numFmtId="2" fontId="4" fillId="0" borderId="16" xfId="28" applyNumberFormat="1" applyBorder="1"/>
    <xf numFmtId="2" fontId="18" fillId="0" borderId="18" xfId="28" applyNumberFormat="1" applyFont="1" applyBorder="1"/>
    <xf numFmtId="2" fontId="18" fillId="0" borderId="21" xfId="28" applyNumberFormat="1" applyFont="1" applyBorder="1"/>
    <xf numFmtId="2" fontId="3" fillId="0" borderId="15" xfId="28" applyNumberFormat="1" applyFont="1" applyBorder="1"/>
    <xf numFmtId="2" fontId="3" fillId="0" borderId="16" xfId="28" applyNumberFormat="1" applyFont="1" applyBorder="1"/>
    <xf numFmtId="2" fontId="3" fillId="0" borderId="0" xfId="28" applyNumberFormat="1" applyFont="1" applyBorder="1"/>
    <xf numFmtId="2" fontId="3" fillId="0" borderId="17" xfId="28" applyNumberFormat="1" applyFont="1" applyBorder="1"/>
    <xf numFmtId="2" fontId="4" fillId="0" borderId="18" xfId="28" applyNumberFormat="1" applyBorder="1"/>
    <xf numFmtId="2" fontId="4" fillId="0" borderId="21" xfId="28" applyNumberFormat="1" applyBorder="1"/>
    <xf numFmtId="2" fontId="4" fillId="0" borderId="34" xfId="28" applyNumberFormat="1" applyBorder="1"/>
    <xf numFmtId="2" fontId="4" fillId="0" borderId="0" xfId="28" applyNumberFormat="1" applyFill="1" applyBorder="1"/>
    <xf numFmtId="0" fontId="2" fillId="0" borderId="0" xfId="28" applyFont="1" applyAlignment="1">
      <alignment horizontal="right"/>
    </xf>
    <xf numFmtId="0" fontId="37" fillId="0" borderId="0" xfId="0" applyFont="1" applyAlignment="1">
      <alignment vertical="center"/>
    </xf>
    <xf numFmtId="0" fontId="14" fillId="0" borderId="2" xfId="0" applyFont="1" applyBorder="1" applyAlignment="1">
      <alignment vertical="center"/>
    </xf>
    <xf numFmtId="0" fontId="2" fillId="0" borderId="3" xfId="28" applyFont="1" applyBorder="1"/>
    <xf numFmtId="0" fontId="2" fillId="0" borderId="4" xfId="28" applyFont="1" applyBorder="1"/>
    <xf numFmtId="0" fontId="14" fillId="0" borderId="8" xfId="0" applyFont="1" applyBorder="1" applyAlignment="1">
      <alignment vertical="center"/>
    </xf>
    <xf numFmtId="0" fontId="2" fillId="0" borderId="0" xfId="28" applyFont="1" applyBorder="1"/>
    <xf numFmtId="0" fontId="2" fillId="0" borderId="9" xfId="28" applyFont="1" applyBorder="1"/>
    <xf numFmtId="2" fontId="2" fillId="0" borderId="0" xfId="28" applyNumberFormat="1" applyFont="1" applyBorder="1"/>
    <xf numFmtId="167" fontId="2" fillId="0" borderId="0" xfId="28" applyNumberFormat="1" applyFont="1" applyBorder="1"/>
    <xf numFmtId="0" fontId="14" fillId="0" borderId="10" xfId="0" applyFont="1" applyBorder="1" applyAlignment="1">
      <alignment vertical="center"/>
    </xf>
    <xf numFmtId="0" fontId="2" fillId="0" borderId="11" xfId="28" applyFont="1" applyBorder="1"/>
    <xf numFmtId="0" fontId="2" fillId="0" borderId="12" xfId="28" applyFont="1" applyBorder="1"/>
    <xf numFmtId="2" fontId="2" fillId="0" borderId="11" xfId="28" applyNumberFormat="1" applyFont="1" applyBorder="1"/>
    <xf numFmtId="0" fontId="39" fillId="0" borderId="0" xfId="0" applyFont="1" applyAlignment="1">
      <alignment vertical="center"/>
    </xf>
    <xf numFmtId="0" fontId="39" fillId="0" borderId="2" xfId="0" applyFont="1" applyBorder="1" applyAlignment="1">
      <alignment vertical="center"/>
    </xf>
    <xf numFmtId="0" fontId="1" fillId="0" borderId="3" xfId="28" applyFont="1" applyBorder="1"/>
    <xf numFmtId="0" fontId="39" fillId="0" borderId="8" xfId="0" applyFont="1" applyBorder="1" applyAlignment="1">
      <alignment vertical="center"/>
    </xf>
    <xf numFmtId="0" fontId="1" fillId="0" borderId="0" xfId="28" applyFont="1" applyBorder="1"/>
    <xf numFmtId="0" fontId="39" fillId="0" borderId="10" xfId="0" applyFont="1" applyBorder="1" applyAlignment="1">
      <alignment vertical="center"/>
    </xf>
    <xf numFmtId="0" fontId="4" fillId="0" borderId="11" xfId="28" applyBorder="1"/>
    <xf numFmtId="0" fontId="14" fillId="0" borderId="3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1" xfId="0" applyFont="1" applyBorder="1" applyAlignment="1">
      <alignment vertical="center"/>
    </xf>
  </cellXfs>
  <cellStyles count="30">
    <cellStyle name="20% - Accent1" xfId="27" builtinId="30"/>
    <cellStyle name="20% - Accent1 2" xfId="3"/>
    <cellStyle name="20% - Accent1 3" xfId="29"/>
    <cellStyle name="40% - Accent1 2" xfId="4"/>
    <cellStyle name="Comma 2" xfId="5"/>
    <cellStyle name="Constant" xfId="11"/>
    <cellStyle name="DataSheet" xfId="12"/>
    <cellStyle name="Eingabe" xfId="13"/>
    <cellStyle name="Eingabe oder Formel" xfId="14"/>
    <cellStyle name="Eingabe1" xfId="15"/>
    <cellStyle name="Entrée 2" xfId="16"/>
    <cellStyle name="Euro" xfId="17"/>
    <cellStyle name="Explanatory Text" xfId="1" builtinId="53"/>
    <cellStyle name="Formel" xfId="18"/>
    <cellStyle name="Formula" xfId="19"/>
    <cellStyle name="Heading1" xfId="20"/>
    <cellStyle name="Label" xfId="21"/>
    <cellStyle name="Lien hypertexte 2" xfId="22"/>
    <cellStyle name="Normal" xfId="0" builtinId="0"/>
    <cellStyle name="Normal 2" xfId="6"/>
    <cellStyle name="Normal 2 2" xfId="10"/>
    <cellStyle name="Normal 3" xfId="9"/>
    <cellStyle name="Normal 4" xfId="28"/>
    <cellStyle name="Note 2" xfId="7"/>
    <cellStyle name="Pourcentage 2" xfId="23"/>
    <cellStyle name="Pourcentage 2 2" xfId="24"/>
    <cellStyle name="Standard_dena Energiepass Arbeitshilfe - Berechnung und Tabellen" xfId="25"/>
    <cellStyle name="TableStyleLight1" xfId="8"/>
    <cellStyle name="TableStyleLight1 2" xfId="2"/>
    <cellStyle name="Ueberschrift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wf/Documents/Christina/BS_MODEL/TabulaVsULg/ULg/LiegeGeo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wf/Desktop/Annex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101"/>
      <sheetName val="102"/>
      <sheetName val="103"/>
      <sheetName val="104"/>
      <sheetName val="105"/>
      <sheetName val="201"/>
      <sheetName val="202"/>
      <sheetName val="203"/>
      <sheetName val="204"/>
      <sheetName val="205"/>
      <sheetName val="301"/>
      <sheetName val="302"/>
      <sheetName val="303"/>
      <sheetName val="304"/>
      <sheetName val="305"/>
      <sheetName val="Material list"/>
      <sheetName val="Detached Parameters"/>
      <sheetName val="Semi-Detached Parameters"/>
      <sheetName val="Terraced Parameters"/>
      <sheetName val="Constructions"/>
      <sheetName val="Sheet1"/>
    </sheetNames>
    <sheetDataSet>
      <sheetData sheetId="0">
        <row r="12">
          <cell r="C12">
            <v>18</v>
          </cell>
        </row>
        <row r="13">
          <cell r="B13">
            <v>18</v>
          </cell>
        </row>
        <row r="17">
          <cell r="B17">
            <v>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ched"/>
      <sheetName val="Semi-detached"/>
      <sheetName val="Terraced"/>
      <sheetName val="Appartement"/>
      <sheetName val="Office"/>
      <sheetName val="Weather"/>
    </sheetNames>
    <sheetDataSet>
      <sheetData sheetId="0" refreshError="1"/>
      <sheetData sheetId="1" refreshError="1"/>
      <sheetData sheetId="2">
        <row r="4">
          <cell r="N4">
            <v>58.355999999999995</v>
          </cell>
          <cell r="O4">
            <v>148.80779999999999</v>
          </cell>
          <cell r="P4">
            <v>58.355999999999995</v>
          </cell>
          <cell r="Q4">
            <v>0</v>
          </cell>
          <cell r="S4">
            <v>17.53</v>
          </cell>
          <cell r="T4">
            <v>6.9104999999999981</v>
          </cell>
        </row>
        <row r="5">
          <cell r="N5">
            <v>25.144500000000001</v>
          </cell>
          <cell r="O5">
            <v>80.232674999999986</v>
          </cell>
          <cell r="P5">
            <v>21.128499999999999</v>
          </cell>
          <cell r="Q5">
            <v>9.4499999999999993</v>
          </cell>
          <cell r="S5">
            <v>2.62</v>
          </cell>
          <cell r="T5">
            <v>17.786000000000001</v>
          </cell>
        </row>
        <row r="6">
          <cell r="N6">
            <v>48.730499999999992</v>
          </cell>
          <cell r="O6">
            <v>114.95083500000001</v>
          </cell>
          <cell r="P6">
            <v>0</v>
          </cell>
          <cell r="Q6">
            <v>63.443000000000005</v>
          </cell>
          <cell r="S6">
            <v>6.64</v>
          </cell>
          <cell r="T6">
            <v>18.6631</v>
          </cell>
        </row>
        <row r="7">
          <cell r="N7">
            <v>8.9249999999999989</v>
          </cell>
          <cell r="O7">
            <v>23.244000000000003</v>
          </cell>
          <cell r="P7">
            <v>0</v>
          </cell>
          <cell r="Q7">
            <v>10.172500000000001</v>
          </cell>
          <cell r="S7">
            <v>0.44</v>
          </cell>
          <cell r="T7">
            <v>0</v>
          </cell>
        </row>
        <row r="27">
          <cell r="D27">
            <v>49.691499999999998</v>
          </cell>
          <cell r="E27">
            <v>18.3325</v>
          </cell>
          <cell r="F27">
            <v>38.387</v>
          </cell>
          <cell r="G27">
            <v>22.361999999999995</v>
          </cell>
        </row>
      </sheetData>
      <sheetData sheetId="3">
        <row r="4">
          <cell r="N4">
            <v>43.580000000000005</v>
          </cell>
          <cell r="O4">
            <v>111.129</v>
          </cell>
          <cell r="P4">
            <v>43.580000000000005</v>
          </cell>
          <cell r="Q4">
            <v>4.2939999999999996</v>
          </cell>
          <cell r="S4">
            <v>12.42</v>
          </cell>
          <cell r="T4">
            <v>3.6974999999999998</v>
          </cell>
        </row>
        <row r="5">
          <cell r="N5">
            <v>12.48</v>
          </cell>
          <cell r="O5">
            <v>26.427374999999998</v>
          </cell>
          <cell r="P5">
            <v>0</v>
          </cell>
          <cell r="Q5">
            <v>14.04</v>
          </cell>
          <cell r="S5">
            <v>2</v>
          </cell>
          <cell r="T5">
            <v>0</v>
          </cell>
        </row>
        <row r="6">
          <cell r="N6">
            <v>28.311000000000003</v>
          </cell>
          <cell r="O6">
            <v>76.881599999999992</v>
          </cell>
          <cell r="P6">
            <v>8.8879999999999999</v>
          </cell>
          <cell r="Q6">
            <v>17.081</v>
          </cell>
          <cell r="S6">
            <v>5.0600000000000005</v>
          </cell>
          <cell r="T6">
            <v>15.334</v>
          </cell>
        </row>
        <row r="7">
          <cell r="N7">
            <v>51.402000000000001</v>
          </cell>
          <cell r="O7">
            <v>125.67847499999999</v>
          </cell>
          <cell r="P7">
            <v>0</v>
          </cell>
          <cell r="Q7">
            <v>21.021000000000001</v>
          </cell>
          <cell r="S7">
            <v>7.76</v>
          </cell>
          <cell r="T7">
            <v>29.405999999999999</v>
          </cell>
        </row>
        <row r="8">
          <cell r="N8">
            <v>6.27</v>
          </cell>
          <cell r="O8">
            <v>15.988499999999998</v>
          </cell>
          <cell r="P8">
            <v>0</v>
          </cell>
          <cell r="Q8">
            <v>0</v>
          </cell>
          <cell r="S8">
            <v>0.96</v>
          </cell>
          <cell r="T8">
            <v>0</v>
          </cell>
        </row>
        <row r="29">
          <cell r="D29">
            <v>26.045999999999996</v>
          </cell>
          <cell r="E29">
            <v>63.649499999999996</v>
          </cell>
          <cell r="F29">
            <v>23.309999999999995</v>
          </cell>
          <cell r="G29">
            <v>68.360500000000002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5" workbookViewId="0">
      <selection activeCell="H18" sqref="H18"/>
    </sheetView>
  </sheetViews>
  <sheetFormatPr defaultRowHeight="15"/>
  <cols>
    <col min="3" max="3" width="9.7109375" customWidth="1"/>
  </cols>
  <sheetData>
    <row r="1" spans="2:11" ht="15.75" thickBot="1">
      <c r="D1" s="23"/>
      <c r="E1" s="23"/>
      <c r="F1" s="23"/>
    </row>
    <row r="2" spans="2:11" ht="15.75" thickBot="1">
      <c r="B2" s="24" t="s">
        <v>1</v>
      </c>
      <c r="C2" s="25"/>
      <c r="D2" s="26"/>
      <c r="E2" s="27"/>
      <c r="F2" s="25"/>
      <c r="G2" s="26" t="s">
        <v>2</v>
      </c>
      <c r="H2" s="27">
        <f>(1/(1/8+SUM(H4:H8)+1/23))</f>
        <v>0.40308752688335003</v>
      </c>
      <c r="I2" s="28" t="s">
        <v>0</v>
      </c>
      <c r="J2" s="29"/>
      <c r="K2" s="29"/>
    </row>
    <row r="3" spans="2:11" ht="15.75" thickBot="1"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9"/>
      <c r="K3" s="29"/>
    </row>
    <row r="4" spans="2:11">
      <c r="B4" s="7"/>
      <c r="C4" s="1" t="s">
        <v>20</v>
      </c>
      <c r="D4" s="16">
        <v>0.1</v>
      </c>
      <c r="E4" s="1">
        <v>1.1000000000000001</v>
      </c>
      <c r="F4" s="1">
        <v>1850</v>
      </c>
      <c r="G4" s="30">
        <v>840</v>
      </c>
      <c r="H4" s="9">
        <f>D4/E4</f>
        <v>9.0909090909090912E-2</v>
      </c>
      <c r="I4" s="10">
        <f>D4*F4*G4</f>
        <v>155400</v>
      </c>
      <c r="J4" s="29"/>
    </row>
    <row r="5" spans="2:11">
      <c r="B5" s="7"/>
      <c r="C5" s="1" t="s">
        <v>10</v>
      </c>
      <c r="D5" s="1">
        <v>0.03</v>
      </c>
      <c r="E5" s="1"/>
      <c r="F5" s="11">
        <v>1.204</v>
      </c>
      <c r="G5" s="1">
        <v>1005</v>
      </c>
      <c r="H5" s="9">
        <v>0.18</v>
      </c>
      <c r="I5" s="47">
        <f>D5*F5*G5</f>
        <v>36.300600000000003</v>
      </c>
      <c r="J5" s="29"/>
    </row>
    <row r="6" spans="2:11">
      <c r="B6" s="7"/>
      <c r="C6" s="1" t="s">
        <v>23</v>
      </c>
      <c r="D6" s="30">
        <v>0.06</v>
      </c>
      <c r="E6" s="1">
        <v>3.5999999999999997E-2</v>
      </c>
      <c r="F6" s="1">
        <v>1850</v>
      </c>
      <c r="G6" s="1">
        <v>840</v>
      </c>
      <c r="H6" s="9">
        <f>D6/E6</f>
        <v>1.6666666666666667</v>
      </c>
      <c r="I6" s="10">
        <f>D6*F6*G6</f>
        <v>93240</v>
      </c>
      <c r="J6" s="29"/>
    </row>
    <row r="7" spans="2:11">
      <c r="B7" s="7"/>
      <c r="C7" s="1" t="s">
        <v>24</v>
      </c>
      <c r="D7" s="1">
        <v>0.14000000000000001</v>
      </c>
      <c r="E7" s="1">
        <v>0.41</v>
      </c>
      <c r="F7" s="1">
        <v>850</v>
      </c>
      <c r="G7" s="1">
        <v>840</v>
      </c>
      <c r="H7" s="9">
        <f>D7/E7</f>
        <v>0.34146341463414637</v>
      </c>
      <c r="I7" s="10">
        <f>D7*F7*G7</f>
        <v>99960.000000000015</v>
      </c>
      <c r="J7" s="29"/>
    </row>
    <row r="8" spans="2:11" ht="15.75" thickBot="1">
      <c r="B8" s="12"/>
      <c r="C8" s="31" t="s">
        <v>11</v>
      </c>
      <c r="D8" s="31">
        <v>0.02</v>
      </c>
      <c r="E8" s="31">
        <v>0.6</v>
      </c>
      <c r="F8" s="31">
        <v>975</v>
      </c>
      <c r="G8" s="31">
        <v>840</v>
      </c>
      <c r="H8" s="14">
        <f>D8/E8</f>
        <v>3.3333333333333333E-2</v>
      </c>
      <c r="I8" s="32">
        <f>D8*F8*G8</f>
        <v>16380</v>
      </c>
      <c r="J8" s="29"/>
    </row>
    <row r="9" spans="2:11" ht="15.75" thickBot="1">
      <c r="B9" s="1"/>
      <c r="C9" s="1"/>
      <c r="D9" s="1"/>
      <c r="E9" s="1"/>
      <c r="F9" s="1"/>
      <c r="G9" s="1"/>
      <c r="H9" s="9"/>
      <c r="I9" s="1"/>
      <c r="J9" s="29"/>
    </row>
    <row r="10" spans="2:11" ht="15.75" thickBot="1">
      <c r="B10" s="24" t="s">
        <v>17</v>
      </c>
      <c r="C10" s="25"/>
      <c r="D10" s="26"/>
      <c r="E10" s="27"/>
      <c r="F10" s="25"/>
      <c r="G10" s="26" t="s">
        <v>2</v>
      </c>
      <c r="H10" s="41">
        <f>(1/(1/10+SUM(H12:H16)+1/23))</f>
        <v>0.30107717399999601</v>
      </c>
      <c r="I10" s="28" t="s">
        <v>0</v>
      </c>
      <c r="J10" s="29"/>
    </row>
    <row r="11" spans="2:11" ht="15.75" thickBot="1">
      <c r="B11" s="4"/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29"/>
      <c r="K11" s="29"/>
    </row>
    <row r="12" spans="2:11">
      <c r="B12" s="7"/>
      <c r="C12" s="1" t="s">
        <v>18</v>
      </c>
      <c r="D12" s="1">
        <v>2.5000000000000001E-2</v>
      </c>
      <c r="E12" s="1">
        <v>1</v>
      </c>
      <c r="F12" s="1">
        <v>1700</v>
      </c>
      <c r="G12" s="1">
        <v>840</v>
      </c>
      <c r="H12" s="9">
        <f>D12/E12</f>
        <v>2.5000000000000001E-2</v>
      </c>
      <c r="I12" s="10">
        <f>D12*F12*G12</f>
        <v>35700</v>
      </c>
      <c r="J12" s="29"/>
      <c r="K12" s="29"/>
    </row>
    <row r="13" spans="2:11">
      <c r="B13" s="7"/>
      <c r="C13" s="1" t="s">
        <v>10</v>
      </c>
      <c r="D13" s="1">
        <v>0.03</v>
      </c>
      <c r="E13" s="1"/>
      <c r="F13" s="11">
        <v>1.204</v>
      </c>
      <c r="G13" s="1">
        <v>1005</v>
      </c>
      <c r="H13" s="9">
        <v>0.16</v>
      </c>
      <c r="I13" s="47">
        <f>D13*F13*G13</f>
        <v>36.300600000000003</v>
      </c>
      <c r="J13" s="29"/>
      <c r="K13" s="29"/>
    </row>
    <row r="14" spans="2:11">
      <c r="B14" s="7"/>
      <c r="C14" s="30" t="s">
        <v>23</v>
      </c>
      <c r="D14" s="16">
        <v>0.1</v>
      </c>
      <c r="E14" s="1">
        <v>3.5999999999999997E-2</v>
      </c>
      <c r="F14" s="1">
        <v>2100</v>
      </c>
      <c r="G14" s="1">
        <v>840</v>
      </c>
      <c r="H14" s="9">
        <f>D14/E14</f>
        <v>2.7777777777777781</v>
      </c>
      <c r="I14" s="10">
        <f>D14*F14*G14</f>
        <v>176400</v>
      </c>
      <c r="J14" s="29"/>
      <c r="K14" s="29"/>
    </row>
    <row r="15" spans="2:11">
      <c r="B15" s="7"/>
      <c r="C15" s="30" t="s">
        <v>29</v>
      </c>
      <c r="D15">
        <v>0.02</v>
      </c>
      <c r="E15" s="30">
        <v>0.11</v>
      </c>
      <c r="F15" s="30">
        <v>550</v>
      </c>
      <c r="G15" s="30">
        <v>1880</v>
      </c>
      <c r="H15" s="9">
        <f>D15/E15</f>
        <v>0.18181818181818182</v>
      </c>
      <c r="I15" s="10">
        <f>D15*F15*G15</f>
        <v>20680</v>
      </c>
      <c r="J15" s="29"/>
      <c r="K15" s="29"/>
    </row>
    <row r="16" spans="2:11" ht="15.75" thickBot="1">
      <c r="B16" s="12"/>
      <c r="C16" s="13" t="s">
        <v>11</v>
      </c>
      <c r="D16" s="13">
        <v>0.02</v>
      </c>
      <c r="E16" s="13">
        <v>0.6</v>
      </c>
      <c r="F16" s="13">
        <v>975</v>
      </c>
      <c r="G16" s="13">
        <v>840</v>
      </c>
      <c r="H16" s="14">
        <f>D16/E16</f>
        <v>3.3333333333333333E-2</v>
      </c>
      <c r="I16" s="15">
        <f>D16*F16*G16</f>
        <v>16380</v>
      </c>
      <c r="J16" s="29"/>
      <c r="K16" s="29"/>
    </row>
    <row r="17" spans="1:11" ht="15.75" thickBot="1">
      <c r="A17" s="1"/>
      <c r="B17" s="13"/>
      <c r="C17" s="13"/>
      <c r="D17" s="13"/>
      <c r="E17" s="13"/>
      <c r="F17" s="13"/>
      <c r="G17" s="13"/>
      <c r="H17" s="14"/>
      <c r="I17" s="33"/>
      <c r="J17" s="29"/>
      <c r="K17" s="29"/>
    </row>
    <row r="18" spans="1:11" ht="15.75" thickBot="1">
      <c r="B18" s="34" t="s">
        <v>25</v>
      </c>
      <c r="C18" s="35"/>
      <c r="D18" s="26"/>
      <c r="E18" s="36"/>
      <c r="F18" s="25"/>
      <c r="G18" s="26" t="s">
        <v>2</v>
      </c>
      <c r="H18" s="41">
        <f>(1/(1/10+SUM(H20:H22)+1/23))</f>
        <v>0.27946370605087761</v>
      </c>
      <c r="I18" s="28" t="s">
        <v>0</v>
      </c>
      <c r="J18" s="29"/>
      <c r="K18" s="29"/>
    </row>
    <row r="19" spans="1:11" ht="15.75" thickBot="1">
      <c r="B19" s="4"/>
      <c r="C19" s="5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5" t="s">
        <v>8</v>
      </c>
      <c r="I19" s="6" t="s">
        <v>9</v>
      </c>
      <c r="J19" s="29"/>
      <c r="K19" s="29"/>
    </row>
    <row r="20" spans="1:11">
      <c r="B20" s="7"/>
      <c r="C20" s="1" t="s">
        <v>26</v>
      </c>
      <c r="D20" s="1">
        <v>0.03</v>
      </c>
      <c r="E20" s="1">
        <v>1.2</v>
      </c>
      <c r="F20" s="1">
        <v>1600</v>
      </c>
      <c r="G20" s="1">
        <v>840</v>
      </c>
      <c r="H20" s="9">
        <f>D20/E20</f>
        <v>2.5000000000000001E-2</v>
      </c>
      <c r="I20" s="10">
        <f>D20*F20*G20</f>
        <v>40320</v>
      </c>
      <c r="J20" s="29"/>
      <c r="K20" s="29"/>
    </row>
    <row r="21" spans="1:11">
      <c r="B21" s="7"/>
      <c r="C21" s="1" t="s">
        <v>27</v>
      </c>
      <c r="D21" s="1">
        <v>0.08</v>
      </c>
      <c r="E21" s="1">
        <v>2.4E-2</v>
      </c>
      <c r="F21" s="1">
        <v>40</v>
      </c>
      <c r="G21" s="1">
        <v>1470</v>
      </c>
      <c r="H21" s="9">
        <f>D21/E21</f>
        <v>3.3333333333333335</v>
      </c>
      <c r="I21" s="10">
        <f>D21*F21*G21</f>
        <v>4704</v>
      </c>
      <c r="J21" s="29"/>
      <c r="K21" s="29"/>
    </row>
    <row r="22" spans="1:11" ht="15.75" thickBot="1">
      <c r="B22" s="12"/>
      <c r="C22" s="13" t="s">
        <v>16</v>
      </c>
      <c r="D22" s="13">
        <v>0.13</v>
      </c>
      <c r="E22" s="13">
        <v>1.7</v>
      </c>
      <c r="F22" s="13">
        <v>2400</v>
      </c>
      <c r="G22" s="13">
        <v>840</v>
      </c>
      <c r="H22" s="14">
        <f>D22/E22</f>
        <v>7.6470588235294124E-2</v>
      </c>
      <c r="I22" s="15">
        <f>D22*F22*G22</f>
        <v>262080</v>
      </c>
      <c r="J22" s="29"/>
      <c r="K22" s="29"/>
    </row>
    <row r="23" spans="1:11" ht="15.75" thickBot="1">
      <c r="B23" s="1"/>
      <c r="C23" s="1"/>
      <c r="D23" s="1"/>
      <c r="E23" s="1"/>
      <c r="F23" s="1"/>
      <c r="G23" s="1"/>
      <c r="H23" s="9"/>
      <c r="I23" s="1"/>
      <c r="J23" s="29"/>
      <c r="K23" s="29"/>
    </row>
    <row r="24" spans="1:11" ht="15.75" thickBot="1">
      <c r="B24" s="24" t="s">
        <v>12</v>
      </c>
      <c r="C24" s="25"/>
      <c r="D24" s="26"/>
      <c r="E24" s="36"/>
      <c r="F24" s="25"/>
      <c r="G24" s="26" t="s">
        <v>2</v>
      </c>
      <c r="H24" s="41">
        <f>(1/(1/6+SUM(H26:H29)+0))</f>
        <v>0.40291179955984424</v>
      </c>
      <c r="I24" s="28" t="s">
        <v>0</v>
      </c>
      <c r="J24" s="29"/>
      <c r="K24" s="29"/>
    </row>
    <row r="25" spans="1:11" ht="15.75" thickBot="1">
      <c r="B25" s="4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6" t="s">
        <v>9</v>
      </c>
      <c r="J25" s="29"/>
      <c r="K25" s="29"/>
    </row>
    <row r="26" spans="1:11">
      <c r="B26" s="37"/>
      <c r="C26" s="38" t="s">
        <v>13</v>
      </c>
      <c r="D26" s="38">
        <v>0.02</v>
      </c>
      <c r="E26" s="38">
        <v>1.4</v>
      </c>
      <c r="F26" s="38">
        <v>2100</v>
      </c>
      <c r="G26" s="38">
        <v>840</v>
      </c>
      <c r="H26" s="39">
        <f>D26/E26</f>
        <v>1.4285714285714287E-2</v>
      </c>
      <c r="I26" s="40">
        <f>D26*F26*G26</f>
        <v>35280</v>
      </c>
      <c r="J26" s="29"/>
      <c r="K26" s="29"/>
    </row>
    <row r="27" spans="1:11">
      <c r="B27" s="7"/>
      <c r="C27" s="1" t="s">
        <v>14</v>
      </c>
      <c r="D27" s="1">
        <v>0.06</v>
      </c>
      <c r="E27" s="1">
        <v>0.6</v>
      </c>
      <c r="F27" s="1">
        <v>1100</v>
      </c>
      <c r="G27" s="1">
        <v>860</v>
      </c>
      <c r="H27" s="9">
        <f>D27/E27</f>
        <v>0.1</v>
      </c>
      <c r="I27" s="10">
        <f>D27*F27*G27</f>
        <v>56760</v>
      </c>
      <c r="J27" s="29"/>
      <c r="K27" s="29"/>
    </row>
    <row r="28" spans="1:11">
      <c r="B28" s="7"/>
      <c r="C28" s="1" t="s">
        <v>27</v>
      </c>
      <c r="D28" s="1">
        <v>0.05</v>
      </c>
      <c r="E28" s="1">
        <v>2.4E-2</v>
      </c>
      <c r="F28" s="1">
        <v>40</v>
      </c>
      <c r="G28" s="1">
        <v>1470</v>
      </c>
      <c r="H28" s="9">
        <f>D28/E28</f>
        <v>2.0833333333333335</v>
      </c>
      <c r="I28" s="10">
        <f>D28*F28*G28</f>
        <v>2940</v>
      </c>
      <c r="J28" s="29"/>
      <c r="K28" s="29"/>
    </row>
    <row r="29" spans="1:11" ht="15.75" thickBot="1">
      <c r="B29" s="12"/>
      <c r="C29" s="13" t="s">
        <v>16</v>
      </c>
      <c r="D29" s="43">
        <v>0.2</v>
      </c>
      <c r="E29" s="13">
        <v>1.7</v>
      </c>
      <c r="F29" s="13">
        <v>2400</v>
      </c>
      <c r="G29" s="13">
        <v>840</v>
      </c>
      <c r="H29" s="14">
        <f>D29/E29</f>
        <v>0.11764705882352942</v>
      </c>
      <c r="I29" s="15">
        <f>D29*F29*G29</f>
        <v>403200</v>
      </c>
      <c r="J29" s="29"/>
      <c r="K29" s="29"/>
    </row>
    <row r="30" spans="1:11" ht="15.75" thickBot="1">
      <c r="J30" s="29"/>
      <c r="K30" s="29"/>
    </row>
    <row r="31" spans="1:11" ht="15.75" thickBot="1">
      <c r="B31" s="24" t="s">
        <v>19</v>
      </c>
      <c r="C31" s="25"/>
      <c r="D31" s="26"/>
      <c r="E31" s="27"/>
      <c r="F31" s="25"/>
      <c r="G31" s="26" t="s">
        <v>2</v>
      </c>
      <c r="H31" s="27">
        <f>(1/(1/8+SUM(H33:H35)+1/8))</f>
        <v>2.4535315985130111</v>
      </c>
      <c r="I31" s="28" t="s">
        <v>0</v>
      </c>
      <c r="J31" s="29"/>
      <c r="K31" s="29"/>
    </row>
    <row r="32" spans="1:11" ht="15.75" thickBot="1">
      <c r="B32" s="4"/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6" t="s">
        <v>9</v>
      </c>
      <c r="J32" s="29"/>
      <c r="K32" s="29"/>
    </row>
    <row r="33" spans="2:11">
      <c r="B33" s="7"/>
      <c r="C33" s="1" t="s">
        <v>11</v>
      </c>
      <c r="D33" s="1">
        <v>0.02</v>
      </c>
      <c r="E33" s="1">
        <v>0.6</v>
      </c>
      <c r="F33" s="1">
        <v>975</v>
      </c>
      <c r="G33" s="1">
        <v>840</v>
      </c>
      <c r="H33" s="9">
        <f>D33/E33</f>
        <v>3.3333333333333333E-2</v>
      </c>
      <c r="I33" s="10">
        <f>D33*F33*G33</f>
        <v>16380</v>
      </c>
      <c r="J33" s="29"/>
      <c r="K33" s="29"/>
    </row>
    <row r="34" spans="2:11">
      <c r="B34" s="7"/>
      <c r="C34" s="1" t="s">
        <v>20</v>
      </c>
      <c r="D34" s="16">
        <v>0.1</v>
      </c>
      <c r="E34" s="1">
        <v>1.1000000000000001</v>
      </c>
      <c r="F34" s="1">
        <v>1850</v>
      </c>
      <c r="G34" s="1">
        <v>840</v>
      </c>
      <c r="H34" s="9">
        <f>D34/E34</f>
        <v>9.0909090909090912E-2</v>
      </c>
      <c r="I34" s="10">
        <f>D34*F34*G34</f>
        <v>155400</v>
      </c>
      <c r="J34" s="29"/>
      <c r="K34" s="29"/>
    </row>
    <row r="35" spans="2:11" ht="15.75" thickBot="1">
      <c r="B35" s="12"/>
      <c r="C35" s="13" t="s">
        <v>11</v>
      </c>
      <c r="D35" s="13">
        <v>0.02</v>
      </c>
      <c r="E35" s="13">
        <v>0.6</v>
      </c>
      <c r="F35" s="13">
        <v>975</v>
      </c>
      <c r="G35" s="13">
        <v>840</v>
      </c>
      <c r="H35" s="14">
        <f>D35/E35</f>
        <v>3.3333333333333333E-2</v>
      </c>
      <c r="I35" s="15">
        <f>D35*F35*G35</f>
        <v>16380</v>
      </c>
      <c r="J35" s="29"/>
      <c r="K35" s="29"/>
    </row>
    <row r="36" spans="2:11" ht="15.75" thickBot="1">
      <c r="J36" s="29"/>
      <c r="K36" s="29"/>
    </row>
    <row r="37" spans="2:11" ht="15.75" thickBot="1">
      <c r="B37" s="24" t="s">
        <v>21</v>
      </c>
      <c r="C37" s="25"/>
      <c r="D37" s="26"/>
      <c r="E37" s="27"/>
      <c r="F37" s="25"/>
      <c r="G37" s="26" t="s">
        <v>2</v>
      </c>
      <c r="H37" s="27">
        <f>1/(1/10+SUM(H39:H42)+1/6)</f>
        <v>1.8799368088467614</v>
      </c>
      <c r="I37" s="28" t="s">
        <v>0</v>
      </c>
      <c r="J37" s="29"/>
      <c r="K37" s="29"/>
    </row>
    <row r="38" spans="2:11" ht="15.75" thickBot="1">
      <c r="B38" s="4"/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5" t="s">
        <v>8</v>
      </c>
      <c r="I38" s="6" t="s">
        <v>9</v>
      </c>
      <c r="J38" s="29"/>
      <c r="K38" s="29"/>
    </row>
    <row r="39" spans="2:11">
      <c r="B39" s="37"/>
      <c r="C39" s="38" t="s">
        <v>13</v>
      </c>
      <c r="D39" s="38">
        <v>0.02</v>
      </c>
      <c r="E39" s="38">
        <v>1.4</v>
      </c>
      <c r="F39" s="38">
        <v>2100</v>
      </c>
      <c r="G39" s="38">
        <v>840</v>
      </c>
      <c r="H39" s="39">
        <f>D39/E39</f>
        <v>1.4285714285714287E-2</v>
      </c>
      <c r="I39" s="40">
        <f>D39*F39*G39</f>
        <v>35280</v>
      </c>
      <c r="J39" s="29"/>
      <c r="K39" s="29"/>
    </row>
    <row r="40" spans="2:11">
      <c r="B40" s="7"/>
      <c r="C40" s="1" t="s">
        <v>14</v>
      </c>
      <c r="D40" s="1">
        <v>0.06</v>
      </c>
      <c r="E40" s="1">
        <v>0.6</v>
      </c>
      <c r="F40" s="1">
        <v>1100</v>
      </c>
      <c r="G40" s="1">
        <v>860</v>
      </c>
      <c r="H40" s="9">
        <f>D40/E40</f>
        <v>0.1</v>
      </c>
      <c r="I40" s="10">
        <f>D40*F40*G40</f>
        <v>56760</v>
      </c>
      <c r="J40" s="29"/>
      <c r="K40" s="29"/>
    </row>
    <row r="41" spans="2:11">
      <c r="B41" s="7"/>
      <c r="C41" s="1" t="s">
        <v>16</v>
      </c>
      <c r="D41" s="16">
        <v>0.2</v>
      </c>
      <c r="E41" s="1">
        <v>1.7</v>
      </c>
      <c r="F41" s="1">
        <v>2400</v>
      </c>
      <c r="G41" s="1">
        <v>840</v>
      </c>
      <c r="H41" s="9">
        <f>D41/E41</f>
        <v>0.11764705882352942</v>
      </c>
      <c r="I41" s="10">
        <f>D41*F41*G41</f>
        <v>403200</v>
      </c>
    </row>
    <row r="42" spans="2:11" ht="15.75" thickBot="1">
      <c r="B42" s="12"/>
      <c r="C42" s="13" t="s">
        <v>11</v>
      </c>
      <c r="D42" s="31">
        <v>0.02</v>
      </c>
      <c r="E42" s="13">
        <v>0.6</v>
      </c>
      <c r="F42" s="13">
        <v>975</v>
      </c>
      <c r="G42" s="13">
        <v>840</v>
      </c>
      <c r="H42" s="14">
        <f>D42/E42</f>
        <v>3.3333333333333333E-2</v>
      </c>
      <c r="I42" s="15">
        <f>D42*F42*G42</f>
        <v>16380</v>
      </c>
    </row>
    <row r="43" spans="2:11" ht="15.75" thickBot="1">
      <c r="B43" s="1"/>
      <c r="C43" s="1"/>
      <c r="D43" s="1"/>
      <c r="E43" s="1"/>
      <c r="F43" s="1"/>
      <c r="G43" s="1"/>
      <c r="H43" s="9"/>
      <c r="I43" s="1"/>
    </row>
    <row r="44" spans="2:11" ht="15.75" thickBot="1">
      <c r="B44" s="50" t="s">
        <v>31</v>
      </c>
      <c r="C44" s="25"/>
      <c r="D44" s="26"/>
      <c r="E44" s="27"/>
      <c r="F44" s="25"/>
      <c r="G44" s="26" t="s">
        <v>2</v>
      </c>
      <c r="H44" s="27">
        <f>(1/(1/8+SUM(H46)+1/23))</f>
        <v>2.9334799340296867</v>
      </c>
      <c r="I44" s="28" t="s">
        <v>0</v>
      </c>
    </row>
    <row r="45" spans="2:11" ht="15.75" thickBot="1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11" ht="15.75" thickBot="1">
      <c r="B46" s="12"/>
      <c r="C46" s="13" t="s">
        <v>33</v>
      </c>
      <c r="D46" s="13">
        <v>0.05</v>
      </c>
      <c r="E46" s="13">
        <v>0.28999999999999998</v>
      </c>
      <c r="F46" s="13"/>
      <c r="G46" s="13"/>
      <c r="H46" s="14">
        <f>D46/E46</f>
        <v>0.17241379310344829</v>
      </c>
      <c r="I4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opLeftCell="A7" zoomScaleNormal="100" workbookViewId="0">
      <selection activeCell="N22" sqref="N22"/>
    </sheetView>
  </sheetViews>
  <sheetFormatPr defaultRowHeight="15"/>
  <sheetData>
    <row r="1" spans="1:12" ht="15.75" thickBot="1">
      <c r="D1" s="2"/>
      <c r="E1" s="2"/>
      <c r="F1" s="2"/>
      <c r="J1" s="2"/>
    </row>
    <row r="2" spans="1:12" ht="15.75" thickBot="1">
      <c r="B2" s="24" t="s">
        <v>1</v>
      </c>
      <c r="C2" s="25"/>
      <c r="D2" s="26"/>
      <c r="E2" s="27"/>
      <c r="F2" s="25"/>
      <c r="G2" s="26" t="s">
        <v>2</v>
      </c>
      <c r="H2" s="27">
        <f>(1/(1/8+SUM(H4:H7)+1/23))</f>
        <v>1.6666849657989218</v>
      </c>
      <c r="I2" s="28" t="s">
        <v>0</v>
      </c>
      <c r="J2" s="2">
        <v>1.7</v>
      </c>
    </row>
    <row r="3" spans="1:12" ht="15.75" thickBot="1">
      <c r="A3" s="3"/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</row>
    <row r="4" spans="1:12">
      <c r="A4" s="3"/>
      <c r="B4" s="7"/>
      <c r="C4" s="1" t="s">
        <v>20</v>
      </c>
      <c r="D4" s="16">
        <v>0.1</v>
      </c>
      <c r="E4" s="1">
        <v>1.1000000000000001</v>
      </c>
      <c r="F4" s="1">
        <v>1850</v>
      </c>
      <c r="G4" s="30">
        <v>840</v>
      </c>
      <c r="H4" s="9">
        <f>D4/E4</f>
        <v>9.0909090909090912E-2</v>
      </c>
      <c r="I4" s="10">
        <f>F4*G4*D4</f>
        <v>155400</v>
      </c>
      <c r="J4" s="2"/>
    </row>
    <row r="5" spans="1:12">
      <c r="A5" s="3"/>
      <c r="B5" s="7"/>
      <c r="C5" s="1" t="s">
        <v>10</v>
      </c>
      <c r="D5" s="1">
        <v>0.05</v>
      </c>
      <c r="E5" s="1"/>
      <c r="F5" s="11">
        <v>1.204</v>
      </c>
      <c r="G5" s="1">
        <v>1005</v>
      </c>
      <c r="H5" s="9">
        <v>0.18</v>
      </c>
      <c r="I5" s="47">
        <f>D5*F5*G5</f>
        <v>60.501000000000005</v>
      </c>
      <c r="J5" s="2"/>
    </row>
    <row r="6" spans="1:12">
      <c r="A6" s="3"/>
      <c r="B6" s="7"/>
      <c r="C6" s="8" t="s">
        <v>28</v>
      </c>
      <c r="D6" s="1">
        <v>0.14000000000000001</v>
      </c>
      <c r="E6" s="1">
        <v>1.1000000000000001</v>
      </c>
      <c r="F6" s="1">
        <v>1850</v>
      </c>
      <c r="G6" s="8">
        <v>840</v>
      </c>
      <c r="H6" s="9">
        <f>D6/E6</f>
        <v>0.12727272727272729</v>
      </c>
      <c r="I6" s="10">
        <f>D6*F6*G6</f>
        <v>217560</v>
      </c>
      <c r="J6" s="2"/>
    </row>
    <row r="7" spans="1:12" ht="15.75" thickBot="1">
      <c r="A7" s="3"/>
      <c r="B7" s="12"/>
      <c r="C7" s="13" t="s">
        <v>11</v>
      </c>
      <c r="D7" s="13">
        <v>0.02</v>
      </c>
      <c r="E7" s="13">
        <v>0.6</v>
      </c>
      <c r="F7" s="13">
        <v>975</v>
      </c>
      <c r="G7" s="13">
        <v>840</v>
      </c>
      <c r="H7" s="14">
        <f>D7/E7</f>
        <v>3.3333333333333333E-2</v>
      </c>
      <c r="I7" s="15">
        <f>D7*F7*G7</f>
        <v>16380</v>
      </c>
      <c r="J7" s="2"/>
    </row>
    <row r="8" spans="1:12" s="1" customFormat="1" ht="15.75" thickBot="1">
      <c r="A8" s="16"/>
      <c r="D8" s="2"/>
      <c r="E8" s="2"/>
      <c r="F8" s="2"/>
      <c r="J8" s="2"/>
      <c r="K8" s="2"/>
      <c r="L8" s="2"/>
    </row>
    <row r="9" spans="1:12" s="1" customFormat="1" ht="15.75" thickBot="1">
      <c r="A9" s="16"/>
      <c r="B9" s="24" t="s">
        <v>17</v>
      </c>
      <c r="C9" s="25"/>
      <c r="D9" s="26"/>
      <c r="E9" s="27"/>
      <c r="F9" s="25"/>
      <c r="G9" s="26" t="s">
        <v>2</v>
      </c>
      <c r="H9" s="41">
        <f>(1/(1/10+SUM(H11:H14)+1/23))</f>
        <v>2.83932641174981</v>
      </c>
      <c r="I9" s="28" t="s">
        <v>0</v>
      </c>
      <c r="J9" s="2">
        <v>1.9</v>
      </c>
      <c r="K9" s="2"/>
      <c r="L9" s="2"/>
    </row>
    <row r="10" spans="1:12" s="1" customFormat="1" ht="15.75" thickBot="1">
      <c r="A10" s="16"/>
      <c r="B10" s="4"/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6" t="s">
        <v>9</v>
      </c>
      <c r="J10" s="2"/>
      <c r="K10" s="2"/>
      <c r="L10" s="2"/>
    </row>
    <row r="11" spans="1:12" s="1" customFormat="1">
      <c r="A11" s="16"/>
      <c r="B11" s="7"/>
      <c r="C11" s="1" t="s">
        <v>18</v>
      </c>
      <c r="D11" s="1">
        <v>0.02</v>
      </c>
      <c r="E11" s="1">
        <v>1.3</v>
      </c>
      <c r="F11" s="1">
        <v>1700</v>
      </c>
      <c r="G11" s="1">
        <v>840</v>
      </c>
      <c r="H11" s="9">
        <f>D11/E11</f>
        <v>1.5384615384615384E-2</v>
      </c>
      <c r="I11" s="10">
        <f>D11*F11*G11</f>
        <v>28560</v>
      </c>
      <c r="J11" s="2"/>
      <c r="K11" s="2"/>
      <c r="L11" s="2"/>
    </row>
    <row r="12" spans="1:12" s="1" customFormat="1">
      <c r="A12" s="16"/>
      <c r="B12" s="7"/>
      <c r="C12" s="1" t="s">
        <v>10</v>
      </c>
      <c r="D12" s="1">
        <v>0.03</v>
      </c>
      <c r="F12" s="11">
        <v>1.204</v>
      </c>
      <c r="G12" s="1">
        <v>1005</v>
      </c>
      <c r="H12" s="9">
        <v>0.16</v>
      </c>
      <c r="I12" s="47">
        <f>D12*F12*G12</f>
        <v>36.300600000000003</v>
      </c>
      <c r="J12" s="2"/>
      <c r="K12" s="2"/>
      <c r="L12" s="2"/>
    </row>
    <row r="13" spans="1:12" s="1" customFormat="1">
      <c r="A13" s="16"/>
      <c r="B13" s="7"/>
      <c r="C13" s="42" t="s">
        <v>23</v>
      </c>
      <c r="D13" s="42">
        <v>0</v>
      </c>
      <c r="E13" s="1">
        <v>3.5999999999999997E-2</v>
      </c>
      <c r="F13" s="1">
        <v>1850</v>
      </c>
      <c r="G13" s="1">
        <v>840</v>
      </c>
      <c r="H13" s="44">
        <f>D13/E13</f>
        <v>0</v>
      </c>
      <c r="I13" s="45">
        <f>D13*F13*G13</f>
        <v>0</v>
      </c>
      <c r="J13" s="2"/>
      <c r="K13" s="2"/>
      <c r="L13" s="2"/>
    </row>
    <row r="14" spans="1:12" s="1" customFormat="1" ht="15.75" thickBot="1">
      <c r="A14" s="16"/>
      <c r="B14" s="12"/>
      <c r="C14" s="13" t="s">
        <v>30</v>
      </c>
      <c r="D14" s="13">
        <v>0.02</v>
      </c>
      <c r="E14" s="13">
        <v>0.6</v>
      </c>
      <c r="F14" s="13">
        <v>975</v>
      </c>
      <c r="G14" s="13">
        <v>840</v>
      </c>
      <c r="H14" s="14">
        <f>D14/E14</f>
        <v>3.3333333333333333E-2</v>
      </c>
      <c r="I14" s="15">
        <f>D14*F14*G14</f>
        <v>16380</v>
      </c>
      <c r="J14" s="2"/>
      <c r="K14" s="2"/>
      <c r="L14" s="2"/>
    </row>
    <row r="15" spans="1:12" s="1" customFormat="1" ht="15.75" thickBot="1">
      <c r="A15" s="16"/>
      <c r="H15" s="9"/>
      <c r="I15" s="33"/>
      <c r="J15" s="2"/>
      <c r="K15" s="2"/>
      <c r="L15" s="2"/>
    </row>
    <row r="16" spans="1:12" s="1" customFormat="1" ht="15.75" thickBot="1">
      <c r="A16" s="16"/>
      <c r="B16" s="51" t="s">
        <v>25</v>
      </c>
      <c r="C16" s="25"/>
      <c r="D16" s="26"/>
      <c r="E16" s="36"/>
      <c r="F16" s="25"/>
      <c r="G16" s="26" t="s">
        <v>2</v>
      </c>
      <c r="H16" s="41">
        <f>(1/(1/10+SUM(H18:H21)+1/23))</f>
        <v>2.2074954296160878</v>
      </c>
      <c r="I16" s="28" t="s">
        <v>0</v>
      </c>
      <c r="K16" s="2"/>
      <c r="L16" s="2"/>
    </row>
    <row r="17" spans="1:12" s="1" customFormat="1" ht="15.75" thickBot="1">
      <c r="A17" s="16"/>
      <c r="B17" s="52"/>
      <c r="C17" s="53" t="s">
        <v>3</v>
      </c>
      <c r="D17" s="53" t="s">
        <v>4</v>
      </c>
      <c r="E17" s="53" t="s">
        <v>82</v>
      </c>
      <c r="F17" s="53" t="s">
        <v>6</v>
      </c>
      <c r="G17" s="53" t="s">
        <v>7</v>
      </c>
      <c r="H17" s="53" t="s">
        <v>8</v>
      </c>
      <c r="I17" s="54" t="s">
        <v>9</v>
      </c>
      <c r="K17" s="2"/>
      <c r="L17" s="2"/>
    </row>
    <row r="18" spans="1:12" s="1" customFormat="1">
      <c r="A18" s="16"/>
      <c r="B18" s="55"/>
      <c r="C18" s="56"/>
      <c r="D18" s="56"/>
      <c r="E18" s="57"/>
      <c r="F18" s="57"/>
      <c r="G18" s="57"/>
      <c r="H18" s="58"/>
      <c r="I18" s="59"/>
      <c r="J18" s="2"/>
      <c r="K18" s="2"/>
      <c r="L18" s="2"/>
    </row>
    <row r="19" spans="1:12" s="1" customFormat="1">
      <c r="A19" s="16"/>
      <c r="B19" s="55"/>
      <c r="C19" s="60" t="s">
        <v>83</v>
      </c>
      <c r="D19" s="1">
        <v>0.08</v>
      </c>
      <c r="E19" s="61">
        <v>0.6</v>
      </c>
      <c r="F19" s="61">
        <v>1100</v>
      </c>
      <c r="G19" s="61">
        <v>860</v>
      </c>
      <c r="H19" s="9">
        <f>D19/E19</f>
        <v>0.13333333333333333</v>
      </c>
      <c r="I19" s="10">
        <f>D19*F19*G19</f>
        <v>75680</v>
      </c>
      <c r="J19" s="2"/>
      <c r="K19" s="2"/>
      <c r="L19" s="2"/>
    </row>
    <row r="20" spans="1:12" s="1" customFormat="1">
      <c r="B20" s="55"/>
      <c r="C20" s="62" t="s">
        <v>84</v>
      </c>
      <c r="D20" s="30">
        <v>0.2</v>
      </c>
      <c r="E20" s="61">
        <v>1.4</v>
      </c>
      <c r="F20" s="61">
        <v>2100</v>
      </c>
      <c r="G20" s="61">
        <v>840</v>
      </c>
      <c r="H20" s="9">
        <f>D20/E20</f>
        <v>0.14285714285714288</v>
      </c>
      <c r="I20" s="10">
        <f>D20*F20*G20</f>
        <v>352800</v>
      </c>
      <c r="J20" s="2"/>
      <c r="K20" s="2"/>
      <c r="L20" s="2"/>
    </row>
    <row r="21" spans="1:12" s="1" customFormat="1" ht="15.75" thickBot="1">
      <c r="B21" s="63"/>
      <c r="C21" s="31" t="s">
        <v>85</v>
      </c>
      <c r="D21" s="31">
        <v>0.02</v>
      </c>
      <c r="E21" s="64">
        <v>0.6</v>
      </c>
      <c r="F21" s="64">
        <v>975</v>
      </c>
      <c r="G21" s="64">
        <v>840</v>
      </c>
      <c r="H21" s="65">
        <f>D21/E21</f>
        <v>3.3333333333333333E-2</v>
      </c>
      <c r="I21" s="32">
        <f>D21*F21*G21</f>
        <v>16380</v>
      </c>
      <c r="J21" s="2"/>
      <c r="K21" s="2"/>
      <c r="L21" s="2"/>
    </row>
    <row r="22" spans="1:12" s="1" customFormat="1" ht="15.75" thickBot="1">
      <c r="B22" s="63"/>
      <c r="C22" s="31"/>
      <c r="D22" s="31"/>
      <c r="E22" s="64"/>
      <c r="F22" s="64"/>
      <c r="G22" s="64"/>
      <c r="H22" s="65"/>
      <c r="I22" s="32"/>
      <c r="J22" s="2"/>
      <c r="K22" s="2"/>
      <c r="L22" s="2"/>
    </row>
    <row r="23" spans="1:12" s="1" customFormat="1" ht="15.75" thickBot="1">
      <c r="B23" s="24" t="s">
        <v>12</v>
      </c>
      <c r="C23" s="25"/>
      <c r="D23" s="26"/>
      <c r="E23" s="36"/>
      <c r="F23" s="25"/>
      <c r="G23" s="26" t="s">
        <v>2</v>
      </c>
      <c r="H23" s="41">
        <f>(1/(1/6+SUM(H25:H28)+0))</f>
        <v>2.8446215139442232</v>
      </c>
      <c r="I23" s="28" t="s">
        <v>0</v>
      </c>
      <c r="J23" s="2">
        <v>0.85</v>
      </c>
      <c r="K23" s="2"/>
      <c r="L23" s="2"/>
    </row>
    <row r="24" spans="1:12" s="1" customFormat="1" ht="15.75" thickBot="1">
      <c r="B24" s="4"/>
      <c r="C24" s="5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5" t="s">
        <v>8</v>
      </c>
      <c r="I24" s="6" t="s">
        <v>9</v>
      </c>
      <c r="J24" s="2"/>
      <c r="K24" s="2"/>
      <c r="L24" s="2"/>
    </row>
    <row r="25" spans="1:12" s="1" customFormat="1">
      <c r="B25" s="7"/>
      <c r="C25" s="1" t="s">
        <v>13</v>
      </c>
      <c r="D25" s="1">
        <v>0.02</v>
      </c>
      <c r="E25" s="1">
        <v>1.4</v>
      </c>
      <c r="F25" s="1">
        <v>2100</v>
      </c>
      <c r="G25" s="8">
        <v>840</v>
      </c>
      <c r="H25" s="9">
        <f>D25/E25</f>
        <v>1.4285714285714287E-2</v>
      </c>
      <c r="I25" s="10">
        <f>D25*F25*G25</f>
        <v>35280</v>
      </c>
      <c r="J25" s="2"/>
      <c r="K25" s="2"/>
      <c r="L25" s="2"/>
    </row>
    <row r="26" spans="1:12" s="1" customFormat="1">
      <c r="B26" s="7"/>
      <c r="C26" s="1" t="s">
        <v>14</v>
      </c>
      <c r="D26" s="1">
        <v>0.06</v>
      </c>
      <c r="E26" s="1">
        <v>0.6</v>
      </c>
      <c r="F26" s="1">
        <v>1100</v>
      </c>
      <c r="G26" s="1">
        <v>860</v>
      </c>
      <c r="H26" s="9">
        <f>D26/E26</f>
        <v>0.1</v>
      </c>
      <c r="I26" s="10">
        <f>D26*F26*G26</f>
        <v>56760</v>
      </c>
      <c r="J26" s="2"/>
      <c r="K26" s="2"/>
      <c r="L26" s="2"/>
    </row>
    <row r="27" spans="1:12" s="1" customFormat="1">
      <c r="B27" s="7"/>
      <c r="C27" s="42" t="s">
        <v>15</v>
      </c>
      <c r="D27" s="42">
        <v>0</v>
      </c>
      <c r="E27" s="46">
        <v>3.5999999999999997E-2</v>
      </c>
      <c r="F27" s="46">
        <v>26</v>
      </c>
      <c r="G27" s="46">
        <v>1470</v>
      </c>
      <c r="H27" s="44">
        <f>D27/E27</f>
        <v>0</v>
      </c>
      <c r="I27" s="45">
        <f>D27*F27*G27</f>
        <v>0</v>
      </c>
      <c r="J27" s="2"/>
      <c r="K27" s="2"/>
      <c r="L27" s="2"/>
    </row>
    <row r="28" spans="1:12" s="1" customFormat="1" ht="15.75" thickBot="1">
      <c r="B28" s="12"/>
      <c r="C28" s="17" t="s">
        <v>16</v>
      </c>
      <c r="D28" s="13">
        <v>0.12</v>
      </c>
      <c r="E28" s="13">
        <v>1.7</v>
      </c>
      <c r="F28" s="49">
        <v>2400</v>
      </c>
      <c r="G28" s="17">
        <v>840</v>
      </c>
      <c r="H28" s="14">
        <f>D28/E28</f>
        <v>7.0588235294117646E-2</v>
      </c>
      <c r="I28" s="48">
        <f>D28*F28*G28</f>
        <v>241920</v>
      </c>
      <c r="J28" s="2"/>
      <c r="K28" s="2"/>
      <c r="L28" s="2"/>
    </row>
    <row r="29" spans="1:12" s="1" customFormat="1" ht="15.75" thickBot="1">
      <c r="J29" s="2"/>
      <c r="K29" s="2"/>
      <c r="L29" s="2"/>
    </row>
    <row r="30" spans="1:12" s="1" customFormat="1" ht="15.75" thickBot="1">
      <c r="B30" s="24" t="s">
        <v>19</v>
      </c>
      <c r="C30" s="25"/>
      <c r="D30" s="26"/>
      <c r="E30" s="27"/>
      <c r="F30" s="25"/>
      <c r="G30" s="26" t="s">
        <v>2</v>
      </c>
      <c r="H30" s="27">
        <f>(1/(1/8+SUM(H32:H34)+1/8))</f>
        <v>2.2525597269624571</v>
      </c>
      <c r="I30" s="28" t="s">
        <v>0</v>
      </c>
      <c r="J30" s="2"/>
      <c r="L30" s="2"/>
    </row>
    <row r="31" spans="1:12" s="1" customFormat="1" ht="15.75" thickBot="1">
      <c r="B31" s="4"/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6" t="s">
        <v>9</v>
      </c>
      <c r="J31" s="2"/>
      <c r="L31" s="2"/>
    </row>
    <row r="32" spans="1:12" s="1" customFormat="1">
      <c r="B32" s="7"/>
      <c r="C32" s="1" t="s">
        <v>11</v>
      </c>
      <c r="D32" s="1">
        <v>0.02</v>
      </c>
      <c r="E32" s="1">
        <v>0.6</v>
      </c>
      <c r="F32" s="1">
        <v>975</v>
      </c>
      <c r="G32" s="1">
        <v>840</v>
      </c>
      <c r="H32" s="9">
        <f>D32/E32</f>
        <v>3.3333333333333333E-2</v>
      </c>
      <c r="I32" s="10">
        <f>D32*F32*G32</f>
        <v>16380</v>
      </c>
      <c r="J32" s="2"/>
      <c r="L32" s="2"/>
    </row>
    <row r="33" spans="2:12" s="1" customFormat="1">
      <c r="B33" s="7"/>
      <c r="C33" s="1" t="s">
        <v>20</v>
      </c>
      <c r="D33" s="1">
        <v>0.14000000000000001</v>
      </c>
      <c r="E33" s="1">
        <v>1.1000000000000001</v>
      </c>
      <c r="F33" s="1">
        <v>1850</v>
      </c>
      <c r="G33" s="1">
        <v>840</v>
      </c>
      <c r="H33" s="9">
        <f>D33/E33</f>
        <v>0.12727272727272729</v>
      </c>
      <c r="I33" s="10">
        <f>D33*F33*G33</f>
        <v>217560</v>
      </c>
      <c r="J33" s="2"/>
      <c r="L33" s="2"/>
    </row>
    <row r="34" spans="2:12" s="1" customFormat="1" ht="15.75" thickBot="1">
      <c r="B34" s="12"/>
      <c r="C34" s="13" t="s">
        <v>11</v>
      </c>
      <c r="D34" s="13">
        <v>0.02</v>
      </c>
      <c r="E34" s="13">
        <v>0.6</v>
      </c>
      <c r="F34" s="13">
        <v>975</v>
      </c>
      <c r="G34" s="13">
        <v>840</v>
      </c>
      <c r="H34" s="14">
        <f>D34/E34</f>
        <v>3.3333333333333333E-2</v>
      </c>
      <c r="I34" s="15">
        <f>D34*F34*G34</f>
        <v>16380</v>
      </c>
      <c r="J34" s="2"/>
    </row>
    <row r="35" spans="2:12" s="1" customFormat="1" ht="15.75" thickBot="1">
      <c r="J35" s="2"/>
      <c r="K35" s="2"/>
      <c r="L35" s="2"/>
    </row>
    <row r="36" spans="2:12" s="1" customFormat="1" ht="15.75" thickBot="1">
      <c r="B36" s="24" t="s">
        <v>21</v>
      </c>
      <c r="C36" s="25"/>
      <c r="D36" s="26"/>
      <c r="E36" s="27"/>
      <c r="F36" s="25"/>
      <c r="G36" s="26" t="s">
        <v>2</v>
      </c>
      <c r="H36" s="27">
        <f>1/(1/10+SUM(H38:H41)+1/6)</f>
        <v>1.5103652517275421</v>
      </c>
      <c r="I36" s="28" t="s">
        <v>0</v>
      </c>
    </row>
    <row r="37" spans="2:12" s="1" customFormat="1" ht="15.75" thickBot="1">
      <c r="B37" s="4"/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6" t="s">
        <v>9</v>
      </c>
    </row>
    <row r="38" spans="2:12">
      <c r="B38" s="18"/>
      <c r="C38" s="8" t="s">
        <v>22</v>
      </c>
      <c r="D38" s="19">
        <v>0.02</v>
      </c>
      <c r="E38" s="20">
        <v>0.18</v>
      </c>
      <c r="F38" s="20">
        <v>700</v>
      </c>
      <c r="G38" s="20">
        <v>1880</v>
      </c>
      <c r="H38" s="21">
        <f>D38/E38</f>
        <v>0.11111111111111112</v>
      </c>
      <c r="I38" s="22">
        <f>D38*F38*G38</f>
        <v>26320</v>
      </c>
    </row>
    <row r="39" spans="2:12">
      <c r="B39" s="7"/>
      <c r="C39" s="1" t="s">
        <v>14</v>
      </c>
      <c r="D39" s="1">
        <v>0.08</v>
      </c>
      <c r="E39" s="1">
        <v>0.6</v>
      </c>
      <c r="F39" s="1">
        <v>1100</v>
      </c>
      <c r="G39" s="1">
        <v>860</v>
      </c>
      <c r="H39" s="9">
        <f>D39/E39</f>
        <v>0.13333333333333333</v>
      </c>
      <c r="I39" s="10">
        <f>D39*F39*G39</f>
        <v>75680</v>
      </c>
    </row>
    <row r="40" spans="2:12">
      <c r="B40" s="7"/>
      <c r="C40" s="1" t="s">
        <v>16</v>
      </c>
      <c r="D40" s="1">
        <v>0.2</v>
      </c>
      <c r="E40" s="1">
        <v>1.7</v>
      </c>
      <c r="F40" s="1">
        <v>2400</v>
      </c>
      <c r="G40" s="1">
        <v>840</v>
      </c>
      <c r="H40" s="9">
        <f>D40/E40</f>
        <v>0.11764705882352942</v>
      </c>
      <c r="I40" s="10">
        <f>D40*F40*G40</f>
        <v>403200</v>
      </c>
    </row>
    <row r="41" spans="2:12" ht="15.75" thickBot="1">
      <c r="B41" s="12"/>
      <c r="C41" s="13" t="s">
        <v>11</v>
      </c>
      <c r="D41" s="13">
        <v>0.02</v>
      </c>
      <c r="E41" s="13">
        <v>0.6</v>
      </c>
      <c r="F41" s="13">
        <v>975</v>
      </c>
      <c r="G41" s="13">
        <v>840</v>
      </c>
      <c r="H41" s="14">
        <f>D41/E41</f>
        <v>3.3333333333333333E-2</v>
      </c>
      <c r="I41" s="15">
        <f>D41*F41*G41</f>
        <v>16380</v>
      </c>
    </row>
    <row r="42" spans="2:12" ht="15.75" thickBot="1">
      <c r="B42" s="1"/>
      <c r="C42" s="1"/>
      <c r="D42" s="1"/>
      <c r="E42" s="1"/>
      <c r="F42" s="1"/>
      <c r="G42" s="1"/>
      <c r="H42" s="1"/>
      <c r="I42" s="1"/>
    </row>
    <row r="43" spans="2:12" ht="15.75" thickBot="1">
      <c r="B43" s="50" t="s">
        <v>31</v>
      </c>
      <c r="C43" s="25"/>
      <c r="D43" s="26"/>
      <c r="E43" s="27"/>
      <c r="F43" s="25"/>
      <c r="G43" s="26" t="s">
        <v>2</v>
      </c>
      <c r="H43" s="27">
        <f>(1/(1/8+SUM(H45)+1/23))</f>
        <v>4.0244969378827644</v>
      </c>
      <c r="I43" s="28" t="s">
        <v>0</v>
      </c>
    </row>
    <row r="44" spans="2:12" ht="15.75" thickBot="1">
      <c r="B44" s="4"/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</row>
    <row r="45" spans="2:12" ht="15.75" thickBot="1">
      <c r="B45" s="12"/>
      <c r="C45" s="13" t="s">
        <v>32</v>
      </c>
      <c r="D45" s="13">
        <v>0.04</v>
      </c>
      <c r="E45" s="13">
        <v>0.5</v>
      </c>
      <c r="F45" s="13"/>
      <c r="G45" s="13"/>
      <c r="H45" s="14">
        <f>D45/E45</f>
        <v>0.08</v>
      </c>
      <c r="I45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6"/>
  <sheetViews>
    <sheetView topLeftCell="A13" zoomScale="80" zoomScaleNormal="80" workbookViewId="0">
      <selection activeCell="D27" sqref="D27"/>
    </sheetView>
  </sheetViews>
  <sheetFormatPr defaultRowHeight="15"/>
  <cols>
    <col min="1" max="1" width="19.28515625" style="66" customWidth="1"/>
    <col min="2" max="2" width="10.140625" style="66" customWidth="1"/>
    <col min="3" max="4" width="11.7109375" style="66" customWidth="1"/>
    <col min="5" max="5" width="12" style="66" customWidth="1"/>
    <col min="6" max="6" width="6.140625" style="66" customWidth="1"/>
    <col min="7" max="7" width="10.7109375" style="66" customWidth="1"/>
    <col min="8" max="16384" width="9.140625" style="66"/>
  </cols>
  <sheetData>
    <row r="2" spans="1:7" ht="18">
      <c r="A2" s="69"/>
      <c r="B2" s="69" t="s">
        <v>34</v>
      </c>
      <c r="C2" s="70" t="s">
        <v>35</v>
      </c>
      <c r="D2" s="71" t="s">
        <v>36</v>
      </c>
      <c r="E2" s="72">
        <v>2.8</v>
      </c>
      <c r="F2" s="68"/>
    </row>
    <row r="3" spans="1:7" ht="18">
      <c r="A3" s="73" t="s">
        <v>37</v>
      </c>
      <c r="B3" s="74">
        <f>B25</f>
        <v>86.53</v>
      </c>
      <c r="C3" s="75">
        <f>B3*$E$2</f>
        <v>242.28399999999999</v>
      </c>
      <c r="D3" s="71" t="s">
        <v>38</v>
      </c>
      <c r="E3" s="72">
        <v>5.0999999999999996</v>
      </c>
      <c r="F3" s="68">
        <v>1.6</v>
      </c>
      <c r="G3" s="66">
        <v>3.5</v>
      </c>
    </row>
    <row r="4" spans="1:7">
      <c r="A4" s="73" t="s">
        <v>39</v>
      </c>
      <c r="B4" s="78" t="e">
        <f>SUM(#REF!)</f>
        <v>#REF!</v>
      </c>
      <c r="C4" s="79">
        <f>7.5*8.1*$E$3/2</f>
        <v>154.91249999999999</v>
      </c>
      <c r="F4" s="66">
        <v>2.75</v>
      </c>
      <c r="G4" s="66">
        <v>2.35</v>
      </c>
    </row>
    <row r="5" spans="1:7" ht="15.75" thickBot="1">
      <c r="A5" s="81" t="s">
        <v>86</v>
      </c>
      <c r="B5" s="82">
        <f>D25</f>
        <v>0</v>
      </c>
      <c r="C5" s="83">
        <f>B5*E2</f>
        <v>0</v>
      </c>
      <c r="D5" s="77"/>
    </row>
    <row r="6" spans="1:7" ht="15.75" thickBot="1">
      <c r="A6" s="66" t="s">
        <v>40</v>
      </c>
      <c r="B6" s="84" t="e">
        <f>SUM(B3:B5)</f>
        <v>#REF!</v>
      </c>
      <c r="C6" s="85">
        <f>SUM(C3:C5)</f>
        <v>397.19650000000001</v>
      </c>
    </row>
    <row r="8" spans="1:7">
      <c r="B8" s="86" t="s">
        <v>37</v>
      </c>
      <c r="C8" s="86" t="s">
        <v>39</v>
      </c>
      <c r="D8" s="86" t="s">
        <v>86</v>
      </c>
      <c r="E8" s="66" t="s">
        <v>40</v>
      </c>
    </row>
    <row r="9" spans="1:7">
      <c r="A9" s="87" t="s">
        <v>41</v>
      </c>
      <c r="B9" s="88"/>
      <c r="C9" s="89"/>
      <c r="D9" s="70"/>
      <c r="E9" s="90">
        <f t="shared" ref="E9:E24" si="0">SUM(B9:D9)</f>
        <v>0</v>
      </c>
      <c r="G9" s="72">
        <v>0</v>
      </c>
    </row>
    <row r="10" spans="1:7">
      <c r="A10" s="87" t="s">
        <v>42</v>
      </c>
      <c r="B10" s="91"/>
      <c r="C10" s="90"/>
      <c r="D10" s="92"/>
      <c r="E10" s="90">
        <f t="shared" si="0"/>
        <v>0</v>
      </c>
      <c r="G10" s="72">
        <v>90</v>
      </c>
    </row>
    <row r="11" spans="1:7">
      <c r="A11" s="87" t="s">
        <v>43</v>
      </c>
      <c r="B11" s="91"/>
      <c r="C11" s="93"/>
      <c r="D11" s="94"/>
      <c r="E11" s="90">
        <f>SUM(B11:D11)</f>
        <v>0</v>
      </c>
      <c r="G11" s="72">
        <v>180</v>
      </c>
    </row>
    <row r="12" spans="1:7">
      <c r="A12" s="95" t="s">
        <v>44</v>
      </c>
      <c r="B12" s="96"/>
      <c r="C12" s="97"/>
      <c r="D12" s="94"/>
      <c r="E12" s="97">
        <f t="shared" si="0"/>
        <v>0</v>
      </c>
      <c r="G12" s="72">
        <v>270</v>
      </c>
    </row>
    <row r="13" spans="1:7">
      <c r="A13" s="98" t="s">
        <v>45</v>
      </c>
      <c r="B13" s="69"/>
      <c r="C13" s="99"/>
      <c r="D13" s="70"/>
      <c r="E13" s="99">
        <f t="shared" si="0"/>
        <v>0</v>
      </c>
    </row>
    <row r="14" spans="1:7">
      <c r="A14" s="87" t="s">
        <v>46</v>
      </c>
      <c r="B14" s="100"/>
      <c r="C14" s="76"/>
      <c r="D14" s="101"/>
      <c r="E14" s="76">
        <f t="shared" si="0"/>
        <v>0</v>
      </c>
    </row>
    <row r="15" spans="1:7">
      <c r="A15" s="87" t="s">
        <v>47</v>
      </c>
      <c r="B15" s="100"/>
      <c r="C15" s="76"/>
      <c r="D15" s="101"/>
      <c r="E15" s="76">
        <f t="shared" si="0"/>
        <v>0</v>
      </c>
    </row>
    <row r="16" spans="1:7">
      <c r="A16" s="95" t="s">
        <v>48</v>
      </c>
      <c r="B16" s="102"/>
      <c r="C16" s="103"/>
      <c r="D16" s="104"/>
      <c r="E16" s="103">
        <f t="shared" si="0"/>
        <v>0</v>
      </c>
    </row>
    <row r="17" spans="1:7">
      <c r="A17" s="98" t="s">
        <v>49</v>
      </c>
      <c r="B17" s="69"/>
      <c r="C17" s="99"/>
      <c r="D17" s="70"/>
      <c r="E17" s="99">
        <f t="shared" si="0"/>
        <v>0</v>
      </c>
    </row>
    <row r="18" spans="1:7">
      <c r="A18" s="87" t="s">
        <v>50</v>
      </c>
      <c r="B18" s="100"/>
      <c r="C18" s="76"/>
      <c r="D18" s="101"/>
      <c r="E18" s="76">
        <f t="shared" si="0"/>
        <v>0</v>
      </c>
    </row>
    <row r="19" spans="1:7">
      <c r="A19" s="87" t="s">
        <v>51</v>
      </c>
      <c r="B19" s="100"/>
      <c r="C19" s="76"/>
      <c r="D19" s="101"/>
      <c r="E19" s="76">
        <f t="shared" si="0"/>
        <v>0</v>
      </c>
    </row>
    <row r="20" spans="1:7">
      <c r="A20" s="95" t="s">
        <v>52</v>
      </c>
      <c r="B20" s="105"/>
      <c r="C20" s="103"/>
      <c r="D20" s="104"/>
      <c r="E20" s="103">
        <f t="shared" si="0"/>
        <v>0</v>
      </c>
    </row>
    <row r="21" spans="1:7">
      <c r="A21" s="98" t="s">
        <v>53</v>
      </c>
      <c r="B21" s="69"/>
      <c r="C21" s="107"/>
      <c r="D21" s="108"/>
      <c r="E21" s="107">
        <f>SUM(B21:D21)</f>
        <v>0</v>
      </c>
      <c r="F21" s="71" t="s">
        <v>54</v>
      </c>
      <c r="G21" s="109">
        <f>DEGREES(ATAN(350/472.5))</f>
        <v>36.528855366985169</v>
      </c>
    </row>
    <row r="22" spans="1:7">
      <c r="A22" s="87" t="s">
        <v>55</v>
      </c>
      <c r="B22" s="110"/>
      <c r="C22" s="93"/>
      <c r="D22" s="92"/>
      <c r="E22" s="93">
        <f t="shared" si="0"/>
        <v>0</v>
      </c>
      <c r="F22" s="71"/>
      <c r="G22" s="111"/>
    </row>
    <row r="23" spans="1:7">
      <c r="A23" s="87" t="s">
        <v>56</v>
      </c>
      <c r="B23" s="100"/>
      <c r="C23" s="90"/>
      <c r="D23" s="92"/>
      <c r="E23" s="90">
        <f t="shared" si="0"/>
        <v>0</v>
      </c>
      <c r="F23" s="71" t="s">
        <v>54</v>
      </c>
      <c r="G23" s="109">
        <f>G21</f>
        <v>36.528855366985169</v>
      </c>
    </row>
    <row r="24" spans="1:7">
      <c r="A24" s="95" t="s">
        <v>57</v>
      </c>
      <c r="B24" s="102"/>
      <c r="C24" s="103"/>
      <c r="D24" s="112"/>
      <c r="E24" s="103">
        <f t="shared" si="0"/>
        <v>0</v>
      </c>
    </row>
    <row r="25" spans="1:7">
      <c r="A25" s="113" t="s">
        <v>58</v>
      </c>
      <c r="B25" s="91">
        <f>11.9*7.75-3.35*1.7</f>
        <v>86.53</v>
      </c>
      <c r="C25" s="90">
        <v>0</v>
      </c>
      <c r="D25" s="94">
        <v>0</v>
      </c>
      <c r="E25" s="114">
        <f>SUM(B25:D25)</f>
        <v>86.53</v>
      </c>
    </row>
    <row r="26" spans="1:7">
      <c r="A26" s="115" t="s">
        <v>59</v>
      </c>
      <c r="B26" s="91">
        <f>2*11.9+2*7.75</f>
        <v>39.299999999999997</v>
      </c>
      <c r="C26" s="90"/>
      <c r="D26" s="94"/>
      <c r="E26" s="114">
        <f>SUM(B26:D26)</f>
        <v>39.299999999999997</v>
      </c>
    </row>
    <row r="27" spans="1:7">
      <c r="A27" s="86" t="s">
        <v>60</v>
      </c>
      <c r="B27" s="91">
        <f>B25</f>
        <v>86.53</v>
      </c>
      <c r="C27" s="76"/>
      <c r="D27" s="94"/>
    </row>
    <row r="28" spans="1:7">
      <c r="A28" s="86" t="s">
        <v>62</v>
      </c>
      <c r="B28" s="116"/>
      <c r="C28" s="117"/>
      <c r="D28" s="118"/>
      <c r="E28" s="106"/>
    </row>
    <row r="29" spans="1:7">
      <c r="E29" s="106"/>
    </row>
    <row r="31" spans="1:7" ht="15.75" thickBot="1">
      <c r="C31" s="119" t="s">
        <v>87</v>
      </c>
      <c r="D31" s="120" t="s">
        <v>63</v>
      </c>
    </row>
    <row r="32" spans="1:7">
      <c r="A32" s="121" t="s">
        <v>64</v>
      </c>
      <c r="B32" s="122">
        <f>SUM(B9:D12,B17:D20)</f>
        <v>0</v>
      </c>
      <c r="C32" s="100">
        <f>110.2+2.15</f>
        <v>112.35000000000001</v>
      </c>
      <c r="D32" s="123">
        <f>ABS((C32-B32)/C32*100)</f>
        <v>100</v>
      </c>
    </row>
    <row r="33" spans="1:7">
      <c r="A33" s="124" t="s">
        <v>65</v>
      </c>
      <c r="B33" s="125">
        <f>SUM(B21:D24)</f>
        <v>0</v>
      </c>
      <c r="C33" s="100">
        <v>88.2</v>
      </c>
      <c r="D33" s="126">
        <f>ABS((C33-B33)/C33*100)</f>
        <v>100</v>
      </c>
    </row>
    <row r="34" spans="1:7">
      <c r="A34" s="124" t="s">
        <v>66</v>
      </c>
      <c r="B34" s="127">
        <f>SUM(B25:D25)</f>
        <v>86.53</v>
      </c>
      <c r="C34" s="100">
        <v>59.8</v>
      </c>
      <c r="D34" s="126">
        <f>ABS((C34-B34)/C34*100)</f>
        <v>44.6989966555184</v>
      </c>
      <c r="E34" s="66" t="s">
        <v>88</v>
      </c>
    </row>
    <row r="35" spans="1:7">
      <c r="A35" s="124" t="s">
        <v>67</v>
      </c>
      <c r="B35" s="127">
        <f>SUM(B28:D28)+D27</f>
        <v>0</v>
      </c>
      <c r="C35" s="128">
        <v>195.3</v>
      </c>
      <c r="D35" s="129">
        <f>ABS((C35-B35)/C35*100)</f>
        <v>100</v>
      </c>
    </row>
    <row r="36" spans="1:7">
      <c r="A36" s="124" t="s">
        <v>68</v>
      </c>
      <c r="B36" s="127" t="e">
        <f>SUM(#REF!)</f>
        <v>#REF!</v>
      </c>
      <c r="C36" s="100"/>
      <c r="D36" s="126"/>
      <c r="E36" s="130"/>
    </row>
    <row r="37" spans="1:7" ht="15.75" thickBot="1">
      <c r="A37" s="131" t="s">
        <v>69</v>
      </c>
      <c r="B37" s="132">
        <f>SUM(B13:D16)</f>
        <v>0</v>
      </c>
      <c r="C37" s="100">
        <v>18</v>
      </c>
      <c r="D37" s="126">
        <f>ABS((C37-B37)/C37*100)</f>
        <v>100</v>
      </c>
    </row>
    <row r="38" spans="1:7" ht="15.75" thickBot="1">
      <c r="C38" s="100"/>
      <c r="D38" s="126"/>
    </row>
    <row r="39" spans="1:7">
      <c r="A39" s="121" t="s">
        <v>34</v>
      </c>
      <c r="B39" s="122" t="e">
        <f>B6</f>
        <v>#REF!</v>
      </c>
      <c r="C39" s="100">
        <v>121.5</v>
      </c>
      <c r="D39" s="126" t="e">
        <f>ABS((C39-B39)/C39*100)</f>
        <v>#REF!</v>
      </c>
    </row>
    <row r="40" spans="1:7" ht="15.75" thickBot="1">
      <c r="A40" s="131" t="s">
        <v>35</v>
      </c>
      <c r="B40" s="132">
        <f>C6</f>
        <v>397.19650000000001</v>
      </c>
      <c r="C40" s="102">
        <v>326</v>
      </c>
      <c r="D40" s="133">
        <f>ABS((C40-B40)/C40*100)</f>
        <v>21.839417177914115</v>
      </c>
    </row>
    <row r="41" spans="1:7">
      <c r="C41" s="66" t="s">
        <v>70</v>
      </c>
      <c r="D41" s="134" t="s">
        <v>71</v>
      </c>
      <c r="E41" s="66" t="s">
        <v>89</v>
      </c>
    </row>
    <row r="43" spans="1:7">
      <c r="A43" s="135" t="s">
        <v>72</v>
      </c>
      <c r="B43" s="114">
        <f>B32+B33+B34+B37</f>
        <v>86.53</v>
      </c>
      <c r="D43" s="114" t="s">
        <v>73</v>
      </c>
      <c r="E43" s="136">
        <f>SUM(B9:D25)</f>
        <v>86.53</v>
      </c>
      <c r="F43" s="66" t="s">
        <v>74</v>
      </c>
    </row>
    <row r="44" spans="1:7">
      <c r="A44" s="137" t="s">
        <v>75</v>
      </c>
      <c r="B44" s="114">
        <f>'[1]General data'!B13/B40*B43</f>
        <v>3.9213336471998117</v>
      </c>
      <c r="D44" s="66" t="s">
        <v>76</v>
      </c>
      <c r="E44" s="114">
        <f>B3+B5</f>
        <v>86.53</v>
      </c>
      <c r="F44" s="66" t="s">
        <v>74</v>
      </c>
      <c r="G44" s="114" t="e">
        <f>B4</f>
        <v>#REF!</v>
      </c>
    </row>
    <row r="45" spans="1:7">
      <c r="A45" s="66" t="s">
        <v>77</v>
      </c>
      <c r="B45" s="114">
        <f>'[1]General data'!B17/B40*B43</f>
        <v>1.3071112157332705</v>
      </c>
      <c r="D45" s="66" t="s">
        <v>78</v>
      </c>
      <c r="E45" s="114">
        <f>C3+C5</f>
        <v>242.28399999999999</v>
      </c>
      <c r="F45" s="66" t="s">
        <v>74</v>
      </c>
      <c r="G45" s="114">
        <f>C4</f>
        <v>154.91249999999999</v>
      </c>
    </row>
    <row r="46" spans="1:7">
      <c r="A46" s="137"/>
      <c r="B46" s="114"/>
    </row>
  </sheetData>
  <conditionalFormatting sqref="D32:D40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tabSelected="1" topLeftCell="F1" zoomScale="90" zoomScaleNormal="90" workbookViewId="0">
      <selection activeCell="H18" sqref="H18"/>
    </sheetView>
  </sheetViews>
  <sheetFormatPr defaultRowHeight="15"/>
  <cols>
    <col min="1" max="1" width="19.28515625" style="66" customWidth="1"/>
    <col min="2" max="2" width="10.140625" style="66" customWidth="1"/>
    <col min="3" max="4" width="11.7109375" style="66" customWidth="1"/>
    <col min="5" max="5" width="12" style="66" customWidth="1"/>
    <col min="6" max="6" width="10.5703125" style="66" customWidth="1"/>
    <col min="7" max="9" width="9.140625" style="66"/>
    <col min="10" max="10" width="15.42578125" style="66" customWidth="1"/>
    <col min="11" max="11" width="4.7109375" style="66" customWidth="1"/>
    <col min="12" max="12" width="9.140625" style="66"/>
    <col min="13" max="13" width="4.42578125" style="66" customWidth="1"/>
    <col min="14" max="16384" width="9.140625" style="66"/>
  </cols>
  <sheetData>
    <row r="1" spans="1:15">
      <c r="B1" s="160" t="s">
        <v>101</v>
      </c>
      <c r="H1" s="191" t="s">
        <v>143</v>
      </c>
      <c r="I1" s="192" t="s">
        <v>145</v>
      </c>
      <c r="J1" s="197" t="s">
        <v>102</v>
      </c>
      <c r="K1" s="179" t="s">
        <v>132</v>
      </c>
      <c r="L1" s="179" t="str">
        <f>TEXT(G21,"??.??")&amp;"*Modelica.Constants.pi/180"</f>
        <v>32.47*Modelica.Constants.pi/180</v>
      </c>
      <c r="M1" s="180" t="s">
        <v>133</v>
      </c>
      <c r="O1" s="190"/>
    </row>
    <row r="2" spans="1:15" ht="18">
      <c r="A2" s="69"/>
      <c r="B2" s="69" t="s">
        <v>34</v>
      </c>
      <c r="C2" s="70" t="s">
        <v>35</v>
      </c>
      <c r="D2" s="71" t="s">
        <v>36</v>
      </c>
      <c r="E2" s="72">
        <v>2.8</v>
      </c>
      <c r="H2" s="193" t="s">
        <v>143</v>
      </c>
      <c r="I2" s="194" t="s">
        <v>146</v>
      </c>
      <c r="J2" s="198" t="s">
        <v>103</v>
      </c>
      <c r="K2" s="182" t="s">
        <v>132</v>
      </c>
      <c r="L2" s="139">
        <f>C5</f>
        <v>43.262999999999998</v>
      </c>
      <c r="M2" s="183" t="s">
        <v>133</v>
      </c>
      <c r="O2" s="177"/>
    </row>
    <row r="3" spans="1:15" ht="18">
      <c r="A3" s="73" t="s">
        <v>37</v>
      </c>
      <c r="B3" s="88">
        <f>(E5-0.35)*(E6-0.35)</f>
        <v>82.00500000000001</v>
      </c>
      <c r="C3" s="142">
        <f>B3*(E2-0.25)</f>
        <v>209.11275000000001</v>
      </c>
      <c r="D3" s="176" t="s">
        <v>92</v>
      </c>
      <c r="E3" s="72">
        <v>1.2</v>
      </c>
      <c r="F3" s="71" t="s">
        <v>91</v>
      </c>
      <c r="G3" s="72">
        <v>1.9</v>
      </c>
      <c r="H3" s="193" t="s">
        <v>143</v>
      </c>
      <c r="I3" s="76" t="s">
        <v>144</v>
      </c>
      <c r="J3" s="198" t="s">
        <v>134</v>
      </c>
      <c r="K3" s="182" t="s">
        <v>132</v>
      </c>
      <c r="L3" s="184">
        <f>D21</f>
        <v>28.488914510735576</v>
      </c>
      <c r="M3" s="183" t="s">
        <v>133</v>
      </c>
    </row>
    <row r="4" spans="1:15" ht="18">
      <c r="A4" s="73" t="s">
        <v>39</v>
      </c>
      <c r="B4" s="91">
        <f>(E5-2)*(E6-0.35)</f>
        <v>69.300000000000011</v>
      </c>
      <c r="C4" s="157">
        <f>0.5*B4+B4*(E4+E3-0.3-0.5)/2-C5</f>
        <v>126.52200000000005</v>
      </c>
      <c r="D4" s="176" t="s">
        <v>90</v>
      </c>
      <c r="E4" s="72">
        <v>3.5</v>
      </c>
      <c r="F4" s="71" t="s">
        <v>95</v>
      </c>
      <c r="G4" s="72">
        <v>2.8</v>
      </c>
      <c r="H4" s="193" t="s">
        <v>143</v>
      </c>
      <c r="I4" s="76" t="s">
        <v>144</v>
      </c>
      <c r="J4" s="198" t="s">
        <v>135</v>
      </c>
      <c r="K4" s="182" t="s">
        <v>132</v>
      </c>
      <c r="L4" s="184">
        <f>D23</f>
        <v>28.488914510735576</v>
      </c>
      <c r="M4" s="183" t="s">
        <v>133</v>
      </c>
    </row>
    <row r="5" spans="1:15" ht="15.75" thickBot="1">
      <c r="A5" s="81" t="s">
        <v>86</v>
      </c>
      <c r="B5" s="82">
        <f>D27</f>
        <v>48.07</v>
      </c>
      <c r="C5" s="83">
        <f>B5*(G3-0.1)/2</f>
        <v>43.262999999999998</v>
      </c>
      <c r="D5" s="71" t="s">
        <v>93</v>
      </c>
      <c r="E5" s="72">
        <v>11</v>
      </c>
      <c r="H5" s="193" t="s">
        <v>143</v>
      </c>
      <c r="I5" s="76" t="s">
        <v>144</v>
      </c>
      <c r="J5" s="198" t="s">
        <v>105</v>
      </c>
      <c r="K5" s="182" t="s">
        <v>132</v>
      </c>
      <c r="L5" s="184">
        <f>D10</f>
        <v>5.6728571428571417</v>
      </c>
      <c r="M5" s="183" t="s">
        <v>133</v>
      </c>
      <c r="O5" s="177"/>
    </row>
    <row r="6" spans="1:15" ht="15.75" thickBot="1">
      <c r="A6" s="66" t="s">
        <v>40</v>
      </c>
      <c r="B6" s="84">
        <f>SUM(B3:B5)</f>
        <v>199.375</v>
      </c>
      <c r="C6" s="85">
        <f>SUM(C3:C5)</f>
        <v>378.89775000000003</v>
      </c>
      <c r="D6" s="71" t="s">
        <v>94</v>
      </c>
      <c r="E6" s="72">
        <v>8.0500000000000007</v>
      </c>
      <c r="H6" s="193" t="s">
        <v>143</v>
      </c>
      <c r="I6" s="76" t="s">
        <v>144</v>
      </c>
      <c r="J6" s="198" t="s">
        <v>136</v>
      </c>
      <c r="K6" s="182" t="s">
        <v>132</v>
      </c>
      <c r="L6" s="184">
        <f>D12</f>
        <v>5.6728571428571417</v>
      </c>
      <c r="M6" s="183" t="s">
        <v>133</v>
      </c>
      <c r="O6" s="177"/>
    </row>
    <row r="7" spans="1:15">
      <c r="H7" s="193" t="s">
        <v>143</v>
      </c>
      <c r="I7" s="194" t="s">
        <v>146</v>
      </c>
      <c r="J7" s="198" t="s">
        <v>107</v>
      </c>
      <c r="K7" s="182" t="s">
        <v>132</v>
      </c>
      <c r="L7" s="184">
        <f>C4</f>
        <v>126.52200000000005</v>
      </c>
      <c r="M7" s="183" t="s">
        <v>133</v>
      </c>
      <c r="O7" s="177"/>
    </row>
    <row r="8" spans="1:15">
      <c r="B8" s="86" t="s">
        <v>37</v>
      </c>
      <c r="C8" s="86" t="s">
        <v>39</v>
      </c>
      <c r="D8" s="86" t="s">
        <v>86</v>
      </c>
      <c r="E8" s="66" t="s">
        <v>40</v>
      </c>
      <c r="H8" s="193" t="s">
        <v>143</v>
      </c>
      <c r="I8" s="76" t="s">
        <v>144</v>
      </c>
      <c r="J8" s="198" t="s">
        <v>137</v>
      </c>
      <c r="K8" s="182" t="s">
        <v>132</v>
      </c>
      <c r="L8" s="184">
        <f>C21</f>
        <v>23.190664851145751</v>
      </c>
      <c r="M8" s="183" t="s">
        <v>133</v>
      </c>
      <c r="O8" s="177"/>
    </row>
    <row r="9" spans="1:15">
      <c r="A9" s="87" t="s">
        <v>41</v>
      </c>
      <c r="B9" s="88">
        <f>E6*E2-B13-B17</f>
        <v>17.7</v>
      </c>
      <c r="C9" s="107">
        <f>E3*E6</f>
        <v>9.66</v>
      </c>
      <c r="D9" s="70">
        <v>0</v>
      </c>
      <c r="E9" s="76">
        <f t="shared" ref="E9:E24" si="0">SUM(B9:D9)</f>
        <v>27.36</v>
      </c>
      <c r="G9" s="72">
        <v>0</v>
      </c>
      <c r="H9" s="193" t="s">
        <v>143</v>
      </c>
      <c r="I9" s="76" t="s">
        <v>144</v>
      </c>
      <c r="J9" s="198" t="s">
        <v>138</v>
      </c>
      <c r="K9" s="182" t="s">
        <v>132</v>
      </c>
      <c r="L9" s="184">
        <f>C23</f>
        <v>22.39066485114575</v>
      </c>
      <c r="M9" s="183" t="s">
        <v>133</v>
      </c>
      <c r="O9" s="177"/>
    </row>
    <row r="10" spans="1:15">
      <c r="A10" s="87" t="s">
        <v>42</v>
      </c>
      <c r="B10" s="91">
        <f>E5*E2-B14</f>
        <v>24.199999999999996</v>
      </c>
      <c r="C10" s="90">
        <f>E3*E5+E5*E4/2-D10-C14</f>
        <v>21.017142857142865</v>
      </c>
      <c r="D10" s="94">
        <f>(E5*G3/E4)*G3/2</f>
        <v>5.6728571428571417</v>
      </c>
      <c r="E10" s="76">
        <f t="shared" si="0"/>
        <v>50.89</v>
      </c>
      <c r="G10" s="72">
        <v>90</v>
      </c>
      <c r="H10" s="193" t="s">
        <v>143</v>
      </c>
      <c r="I10" s="76" t="s">
        <v>144</v>
      </c>
      <c r="J10" s="198" t="s">
        <v>108</v>
      </c>
      <c r="K10" s="182" t="s">
        <v>132</v>
      </c>
      <c r="L10" s="184">
        <f>C9</f>
        <v>9.66</v>
      </c>
      <c r="M10" s="183" t="s">
        <v>133</v>
      </c>
      <c r="O10" s="177"/>
    </row>
    <row r="11" spans="1:15">
      <c r="A11" s="87" t="s">
        <v>43</v>
      </c>
      <c r="B11" s="91">
        <f>E6*E2-B15</f>
        <v>13.829999999999998</v>
      </c>
      <c r="C11" s="90">
        <f>C9</f>
        <v>9.66</v>
      </c>
      <c r="D11" s="94">
        <v>0</v>
      </c>
      <c r="E11" s="76">
        <f t="shared" si="0"/>
        <v>23.49</v>
      </c>
      <c r="G11" s="72">
        <v>180</v>
      </c>
      <c r="H11" s="193" t="s">
        <v>143</v>
      </c>
      <c r="I11" s="76" t="s">
        <v>144</v>
      </c>
      <c r="J11" s="198" t="s">
        <v>109</v>
      </c>
      <c r="K11" s="182" t="s">
        <v>132</v>
      </c>
      <c r="L11" s="184">
        <f>C10</f>
        <v>21.017142857142865</v>
      </c>
      <c r="M11" s="183" t="s">
        <v>133</v>
      </c>
      <c r="O11" s="177"/>
    </row>
    <row r="12" spans="1:15">
      <c r="A12" s="143" t="s">
        <v>81</v>
      </c>
      <c r="B12" s="144">
        <f>E6*E2</f>
        <v>22.54</v>
      </c>
      <c r="C12" s="145">
        <f>E3*E5+E5*E4/2-D12</f>
        <v>26.777142857142863</v>
      </c>
      <c r="D12" s="83">
        <f>D10</f>
        <v>5.6728571428571417</v>
      </c>
      <c r="E12" s="146">
        <f t="shared" si="0"/>
        <v>54.99</v>
      </c>
      <c r="F12" s="77"/>
      <c r="G12" s="147">
        <v>270</v>
      </c>
      <c r="H12" s="193" t="s">
        <v>143</v>
      </c>
      <c r="I12" s="76" t="s">
        <v>144</v>
      </c>
      <c r="J12" s="198" t="s">
        <v>110</v>
      </c>
      <c r="K12" s="182" t="s">
        <v>132</v>
      </c>
      <c r="L12" s="184">
        <f>C11</f>
        <v>9.66</v>
      </c>
      <c r="M12" s="183" t="s">
        <v>133</v>
      </c>
      <c r="O12" s="177"/>
    </row>
    <row r="13" spans="1:15">
      <c r="A13" s="98" t="s">
        <v>45</v>
      </c>
      <c r="B13" s="69">
        <f>1.2*1.85+0.8*0.8</f>
        <v>2.8600000000000003</v>
      </c>
      <c r="C13" s="99">
        <f>1*0.8</f>
        <v>0.8</v>
      </c>
      <c r="D13" s="70"/>
      <c r="E13" s="99">
        <f t="shared" si="0"/>
        <v>3.66</v>
      </c>
      <c r="H13" s="193" t="s">
        <v>143</v>
      </c>
      <c r="I13" s="76" t="s">
        <v>144</v>
      </c>
      <c r="J13" s="198" t="s">
        <v>148</v>
      </c>
      <c r="K13" s="182" t="s">
        <v>132</v>
      </c>
      <c r="L13" s="184">
        <f>C12</f>
        <v>26.777142857142863</v>
      </c>
      <c r="M13" s="183" t="s">
        <v>133</v>
      </c>
      <c r="O13" s="177"/>
    </row>
    <row r="14" spans="1:15">
      <c r="A14" s="87" t="s">
        <v>46</v>
      </c>
      <c r="B14" s="100">
        <f>1.2*(3.1+1.2+1.2)</f>
        <v>6.6</v>
      </c>
      <c r="C14" s="76">
        <f>2*1.2*2.4</f>
        <v>5.76</v>
      </c>
      <c r="D14" s="101"/>
      <c r="E14" s="76">
        <f t="shared" si="0"/>
        <v>12.36</v>
      </c>
      <c r="H14" s="193" t="s">
        <v>143</v>
      </c>
      <c r="I14" s="76" t="s">
        <v>144</v>
      </c>
      <c r="J14" s="198" t="s">
        <v>112</v>
      </c>
      <c r="K14" s="182" t="s">
        <v>132</v>
      </c>
      <c r="L14" s="184">
        <f>C13</f>
        <v>0.8</v>
      </c>
      <c r="M14" s="183" t="s">
        <v>133</v>
      </c>
      <c r="O14" s="177"/>
    </row>
    <row r="15" spans="1:15">
      <c r="A15" s="87" t="s">
        <v>47</v>
      </c>
      <c r="B15" s="100">
        <f>1.2*2.4+2.65*2.2</f>
        <v>8.7100000000000009</v>
      </c>
      <c r="C15" s="76">
        <f>2*1*0.8</f>
        <v>1.6</v>
      </c>
      <c r="D15" s="101"/>
      <c r="E15" s="76">
        <f t="shared" si="0"/>
        <v>10.31</v>
      </c>
      <c r="H15" s="193" t="s">
        <v>143</v>
      </c>
      <c r="I15" s="76" t="s">
        <v>144</v>
      </c>
      <c r="J15" s="198" t="s">
        <v>139</v>
      </c>
      <c r="K15" s="182" t="s">
        <v>132</v>
      </c>
      <c r="L15" s="184">
        <f t="shared" ref="L15:L16" si="1">C14</f>
        <v>5.76</v>
      </c>
      <c r="M15" s="183" t="s">
        <v>133</v>
      </c>
      <c r="O15" s="177"/>
    </row>
    <row r="16" spans="1:15">
      <c r="A16" s="95" t="s">
        <v>48</v>
      </c>
      <c r="B16" s="102" t="s">
        <v>61</v>
      </c>
      <c r="C16" s="103" t="s">
        <v>61</v>
      </c>
      <c r="D16" s="104" t="s">
        <v>61</v>
      </c>
      <c r="E16" s="103">
        <f t="shared" si="0"/>
        <v>0</v>
      </c>
      <c r="H16" s="193" t="s">
        <v>143</v>
      </c>
      <c r="I16" s="76" t="s">
        <v>144</v>
      </c>
      <c r="J16" s="198" t="s">
        <v>113</v>
      </c>
      <c r="K16" s="182" t="s">
        <v>132</v>
      </c>
      <c r="L16" s="184">
        <f t="shared" si="1"/>
        <v>1.6</v>
      </c>
      <c r="M16" s="183" t="s">
        <v>133</v>
      </c>
      <c r="O16" s="177"/>
    </row>
    <row r="17" spans="1:15">
      <c r="A17" s="98" t="s">
        <v>49</v>
      </c>
      <c r="B17" s="69">
        <f>0.9*2.2</f>
        <v>1.9800000000000002</v>
      </c>
      <c r="C17" s="99"/>
      <c r="D17" s="70"/>
      <c r="E17" s="99">
        <f t="shared" si="0"/>
        <v>1.9800000000000002</v>
      </c>
      <c r="H17" s="193" t="s">
        <v>143</v>
      </c>
      <c r="I17" s="76" t="s">
        <v>144</v>
      </c>
      <c r="J17" s="198" t="s">
        <v>115</v>
      </c>
      <c r="K17" s="182" t="s">
        <v>132</v>
      </c>
      <c r="L17" s="184">
        <f>C28</f>
        <v>58.777499999999996</v>
      </c>
      <c r="M17" s="183" t="s">
        <v>133</v>
      </c>
    </row>
    <row r="18" spans="1:15">
      <c r="A18" s="87" t="s">
        <v>50</v>
      </c>
      <c r="B18" s="100"/>
      <c r="C18" s="76"/>
      <c r="D18" s="101"/>
      <c r="E18" s="76">
        <f t="shared" si="0"/>
        <v>0</v>
      </c>
      <c r="H18" s="193" t="s">
        <v>143</v>
      </c>
      <c r="I18" s="76" t="s">
        <v>144</v>
      </c>
      <c r="J18" s="198" t="s">
        <v>117</v>
      </c>
      <c r="K18" s="182" t="s">
        <v>132</v>
      </c>
      <c r="L18" s="184">
        <f>D27</f>
        <v>48.07</v>
      </c>
      <c r="M18" s="183" t="s">
        <v>133</v>
      </c>
      <c r="O18" s="177"/>
    </row>
    <row r="19" spans="1:15">
      <c r="A19" s="87" t="s">
        <v>51</v>
      </c>
      <c r="B19" s="100"/>
      <c r="C19" s="80"/>
      <c r="D19" s="101"/>
      <c r="E19" s="76">
        <f t="shared" si="0"/>
        <v>0</v>
      </c>
      <c r="H19" s="193" t="s">
        <v>143</v>
      </c>
      <c r="I19" s="194" t="s">
        <v>146</v>
      </c>
      <c r="J19" s="198" t="s">
        <v>118</v>
      </c>
      <c r="K19" s="182" t="s">
        <v>132</v>
      </c>
      <c r="L19" s="184">
        <f>C3</f>
        <v>209.11275000000001</v>
      </c>
      <c r="M19" s="183" t="s">
        <v>133</v>
      </c>
      <c r="O19" s="177"/>
    </row>
    <row r="20" spans="1:15">
      <c r="A20" s="95" t="s">
        <v>52</v>
      </c>
      <c r="B20" s="96"/>
      <c r="C20" s="103"/>
      <c r="D20" s="104"/>
      <c r="E20" s="103">
        <f t="shared" si="0"/>
        <v>0</v>
      </c>
      <c r="H20" s="193" t="s">
        <v>143</v>
      </c>
      <c r="I20" s="76" t="s">
        <v>144</v>
      </c>
      <c r="J20" s="198" t="s">
        <v>119</v>
      </c>
      <c r="K20" s="182" t="s">
        <v>132</v>
      </c>
      <c r="L20" s="184">
        <f>B9</f>
        <v>17.7</v>
      </c>
      <c r="M20" s="183" t="s">
        <v>133</v>
      </c>
      <c r="O20" s="177"/>
    </row>
    <row r="21" spans="1:15">
      <c r="A21" s="98" t="s">
        <v>53</v>
      </c>
      <c r="B21" s="69"/>
      <c r="C21" s="155">
        <f>SQRT((E5/2)^2+E4^2)*E6-D21-C13</f>
        <v>23.190664851145751</v>
      </c>
      <c r="D21" s="156">
        <f>SQRT(G3^2+(E5*G3/2/E4)^2)*E6</f>
        <v>28.488914510735576</v>
      </c>
      <c r="E21" s="107">
        <f>SUM(B21:D21)</f>
        <v>51.679579361881324</v>
      </c>
      <c r="F21" s="71" t="s">
        <v>54</v>
      </c>
      <c r="G21" s="109">
        <f>DEGREES(ATAN($E$4/E5*2))</f>
        <v>32.471192290848492</v>
      </c>
      <c r="H21" s="193" t="s">
        <v>143</v>
      </c>
      <c r="I21" s="76" t="s">
        <v>144</v>
      </c>
      <c r="J21" s="198" t="s">
        <v>120</v>
      </c>
      <c r="K21" s="182" t="s">
        <v>132</v>
      </c>
      <c r="L21" s="184">
        <f t="shared" ref="L21:L26" si="2">B10</f>
        <v>24.199999999999996</v>
      </c>
      <c r="M21" s="183" t="s">
        <v>133</v>
      </c>
      <c r="O21" s="177"/>
    </row>
    <row r="22" spans="1:15">
      <c r="A22" s="87" t="s">
        <v>55</v>
      </c>
      <c r="B22" s="91"/>
      <c r="C22" s="139"/>
      <c r="D22" s="141" t="s">
        <v>61</v>
      </c>
      <c r="E22" s="90">
        <f t="shared" si="0"/>
        <v>0</v>
      </c>
      <c r="F22" s="71"/>
      <c r="G22" s="111"/>
      <c r="H22" s="193" t="s">
        <v>143</v>
      </c>
      <c r="I22" s="76" t="s">
        <v>144</v>
      </c>
      <c r="J22" s="198" t="s">
        <v>121</v>
      </c>
      <c r="K22" s="182" t="s">
        <v>132</v>
      </c>
      <c r="L22" s="184">
        <f t="shared" si="2"/>
        <v>13.829999999999998</v>
      </c>
      <c r="M22" s="183" t="s">
        <v>133</v>
      </c>
      <c r="O22" s="177"/>
    </row>
    <row r="23" spans="1:15">
      <c r="A23" s="87" t="s">
        <v>56</v>
      </c>
      <c r="B23" s="100"/>
      <c r="C23" s="139">
        <f>SQRT((E5/2)^2+E4^2)*E6-D23-C15</f>
        <v>22.39066485114575</v>
      </c>
      <c r="D23" s="141">
        <f>D21</f>
        <v>28.488914510735576</v>
      </c>
      <c r="E23" s="90">
        <f t="shared" si="0"/>
        <v>50.879579361881326</v>
      </c>
      <c r="F23" s="71" t="s">
        <v>54</v>
      </c>
      <c r="G23" s="109">
        <f>G21</f>
        <v>32.471192290848492</v>
      </c>
      <c r="H23" s="193" t="s">
        <v>143</v>
      </c>
      <c r="I23" s="76" t="s">
        <v>144</v>
      </c>
      <c r="J23" s="198" t="s">
        <v>140</v>
      </c>
      <c r="K23" s="182" t="s">
        <v>132</v>
      </c>
      <c r="L23" s="184">
        <f t="shared" si="2"/>
        <v>22.54</v>
      </c>
      <c r="M23" s="183" t="s">
        <v>133</v>
      </c>
      <c r="O23" s="177"/>
    </row>
    <row r="24" spans="1:15">
      <c r="A24" s="95" t="s">
        <v>57</v>
      </c>
      <c r="B24" s="102"/>
      <c r="C24" s="103"/>
      <c r="D24" s="104" t="s">
        <v>61</v>
      </c>
      <c r="E24" s="103">
        <f t="shared" si="0"/>
        <v>0</v>
      </c>
      <c r="H24" s="193" t="s">
        <v>143</v>
      </c>
      <c r="I24" s="76" t="s">
        <v>144</v>
      </c>
      <c r="J24" s="198" t="s">
        <v>123</v>
      </c>
      <c r="K24" s="182" t="s">
        <v>132</v>
      </c>
      <c r="L24" s="184">
        <f t="shared" si="2"/>
        <v>2.8600000000000003</v>
      </c>
      <c r="M24" s="183" t="s">
        <v>133</v>
      </c>
      <c r="O24" s="177"/>
    </row>
    <row r="25" spans="1:15">
      <c r="A25" s="113" t="s">
        <v>58</v>
      </c>
      <c r="B25" s="91">
        <f>E5*E6</f>
        <v>88.550000000000011</v>
      </c>
      <c r="C25" s="90"/>
      <c r="D25" s="94"/>
      <c r="E25" s="114">
        <f>SUM(B25:D25)</f>
        <v>88.550000000000011</v>
      </c>
      <c r="H25" s="193" t="s">
        <v>143</v>
      </c>
      <c r="I25" s="76" t="s">
        <v>144</v>
      </c>
      <c r="J25" s="198" t="s">
        <v>141</v>
      </c>
      <c r="K25" s="182" t="s">
        <v>132</v>
      </c>
      <c r="L25" s="184">
        <f t="shared" si="2"/>
        <v>6.6</v>
      </c>
      <c r="M25" s="183" t="s">
        <v>133</v>
      </c>
      <c r="O25" s="177"/>
    </row>
    <row r="26" spans="1:15">
      <c r="A26" s="115" t="s">
        <v>59</v>
      </c>
      <c r="B26" s="91">
        <f>2*E6+E5</f>
        <v>27.1</v>
      </c>
      <c r="C26" s="90"/>
      <c r="D26" s="94"/>
      <c r="E26" s="114">
        <f>SUM(B26:D26)</f>
        <v>27.1</v>
      </c>
      <c r="H26" s="193" t="s">
        <v>143</v>
      </c>
      <c r="I26" s="76" t="s">
        <v>144</v>
      </c>
      <c r="J26" s="198" t="s">
        <v>124</v>
      </c>
      <c r="K26" s="182" t="s">
        <v>132</v>
      </c>
      <c r="L26" s="184">
        <f t="shared" si="2"/>
        <v>8.7100000000000009</v>
      </c>
      <c r="M26" s="183" t="s">
        <v>133</v>
      </c>
      <c r="O26" s="177"/>
    </row>
    <row r="27" spans="1:15">
      <c r="A27" s="86" t="s">
        <v>60</v>
      </c>
      <c r="B27" s="91">
        <f>B25</f>
        <v>88.550000000000011</v>
      </c>
      <c r="C27" s="90"/>
      <c r="D27" s="94">
        <f>(E5*G3/E4)*E6</f>
        <v>48.07</v>
      </c>
      <c r="H27" s="193" t="s">
        <v>143</v>
      </c>
      <c r="I27" s="76" t="s">
        <v>144</v>
      </c>
      <c r="J27" s="198" t="s">
        <v>142</v>
      </c>
      <c r="K27" s="182" t="s">
        <v>132</v>
      </c>
      <c r="L27" s="184">
        <f>B17</f>
        <v>1.9800000000000002</v>
      </c>
      <c r="M27" s="183" t="s">
        <v>133</v>
      </c>
      <c r="O27" s="177"/>
    </row>
    <row r="28" spans="1:15">
      <c r="A28" s="86" t="s">
        <v>62</v>
      </c>
      <c r="B28" s="96">
        <f>(E2-0.25)*(3.3+2.1*2+4+11+1.2)-4*0.9*2.2-3.1*2.2</f>
        <v>45.694999999999993</v>
      </c>
      <c r="C28" s="97">
        <f>(G4-0.25)*(E5+E6+4)</f>
        <v>58.777499999999996</v>
      </c>
      <c r="D28" s="148">
        <v>0</v>
      </c>
      <c r="H28" s="193" t="s">
        <v>143</v>
      </c>
      <c r="I28" s="76" t="s">
        <v>144</v>
      </c>
      <c r="J28" s="198" t="s">
        <v>127</v>
      </c>
      <c r="K28" s="182" t="s">
        <v>132</v>
      </c>
      <c r="L28" s="184">
        <f>B25</f>
        <v>88.550000000000011</v>
      </c>
      <c r="M28" s="183" t="s">
        <v>133</v>
      </c>
      <c r="O28" s="177"/>
    </row>
    <row r="29" spans="1:15">
      <c r="H29" s="193" t="s">
        <v>143</v>
      </c>
      <c r="I29" s="194" t="s">
        <v>147</v>
      </c>
      <c r="J29" s="198" t="s">
        <v>128</v>
      </c>
      <c r="K29" s="182" t="s">
        <v>132</v>
      </c>
      <c r="L29" s="184">
        <f>B26</f>
        <v>27.1</v>
      </c>
      <c r="M29" s="183" t="s">
        <v>133</v>
      </c>
      <c r="O29" s="177"/>
    </row>
    <row r="30" spans="1:15">
      <c r="H30" s="193" t="s">
        <v>143</v>
      </c>
      <c r="I30" s="76" t="s">
        <v>144</v>
      </c>
      <c r="J30" s="198" t="s">
        <v>129</v>
      </c>
      <c r="K30" s="182" t="s">
        <v>132</v>
      </c>
      <c r="L30" s="184">
        <f>B28</f>
        <v>45.694999999999993</v>
      </c>
      <c r="M30" s="183" t="s">
        <v>133</v>
      </c>
      <c r="O30" s="177"/>
    </row>
    <row r="31" spans="1:15" ht="15.75" thickBot="1">
      <c r="H31" s="195" t="s">
        <v>143</v>
      </c>
      <c r="I31" s="196" t="s">
        <v>144</v>
      </c>
      <c r="J31" s="199" t="s">
        <v>130</v>
      </c>
      <c r="K31" s="187" t="s">
        <v>132</v>
      </c>
      <c r="L31" s="189">
        <f>B27</f>
        <v>88.550000000000011</v>
      </c>
      <c r="M31" s="188" t="s">
        <v>133</v>
      </c>
      <c r="O31" s="177"/>
    </row>
    <row r="32" spans="1:15" ht="15.75" thickBot="1">
      <c r="C32" s="119" t="s">
        <v>87</v>
      </c>
      <c r="D32" s="120" t="s">
        <v>63</v>
      </c>
      <c r="H32" s="190"/>
    </row>
    <row r="33" spans="1:9">
      <c r="A33" s="121" t="s">
        <v>64</v>
      </c>
      <c r="B33" s="122">
        <f>SUM(B9:D11,B17:D19)</f>
        <v>103.72</v>
      </c>
      <c r="C33" s="149">
        <f>SUM('[2]Semi-detached'!$E$27:$G$27)</f>
        <v>79.081499999999991</v>
      </c>
      <c r="D33" s="123">
        <f>ABS((C33-B33)/C33*100)</f>
        <v>31.155832906558441</v>
      </c>
      <c r="H33" s="190"/>
    </row>
    <row r="34" spans="1:9">
      <c r="A34" s="124" t="s">
        <v>79</v>
      </c>
      <c r="B34" s="127">
        <f>SUM(B12:D12)</f>
        <v>54.99</v>
      </c>
      <c r="C34" s="149">
        <f>SUM('[2]Semi-detached'!$D$27)</f>
        <v>49.691499999999998</v>
      </c>
      <c r="D34" s="126">
        <f>ABS((C34-B34)/C34*100)</f>
        <v>10.662789410663805</v>
      </c>
      <c r="H34" s="190"/>
    </row>
    <row r="35" spans="1:9">
      <c r="A35" s="124" t="s">
        <v>65</v>
      </c>
      <c r="B35" s="127">
        <f>SUM(B21:D24)</f>
        <v>102.55915872376266</v>
      </c>
      <c r="C35" s="152">
        <f>SUM('[2]Semi-detached'!$Q$4:$Q$7)</f>
        <v>83.0655</v>
      </c>
      <c r="D35" s="126">
        <f>ABS((C35-B35)/C35*100)</f>
        <v>23.467816029233152</v>
      </c>
      <c r="H35" s="190"/>
    </row>
    <row r="36" spans="1:9">
      <c r="A36" s="124" t="s">
        <v>66</v>
      </c>
      <c r="B36" s="127">
        <f>SUM(B25:D25)</f>
        <v>88.550000000000011</v>
      </c>
      <c r="C36" s="100">
        <f>SUM('[2]Semi-detached'!$P$4:$P$7)</f>
        <v>79.484499999999997</v>
      </c>
      <c r="D36" s="126">
        <f>ABS((C36-B36)/C36*100)</f>
        <v>11.405368342255427</v>
      </c>
      <c r="H36" s="190"/>
    </row>
    <row r="37" spans="1:9">
      <c r="A37" s="124" t="s">
        <v>67</v>
      </c>
      <c r="B37" s="127">
        <f>SUM(B28:D28)</f>
        <v>104.4725</v>
      </c>
      <c r="C37" s="128">
        <f>SUM('[2]Semi-detached'!$T$4:$T$7)</f>
        <v>43.3596</v>
      </c>
      <c r="D37" s="129">
        <f>ABS((C37-B37)/C37*100)</f>
        <v>140.94433527984575</v>
      </c>
      <c r="E37" s="130"/>
      <c r="H37" s="190"/>
    </row>
    <row r="38" spans="1:9">
      <c r="A38" s="124" t="s">
        <v>68</v>
      </c>
      <c r="B38" s="127">
        <f>SUM(B27:D27)</f>
        <v>136.62</v>
      </c>
      <c r="C38" s="100"/>
      <c r="D38" s="126"/>
      <c r="H38" s="190"/>
    </row>
    <row r="39" spans="1:9" ht="15.75" thickBot="1">
      <c r="A39" s="131" t="s">
        <v>69</v>
      </c>
      <c r="B39" s="132">
        <f>SUM(B13:D16)</f>
        <v>26.330000000000002</v>
      </c>
      <c r="C39" s="100">
        <f>SUM('[2]Semi-detached'!$S$4:$S$7)</f>
        <v>27.230000000000004</v>
      </c>
      <c r="D39" s="126">
        <f>ABS((C39-B39)/C39*100)</f>
        <v>3.3051781123760628</v>
      </c>
    </row>
    <row r="40" spans="1:9" ht="15.75" thickBot="1">
      <c r="C40" s="100"/>
      <c r="D40" s="126"/>
    </row>
    <row r="41" spans="1:9">
      <c r="A41" s="121" t="s">
        <v>34</v>
      </c>
      <c r="B41" s="122">
        <f>B6</f>
        <v>199.375</v>
      </c>
      <c r="C41" s="100">
        <f>SUM('[2]Semi-detached'!$N$4:$N$7)</f>
        <v>141.15600000000001</v>
      </c>
      <c r="D41" s="126">
        <f>ABS((C41-B41)/C41*100)</f>
        <v>41.244438776955988</v>
      </c>
    </row>
    <row r="42" spans="1:9" ht="15.75" thickBot="1">
      <c r="A42" s="131" t="s">
        <v>35</v>
      </c>
      <c r="B42" s="132">
        <f>C6</f>
        <v>378.89775000000003</v>
      </c>
      <c r="C42" s="102">
        <f>SUM('[2]Semi-detached'!$O$4:$O$7)</f>
        <v>367.23531000000003</v>
      </c>
      <c r="D42" s="133">
        <f>ABS((C42-B42)/C42*100)</f>
        <v>3.1757403720246846</v>
      </c>
    </row>
    <row r="43" spans="1:9">
      <c r="C43" s="66" t="s">
        <v>70</v>
      </c>
      <c r="D43" s="134" t="s">
        <v>71</v>
      </c>
    </row>
    <row r="44" spans="1:9">
      <c r="A44" s="135"/>
      <c r="B44" s="114"/>
      <c r="D44" s="114"/>
      <c r="E44" s="140"/>
    </row>
    <row r="45" spans="1:9">
      <c r="A45" s="137"/>
      <c r="B45" s="114"/>
      <c r="E45" s="114"/>
      <c r="G45" s="114"/>
      <c r="H45" s="114"/>
      <c r="I45" s="114"/>
    </row>
    <row r="46" spans="1:9">
      <c r="B46" s="114"/>
      <c r="E46" s="114"/>
      <c r="G46" s="114"/>
      <c r="H46" s="114"/>
      <c r="I46" s="114"/>
    </row>
    <row r="47" spans="1:9">
      <c r="A47" s="137"/>
      <c r="B47" s="114"/>
    </row>
  </sheetData>
  <conditionalFormatting sqref="D33:D42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topLeftCell="F1" zoomScale="80" zoomScaleNormal="80" workbookViewId="0">
      <selection activeCell="I43" sqref="I43"/>
    </sheetView>
  </sheetViews>
  <sheetFormatPr defaultRowHeight="15"/>
  <cols>
    <col min="1" max="1" width="19.28515625" style="66" customWidth="1"/>
    <col min="2" max="2" width="10.140625" style="66" customWidth="1"/>
    <col min="3" max="4" width="11.7109375" style="66" customWidth="1"/>
    <col min="5" max="5" width="12" style="66" customWidth="1"/>
    <col min="6" max="6" width="10.5703125" style="66" customWidth="1"/>
    <col min="7" max="8" width="7.7109375" style="66" customWidth="1"/>
    <col min="9" max="9" width="22.85546875" style="66" customWidth="1"/>
    <col min="10" max="10" width="14.5703125" style="66" customWidth="1"/>
    <col min="11" max="11" width="4.85546875" style="66" customWidth="1"/>
    <col min="12" max="12" width="11.7109375" style="66" customWidth="1"/>
    <col min="13" max="16384" width="9.140625" style="66"/>
  </cols>
  <sheetData>
    <row r="1" spans="1:13">
      <c r="B1" s="160" t="s">
        <v>101</v>
      </c>
      <c r="H1" s="191" t="s">
        <v>143</v>
      </c>
      <c r="I1" s="192" t="s">
        <v>145</v>
      </c>
      <c r="J1" s="178" t="s">
        <v>102</v>
      </c>
      <c r="K1" s="179" t="s">
        <v>132</v>
      </c>
      <c r="L1" s="179" t="str">
        <f>TEXT(G23,"??.??")&amp;"*Modelica.Constants.pi/180"</f>
        <v>32.92*Modelica.Constants.pi/180</v>
      </c>
      <c r="M1" s="180" t="s">
        <v>133</v>
      </c>
    </row>
    <row r="2" spans="1:13" ht="18">
      <c r="A2" s="69"/>
      <c r="B2" s="69" t="s">
        <v>34</v>
      </c>
      <c r="C2" s="70" t="s">
        <v>35</v>
      </c>
      <c r="D2" s="71" t="s">
        <v>36</v>
      </c>
      <c r="E2" s="72">
        <v>2.8</v>
      </c>
      <c r="F2" s="68"/>
      <c r="H2" s="193" t="s">
        <v>143</v>
      </c>
      <c r="I2" s="194" t="s">
        <v>146</v>
      </c>
      <c r="J2" s="181" t="s">
        <v>103</v>
      </c>
      <c r="K2" s="182" t="s">
        <v>132</v>
      </c>
      <c r="L2" s="90">
        <f>C5</f>
        <v>22.613571428571433</v>
      </c>
      <c r="M2" s="183" t="s">
        <v>133</v>
      </c>
    </row>
    <row r="3" spans="1:13" ht="18">
      <c r="A3" s="73" t="s">
        <v>37</v>
      </c>
      <c r="B3" s="88">
        <f>(E8-0.15)*(F6-0.35)+(F9-0.25)*F7</f>
        <v>54.324999999999996</v>
      </c>
      <c r="C3" s="142">
        <f>B3*(E2-0.25)</f>
        <v>138.52874999999997</v>
      </c>
      <c r="D3" s="71" t="s">
        <v>38</v>
      </c>
      <c r="E3" s="72">
        <v>2.8</v>
      </c>
      <c r="F3" s="68"/>
      <c r="H3" s="193" t="s">
        <v>143</v>
      </c>
      <c r="I3" s="76" t="s">
        <v>144</v>
      </c>
      <c r="J3" s="181" t="s">
        <v>104</v>
      </c>
      <c r="K3" s="182" t="s">
        <v>132</v>
      </c>
      <c r="L3" s="184">
        <f>D23</f>
        <v>17.95925280251074</v>
      </c>
      <c r="M3" s="183" t="s">
        <v>133</v>
      </c>
    </row>
    <row r="4" spans="1:13" ht="18.75">
      <c r="A4" s="73" t="s">
        <v>39</v>
      </c>
      <c r="B4" s="91">
        <f>(E8-0.15)*(F6-0.35)*2</f>
        <v>98.77</v>
      </c>
      <c r="C4" s="94">
        <f>(E8-0.15)*(F6-0.35)*(E3-0.25+F4-0.15+(E4+E5-F4+0.15-0.3)/2)-C5</f>
        <v>240.36155357142854</v>
      </c>
      <c r="D4" s="158" t="s">
        <v>97</v>
      </c>
      <c r="E4" s="147">
        <v>2.8</v>
      </c>
      <c r="F4" s="67">
        <v>1.6</v>
      </c>
      <c r="H4" s="193" t="s">
        <v>143</v>
      </c>
      <c r="I4" s="76" t="s">
        <v>144</v>
      </c>
      <c r="J4" s="181" t="s">
        <v>105</v>
      </c>
      <c r="K4" s="182" t="s">
        <v>132</v>
      </c>
      <c r="L4" s="185">
        <f>D12</f>
        <v>3.9542857142857155</v>
      </c>
      <c r="M4" s="183" t="s">
        <v>133</v>
      </c>
    </row>
    <row r="5" spans="1:13" ht="19.5" thickBot="1">
      <c r="A5" s="81" t="s">
        <v>86</v>
      </c>
      <c r="B5" s="82">
        <f>D29</f>
        <v>30.151428571428575</v>
      </c>
      <c r="C5" s="83">
        <f>B5*(E5-0.1)/2</f>
        <v>22.613571428571433</v>
      </c>
      <c r="D5" s="158" t="s">
        <v>98</v>
      </c>
      <c r="E5" s="147">
        <v>1.6</v>
      </c>
      <c r="F5" s="67">
        <v>2.8</v>
      </c>
      <c r="H5" s="193" t="s">
        <v>143</v>
      </c>
      <c r="I5" s="76" t="s">
        <v>144</v>
      </c>
      <c r="J5" s="181" t="s">
        <v>106</v>
      </c>
      <c r="K5" s="182" t="s">
        <v>132</v>
      </c>
      <c r="L5" s="185">
        <f>D14</f>
        <v>3.9542857142857155</v>
      </c>
      <c r="M5" s="183" t="s">
        <v>133</v>
      </c>
    </row>
    <row r="6" spans="1:13" ht="15.75" thickBot="1">
      <c r="A6" s="66" t="s">
        <v>40</v>
      </c>
      <c r="B6" s="84">
        <f>SUM(B3:B5)</f>
        <v>183.24642857142857</v>
      </c>
      <c r="C6" s="85">
        <f>SUM(C3:C5)</f>
        <v>401.50387499999994</v>
      </c>
      <c r="D6" s="159" t="s">
        <v>99</v>
      </c>
      <c r="E6" s="66">
        <v>11.25</v>
      </c>
      <c r="F6" s="66">
        <v>8.65</v>
      </c>
      <c r="H6" s="193" t="s">
        <v>143</v>
      </c>
      <c r="I6" s="194" t="s">
        <v>146</v>
      </c>
      <c r="J6" s="181" t="s">
        <v>107</v>
      </c>
      <c r="K6" s="182" t="s">
        <v>132</v>
      </c>
      <c r="L6" s="185">
        <f>C4</f>
        <v>240.36155357142854</v>
      </c>
      <c r="M6" s="183" t="s">
        <v>133</v>
      </c>
    </row>
    <row r="7" spans="1:13">
      <c r="B7" s="90"/>
      <c r="C7" s="90"/>
      <c r="F7" s="66">
        <v>2.6</v>
      </c>
      <c r="H7" s="193" t="s">
        <v>143</v>
      </c>
      <c r="I7" s="76" t="s">
        <v>144</v>
      </c>
      <c r="J7" s="181" t="s">
        <v>108</v>
      </c>
      <c r="K7" s="182" t="s">
        <v>132</v>
      </c>
      <c r="L7" s="185">
        <f>C11</f>
        <v>22.88</v>
      </c>
      <c r="M7" s="183" t="s">
        <v>133</v>
      </c>
    </row>
    <row r="8" spans="1:13">
      <c r="B8" s="90"/>
      <c r="C8" s="90"/>
      <c r="D8" s="159" t="s">
        <v>100</v>
      </c>
      <c r="E8" s="66">
        <v>6.1</v>
      </c>
      <c r="F8" s="66">
        <v>3.95</v>
      </c>
      <c r="H8" s="193" t="s">
        <v>143</v>
      </c>
      <c r="I8" s="76" t="s">
        <v>144</v>
      </c>
      <c r="J8" s="181" t="s">
        <v>109</v>
      </c>
      <c r="K8" s="182" t="s">
        <v>132</v>
      </c>
      <c r="L8" s="185">
        <f t="shared" ref="L8:L10" si="0">C12</f>
        <v>46.215714285714284</v>
      </c>
      <c r="M8" s="183" t="s">
        <v>133</v>
      </c>
    </row>
    <row r="9" spans="1:13">
      <c r="F9" s="66">
        <v>2.15</v>
      </c>
      <c r="H9" s="193" t="s">
        <v>143</v>
      </c>
      <c r="I9" s="76" t="s">
        <v>144</v>
      </c>
      <c r="J9" s="181" t="s">
        <v>110</v>
      </c>
      <c r="K9" s="182" t="s">
        <v>132</v>
      </c>
      <c r="L9" s="185">
        <f t="shared" si="0"/>
        <v>22.88</v>
      </c>
      <c r="M9" s="183" t="s">
        <v>133</v>
      </c>
    </row>
    <row r="10" spans="1:13">
      <c r="B10" s="86" t="s">
        <v>37</v>
      </c>
      <c r="C10" s="86" t="s">
        <v>39</v>
      </c>
      <c r="D10" s="86" t="s">
        <v>86</v>
      </c>
      <c r="E10" s="66" t="s">
        <v>40</v>
      </c>
      <c r="H10" s="193" t="s">
        <v>143</v>
      </c>
      <c r="I10" s="76" t="s">
        <v>144</v>
      </c>
      <c r="J10" s="181" t="s">
        <v>111</v>
      </c>
      <c r="K10" s="182" t="s">
        <v>132</v>
      </c>
      <c r="L10" s="185">
        <f t="shared" si="0"/>
        <v>46.215714285714284</v>
      </c>
      <c r="M10" s="183" t="s">
        <v>133</v>
      </c>
    </row>
    <row r="11" spans="1:13">
      <c r="A11" s="87" t="s">
        <v>41</v>
      </c>
      <c r="B11" s="161">
        <f>E8*E2-B15-B19</f>
        <v>12.219999999999999</v>
      </c>
      <c r="C11" s="155">
        <f>E8*(E3+F4)-1.2*(2.4+0.9)</f>
        <v>22.88</v>
      </c>
      <c r="D11" s="156">
        <v>0</v>
      </c>
      <c r="E11" s="90">
        <f t="shared" ref="E11:E26" si="1">SUM(B11:D11)</f>
        <v>35.099999999999994</v>
      </c>
      <c r="G11" s="72">
        <v>0</v>
      </c>
      <c r="H11" s="193" t="s">
        <v>143</v>
      </c>
      <c r="I11" s="76" t="s">
        <v>144</v>
      </c>
      <c r="J11" s="181" t="s">
        <v>112</v>
      </c>
      <c r="K11" s="182" t="s">
        <v>132</v>
      </c>
      <c r="L11" s="184">
        <f>C15</f>
        <v>6.96</v>
      </c>
      <c r="M11" s="183" t="s">
        <v>133</v>
      </c>
    </row>
    <row r="12" spans="1:13">
      <c r="A12" s="151" t="s">
        <v>80</v>
      </c>
      <c r="B12" s="162">
        <f>E6*E2</f>
        <v>31.499999999999996</v>
      </c>
      <c r="C12" s="163">
        <f>F6*E3+F6*F4+F6*F5/2-D12</f>
        <v>46.215714285714284</v>
      </c>
      <c r="D12" s="164">
        <f>(E5*F6/E4)*E5/2</f>
        <v>3.9542857142857155</v>
      </c>
      <c r="E12" s="138">
        <f t="shared" si="1"/>
        <v>81.67</v>
      </c>
      <c r="F12" s="77"/>
      <c r="G12" s="147">
        <v>90</v>
      </c>
      <c r="H12" s="193" t="s">
        <v>143</v>
      </c>
      <c r="I12" s="76" t="s">
        <v>144</v>
      </c>
      <c r="J12" s="181" t="s">
        <v>113</v>
      </c>
      <c r="K12" s="182" t="s">
        <v>132</v>
      </c>
      <c r="L12" s="184">
        <f>C17</f>
        <v>6.96</v>
      </c>
      <c r="M12" s="183" t="s">
        <v>133</v>
      </c>
    </row>
    <row r="13" spans="1:13">
      <c r="A13" s="87" t="s">
        <v>43</v>
      </c>
      <c r="B13" s="165">
        <f>E8*E2-B21</f>
        <v>15.819999999999999</v>
      </c>
      <c r="C13" s="139">
        <f>C11</f>
        <v>22.88</v>
      </c>
      <c r="D13" s="141">
        <v>0</v>
      </c>
      <c r="E13" s="90">
        <f t="shared" si="1"/>
        <v>38.699999999999996</v>
      </c>
      <c r="G13" s="72">
        <v>180</v>
      </c>
      <c r="H13" s="193" t="s">
        <v>143</v>
      </c>
      <c r="I13" s="76" t="s">
        <v>144</v>
      </c>
      <c r="J13" s="181" t="s">
        <v>114</v>
      </c>
      <c r="K13" s="182" t="s">
        <v>132</v>
      </c>
      <c r="L13" s="184">
        <f>C23</f>
        <v>10.46943960188305</v>
      </c>
      <c r="M13" s="183" t="s">
        <v>133</v>
      </c>
    </row>
    <row r="14" spans="1:13">
      <c r="A14" s="143" t="s">
        <v>81</v>
      </c>
      <c r="B14" s="166">
        <f>F6*E2</f>
        <v>24.22</v>
      </c>
      <c r="C14" s="167">
        <f>C12</f>
        <v>46.215714285714284</v>
      </c>
      <c r="D14" s="164">
        <f>D12</f>
        <v>3.9542857142857155</v>
      </c>
      <c r="E14" s="145">
        <f t="shared" si="1"/>
        <v>74.39</v>
      </c>
      <c r="F14" s="77"/>
      <c r="G14" s="147">
        <v>270</v>
      </c>
      <c r="H14" s="193" t="s">
        <v>143</v>
      </c>
      <c r="I14" s="76" t="s">
        <v>144</v>
      </c>
      <c r="J14" s="181" t="s">
        <v>115</v>
      </c>
      <c r="K14" s="182" t="s">
        <v>132</v>
      </c>
      <c r="L14" s="184">
        <f>C31</f>
        <v>63.344999999999992</v>
      </c>
      <c r="M14" s="183" t="s">
        <v>133</v>
      </c>
    </row>
    <row r="15" spans="1:13">
      <c r="A15" s="98" t="s">
        <v>45</v>
      </c>
      <c r="B15" s="161">
        <f>2.4*1.2</f>
        <v>2.88</v>
      </c>
      <c r="C15" s="155">
        <f>0.9*1.2+2.4*1.2+3*1*1</f>
        <v>6.96</v>
      </c>
      <c r="D15" s="168" t="s">
        <v>61</v>
      </c>
      <c r="E15" s="99">
        <f t="shared" si="1"/>
        <v>9.84</v>
      </c>
      <c r="H15" s="193" t="s">
        <v>143</v>
      </c>
      <c r="I15" s="76" t="s">
        <v>144</v>
      </c>
      <c r="J15" s="181" t="s">
        <v>116</v>
      </c>
      <c r="K15" s="182" t="s">
        <v>132</v>
      </c>
      <c r="L15" s="184">
        <f>C30</f>
        <v>52.765000000000001</v>
      </c>
      <c r="M15" s="183" t="s">
        <v>133</v>
      </c>
    </row>
    <row r="16" spans="1:13">
      <c r="A16" s="87" t="s">
        <v>46</v>
      </c>
      <c r="B16" s="169" t="s">
        <v>61</v>
      </c>
      <c r="C16" s="170" t="s">
        <v>61</v>
      </c>
      <c r="D16" s="171" t="s">
        <v>61</v>
      </c>
      <c r="E16" s="76">
        <f t="shared" si="1"/>
        <v>0</v>
      </c>
      <c r="H16" s="193" t="s">
        <v>143</v>
      </c>
      <c r="I16" s="76" t="s">
        <v>144</v>
      </c>
      <c r="J16" s="181" t="s">
        <v>117</v>
      </c>
      <c r="K16" s="182" t="s">
        <v>132</v>
      </c>
      <c r="L16" s="184">
        <f>D29</f>
        <v>30.151428571428575</v>
      </c>
      <c r="M16" s="183" t="s">
        <v>133</v>
      </c>
    </row>
    <row r="17" spans="1:13">
      <c r="A17" s="87" t="s">
        <v>47</v>
      </c>
      <c r="B17" s="165">
        <f>0.9*0.8+2.4*2.2</f>
        <v>6</v>
      </c>
      <c r="C17" s="170">
        <f>1.2*2.4+1.2*0.9+3*1*1</f>
        <v>6.96</v>
      </c>
      <c r="D17" s="171" t="s">
        <v>61</v>
      </c>
      <c r="E17" s="76">
        <f t="shared" si="1"/>
        <v>12.96</v>
      </c>
      <c r="H17" s="193" t="s">
        <v>143</v>
      </c>
      <c r="I17" s="194" t="s">
        <v>146</v>
      </c>
      <c r="J17" s="181" t="s">
        <v>118</v>
      </c>
      <c r="K17" s="182" t="s">
        <v>132</v>
      </c>
      <c r="L17" s="185">
        <f>C3</f>
        <v>138.52874999999997</v>
      </c>
      <c r="M17" s="183" t="s">
        <v>133</v>
      </c>
    </row>
    <row r="18" spans="1:13">
      <c r="A18" s="95" t="s">
        <v>48</v>
      </c>
      <c r="B18" s="172" t="s">
        <v>61</v>
      </c>
      <c r="C18" s="173" t="s">
        <v>61</v>
      </c>
      <c r="D18" s="174" t="s">
        <v>61</v>
      </c>
      <c r="E18" s="103">
        <f t="shared" si="1"/>
        <v>0</v>
      </c>
      <c r="H18" s="193" t="s">
        <v>143</v>
      </c>
      <c r="I18" s="76" t="s">
        <v>144</v>
      </c>
      <c r="J18" s="181" t="s">
        <v>119</v>
      </c>
      <c r="K18" s="182" t="s">
        <v>132</v>
      </c>
      <c r="L18" s="184">
        <f>B11</f>
        <v>12.219999999999999</v>
      </c>
      <c r="M18" s="183" t="s">
        <v>133</v>
      </c>
    </row>
    <row r="19" spans="1:13">
      <c r="A19" s="98" t="s">
        <v>49</v>
      </c>
      <c r="B19" s="161">
        <f>0.9*2.2</f>
        <v>1.9800000000000002</v>
      </c>
      <c r="C19" s="155"/>
      <c r="D19" s="156"/>
      <c r="E19" s="99">
        <f t="shared" si="1"/>
        <v>1.9800000000000002</v>
      </c>
      <c r="H19" s="193" t="s">
        <v>143</v>
      </c>
      <c r="I19" s="76" t="s">
        <v>144</v>
      </c>
      <c r="J19" s="181" t="s">
        <v>120</v>
      </c>
      <c r="K19" s="182" t="s">
        <v>132</v>
      </c>
      <c r="L19" s="184">
        <f t="shared" ref="L19:L21" si="2">B12</f>
        <v>31.499999999999996</v>
      </c>
      <c r="M19" s="183" t="s">
        <v>133</v>
      </c>
    </row>
    <row r="20" spans="1:13">
      <c r="A20" s="87" t="s">
        <v>50</v>
      </c>
      <c r="B20" s="165"/>
      <c r="C20" s="139"/>
      <c r="D20" s="141"/>
      <c r="E20" s="76">
        <f t="shared" si="1"/>
        <v>0</v>
      </c>
      <c r="H20" s="193" t="s">
        <v>143</v>
      </c>
      <c r="I20" s="76" t="s">
        <v>144</v>
      </c>
      <c r="J20" s="181" t="s">
        <v>121</v>
      </c>
      <c r="K20" s="182" t="s">
        <v>132</v>
      </c>
      <c r="L20" s="184">
        <f t="shared" si="2"/>
        <v>15.819999999999999</v>
      </c>
      <c r="M20" s="183" t="s">
        <v>133</v>
      </c>
    </row>
    <row r="21" spans="1:13">
      <c r="A21" s="87" t="s">
        <v>51</v>
      </c>
      <c r="B21" s="165">
        <f>0.9*2.2-0.9*0.8</f>
        <v>1.2600000000000002</v>
      </c>
      <c r="C21" s="175"/>
      <c r="D21" s="141"/>
      <c r="E21" s="76">
        <f t="shared" si="1"/>
        <v>1.2600000000000002</v>
      </c>
      <c r="H21" s="193" t="s">
        <v>143</v>
      </c>
      <c r="I21" s="76" t="s">
        <v>144</v>
      </c>
      <c r="J21" s="181" t="s">
        <v>122</v>
      </c>
      <c r="K21" s="182" t="s">
        <v>132</v>
      </c>
      <c r="L21" s="184">
        <f t="shared" si="2"/>
        <v>24.22</v>
      </c>
      <c r="M21" s="183" t="s">
        <v>133</v>
      </c>
    </row>
    <row r="22" spans="1:13">
      <c r="A22" s="95" t="s">
        <v>52</v>
      </c>
      <c r="B22" s="172"/>
      <c r="C22" s="173"/>
      <c r="D22" s="174"/>
      <c r="E22" s="103">
        <f t="shared" si="1"/>
        <v>0</v>
      </c>
      <c r="H22" s="193" t="s">
        <v>143</v>
      </c>
      <c r="I22" s="76" t="s">
        <v>144</v>
      </c>
      <c r="J22" s="181" t="s">
        <v>123</v>
      </c>
      <c r="K22" s="182" t="s">
        <v>132</v>
      </c>
      <c r="L22" s="184">
        <f>B15</f>
        <v>2.88</v>
      </c>
      <c r="M22" s="183" t="s">
        <v>133</v>
      </c>
    </row>
    <row r="23" spans="1:13">
      <c r="A23" s="98" t="s">
        <v>53</v>
      </c>
      <c r="B23" s="161"/>
      <c r="C23" s="155">
        <f>(SQRT((F6/2)^2+F5^2))*E8-D23-3*1*1</f>
        <v>10.46943960188305</v>
      </c>
      <c r="D23" s="168">
        <f>SQRT(E5^2+(E5*F6/2/E4)^2)*E8</f>
        <v>17.95925280251074</v>
      </c>
      <c r="E23" s="107">
        <f>SUM(B23:D23)</f>
        <v>28.428692404393789</v>
      </c>
      <c r="F23" s="71" t="s">
        <v>54</v>
      </c>
      <c r="G23" s="109">
        <f>DEGREES(ATAN($F$5/(F6/2)))</f>
        <v>32.918973040029911</v>
      </c>
      <c r="H23" s="193" t="s">
        <v>143</v>
      </c>
      <c r="I23" s="76" t="s">
        <v>144</v>
      </c>
      <c r="J23" s="181" t="s">
        <v>124</v>
      </c>
      <c r="K23" s="182" t="s">
        <v>132</v>
      </c>
      <c r="L23" s="184">
        <f>B17</f>
        <v>6</v>
      </c>
      <c r="M23" s="183" t="s">
        <v>133</v>
      </c>
    </row>
    <row r="24" spans="1:13">
      <c r="A24" s="87" t="s">
        <v>55</v>
      </c>
      <c r="B24" s="162">
        <f>F7*F9</f>
        <v>5.59</v>
      </c>
      <c r="C24" s="139"/>
      <c r="D24" s="141"/>
      <c r="E24" s="93">
        <f t="shared" si="1"/>
        <v>5.59</v>
      </c>
      <c r="F24" s="153" t="s">
        <v>54</v>
      </c>
      <c r="G24" s="154">
        <v>0</v>
      </c>
      <c r="H24" s="193" t="s">
        <v>143</v>
      </c>
      <c r="I24" s="76" t="s">
        <v>144</v>
      </c>
      <c r="J24" s="181" t="s">
        <v>125</v>
      </c>
      <c r="K24" s="182" t="s">
        <v>132</v>
      </c>
      <c r="L24" s="184">
        <f>B19</f>
        <v>1.9800000000000002</v>
      </c>
      <c r="M24" s="183" t="s">
        <v>133</v>
      </c>
    </row>
    <row r="25" spans="1:13">
      <c r="A25" s="87" t="s">
        <v>56</v>
      </c>
      <c r="B25" s="165"/>
      <c r="C25" s="139">
        <f>C23</f>
        <v>10.46943960188305</v>
      </c>
      <c r="D25" s="141">
        <f>D23</f>
        <v>17.95925280251074</v>
      </c>
      <c r="E25" s="90">
        <f t="shared" si="1"/>
        <v>28.428692404393789</v>
      </c>
      <c r="F25" s="71" t="s">
        <v>54</v>
      </c>
      <c r="G25" s="109">
        <f>G23</f>
        <v>32.918973040029911</v>
      </c>
      <c r="H25" s="193" t="s">
        <v>143</v>
      </c>
      <c r="I25" s="76" t="s">
        <v>144</v>
      </c>
      <c r="J25" s="181" t="s">
        <v>126</v>
      </c>
      <c r="K25" s="182" t="s">
        <v>132</v>
      </c>
      <c r="L25" s="184">
        <f>B21</f>
        <v>1.2600000000000002</v>
      </c>
      <c r="M25" s="183" t="s">
        <v>133</v>
      </c>
    </row>
    <row r="26" spans="1:13">
      <c r="A26" s="95" t="s">
        <v>57</v>
      </c>
      <c r="B26" s="172"/>
      <c r="C26" s="173"/>
      <c r="D26" s="174"/>
      <c r="E26" s="103">
        <f t="shared" si="1"/>
        <v>0</v>
      </c>
      <c r="H26" s="193" t="s">
        <v>143</v>
      </c>
      <c r="I26" s="76" t="s">
        <v>144</v>
      </c>
      <c r="J26" s="181" t="s">
        <v>127</v>
      </c>
      <c r="K26" s="182" t="s">
        <v>132</v>
      </c>
      <c r="L26" s="184">
        <f>B27</f>
        <v>58.355000000000004</v>
      </c>
      <c r="M26" s="183" t="s">
        <v>133</v>
      </c>
    </row>
    <row r="27" spans="1:13">
      <c r="A27" s="113" t="s">
        <v>58</v>
      </c>
      <c r="B27" s="165">
        <f>E8*F6+F7*F9</f>
        <v>58.355000000000004</v>
      </c>
      <c r="C27" s="170" t="s">
        <v>61</v>
      </c>
      <c r="D27" s="171" t="s">
        <v>61</v>
      </c>
      <c r="E27" s="114">
        <f>SUM(B27:D27)</f>
        <v>58.355000000000004</v>
      </c>
      <c r="H27" s="193" t="s">
        <v>143</v>
      </c>
      <c r="I27" s="194" t="s">
        <v>147</v>
      </c>
      <c r="J27" s="181" t="s">
        <v>128</v>
      </c>
      <c r="K27" s="182" t="s">
        <v>132</v>
      </c>
      <c r="L27" s="184">
        <f>B28</f>
        <v>14.799999999999999</v>
      </c>
      <c r="M27" s="183" t="s">
        <v>133</v>
      </c>
    </row>
    <row r="28" spans="1:13">
      <c r="A28" s="115" t="s">
        <v>59</v>
      </c>
      <c r="B28" s="165">
        <f>E8*2+F7</f>
        <v>14.799999999999999</v>
      </c>
      <c r="C28" s="139"/>
      <c r="D28" s="141"/>
      <c r="E28" s="114">
        <f>SUM(B28:D28)</f>
        <v>14.799999999999999</v>
      </c>
      <c r="H28" s="193" t="s">
        <v>143</v>
      </c>
      <c r="I28" s="76" t="s">
        <v>144</v>
      </c>
      <c r="J28" s="181" t="s">
        <v>129</v>
      </c>
      <c r="K28" s="182" t="s">
        <v>132</v>
      </c>
      <c r="L28" s="184">
        <f>B31</f>
        <v>23.07</v>
      </c>
      <c r="M28" s="183" t="s">
        <v>133</v>
      </c>
    </row>
    <row r="29" spans="1:13">
      <c r="A29" s="86" t="s">
        <v>60</v>
      </c>
      <c r="B29" s="169">
        <f>E8*F6</f>
        <v>52.765000000000001</v>
      </c>
      <c r="C29" s="139"/>
      <c r="D29" s="141">
        <f>(E5*F6/E4)*E8</f>
        <v>30.151428571428575</v>
      </c>
      <c r="H29" s="193" t="s">
        <v>143</v>
      </c>
      <c r="I29" s="76" t="s">
        <v>144</v>
      </c>
      <c r="J29" s="181" t="s">
        <v>131</v>
      </c>
      <c r="K29" s="182" t="s">
        <v>132</v>
      </c>
      <c r="L29" s="184">
        <f>B24</f>
        <v>5.59</v>
      </c>
      <c r="M29" s="183" t="s">
        <v>133</v>
      </c>
    </row>
    <row r="30" spans="1:13" ht="15.75" thickBot="1">
      <c r="A30" s="86" t="s">
        <v>96</v>
      </c>
      <c r="B30" s="169"/>
      <c r="C30" s="139">
        <f>B29</f>
        <v>52.765000000000001</v>
      </c>
      <c r="D30" s="141"/>
      <c r="H30" s="195" t="s">
        <v>143</v>
      </c>
      <c r="I30" s="196" t="s">
        <v>144</v>
      </c>
      <c r="J30" s="186" t="s">
        <v>130</v>
      </c>
      <c r="K30" s="187" t="s">
        <v>132</v>
      </c>
      <c r="L30" s="189">
        <f>B29</f>
        <v>52.765000000000001</v>
      </c>
      <c r="M30" s="188" t="s">
        <v>133</v>
      </c>
    </row>
    <row r="31" spans="1:13">
      <c r="A31" s="86" t="s">
        <v>62</v>
      </c>
      <c r="B31" s="172">
        <f>(E2-0.25)*(F6-1.85+2*1.9)-2*0.9*2.2</f>
        <v>23.07</v>
      </c>
      <c r="C31" s="173">
        <f>(E3-0.25)*(F6+E8)*2-6*0.9*2.2</f>
        <v>63.344999999999992</v>
      </c>
      <c r="D31" s="174">
        <v>0</v>
      </c>
      <c r="H31" s="190"/>
    </row>
    <row r="32" spans="1:13">
      <c r="H32" s="190"/>
    </row>
    <row r="34" spans="1:9" ht="15.75" thickBot="1">
      <c r="C34" s="119" t="s">
        <v>87</v>
      </c>
      <c r="D34" s="120" t="s">
        <v>63</v>
      </c>
    </row>
    <row r="35" spans="1:9">
      <c r="A35" s="121" t="s">
        <v>64</v>
      </c>
      <c r="B35" s="122">
        <f>SUM(B19:D21,B11:D11,B13:D13)</f>
        <v>77.039999999999992</v>
      </c>
      <c r="C35" s="152">
        <f>SUM([2]Terraced!$D$29,[2]Terraced!$F$29)</f>
        <v>49.355999999999995</v>
      </c>
      <c r="D35" s="123">
        <f>ABS((C35-B35)/C35*100)</f>
        <v>56.09044493070752</v>
      </c>
    </row>
    <row r="36" spans="1:9">
      <c r="A36" s="124" t="s">
        <v>79</v>
      </c>
      <c r="B36" s="127">
        <f>SUM(B14:D14,B12:D12)</f>
        <v>156.05999999999997</v>
      </c>
      <c r="C36" s="152">
        <f>SUM([2]Terraced!$E$29,[2]Terraced!$G$29)</f>
        <v>132.01</v>
      </c>
      <c r="D36" s="126">
        <f>ABS((C36-B36)/C36*100)</f>
        <v>18.218316794182247</v>
      </c>
    </row>
    <row r="37" spans="1:9">
      <c r="A37" s="124" t="s">
        <v>65</v>
      </c>
      <c r="B37" s="127">
        <f>SUM(B23:D26)</f>
        <v>62.447384808787582</v>
      </c>
      <c r="C37" s="152">
        <f>SUM([2]Terraced!$Q$4:$Q$8)</f>
        <v>56.436</v>
      </c>
      <c r="D37" s="126">
        <f>ABS((C37-B37)/C37*100)</f>
        <v>10.65168475580761</v>
      </c>
    </row>
    <row r="38" spans="1:9">
      <c r="A38" s="124" t="s">
        <v>66</v>
      </c>
      <c r="B38" s="127">
        <f>SUM(B27:D27)</f>
        <v>58.355000000000004</v>
      </c>
      <c r="C38" s="100">
        <f>SUM([2]Terraced!$P$4:$P$8)</f>
        <v>52.468000000000004</v>
      </c>
      <c r="D38" s="126">
        <f>ABS((C38-B38)/C38*100)</f>
        <v>11.220172295494397</v>
      </c>
    </row>
    <row r="39" spans="1:9">
      <c r="A39" s="124" t="s">
        <v>67</v>
      </c>
      <c r="B39" s="127">
        <f>SUM(B31:D31)</f>
        <v>86.414999999999992</v>
      </c>
      <c r="C39" s="128">
        <f>SUM([2]Terraced!$T$4:$T$8)</f>
        <v>48.4375</v>
      </c>
      <c r="D39" s="129">
        <f>ABS((C39-B39)/C39*100)</f>
        <v>78.405161290322567</v>
      </c>
      <c r="E39" s="130"/>
    </row>
    <row r="40" spans="1:9">
      <c r="A40" s="124" t="s">
        <v>68</v>
      </c>
      <c r="B40" s="127">
        <f>SUM(B29:D29)</f>
        <v>82.916428571428582</v>
      </c>
      <c r="C40" s="100"/>
      <c r="D40" s="126"/>
    </row>
    <row r="41" spans="1:9" ht="15.75" thickBot="1">
      <c r="A41" s="131" t="s">
        <v>69</v>
      </c>
      <c r="B41" s="132">
        <f>SUM(B15:D18)</f>
        <v>22.8</v>
      </c>
      <c r="C41" s="100">
        <f>SUM([2]Terraced!$S$4:$S$8)</f>
        <v>28.200000000000003</v>
      </c>
      <c r="D41" s="126">
        <f>ABS((C41-B41)/C41*100)</f>
        <v>19.148936170212771</v>
      </c>
    </row>
    <row r="42" spans="1:9" ht="15.75" thickBot="1">
      <c r="C42" s="100"/>
      <c r="D42" s="126"/>
    </row>
    <row r="43" spans="1:9">
      <c r="A43" s="121" t="s">
        <v>34</v>
      </c>
      <c r="B43" s="122">
        <f>B6</f>
        <v>183.24642857142857</v>
      </c>
      <c r="C43" s="100">
        <f>SUM([2]Terraced!$N$4:$N$8)</f>
        <v>142.04300000000003</v>
      </c>
      <c r="D43" s="126">
        <f>ABS((C43-B43)/C43*100)</f>
        <v>29.007714967600318</v>
      </c>
    </row>
    <row r="44" spans="1:9" ht="15.75" thickBot="1">
      <c r="A44" s="131" t="s">
        <v>35</v>
      </c>
      <c r="B44" s="132">
        <f>C6</f>
        <v>401.50387499999994</v>
      </c>
      <c r="C44" s="102">
        <f>SUM([2]Terraced!$O$4:$O$8)</f>
        <v>356.10494999999997</v>
      </c>
      <c r="D44" s="133">
        <f>ABS((C44-B44)/C44*100)</f>
        <v>12.748748648397044</v>
      </c>
    </row>
    <row r="45" spans="1:9">
      <c r="C45" s="66" t="s">
        <v>70</v>
      </c>
      <c r="D45" s="134" t="s">
        <v>71</v>
      </c>
    </row>
    <row r="46" spans="1:9">
      <c r="A46" s="135"/>
      <c r="B46" s="114"/>
      <c r="D46" s="114"/>
      <c r="E46" s="140"/>
    </row>
    <row r="47" spans="1:9">
      <c r="A47" s="137"/>
      <c r="B47" s="114"/>
      <c r="E47" s="114"/>
      <c r="G47" s="114"/>
      <c r="H47" s="114"/>
      <c r="I47" s="114"/>
    </row>
    <row r="48" spans="1:9">
      <c r="B48" s="114"/>
      <c r="E48" s="114"/>
      <c r="G48" s="114"/>
      <c r="H48" s="114"/>
      <c r="I48" s="114"/>
    </row>
    <row r="49" spans="1:2">
      <c r="A49" s="137"/>
      <c r="B49" s="150"/>
    </row>
  </sheetData>
  <conditionalFormatting sqref="D35:D44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EPB2010</vt:lpstr>
      <vt:lpstr>1946-1970</vt:lpstr>
      <vt:lpstr>D</vt:lpstr>
      <vt:lpstr>SD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bwf</dc:creator>
  <cp:lastModifiedBy>Christina Protopapadaki</cp:lastModifiedBy>
  <dcterms:created xsi:type="dcterms:W3CDTF">2014-04-25T14:46:28Z</dcterms:created>
  <dcterms:modified xsi:type="dcterms:W3CDTF">2014-09-08T13:26:01Z</dcterms:modified>
</cp:coreProperties>
</file>